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540" windowWidth="27495" windowHeight="12210" activeTab="2"/>
  </bookViews>
  <sheets>
    <sheet name="Combination Data" sheetId="1" r:id="rId1"/>
    <sheet name="Species Data" sheetId="2" r:id="rId2"/>
    <sheet name="Quick Move Data" sheetId="3" r:id="rId3"/>
    <sheet name="Charge Move Data" sheetId="4" r:id="rId4"/>
    <sheet name="Type Data" sheetId="5" r:id="rId5"/>
    <sheet name="Game Data" sheetId="6" r:id="rId6"/>
    <sheet name="Versions, Issues &amp; Features" sheetId="7" r:id="rId7"/>
    <sheet name="LevelCP" sheetId="8" r:id="rId8"/>
  </sheets>
  <definedNames>
    <definedName name="_xlnm._FilterDatabase" localSheetId="3" hidden="1">'Charge Move Data'!$B$3:$K$98</definedName>
    <definedName name="_xlnm._FilterDatabase" localSheetId="0" hidden="1">'Combination Data'!$B$5:$Z$849</definedName>
    <definedName name="_xlnm._FilterDatabase" localSheetId="2" hidden="1">'Quick Move Data'!$B$3:$I$45</definedName>
    <definedName name="_xlnm._FilterDatabase" localSheetId="1" hidden="1">'Species Data'!$B$4:$M$155</definedName>
    <definedName name="_xlnm._FilterDatabase" localSheetId="4" hidden="1">'Type Data'!$B$3:$F$1001</definedName>
    <definedName name="CF_High_Attack">'Game Data'!$M$10</definedName>
    <definedName name="CF_High_CDPE">'Game Data'!$M$21</definedName>
    <definedName name="CF_High_CDPS">'Game Data'!$M$20</definedName>
    <definedName name="CF_High_Critical_Percent">'Game Data'!$M$19</definedName>
    <definedName name="CF_High_DDPS">'Game Data'!$M$8</definedName>
    <definedName name="CF_High_Defense">'Game Data'!$M$11</definedName>
    <definedName name="CF_High_Dodge_Window">'Game Data'!$M$18</definedName>
    <definedName name="CF_High_Duel_Ability">'Game Data'!$M$4</definedName>
    <definedName name="CF_High_Gym_Defense">'Game Data'!$M$6</definedName>
    <definedName name="CF_High_Gym_Offense">'Game Data'!$M$5</definedName>
    <definedName name="CF_High_ODPS">'Game Data'!$M$7</definedName>
    <definedName name="CF_High_QDPS">'Game Data'!$M$15</definedName>
    <definedName name="CF_High_QEPS">'Game Data'!$M$16</definedName>
    <definedName name="CF_High_Stamina">'Game Data'!$M$12</definedName>
    <definedName name="CF_High_Tankiness">'Game Data'!$M$13</definedName>
    <definedName name="CF_Low_Attack">'Game Data'!$O$10</definedName>
    <definedName name="CF_Low_CDPE">'Game Data'!$O$21</definedName>
    <definedName name="CF_Low_CDPS">'Game Data'!$O$20</definedName>
    <definedName name="CF_Low_Critical_Percent">'Game Data'!$O$19</definedName>
    <definedName name="CF_Low_DDPS">'Game Data'!$O$8</definedName>
    <definedName name="CF_Low_Defense">'Game Data'!$O$11</definedName>
    <definedName name="CF_Low_Dodge_Window">'Game Data'!$O$18</definedName>
    <definedName name="CF_Low_Duel_Ability">'Game Data'!$O$4</definedName>
    <definedName name="CF_Low_Gym_Defense">'Game Data'!$O$6</definedName>
    <definedName name="CF_Low_Gym_Offense">'Game Data'!$O$5</definedName>
    <definedName name="CF_Low_ODPS">'Game Data'!$O$7</definedName>
    <definedName name="CF_Low_QDPS">'Game Data'!$O$15</definedName>
    <definedName name="CF_Low_QEPS">'Game Data'!$O$16</definedName>
    <definedName name="CF_Low_Stamina">'Game Data'!$O$12</definedName>
    <definedName name="CF_Low_Tankiness">'Game Data'!$O$13</definedName>
    <definedName name="CF_Med_Attack">'Game Data'!$N$10</definedName>
    <definedName name="CF_Med_CDPE">'Game Data'!$N$21</definedName>
    <definedName name="CF_Med_CDPS">'Game Data'!$N$20</definedName>
    <definedName name="CF_Med_Critical_Percent">'Game Data'!$N$19</definedName>
    <definedName name="CF_Med_DDPS">'Game Data'!$N$8</definedName>
    <definedName name="CF_Med_Defense">'Game Data'!$N$11</definedName>
    <definedName name="CF_Med_Dodge_Window">'Game Data'!$N$18</definedName>
    <definedName name="CF_Med_Duel_Ability">'Game Data'!$N$4</definedName>
    <definedName name="CF_Med_Gym_Defense">'Game Data'!$N$6</definedName>
    <definedName name="CF_Med_Gym_Offense">'Game Data'!$N$5</definedName>
    <definedName name="CF_Med_ODPS">'Game Data'!$N$7</definedName>
    <definedName name="CF_Med_QDPS">'Game Data'!$N$15</definedName>
    <definedName name="CF_Med_QEPS">'Game Data'!$N$16</definedName>
    <definedName name="CF_Med_Stamina">'Game Data'!$N$12</definedName>
    <definedName name="CF_Med_Tankiness">'Game Data'!$N$13</definedName>
    <definedName name="Charge_CDPE">'Charge Move Data'!$K$4:$K$98</definedName>
    <definedName name="Charge_CDPS">'Charge Move Data'!$J$4:$J$98</definedName>
    <definedName name="Charge_Critical_Percent">'Charge Move Data'!$I$4:$I$98</definedName>
    <definedName name="Charge_Dodge_Window">'Charge Move Data'!$H$4:$H$98</definedName>
    <definedName name="Charge_Duration">'Charge Move Data'!$G$4:$G$98</definedName>
    <definedName name="Charge_Energy_Cost">'Charge Move Data'!$F$4:$F$98</definedName>
    <definedName name="Charge_Names">'Charge Move Data'!$C$4:$C$98</definedName>
    <definedName name="Charge_Number">'Charge Move Data'!$B$4:$B$98</definedName>
    <definedName name="Charge_Power">'Charge Move Data'!$E$4:$E$98</definedName>
    <definedName name="Charge_Type">'Charge Move Data'!$D$4:$D$98</definedName>
    <definedName name="Combo_Defense_Rank">'Combination Data'!$K$8:$K$848</definedName>
    <definedName name="Combo_Duel_Ability">'Combination Data'!$R$6:$R$849</definedName>
    <definedName name="Combo_Gym_Defense">'Combination Data'!$Y$6:$Y$849</definedName>
    <definedName name="Combo_Gym_Offense">'Combination Data'!$S$6:$S$849</definedName>
    <definedName name="Combo_Offense_Rank">'Combination Data'!$I$8:$I$848</definedName>
    <definedName name="Combo_Opponent_Type_1">'Combination Data'!$Q$3</definedName>
    <definedName name="Combo_Opponent_Type_2">'Combination Data'!$S$3</definedName>
    <definedName name="Combo_Species_Names">'Combination Data'!$N$6:$N$849</definedName>
    <definedName name="Game_Battle_Length">'Game Data'!$G$13</definedName>
    <definedName name="Game_Charge_Delay">'Game Data'!$G$15</definedName>
    <definedName name="Game_CP_Multipliers">'Game Data'!$E$4:$E$82</definedName>
    <definedName name="Game_Critical_Multiplier">'Game Data'!$G$10</definedName>
    <definedName name="Game_Levels">'Game Data'!$D$4:$D$82</definedName>
    <definedName name="Game_Max_IV_Attack">'Game Data'!$H$26</definedName>
    <definedName name="Game_Max_IV_Defense">'Game Data'!$I$26</definedName>
    <definedName name="Game_Max_IV_Stamina">'Game Data'!$J$26</definedName>
    <definedName name="Game_Min_IV_Attack">'Game Data'!$H$27</definedName>
    <definedName name="Game_Min_IV_Defense">'Game Data'!$I$27</definedName>
    <definedName name="Game_Min_IV_Stamina">'Game Data'!$J$27</definedName>
    <definedName name="Game_Non_Std_Delay">'Game Data'!$G$23</definedName>
    <definedName name="Game_Non_Std_Delay_Moves">'Game Data'!$G$21</definedName>
    <definedName name="Game_STAB_Multiplier">'Game Data'!$G$8</definedName>
    <definedName name="Game_Std_Defense_Delay">'Game Data'!$G$19</definedName>
    <definedName name="Game_Type_Multipliers">'Game Data'!$I$4:$I$6</definedName>
    <definedName name="Game_Type_Number">'Game Data'!$A$4:$A$21</definedName>
    <definedName name="Game_Type01">'Game Data'!$B$4</definedName>
    <definedName name="Game_Type02">'Game Data'!$B$5</definedName>
    <definedName name="Game_Type03">'Game Data'!$B$6</definedName>
    <definedName name="Game_Type04">'Game Data'!$B$7</definedName>
    <definedName name="Game_Type05">'Game Data'!$B$8</definedName>
    <definedName name="Game_Type06">'Game Data'!$B$9</definedName>
    <definedName name="Game_Type07">'Game Data'!$B$10</definedName>
    <definedName name="Game_Type08">'Game Data'!$B$11</definedName>
    <definedName name="Game_Type09">'Game Data'!$B$12</definedName>
    <definedName name="Game_Type10">'Game Data'!$B$13</definedName>
    <definedName name="Game_Type11">'Game Data'!$B$14</definedName>
    <definedName name="Game_Type12">'Game Data'!$B$15</definedName>
    <definedName name="Game_Type13">'Game Data'!$B$16</definedName>
    <definedName name="Game_Type14">'Game Data'!$B$17</definedName>
    <definedName name="Game_Type15">'Game Data'!$B$18</definedName>
    <definedName name="Game_Type16">'Game Data'!$B$19</definedName>
    <definedName name="Game_Type17">'Game Data'!$B$20</definedName>
    <definedName name="Game_Type18">'Game Data'!$B$21</definedName>
    <definedName name="Game_Types">'Game Data'!$B$4:$B$21</definedName>
    <definedName name="Game_Weave_Human_Error">'Game Data'!$G$17</definedName>
    <definedName name="Quick_Duration">'Quick Move Data'!$G$4:$G$45</definedName>
    <definedName name="Quick_Energy">'Quick Move Data'!$F$4:$F$45</definedName>
    <definedName name="Quick_Energy_Cost">'Charge Move Data'!$F$4:$F$98</definedName>
    <definedName name="Quick_Names">'Quick Move Data'!$C$4:$C$45</definedName>
    <definedName name="Quick_Number">'Quick Move Data'!$B$4:$B$45</definedName>
    <definedName name="Quick_Power">'Quick Move Data'!$E$4:$E$45</definedName>
    <definedName name="Quick_QDPS">'Quick Move Data'!$H$4:$H$45</definedName>
    <definedName name="Quick_QEPS">'Quick Move Data'!$I$4:$I$45</definedName>
    <definedName name="Quick_Type">'Quick Move Data'!$D$4:$D$45</definedName>
    <definedName name="Species_Attack">'Species Data'!$H$5:$H$155</definedName>
    <definedName name="Species_Availability">'Species Data'!$E$5:$E$155</definedName>
    <definedName name="Species_Defense">'Species Data'!$I$5:$I$155</definedName>
    <definedName name="Species_Evo_Numbers">'Species Data'!$D$5:$D$155</definedName>
    <definedName name="Species_Level">'Species Data'!$L$3:$M$3</definedName>
    <definedName name="Species_Max_IV_CP">'Species Data'!$M$5:$M$155</definedName>
    <definedName name="Species_Min_IV_CP">'Species Data'!$L$5:$L$155</definedName>
    <definedName name="Species_Names">'Species Data'!$C$5:$C$155</definedName>
    <definedName name="Species_Pdex_Numbers">'Species Data'!$B$5:$B$155</definedName>
    <definedName name="Species_Stamina">'Species Data'!$J$5:$J$155</definedName>
    <definedName name="Species_Tankiness">'Species Data'!$K$5:$K$155</definedName>
    <definedName name="Species_Type_1">'Species Data'!$F$5:$F$155</definedName>
    <definedName name="Species_Type_2">'Species Data'!$G$5:$G$155</definedName>
    <definedName name="Type_Damage_Multipliers">'Type Data'!$F$4:$F$327</definedName>
    <definedName name="Type_Move">'Type Data'!$C$4:$C$327</definedName>
    <definedName name="Type_Species">'Type Data'!$E$4:$E$327</definedName>
  </definedNames>
  <calcPr calcId="144525"/>
</workbook>
</file>

<file path=xl/calcChain.xml><?xml version="1.0" encoding="utf-8"?>
<calcChain xmlns="http://schemas.openxmlformats.org/spreadsheetml/2006/main">
  <c r="M45" i="3" l="1"/>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L45" i="3"/>
  <c r="L44" i="3"/>
  <c r="L43" i="3"/>
  <c r="L42" i="3"/>
  <c r="L41" i="3"/>
  <c r="L40"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L10" i="3"/>
  <c r="L9" i="3"/>
  <c r="L8" i="3"/>
  <c r="L7" i="3"/>
  <c r="L6" i="3"/>
  <c r="L5" i="3"/>
  <c r="L4" i="3"/>
  <c r="J25" i="6" l="1"/>
  <c r="I25" i="6"/>
  <c r="H25" i="6"/>
  <c r="L21" i="6"/>
  <c r="L20" i="6"/>
  <c r="L19" i="6"/>
  <c r="L18" i="6"/>
  <c r="L16" i="6"/>
  <c r="L15" i="6"/>
  <c r="L13" i="6"/>
  <c r="L12" i="6"/>
  <c r="L11" i="6"/>
  <c r="L10" i="6"/>
  <c r="L8" i="6"/>
  <c r="L7" i="6"/>
  <c r="L6" i="6"/>
  <c r="L5" i="6"/>
  <c r="L4" i="6"/>
  <c r="E327" i="5"/>
  <c r="D327" i="5"/>
  <c r="C327" i="5"/>
  <c r="B327" i="5"/>
  <c r="E326" i="5"/>
  <c r="D326" i="5"/>
  <c r="C326" i="5"/>
  <c r="B326" i="5"/>
  <c r="E325" i="5"/>
  <c r="D325" i="5"/>
  <c r="C325" i="5"/>
  <c r="B325" i="5"/>
  <c r="E324" i="5"/>
  <c r="D324" i="5"/>
  <c r="C324" i="5"/>
  <c r="B324" i="5"/>
  <c r="E323" i="5"/>
  <c r="D323" i="5"/>
  <c r="C323" i="5"/>
  <c r="B323" i="5"/>
  <c r="E322" i="5"/>
  <c r="D322" i="5"/>
  <c r="C322" i="5"/>
  <c r="B322" i="5"/>
  <c r="E321" i="5"/>
  <c r="D321" i="5"/>
  <c r="C321" i="5"/>
  <c r="B321" i="5"/>
  <c r="E320" i="5"/>
  <c r="D320" i="5"/>
  <c r="C320" i="5"/>
  <c r="B320" i="5"/>
  <c r="E319" i="5"/>
  <c r="D319" i="5"/>
  <c r="C319" i="5"/>
  <c r="B319" i="5"/>
  <c r="E318" i="5"/>
  <c r="D318" i="5"/>
  <c r="C318" i="5"/>
  <c r="B318" i="5"/>
  <c r="E317" i="5"/>
  <c r="D317" i="5"/>
  <c r="C317" i="5"/>
  <c r="B317" i="5"/>
  <c r="E316" i="5"/>
  <c r="D316" i="5"/>
  <c r="C316" i="5"/>
  <c r="B316" i="5"/>
  <c r="E315" i="5"/>
  <c r="D315" i="5"/>
  <c r="C315" i="5"/>
  <c r="B315" i="5"/>
  <c r="E314" i="5"/>
  <c r="D314" i="5"/>
  <c r="C314" i="5"/>
  <c r="B314" i="5"/>
  <c r="E313" i="5"/>
  <c r="D313" i="5"/>
  <c r="C313" i="5"/>
  <c r="B313" i="5"/>
  <c r="E312" i="5"/>
  <c r="D312" i="5"/>
  <c r="C312" i="5"/>
  <c r="B312" i="5"/>
  <c r="E311" i="5"/>
  <c r="D311" i="5"/>
  <c r="C311" i="5"/>
  <c r="B311" i="5"/>
  <c r="E310" i="5"/>
  <c r="D310" i="5"/>
  <c r="C310" i="5"/>
  <c r="B310" i="5"/>
  <c r="E309" i="5"/>
  <c r="D309" i="5"/>
  <c r="C309" i="5"/>
  <c r="B309" i="5"/>
  <c r="E308" i="5"/>
  <c r="D308" i="5"/>
  <c r="C308" i="5"/>
  <c r="B308" i="5"/>
  <c r="E307" i="5"/>
  <c r="D307" i="5"/>
  <c r="C307" i="5"/>
  <c r="B307" i="5"/>
  <c r="E306" i="5"/>
  <c r="D306" i="5"/>
  <c r="C306" i="5"/>
  <c r="B306" i="5"/>
  <c r="E305" i="5"/>
  <c r="D305" i="5"/>
  <c r="C305" i="5"/>
  <c r="B305" i="5"/>
  <c r="E304" i="5"/>
  <c r="D304" i="5"/>
  <c r="C304" i="5"/>
  <c r="B304" i="5"/>
  <c r="E303" i="5"/>
  <c r="D303" i="5"/>
  <c r="C303" i="5"/>
  <c r="B303" i="5"/>
  <c r="E302" i="5"/>
  <c r="D302" i="5"/>
  <c r="C302" i="5"/>
  <c r="B302" i="5"/>
  <c r="E301" i="5"/>
  <c r="D301" i="5"/>
  <c r="C301" i="5"/>
  <c r="B301" i="5"/>
  <c r="E300" i="5"/>
  <c r="D300" i="5"/>
  <c r="C300" i="5"/>
  <c r="B300" i="5"/>
  <c r="E299" i="5"/>
  <c r="D299" i="5"/>
  <c r="C299" i="5"/>
  <c r="B299" i="5"/>
  <c r="E298" i="5"/>
  <c r="D298" i="5"/>
  <c r="C298" i="5"/>
  <c r="B298" i="5"/>
  <c r="E297" i="5"/>
  <c r="D297" i="5"/>
  <c r="C297" i="5"/>
  <c r="B297" i="5"/>
  <c r="E296" i="5"/>
  <c r="D296" i="5"/>
  <c r="C296" i="5"/>
  <c r="B296" i="5"/>
  <c r="E295" i="5"/>
  <c r="D295" i="5"/>
  <c r="C295" i="5"/>
  <c r="B295" i="5"/>
  <c r="E294" i="5"/>
  <c r="D294" i="5"/>
  <c r="C294" i="5"/>
  <c r="B294" i="5"/>
  <c r="E293" i="5"/>
  <c r="D293" i="5"/>
  <c r="C293" i="5"/>
  <c r="B293" i="5"/>
  <c r="E292" i="5"/>
  <c r="D292" i="5"/>
  <c r="C292" i="5"/>
  <c r="B292" i="5"/>
  <c r="E291" i="5"/>
  <c r="D291" i="5"/>
  <c r="C291" i="5"/>
  <c r="B291" i="5"/>
  <c r="E290" i="5"/>
  <c r="D290" i="5"/>
  <c r="C290" i="5"/>
  <c r="B290" i="5"/>
  <c r="E289" i="5"/>
  <c r="D289" i="5"/>
  <c r="C289" i="5"/>
  <c r="B289" i="5"/>
  <c r="E288" i="5"/>
  <c r="D288" i="5"/>
  <c r="C288" i="5"/>
  <c r="B288" i="5"/>
  <c r="E287" i="5"/>
  <c r="D287" i="5"/>
  <c r="C287" i="5"/>
  <c r="B287" i="5"/>
  <c r="E286" i="5"/>
  <c r="D286" i="5"/>
  <c r="C286" i="5"/>
  <c r="B286" i="5"/>
  <c r="E285" i="5"/>
  <c r="D285" i="5"/>
  <c r="C285" i="5"/>
  <c r="B285" i="5"/>
  <c r="E284" i="5"/>
  <c r="D284" i="5"/>
  <c r="C284" i="5"/>
  <c r="B284" i="5"/>
  <c r="E283" i="5"/>
  <c r="D283" i="5"/>
  <c r="C283" i="5"/>
  <c r="B283" i="5"/>
  <c r="E282" i="5"/>
  <c r="D282" i="5"/>
  <c r="C282" i="5"/>
  <c r="B282" i="5"/>
  <c r="E281" i="5"/>
  <c r="D281" i="5"/>
  <c r="C281" i="5"/>
  <c r="B281" i="5"/>
  <c r="E280" i="5"/>
  <c r="D280" i="5"/>
  <c r="C280" i="5"/>
  <c r="B280" i="5"/>
  <c r="E279" i="5"/>
  <c r="D279" i="5"/>
  <c r="C279" i="5"/>
  <c r="B279" i="5"/>
  <c r="E278" i="5"/>
  <c r="D278" i="5"/>
  <c r="C278" i="5"/>
  <c r="B278" i="5"/>
  <c r="E277" i="5"/>
  <c r="D277" i="5"/>
  <c r="C277" i="5"/>
  <c r="B277" i="5"/>
  <c r="E276" i="5"/>
  <c r="D276" i="5"/>
  <c r="C276" i="5"/>
  <c r="B276" i="5"/>
  <c r="E275" i="5"/>
  <c r="D275" i="5"/>
  <c r="C275" i="5"/>
  <c r="B275" i="5"/>
  <c r="E274" i="5"/>
  <c r="D274" i="5"/>
  <c r="C274" i="5"/>
  <c r="B274" i="5"/>
  <c r="E273" i="5"/>
  <c r="D273" i="5"/>
  <c r="C273" i="5"/>
  <c r="B273" i="5"/>
  <c r="E272" i="5"/>
  <c r="D272" i="5"/>
  <c r="C272" i="5"/>
  <c r="B272" i="5"/>
  <c r="E271" i="5"/>
  <c r="D271" i="5"/>
  <c r="C271" i="5"/>
  <c r="B271" i="5"/>
  <c r="E270" i="5"/>
  <c r="D270" i="5"/>
  <c r="C270" i="5"/>
  <c r="B270" i="5"/>
  <c r="E269" i="5"/>
  <c r="D269" i="5"/>
  <c r="C269" i="5"/>
  <c r="B269" i="5"/>
  <c r="E268" i="5"/>
  <c r="D268" i="5"/>
  <c r="C268" i="5"/>
  <c r="B268" i="5"/>
  <c r="E267" i="5"/>
  <c r="D267" i="5"/>
  <c r="C267" i="5"/>
  <c r="B267" i="5"/>
  <c r="E266" i="5"/>
  <c r="D266" i="5"/>
  <c r="C266" i="5"/>
  <c r="B266" i="5"/>
  <c r="E265" i="5"/>
  <c r="D265" i="5"/>
  <c r="C265" i="5"/>
  <c r="B265" i="5"/>
  <c r="E264" i="5"/>
  <c r="D264" i="5"/>
  <c r="C264" i="5"/>
  <c r="B264" i="5"/>
  <c r="E263" i="5"/>
  <c r="D263" i="5"/>
  <c r="C263" i="5"/>
  <c r="B263" i="5"/>
  <c r="E262" i="5"/>
  <c r="D262" i="5"/>
  <c r="C262" i="5"/>
  <c r="B262" i="5"/>
  <c r="E261" i="5"/>
  <c r="D261" i="5"/>
  <c r="C261" i="5"/>
  <c r="B261" i="5"/>
  <c r="E260" i="5"/>
  <c r="D260" i="5"/>
  <c r="C260" i="5"/>
  <c r="B260" i="5"/>
  <c r="E259" i="5"/>
  <c r="D259" i="5"/>
  <c r="C259" i="5"/>
  <c r="B259" i="5"/>
  <c r="E258" i="5"/>
  <c r="D258" i="5"/>
  <c r="C258" i="5"/>
  <c r="B258" i="5"/>
  <c r="E257" i="5"/>
  <c r="D257" i="5"/>
  <c r="C257" i="5"/>
  <c r="B257" i="5"/>
  <c r="E256" i="5"/>
  <c r="D256" i="5"/>
  <c r="C256" i="5"/>
  <c r="B256" i="5"/>
  <c r="E255" i="5"/>
  <c r="D255" i="5"/>
  <c r="C255" i="5"/>
  <c r="B255" i="5"/>
  <c r="E254" i="5"/>
  <c r="D254" i="5"/>
  <c r="C254" i="5"/>
  <c r="B254" i="5"/>
  <c r="E253" i="5"/>
  <c r="D253" i="5"/>
  <c r="C253" i="5"/>
  <c r="B253" i="5"/>
  <c r="E252" i="5"/>
  <c r="D252" i="5"/>
  <c r="C252" i="5"/>
  <c r="B252" i="5"/>
  <c r="E251" i="5"/>
  <c r="D251" i="5"/>
  <c r="C251" i="5"/>
  <c r="B251" i="5"/>
  <c r="E250" i="5"/>
  <c r="D250" i="5"/>
  <c r="C250" i="5"/>
  <c r="B250" i="5"/>
  <c r="E249" i="5"/>
  <c r="D249" i="5"/>
  <c r="C249" i="5"/>
  <c r="B249" i="5"/>
  <c r="E248" i="5"/>
  <c r="D248" i="5"/>
  <c r="C248" i="5"/>
  <c r="B248" i="5"/>
  <c r="E247" i="5"/>
  <c r="D247" i="5"/>
  <c r="C247" i="5"/>
  <c r="B247" i="5"/>
  <c r="E246" i="5"/>
  <c r="D246" i="5"/>
  <c r="C246" i="5"/>
  <c r="B246" i="5"/>
  <c r="E245" i="5"/>
  <c r="D245" i="5"/>
  <c r="C245" i="5"/>
  <c r="B245" i="5"/>
  <c r="E244" i="5"/>
  <c r="D244" i="5"/>
  <c r="C244" i="5"/>
  <c r="B244" i="5"/>
  <c r="E243" i="5"/>
  <c r="D243" i="5"/>
  <c r="C243" i="5"/>
  <c r="B243" i="5"/>
  <c r="E242" i="5"/>
  <c r="D242" i="5"/>
  <c r="C242" i="5"/>
  <c r="B242" i="5"/>
  <c r="E241" i="5"/>
  <c r="D241" i="5"/>
  <c r="C241" i="5"/>
  <c r="B241" i="5"/>
  <c r="E240" i="5"/>
  <c r="D240" i="5"/>
  <c r="C240" i="5"/>
  <c r="B240" i="5"/>
  <c r="E239" i="5"/>
  <c r="D239" i="5"/>
  <c r="C239" i="5"/>
  <c r="B239" i="5"/>
  <c r="E238" i="5"/>
  <c r="D238" i="5"/>
  <c r="C238" i="5"/>
  <c r="B238" i="5"/>
  <c r="E237" i="5"/>
  <c r="D237" i="5"/>
  <c r="C237" i="5"/>
  <c r="B237" i="5"/>
  <c r="E236" i="5"/>
  <c r="D236" i="5"/>
  <c r="C236" i="5"/>
  <c r="B236" i="5"/>
  <c r="E235" i="5"/>
  <c r="D235" i="5"/>
  <c r="C235" i="5"/>
  <c r="B235" i="5"/>
  <c r="E234" i="5"/>
  <c r="D234" i="5"/>
  <c r="C234" i="5"/>
  <c r="B234" i="5"/>
  <c r="E233" i="5"/>
  <c r="D233" i="5"/>
  <c r="C233" i="5"/>
  <c r="B233" i="5"/>
  <c r="E232" i="5"/>
  <c r="D232" i="5"/>
  <c r="C232" i="5"/>
  <c r="B232" i="5"/>
  <c r="E231" i="5"/>
  <c r="D231" i="5"/>
  <c r="C231" i="5"/>
  <c r="B231" i="5"/>
  <c r="E230" i="5"/>
  <c r="D230" i="5"/>
  <c r="C230" i="5"/>
  <c r="B230" i="5"/>
  <c r="E229" i="5"/>
  <c r="D229" i="5"/>
  <c r="C229" i="5"/>
  <c r="B229" i="5"/>
  <c r="E228" i="5"/>
  <c r="D228" i="5"/>
  <c r="C228" i="5"/>
  <c r="B228" i="5"/>
  <c r="E227" i="5"/>
  <c r="D227" i="5"/>
  <c r="C227" i="5"/>
  <c r="B227" i="5"/>
  <c r="E226" i="5"/>
  <c r="D226" i="5"/>
  <c r="C226" i="5"/>
  <c r="B226" i="5"/>
  <c r="E225" i="5"/>
  <c r="D225" i="5"/>
  <c r="C225" i="5"/>
  <c r="B225" i="5"/>
  <c r="E224" i="5"/>
  <c r="D224" i="5"/>
  <c r="C224" i="5"/>
  <c r="B224" i="5"/>
  <c r="E223" i="5"/>
  <c r="D223" i="5"/>
  <c r="C223" i="5"/>
  <c r="B223" i="5"/>
  <c r="E222" i="5"/>
  <c r="D222" i="5"/>
  <c r="C222" i="5"/>
  <c r="B222" i="5"/>
  <c r="E221" i="5"/>
  <c r="D221" i="5"/>
  <c r="C221" i="5"/>
  <c r="B221" i="5"/>
  <c r="E220" i="5"/>
  <c r="D220" i="5"/>
  <c r="C220" i="5"/>
  <c r="B220" i="5"/>
  <c r="E219" i="5"/>
  <c r="D219" i="5"/>
  <c r="C219" i="5"/>
  <c r="B219" i="5"/>
  <c r="E218" i="5"/>
  <c r="D218" i="5"/>
  <c r="C218" i="5"/>
  <c r="B218" i="5"/>
  <c r="E217" i="5"/>
  <c r="D217" i="5"/>
  <c r="C217" i="5"/>
  <c r="B217" i="5"/>
  <c r="E216" i="5"/>
  <c r="D216" i="5"/>
  <c r="C216" i="5"/>
  <c r="B216" i="5"/>
  <c r="E215" i="5"/>
  <c r="D215" i="5"/>
  <c r="C215" i="5"/>
  <c r="B215" i="5"/>
  <c r="E214" i="5"/>
  <c r="D214" i="5"/>
  <c r="C214" i="5"/>
  <c r="B214" i="5"/>
  <c r="E213" i="5"/>
  <c r="D213" i="5"/>
  <c r="C213" i="5"/>
  <c r="B213" i="5"/>
  <c r="E212" i="5"/>
  <c r="D212" i="5"/>
  <c r="C212" i="5"/>
  <c r="B212" i="5"/>
  <c r="E211" i="5"/>
  <c r="D211" i="5"/>
  <c r="C211" i="5"/>
  <c r="B211" i="5"/>
  <c r="E210" i="5"/>
  <c r="D210" i="5"/>
  <c r="C210" i="5"/>
  <c r="B210" i="5"/>
  <c r="E209" i="5"/>
  <c r="D209" i="5"/>
  <c r="C209" i="5"/>
  <c r="B209" i="5"/>
  <c r="E208" i="5"/>
  <c r="D208" i="5"/>
  <c r="C208" i="5"/>
  <c r="B208" i="5"/>
  <c r="E207" i="5"/>
  <c r="D207" i="5"/>
  <c r="C207" i="5"/>
  <c r="B207" i="5"/>
  <c r="E206" i="5"/>
  <c r="D206" i="5"/>
  <c r="C206" i="5"/>
  <c r="B206" i="5"/>
  <c r="E205" i="5"/>
  <c r="D205" i="5"/>
  <c r="C205" i="5"/>
  <c r="B205" i="5"/>
  <c r="E204" i="5"/>
  <c r="D204" i="5"/>
  <c r="C204" i="5"/>
  <c r="B204" i="5"/>
  <c r="E203" i="5"/>
  <c r="D203" i="5"/>
  <c r="C203" i="5"/>
  <c r="B203" i="5"/>
  <c r="E202" i="5"/>
  <c r="D202" i="5"/>
  <c r="C202" i="5"/>
  <c r="B202" i="5"/>
  <c r="E201" i="5"/>
  <c r="D201" i="5"/>
  <c r="C201" i="5"/>
  <c r="B201" i="5"/>
  <c r="E200" i="5"/>
  <c r="D200" i="5"/>
  <c r="C200" i="5"/>
  <c r="B200" i="5"/>
  <c r="E199" i="5"/>
  <c r="D199" i="5"/>
  <c r="C199" i="5"/>
  <c r="B199" i="5"/>
  <c r="E198" i="5"/>
  <c r="D198" i="5"/>
  <c r="C198" i="5"/>
  <c r="B198" i="5"/>
  <c r="E197" i="5"/>
  <c r="D197" i="5"/>
  <c r="C197" i="5"/>
  <c r="B197" i="5"/>
  <c r="E196" i="5"/>
  <c r="D196" i="5"/>
  <c r="C196" i="5"/>
  <c r="B196" i="5"/>
  <c r="E195" i="5"/>
  <c r="D195" i="5"/>
  <c r="C195" i="5"/>
  <c r="B195" i="5"/>
  <c r="E194" i="5"/>
  <c r="D194" i="5"/>
  <c r="C194" i="5"/>
  <c r="B194" i="5"/>
  <c r="E193" i="5"/>
  <c r="D193" i="5"/>
  <c r="C193" i="5"/>
  <c r="B193" i="5"/>
  <c r="E192" i="5"/>
  <c r="D192" i="5"/>
  <c r="C192" i="5"/>
  <c r="B192" i="5"/>
  <c r="E191" i="5"/>
  <c r="D191" i="5"/>
  <c r="C191" i="5"/>
  <c r="B191" i="5"/>
  <c r="E190" i="5"/>
  <c r="D190" i="5"/>
  <c r="C190" i="5"/>
  <c r="B190" i="5"/>
  <c r="E189" i="5"/>
  <c r="D189" i="5"/>
  <c r="C189" i="5"/>
  <c r="B189" i="5"/>
  <c r="E188" i="5"/>
  <c r="D188" i="5"/>
  <c r="C188" i="5"/>
  <c r="B188" i="5"/>
  <c r="E187" i="5"/>
  <c r="D187" i="5"/>
  <c r="C187" i="5"/>
  <c r="B187" i="5"/>
  <c r="E186" i="5"/>
  <c r="D186" i="5"/>
  <c r="C186" i="5"/>
  <c r="B186" i="5"/>
  <c r="E185" i="5"/>
  <c r="D185" i="5"/>
  <c r="C185" i="5"/>
  <c r="B185" i="5"/>
  <c r="E184" i="5"/>
  <c r="D184" i="5"/>
  <c r="C184" i="5"/>
  <c r="B184" i="5"/>
  <c r="E183" i="5"/>
  <c r="D183" i="5"/>
  <c r="C183" i="5"/>
  <c r="B183" i="5"/>
  <c r="E182" i="5"/>
  <c r="D182" i="5"/>
  <c r="C182" i="5"/>
  <c r="B182" i="5"/>
  <c r="E181" i="5"/>
  <c r="D181" i="5"/>
  <c r="C181" i="5"/>
  <c r="B181" i="5"/>
  <c r="E180" i="5"/>
  <c r="D180" i="5"/>
  <c r="C180" i="5"/>
  <c r="B180" i="5"/>
  <c r="E179" i="5"/>
  <c r="D179" i="5"/>
  <c r="C179" i="5"/>
  <c r="B179" i="5"/>
  <c r="E178" i="5"/>
  <c r="D178" i="5"/>
  <c r="C178" i="5"/>
  <c r="B178" i="5"/>
  <c r="E177" i="5"/>
  <c r="D177" i="5"/>
  <c r="C177" i="5"/>
  <c r="B177" i="5"/>
  <c r="E176" i="5"/>
  <c r="D176" i="5"/>
  <c r="C176" i="5"/>
  <c r="B176" i="5"/>
  <c r="E175" i="5"/>
  <c r="D175" i="5"/>
  <c r="C175" i="5"/>
  <c r="B175" i="5"/>
  <c r="E174" i="5"/>
  <c r="D174" i="5"/>
  <c r="C174" i="5"/>
  <c r="B174" i="5"/>
  <c r="E173" i="5"/>
  <c r="D173" i="5"/>
  <c r="C173" i="5"/>
  <c r="B173" i="5"/>
  <c r="E172" i="5"/>
  <c r="D172" i="5"/>
  <c r="C172" i="5"/>
  <c r="B172" i="5"/>
  <c r="E171" i="5"/>
  <c r="D171" i="5"/>
  <c r="C171" i="5"/>
  <c r="B171" i="5"/>
  <c r="E170" i="5"/>
  <c r="D170" i="5"/>
  <c r="C170" i="5"/>
  <c r="B170" i="5"/>
  <c r="E169" i="5"/>
  <c r="D169" i="5"/>
  <c r="C169" i="5"/>
  <c r="B169" i="5"/>
  <c r="E168" i="5"/>
  <c r="D168" i="5"/>
  <c r="C168" i="5"/>
  <c r="B168" i="5"/>
  <c r="E167" i="5"/>
  <c r="D167" i="5"/>
  <c r="C167" i="5"/>
  <c r="B167" i="5"/>
  <c r="E166" i="5"/>
  <c r="D166" i="5"/>
  <c r="C166" i="5"/>
  <c r="B166" i="5"/>
  <c r="E165" i="5"/>
  <c r="D165" i="5"/>
  <c r="C165" i="5"/>
  <c r="B165" i="5"/>
  <c r="E164" i="5"/>
  <c r="D164" i="5"/>
  <c r="C164" i="5"/>
  <c r="B164" i="5"/>
  <c r="E163" i="5"/>
  <c r="D163" i="5"/>
  <c r="C163" i="5"/>
  <c r="B163" i="5"/>
  <c r="E162" i="5"/>
  <c r="D162" i="5"/>
  <c r="C162" i="5"/>
  <c r="B162" i="5"/>
  <c r="E161" i="5"/>
  <c r="D161" i="5"/>
  <c r="C161" i="5"/>
  <c r="B161" i="5"/>
  <c r="E160" i="5"/>
  <c r="D160" i="5"/>
  <c r="C160" i="5"/>
  <c r="B160" i="5"/>
  <c r="E159" i="5"/>
  <c r="D159" i="5"/>
  <c r="C159" i="5"/>
  <c r="B159" i="5"/>
  <c r="E158" i="5"/>
  <c r="D158" i="5"/>
  <c r="C158" i="5"/>
  <c r="B158" i="5"/>
  <c r="E157" i="5"/>
  <c r="D157" i="5"/>
  <c r="C157" i="5"/>
  <c r="B157" i="5"/>
  <c r="E156" i="5"/>
  <c r="D156" i="5"/>
  <c r="C156" i="5"/>
  <c r="B156" i="5"/>
  <c r="E155" i="5"/>
  <c r="D155" i="5"/>
  <c r="C155" i="5"/>
  <c r="B155" i="5"/>
  <c r="E154" i="5"/>
  <c r="D154" i="5"/>
  <c r="C154" i="5"/>
  <c r="B154" i="5"/>
  <c r="E153" i="5"/>
  <c r="D153" i="5"/>
  <c r="C153" i="5"/>
  <c r="B153" i="5"/>
  <c r="E152" i="5"/>
  <c r="D152" i="5"/>
  <c r="C152" i="5"/>
  <c r="B152" i="5"/>
  <c r="E151" i="5"/>
  <c r="D151" i="5"/>
  <c r="C151" i="5"/>
  <c r="B151" i="5"/>
  <c r="E150" i="5"/>
  <c r="D150" i="5"/>
  <c r="C150" i="5"/>
  <c r="B150" i="5"/>
  <c r="E149" i="5"/>
  <c r="D149" i="5"/>
  <c r="C149" i="5"/>
  <c r="B149" i="5"/>
  <c r="E148" i="5"/>
  <c r="D148" i="5"/>
  <c r="C148" i="5"/>
  <c r="B148" i="5"/>
  <c r="E147" i="5"/>
  <c r="D147" i="5"/>
  <c r="C147" i="5"/>
  <c r="B147" i="5"/>
  <c r="E146" i="5"/>
  <c r="D146" i="5"/>
  <c r="C146" i="5"/>
  <c r="B146" i="5"/>
  <c r="E145" i="5"/>
  <c r="D145" i="5"/>
  <c r="C145" i="5"/>
  <c r="B145" i="5"/>
  <c r="E144" i="5"/>
  <c r="D144" i="5"/>
  <c r="C144" i="5"/>
  <c r="B144" i="5"/>
  <c r="E143" i="5"/>
  <c r="D143" i="5"/>
  <c r="C143" i="5"/>
  <c r="B143" i="5"/>
  <c r="E142" i="5"/>
  <c r="D142" i="5"/>
  <c r="C142" i="5"/>
  <c r="B142" i="5"/>
  <c r="E141" i="5"/>
  <c r="D141" i="5"/>
  <c r="C141" i="5"/>
  <c r="B141" i="5"/>
  <c r="E140" i="5"/>
  <c r="D140" i="5"/>
  <c r="C140" i="5"/>
  <c r="B140" i="5"/>
  <c r="E139" i="5"/>
  <c r="D139" i="5"/>
  <c r="C139" i="5"/>
  <c r="B139" i="5"/>
  <c r="E138" i="5"/>
  <c r="D138" i="5"/>
  <c r="C138" i="5"/>
  <c r="B138" i="5"/>
  <c r="E137" i="5"/>
  <c r="D137" i="5"/>
  <c r="C137" i="5"/>
  <c r="B137" i="5"/>
  <c r="E136" i="5"/>
  <c r="D136" i="5"/>
  <c r="C136" i="5"/>
  <c r="B136" i="5"/>
  <c r="E135" i="5"/>
  <c r="D135" i="5"/>
  <c r="C135" i="5"/>
  <c r="B135" i="5"/>
  <c r="E134" i="5"/>
  <c r="D134" i="5"/>
  <c r="C134" i="5"/>
  <c r="B134" i="5"/>
  <c r="E133" i="5"/>
  <c r="D133" i="5"/>
  <c r="C133" i="5"/>
  <c r="B133" i="5"/>
  <c r="E132" i="5"/>
  <c r="D132" i="5"/>
  <c r="C132" i="5"/>
  <c r="B132" i="5"/>
  <c r="E131" i="5"/>
  <c r="D131" i="5"/>
  <c r="C131" i="5"/>
  <c r="B131" i="5"/>
  <c r="E130" i="5"/>
  <c r="D130" i="5"/>
  <c r="C130" i="5"/>
  <c r="B130" i="5"/>
  <c r="E129" i="5"/>
  <c r="D129" i="5"/>
  <c r="C129" i="5"/>
  <c r="B129" i="5"/>
  <c r="E128" i="5"/>
  <c r="D128" i="5"/>
  <c r="C128" i="5"/>
  <c r="B128" i="5"/>
  <c r="E127" i="5"/>
  <c r="D127" i="5"/>
  <c r="C127" i="5"/>
  <c r="B127" i="5"/>
  <c r="E126" i="5"/>
  <c r="D126" i="5"/>
  <c r="C126" i="5"/>
  <c r="B126" i="5"/>
  <c r="E125" i="5"/>
  <c r="D125" i="5"/>
  <c r="C125" i="5"/>
  <c r="B125" i="5"/>
  <c r="E124" i="5"/>
  <c r="D124" i="5"/>
  <c r="C124" i="5"/>
  <c r="B124" i="5"/>
  <c r="E123" i="5"/>
  <c r="D123" i="5"/>
  <c r="C123" i="5"/>
  <c r="B123" i="5"/>
  <c r="E122" i="5"/>
  <c r="D122" i="5"/>
  <c r="C122" i="5"/>
  <c r="B122" i="5"/>
  <c r="E121" i="5"/>
  <c r="D121" i="5"/>
  <c r="C121" i="5"/>
  <c r="B121" i="5"/>
  <c r="E120" i="5"/>
  <c r="D120" i="5"/>
  <c r="C120" i="5"/>
  <c r="B120" i="5"/>
  <c r="E119" i="5"/>
  <c r="D119" i="5"/>
  <c r="C119" i="5"/>
  <c r="B119" i="5"/>
  <c r="E118" i="5"/>
  <c r="D118" i="5"/>
  <c r="C118" i="5"/>
  <c r="B118" i="5"/>
  <c r="E117" i="5"/>
  <c r="D117" i="5"/>
  <c r="C117" i="5"/>
  <c r="B117" i="5"/>
  <c r="E116" i="5"/>
  <c r="D116" i="5"/>
  <c r="C116" i="5"/>
  <c r="B116" i="5"/>
  <c r="E115" i="5"/>
  <c r="D115" i="5"/>
  <c r="C115" i="5"/>
  <c r="B115" i="5"/>
  <c r="E114" i="5"/>
  <c r="D114" i="5"/>
  <c r="C114" i="5"/>
  <c r="B114" i="5"/>
  <c r="E113" i="5"/>
  <c r="D113" i="5"/>
  <c r="C113" i="5"/>
  <c r="B113" i="5"/>
  <c r="E112" i="5"/>
  <c r="D112" i="5"/>
  <c r="C112" i="5"/>
  <c r="B112" i="5"/>
  <c r="E111" i="5"/>
  <c r="D111" i="5"/>
  <c r="C111" i="5"/>
  <c r="B111" i="5"/>
  <c r="E110" i="5"/>
  <c r="D110" i="5"/>
  <c r="C110" i="5"/>
  <c r="B110" i="5"/>
  <c r="E109" i="5"/>
  <c r="D109" i="5"/>
  <c r="C109" i="5"/>
  <c r="B109" i="5"/>
  <c r="E108" i="5"/>
  <c r="D108" i="5"/>
  <c r="C108" i="5"/>
  <c r="B108" i="5"/>
  <c r="E107" i="5"/>
  <c r="D107" i="5"/>
  <c r="C107" i="5"/>
  <c r="B107" i="5"/>
  <c r="E106" i="5"/>
  <c r="D106" i="5"/>
  <c r="C106" i="5"/>
  <c r="B106" i="5"/>
  <c r="E105" i="5"/>
  <c r="D105" i="5"/>
  <c r="C105" i="5"/>
  <c r="B105" i="5"/>
  <c r="E104" i="5"/>
  <c r="D104" i="5"/>
  <c r="C104" i="5"/>
  <c r="B104" i="5"/>
  <c r="E103" i="5"/>
  <c r="D103" i="5"/>
  <c r="C103" i="5"/>
  <c r="B103" i="5"/>
  <c r="E102" i="5"/>
  <c r="D102" i="5"/>
  <c r="C102" i="5"/>
  <c r="B102" i="5"/>
  <c r="E101" i="5"/>
  <c r="D101" i="5"/>
  <c r="C101" i="5"/>
  <c r="B101" i="5"/>
  <c r="E100" i="5"/>
  <c r="D100" i="5"/>
  <c r="C100" i="5"/>
  <c r="B100" i="5"/>
  <c r="E99" i="5"/>
  <c r="D99" i="5"/>
  <c r="C99" i="5"/>
  <c r="B99" i="5"/>
  <c r="E98" i="5"/>
  <c r="D98" i="5"/>
  <c r="C98" i="5"/>
  <c r="B98" i="5"/>
  <c r="E97" i="5"/>
  <c r="D97" i="5"/>
  <c r="C97" i="5"/>
  <c r="B97" i="5"/>
  <c r="E96" i="5"/>
  <c r="D96" i="5"/>
  <c r="C96" i="5"/>
  <c r="B96" i="5"/>
  <c r="E95" i="5"/>
  <c r="D95" i="5"/>
  <c r="C95" i="5"/>
  <c r="B95" i="5"/>
  <c r="E94" i="5"/>
  <c r="D94" i="5"/>
  <c r="C94" i="5"/>
  <c r="B94" i="5"/>
  <c r="E93" i="5"/>
  <c r="D93" i="5"/>
  <c r="C93" i="5"/>
  <c r="B93" i="5"/>
  <c r="E92" i="5"/>
  <c r="D92" i="5"/>
  <c r="C92" i="5"/>
  <c r="B92" i="5"/>
  <c r="E91" i="5"/>
  <c r="D91" i="5"/>
  <c r="C91" i="5"/>
  <c r="B91" i="5"/>
  <c r="E90" i="5"/>
  <c r="D90" i="5"/>
  <c r="C90" i="5"/>
  <c r="B90" i="5"/>
  <c r="E89" i="5"/>
  <c r="D89" i="5"/>
  <c r="C89" i="5"/>
  <c r="B89" i="5"/>
  <c r="E88" i="5"/>
  <c r="D88" i="5"/>
  <c r="C88" i="5"/>
  <c r="B88" i="5"/>
  <c r="E87" i="5"/>
  <c r="D87" i="5"/>
  <c r="C87" i="5"/>
  <c r="B87" i="5"/>
  <c r="E86" i="5"/>
  <c r="D86" i="5"/>
  <c r="C86" i="5"/>
  <c r="B86" i="5"/>
  <c r="E85" i="5"/>
  <c r="D85" i="5"/>
  <c r="C85" i="5"/>
  <c r="B85" i="5"/>
  <c r="E84" i="5"/>
  <c r="D84" i="5"/>
  <c r="C84" i="5"/>
  <c r="B84" i="5"/>
  <c r="E83" i="5"/>
  <c r="D83" i="5"/>
  <c r="C83" i="5"/>
  <c r="B83" i="5"/>
  <c r="E82" i="5"/>
  <c r="D82" i="5"/>
  <c r="C82" i="5"/>
  <c r="B82" i="5"/>
  <c r="E81" i="5"/>
  <c r="D81" i="5"/>
  <c r="C81" i="5"/>
  <c r="B81" i="5"/>
  <c r="E80" i="5"/>
  <c r="D80" i="5"/>
  <c r="C80" i="5"/>
  <c r="B80" i="5"/>
  <c r="E79" i="5"/>
  <c r="D79" i="5"/>
  <c r="C79" i="5"/>
  <c r="B79" i="5"/>
  <c r="E78" i="5"/>
  <c r="D78" i="5"/>
  <c r="C78" i="5"/>
  <c r="B78" i="5"/>
  <c r="E77" i="5"/>
  <c r="D77" i="5"/>
  <c r="C77" i="5"/>
  <c r="B77" i="5"/>
  <c r="E76" i="5"/>
  <c r="D76" i="5"/>
  <c r="C76" i="5"/>
  <c r="B76" i="5"/>
  <c r="E75" i="5"/>
  <c r="D75" i="5"/>
  <c r="C75" i="5"/>
  <c r="B75" i="5"/>
  <c r="E74" i="5"/>
  <c r="D74" i="5"/>
  <c r="C74" i="5"/>
  <c r="B74" i="5"/>
  <c r="E73" i="5"/>
  <c r="D73" i="5"/>
  <c r="C73" i="5"/>
  <c r="B73" i="5"/>
  <c r="E72" i="5"/>
  <c r="D72" i="5"/>
  <c r="C72" i="5"/>
  <c r="B72" i="5"/>
  <c r="E71" i="5"/>
  <c r="D71" i="5"/>
  <c r="C71" i="5"/>
  <c r="B71" i="5"/>
  <c r="E70" i="5"/>
  <c r="D70" i="5"/>
  <c r="C70" i="5"/>
  <c r="B70" i="5"/>
  <c r="E69" i="5"/>
  <c r="D69" i="5"/>
  <c r="C69" i="5"/>
  <c r="B69" i="5"/>
  <c r="E68" i="5"/>
  <c r="D68" i="5"/>
  <c r="C68" i="5"/>
  <c r="B68" i="5"/>
  <c r="E67" i="5"/>
  <c r="D67" i="5"/>
  <c r="C67" i="5"/>
  <c r="B67" i="5"/>
  <c r="E66" i="5"/>
  <c r="D66" i="5"/>
  <c r="C66" i="5"/>
  <c r="B66" i="5"/>
  <c r="E65" i="5"/>
  <c r="D65" i="5"/>
  <c r="C65" i="5"/>
  <c r="B65" i="5"/>
  <c r="E64" i="5"/>
  <c r="D64" i="5"/>
  <c r="C64" i="5"/>
  <c r="B64" i="5"/>
  <c r="E63" i="5"/>
  <c r="D63" i="5"/>
  <c r="C63" i="5"/>
  <c r="B63" i="5"/>
  <c r="E62" i="5"/>
  <c r="D62" i="5"/>
  <c r="C62" i="5"/>
  <c r="B62" i="5"/>
  <c r="E61" i="5"/>
  <c r="D61" i="5"/>
  <c r="C61" i="5"/>
  <c r="B61" i="5"/>
  <c r="E60" i="5"/>
  <c r="D60" i="5"/>
  <c r="C60" i="5"/>
  <c r="B60" i="5"/>
  <c r="E59" i="5"/>
  <c r="D59" i="5"/>
  <c r="C59" i="5"/>
  <c r="B59" i="5"/>
  <c r="E58" i="5"/>
  <c r="D58" i="5"/>
  <c r="C58" i="5"/>
  <c r="B58" i="5"/>
  <c r="E57" i="5"/>
  <c r="D57" i="5"/>
  <c r="C57" i="5"/>
  <c r="B57" i="5"/>
  <c r="E56" i="5"/>
  <c r="D56" i="5"/>
  <c r="C56" i="5"/>
  <c r="B56" i="5"/>
  <c r="E55" i="5"/>
  <c r="D55" i="5"/>
  <c r="C55" i="5"/>
  <c r="B55" i="5"/>
  <c r="E54" i="5"/>
  <c r="D54" i="5"/>
  <c r="C54" i="5"/>
  <c r="B54" i="5"/>
  <c r="E53" i="5"/>
  <c r="D53" i="5"/>
  <c r="C53" i="5"/>
  <c r="B53" i="5"/>
  <c r="E52" i="5"/>
  <c r="D52" i="5"/>
  <c r="C52" i="5"/>
  <c r="B52" i="5"/>
  <c r="E51" i="5"/>
  <c r="D51" i="5"/>
  <c r="C51" i="5"/>
  <c r="B51" i="5"/>
  <c r="E50" i="5"/>
  <c r="D50" i="5"/>
  <c r="C50" i="5"/>
  <c r="B50" i="5"/>
  <c r="E49" i="5"/>
  <c r="D49" i="5"/>
  <c r="C49" i="5"/>
  <c r="B49" i="5"/>
  <c r="E48" i="5"/>
  <c r="D48" i="5"/>
  <c r="C48" i="5"/>
  <c r="B48" i="5"/>
  <c r="E47" i="5"/>
  <c r="D47" i="5"/>
  <c r="C47" i="5"/>
  <c r="B47" i="5"/>
  <c r="E46" i="5"/>
  <c r="D46" i="5"/>
  <c r="C46" i="5"/>
  <c r="B46" i="5"/>
  <c r="E45" i="5"/>
  <c r="D45" i="5"/>
  <c r="C45" i="5"/>
  <c r="B45" i="5"/>
  <c r="E44" i="5"/>
  <c r="D44" i="5"/>
  <c r="C44" i="5"/>
  <c r="B44" i="5"/>
  <c r="E43" i="5"/>
  <c r="D43" i="5"/>
  <c r="C43" i="5"/>
  <c r="B43" i="5"/>
  <c r="E42" i="5"/>
  <c r="D42" i="5"/>
  <c r="C42" i="5"/>
  <c r="B42" i="5"/>
  <c r="E41" i="5"/>
  <c r="D41" i="5"/>
  <c r="C41" i="5"/>
  <c r="B41" i="5"/>
  <c r="E40" i="5"/>
  <c r="D40" i="5"/>
  <c r="C40" i="5"/>
  <c r="B40" i="5"/>
  <c r="E39" i="5"/>
  <c r="D39" i="5"/>
  <c r="C39" i="5"/>
  <c r="B39" i="5"/>
  <c r="E38" i="5"/>
  <c r="D38" i="5"/>
  <c r="C38" i="5"/>
  <c r="B38" i="5"/>
  <c r="E37" i="5"/>
  <c r="D37" i="5"/>
  <c r="C37" i="5"/>
  <c r="B37" i="5"/>
  <c r="E36" i="5"/>
  <c r="D36" i="5"/>
  <c r="C36" i="5"/>
  <c r="B36" i="5"/>
  <c r="E35" i="5"/>
  <c r="D35" i="5"/>
  <c r="C35" i="5"/>
  <c r="B35" i="5"/>
  <c r="E34" i="5"/>
  <c r="D34" i="5"/>
  <c r="C34" i="5"/>
  <c r="B34" i="5"/>
  <c r="E33" i="5"/>
  <c r="D33" i="5"/>
  <c r="C33" i="5"/>
  <c r="B33" i="5"/>
  <c r="E32" i="5"/>
  <c r="D32" i="5"/>
  <c r="C32" i="5"/>
  <c r="B32" i="5"/>
  <c r="E31" i="5"/>
  <c r="D31" i="5"/>
  <c r="C31" i="5"/>
  <c r="B31" i="5"/>
  <c r="E30" i="5"/>
  <c r="D30" i="5"/>
  <c r="C30" i="5"/>
  <c r="B30" i="5"/>
  <c r="E29" i="5"/>
  <c r="D29" i="5"/>
  <c r="C29" i="5"/>
  <c r="B29" i="5"/>
  <c r="E28" i="5"/>
  <c r="D28" i="5"/>
  <c r="C28" i="5"/>
  <c r="B28" i="5"/>
  <c r="E27" i="5"/>
  <c r="D27" i="5"/>
  <c r="C27" i="5"/>
  <c r="B27" i="5"/>
  <c r="E26" i="5"/>
  <c r="D26" i="5"/>
  <c r="C26" i="5"/>
  <c r="B26" i="5"/>
  <c r="E25" i="5"/>
  <c r="D25" i="5"/>
  <c r="C25" i="5"/>
  <c r="B25" i="5"/>
  <c r="E24" i="5"/>
  <c r="D24" i="5"/>
  <c r="C24" i="5"/>
  <c r="B24" i="5"/>
  <c r="E23" i="5"/>
  <c r="D23" i="5"/>
  <c r="C23" i="5"/>
  <c r="B23" i="5"/>
  <c r="E22" i="5"/>
  <c r="D22" i="5"/>
  <c r="C22" i="5"/>
  <c r="B22" i="5"/>
  <c r="E21" i="5"/>
  <c r="D21" i="5"/>
  <c r="C21" i="5"/>
  <c r="B21" i="5"/>
  <c r="A21" i="5"/>
  <c r="E20" i="5"/>
  <c r="D20" i="5"/>
  <c r="C20" i="5"/>
  <c r="B20" i="5"/>
  <c r="A20" i="5"/>
  <c r="E19" i="5"/>
  <c r="D19" i="5"/>
  <c r="C19" i="5"/>
  <c r="B19" i="5"/>
  <c r="A19" i="5"/>
  <c r="E18" i="5"/>
  <c r="D18" i="5"/>
  <c r="C18" i="5"/>
  <c r="B18" i="5"/>
  <c r="A18" i="5"/>
  <c r="E17" i="5"/>
  <c r="D17" i="5"/>
  <c r="C17" i="5"/>
  <c r="B17" i="5"/>
  <c r="A17" i="5"/>
  <c r="E16" i="5"/>
  <c r="D16" i="5"/>
  <c r="C16" i="5"/>
  <c r="B16" i="5"/>
  <c r="A16" i="5"/>
  <c r="E15" i="5"/>
  <c r="D15" i="5"/>
  <c r="C15" i="5"/>
  <c r="B15" i="5"/>
  <c r="A15" i="5"/>
  <c r="E14" i="5"/>
  <c r="D14" i="5"/>
  <c r="C14" i="5"/>
  <c r="B14" i="5"/>
  <c r="A14" i="5"/>
  <c r="E13" i="5"/>
  <c r="D13" i="5"/>
  <c r="C13" i="5"/>
  <c r="B13" i="5"/>
  <c r="A13" i="5"/>
  <c r="E12" i="5"/>
  <c r="D12" i="5"/>
  <c r="C12" i="5"/>
  <c r="B12" i="5"/>
  <c r="A12" i="5"/>
  <c r="E11" i="5"/>
  <c r="D11" i="5"/>
  <c r="C11" i="5"/>
  <c r="B11" i="5"/>
  <c r="A11" i="5"/>
  <c r="E10" i="5"/>
  <c r="D10" i="5"/>
  <c r="C10" i="5"/>
  <c r="B10" i="5"/>
  <c r="A10" i="5"/>
  <c r="E9" i="5"/>
  <c r="D9" i="5"/>
  <c r="C9" i="5"/>
  <c r="B9" i="5"/>
  <c r="A9" i="5"/>
  <c r="E8" i="5"/>
  <c r="D8" i="5"/>
  <c r="C8" i="5"/>
  <c r="B8" i="5"/>
  <c r="A8" i="5"/>
  <c r="E7" i="5"/>
  <c r="D7" i="5"/>
  <c r="C7" i="5"/>
  <c r="B7" i="5"/>
  <c r="A7" i="5"/>
  <c r="E6" i="5"/>
  <c r="D6" i="5"/>
  <c r="C6" i="5"/>
  <c r="B6" i="5"/>
  <c r="A6" i="5"/>
  <c r="E5" i="5"/>
  <c r="D5" i="5"/>
  <c r="C5" i="5"/>
  <c r="B5" i="5"/>
  <c r="A5" i="5"/>
  <c r="E4" i="5"/>
  <c r="D4" i="5"/>
  <c r="C4" i="5"/>
  <c r="B4" i="5"/>
  <c r="A4" i="5"/>
  <c r="D3" i="5"/>
  <c r="B3" i="5"/>
  <c r="B2" i="5"/>
  <c r="K98" i="4"/>
  <c r="J98" i="4"/>
  <c r="K97" i="4"/>
  <c r="J97" i="4"/>
  <c r="K96" i="4"/>
  <c r="J96" i="4"/>
  <c r="K95" i="4"/>
  <c r="J95" i="4"/>
  <c r="K94" i="4"/>
  <c r="J94" i="4"/>
  <c r="K93" i="4"/>
  <c r="J93" i="4"/>
  <c r="K92" i="4"/>
  <c r="J92" i="4"/>
  <c r="K91" i="4"/>
  <c r="J91" i="4"/>
  <c r="K90" i="4"/>
  <c r="J90" i="4"/>
  <c r="K89" i="4"/>
  <c r="J89" i="4"/>
  <c r="K88" i="4"/>
  <c r="J88" i="4"/>
  <c r="K87" i="4"/>
  <c r="J87" i="4"/>
  <c r="K86" i="4"/>
  <c r="J86" i="4"/>
  <c r="K85" i="4"/>
  <c r="J85" i="4"/>
  <c r="K84" i="4"/>
  <c r="J84" i="4"/>
  <c r="K83" i="4"/>
  <c r="J83" i="4"/>
  <c r="K82" i="4"/>
  <c r="J82" i="4"/>
  <c r="K81" i="4"/>
  <c r="J81" i="4"/>
  <c r="K80" i="4"/>
  <c r="J80" i="4"/>
  <c r="K79" i="4"/>
  <c r="J79" i="4"/>
  <c r="K78" i="4"/>
  <c r="J78" i="4"/>
  <c r="K77" i="4"/>
  <c r="J77" i="4"/>
  <c r="K76" i="4"/>
  <c r="J76" i="4"/>
  <c r="K75" i="4"/>
  <c r="J75" i="4"/>
  <c r="K74" i="4"/>
  <c r="J74" i="4"/>
  <c r="K73" i="4"/>
  <c r="J73" i="4"/>
  <c r="K72" i="4"/>
  <c r="J72" i="4"/>
  <c r="K71" i="4"/>
  <c r="J71" i="4"/>
  <c r="K70" i="4"/>
  <c r="J70" i="4"/>
  <c r="K69" i="4"/>
  <c r="J69" i="4"/>
  <c r="K68" i="4"/>
  <c r="J68" i="4"/>
  <c r="K67" i="4"/>
  <c r="J67" i="4"/>
  <c r="K66" i="4"/>
  <c r="J66" i="4"/>
  <c r="K65" i="4"/>
  <c r="J65" i="4"/>
  <c r="K64" i="4"/>
  <c r="J64" i="4"/>
  <c r="K63" i="4"/>
  <c r="J63" i="4"/>
  <c r="K62" i="4"/>
  <c r="J62" i="4"/>
  <c r="K61" i="4"/>
  <c r="J61" i="4"/>
  <c r="K60" i="4"/>
  <c r="J60" i="4"/>
  <c r="K59" i="4"/>
  <c r="J59" i="4"/>
  <c r="K58" i="4"/>
  <c r="J58" i="4"/>
  <c r="K57" i="4"/>
  <c r="J57" i="4"/>
  <c r="K56" i="4"/>
  <c r="J56" i="4"/>
  <c r="K55" i="4"/>
  <c r="J55" i="4"/>
  <c r="K54" i="4"/>
  <c r="J54" i="4"/>
  <c r="K53" i="4"/>
  <c r="J53" i="4"/>
  <c r="K52" i="4"/>
  <c r="J52" i="4"/>
  <c r="K51" i="4"/>
  <c r="J51" i="4"/>
  <c r="K50" i="4"/>
  <c r="J50" i="4"/>
  <c r="K49" i="4"/>
  <c r="J49" i="4"/>
  <c r="K48" i="4"/>
  <c r="J48" i="4"/>
  <c r="K47" i="4"/>
  <c r="J47" i="4"/>
  <c r="K46" i="4"/>
  <c r="J46" i="4"/>
  <c r="K45" i="4"/>
  <c r="J45" i="4"/>
  <c r="K44" i="4"/>
  <c r="J44" i="4"/>
  <c r="K43" i="4"/>
  <c r="J43" i="4"/>
  <c r="K42" i="4"/>
  <c r="J42" i="4"/>
  <c r="K41" i="4"/>
  <c r="J41" i="4"/>
  <c r="K40" i="4"/>
  <c r="J40" i="4"/>
  <c r="K39" i="4"/>
  <c r="J39" i="4"/>
  <c r="K38" i="4"/>
  <c r="J38" i="4"/>
  <c r="K37" i="4"/>
  <c r="J37" i="4"/>
  <c r="K36" i="4"/>
  <c r="J36" i="4"/>
  <c r="K35" i="4"/>
  <c r="J35" i="4"/>
  <c r="K34" i="4"/>
  <c r="J34" i="4"/>
  <c r="K33" i="4"/>
  <c r="J33" i="4"/>
  <c r="A33" i="4"/>
  <c r="K32" i="4"/>
  <c r="J32" i="4"/>
  <c r="A32" i="4"/>
  <c r="K31" i="4"/>
  <c r="J31" i="4"/>
  <c r="A31" i="4"/>
  <c r="K30" i="4"/>
  <c r="J30" i="4"/>
  <c r="A30" i="4"/>
  <c r="K29" i="4"/>
  <c r="J29" i="4"/>
  <c r="A29" i="4"/>
  <c r="K28" i="4"/>
  <c r="J28" i="4"/>
  <c r="A28" i="4"/>
  <c r="K27" i="4"/>
  <c r="J27" i="4"/>
  <c r="A27" i="4"/>
  <c r="K26" i="4"/>
  <c r="J26" i="4"/>
  <c r="A26" i="4"/>
  <c r="K25" i="4"/>
  <c r="J25" i="4"/>
  <c r="A25" i="4"/>
  <c r="K24" i="4"/>
  <c r="J24" i="4"/>
  <c r="A24" i="4"/>
  <c r="K23" i="4"/>
  <c r="J23" i="4"/>
  <c r="A23" i="4"/>
  <c r="K22" i="4"/>
  <c r="J22" i="4"/>
  <c r="A22" i="4"/>
  <c r="K21" i="4"/>
  <c r="J21" i="4"/>
  <c r="A21" i="4"/>
  <c r="K20" i="4"/>
  <c r="J20" i="4"/>
  <c r="A20" i="4"/>
  <c r="K19" i="4"/>
  <c r="J19" i="4"/>
  <c r="A19" i="4"/>
  <c r="K18" i="4"/>
  <c r="J18" i="4"/>
  <c r="A18" i="4"/>
  <c r="K17" i="4"/>
  <c r="J17" i="4"/>
  <c r="A17" i="4"/>
  <c r="K16" i="4"/>
  <c r="J16" i="4"/>
  <c r="A16" i="4"/>
  <c r="K15" i="4"/>
  <c r="J15" i="4"/>
  <c r="A15" i="4"/>
  <c r="K14" i="4"/>
  <c r="J14" i="4"/>
  <c r="A14" i="4"/>
  <c r="K13" i="4"/>
  <c r="J13" i="4"/>
  <c r="A13" i="4"/>
  <c r="K12" i="4"/>
  <c r="J12" i="4"/>
  <c r="A12" i="4"/>
  <c r="K11" i="4"/>
  <c r="J11" i="4"/>
  <c r="A11" i="4"/>
  <c r="K10" i="4"/>
  <c r="J10" i="4"/>
  <c r="A10" i="4"/>
  <c r="K9" i="4"/>
  <c r="J9" i="4"/>
  <c r="A9" i="4"/>
  <c r="K8" i="4"/>
  <c r="J8" i="4"/>
  <c r="A8" i="4"/>
  <c r="K7" i="4"/>
  <c r="J7" i="4"/>
  <c r="A7" i="4"/>
  <c r="K6" i="4"/>
  <c r="J6" i="4"/>
  <c r="A6" i="4"/>
  <c r="K5" i="4"/>
  <c r="J5" i="4"/>
  <c r="A5" i="4"/>
  <c r="K4" i="4"/>
  <c r="J4" i="4"/>
  <c r="A4" i="4"/>
  <c r="B2" i="4"/>
  <c r="I45" i="3"/>
  <c r="H45" i="3"/>
  <c r="I24" i="3"/>
  <c r="H24" i="3"/>
  <c r="I5" i="3"/>
  <c r="H5" i="3"/>
  <c r="I34" i="3"/>
  <c r="H34" i="3"/>
  <c r="I43" i="3"/>
  <c r="H43" i="3"/>
  <c r="I18" i="3"/>
  <c r="H18" i="3"/>
  <c r="I12" i="3"/>
  <c r="H12" i="3"/>
  <c r="I37" i="3"/>
  <c r="H37" i="3"/>
  <c r="I21" i="3"/>
  <c r="H21" i="3"/>
  <c r="I29" i="3"/>
  <c r="H29" i="3"/>
  <c r="I28" i="3"/>
  <c r="H28" i="3"/>
  <c r="I31" i="3"/>
  <c r="H31" i="3"/>
  <c r="I19" i="3"/>
  <c r="H19" i="3"/>
  <c r="I17" i="3"/>
  <c r="H17" i="3"/>
  <c r="I14" i="3"/>
  <c r="H14" i="3"/>
  <c r="I44" i="3"/>
  <c r="H44" i="3"/>
  <c r="I11" i="3"/>
  <c r="H11" i="3"/>
  <c r="I36" i="3"/>
  <c r="H36" i="3"/>
  <c r="I41" i="3"/>
  <c r="H41" i="3"/>
  <c r="A27" i="3"/>
  <c r="I40" i="3"/>
  <c r="H40" i="3"/>
  <c r="A26" i="3"/>
  <c r="I23" i="3"/>
  <c r="H23" i="3"/>
  <c r="A25" i="3"/>
  <c r="I22" i="3"/>
  <c r="H22" i="3"/>
  <c r="A24" i="3"/>
  <c r="I32" i="3"/>
  <c r="H32" i="3"/>
  <c r="A23" i="3"/>
  <c r="I15" i="3"/>
  <c r="H15" i="3"/>
  <c r="A22" i="3"/>
  <c r="I38" i="3"/>
  <c r="H38" i="3"/>
  <c r="A21" i="3"/>
  <c r="I35" i="3"/>
  <c r="H35" i="3"/>
  <c r="A20" i="3"/>
  <c r="I4" i="3"/>
  <c r="H4" i="3"/>
  <c r="A19" i="3"/>
  <c r="I33" i="3"/>
  <c r="H33" i="3"/>
  <c r="A18" i="3"/>
  <c r="I39" i="3"/>
  <c r="H39" i="3"/>
  <c r="A17" i="3"/>
  <c r="I27" i="3"/>
  <c r="H27" i="3"/>
  <c r="A16" i="3"/>
  <c r="I25" i="3"/>
  <c r="H25" i="3"/>
  <c r="A15" i="3"/>
  <c r="I42" i="3"/>
  <c r="H42" i="3"/>
  <c r="A14" i="3"/>
  <c r="I26" i="3"/>
  <c r="H26" i="3"/>
  <c r="A13" i="3"/>
  <c r="I30" i="3"/>
  <c r="H30" i="3"/>
  <c r="A12" i="3"/>
  <c r="I10" i="3"/>
  <c r="H10" i="3"/>
  <c r="A11" i="3"/>
  <c r="I9" i="3"/>
  <c r="H9" i="3"/>
  <c r="A10" i="3"/>
  <c r="I8" i="3"/>
  <c r="H8" i="3"/>
  <c r="A9" i="3"/>
  <c r="I7" i="3"/>
  <c r="H7" i="3"/>
  <c r="A8" i="3"/>
  <c r="I6" i="3"/>
  <c r="H6" i="3"/>
  <c r="A7" i="3"/>
  <c r="I16" i="3"/>
  <c r="H16" i="3"/>
  <c r="A6" i="3"/>
  <c r="I20" i="3"/>
  <c r="H20" i="3"/>
  <c r="A5" i="3"/>
  <c r="I13" i="3"/>
  <c r="H13" i="3"/>
  <c r="A4" i="3"/>
  <c r="B2" i="3"/>
  <c r="M155" i="2" a="1"/>
  <c r="M155" i="2"/>
  <c r="L155" i="2" a="1"/>
  <c r="L155" i="2" s="1"/>
  <c r="K155" i="2"/>
  <c r="M154" i="2" a="1"/>
  <c r="M154" i="2" s="1"/>
  <c r="L154" i="2" a="1"/>
  <c r="L154" i="2" s="1"/>
  <c r="K154" i="2"/>
  <c r="M153" i="2" a="1"/>
  <c r="M153" i="2"/>
  <c r="L153" i="2" a="1"/>
  <c r="L153" i="2"/>
  <c r="K153" i="2"/>
  <c r="M152" i="2" a="1"/>
  <c r="M152" i="2" s="1"/>
  <c r="L152" i="2" a="1"/>
  <c r="L152" i="2"/>
  <c r="K152" i="2"/>
  <c r="M151" i="2" a="1"/>
  <c r="M151" i="2"/>
  <c r="L151" i="2" a="1"/>
  <c r="L151" i="2" s="1"/>
  <c r="K151" i="2"/>
  <c r="M150" i="2" a="1"/>
  <c r="M150" i="2"/>
  <c r="L150" i="2" a="1"/>
  <c r="L150" i="2" s="1"/>
  <c r="K150" i="2"/>
  <c r="M149" i="2" a="1"/>
  <c r="M149" i="2" s="1"/>
  <c r="L149" i="2" a="1"/>
  <c r="L149" i="2"/>
  <c r="K149" i="2"/>
  <c r="M148" i="2" a="1"/>
  <c r="M148" i="2" s="1"/>
  <c r="L148" i="2" a="1"/>
  <c r="L148" i="2"/>
  <c r="K148" i="2"/>
  <c r="M147" i="2" a="1"/>
  <c r="M147" i="2"/>
  <c r="L147" i="2" a="1"/>
  <c r="L147" i="2"/>
  <c r="K147" i="2"/>
  <c r="M146" i="2" a="1"/>
  <c r="M146" i="2" s="1"/>
  <c r="L146" i="2" a="1"/>
  <c r="L146" i="2" s="1"/>
  <c r="K146" i="2"/>
  <c r="M145" i="2" a="1"/>
  <c r="M145" i="2" s="1"/>
  <c r="L145" i="2" a="1"/>
  <c r="L145" i="2"/>
  <c r="K145" i="2"/>
  <c r="M144" i="2" a="1"/>
  <c r="M144" i="2" s="1"/>
  <c r="L144" i="2" a="1"/>
  <c r="L144" i="2"/>
  <c r="K144" i="2"/>
  <c r="M143" i="2" a="1"/>
  <c r="M143" i="2"/>
  <c r="L143" i="2" a="1"/>
  <c r="L143" i="2" s="1"/>
  <c r="K143" i="2"/>
  <c r="M142" i="2" a="1"/>
  <c r="M142" i="2"/>
  <c r="L142" i="2" a="1"/>
  <c r="L142" i="2" s="1"/>
  <c r="K142" i="2"/>
  <c r="M141" i="2" a="1"/>
  <c r="M141" i="2" s="1"/>
  <c r="L141" i="2" a="1"/>
  <c r="L141" i="2"/>
  <c r="K141" i="2"/>
  <c r="M140" i="2" a="1"/>
  <c r="M140" i="2" s="1"/>
  <c r="L140" i="2" a="1"/>
  <c r="L140" i="2"/>
  <c r="K140" i="2"/>
  <c r="M139" i="2" a="1"/>
  <c r="M139" i="2"/>
  <c r="L139" i="2" a="1"/>
  <c r="L139" i="2" s="1"/>
  <c r="K139" i="2"/>
  <c r="M138" i="2" a="1"/>
  <c r="M138" i="2"/>
  <c r="L138" i="2" a="1"/>
  <c r="L138" i="2" s="1"/>
  <c r="K138" i="2"/>
  <c r="M137" i="2" a="1"/>
  <c r="M137" i="2" s="1"/>
  <c r="L137" i="2" a="1"/>
  <c r="L137" i="2"/>
  <c r="K137" i="2"/>
  <c r="M136" i="2" a="1"/>
  <c r="M136" i="2" s="1"/>
  <c r="L136" i="2" a="1"/>
  <c r="L136" i="2"/>
  <c r="K136" i="2"/>
  <c r="M135" i="2" a="1"/>
  <c r="M135" i="2"/>
  <c r="L135" i="2" a="1"/>
  <c r="L135" i="2" s="1"/>
  <c r="K135" i="2"/>
  <c r="M134" i="2" a="1"/>
  <c r="M134" i="2"/>
  <c r="L134" i="2" a="1"/>
  <c r="L134" i="2" s="1"/>
  <c r="K134" i="2"/>
  <c r="M133" i="2" a="1"/>
  <c r="M133" i="2" s="1"/>
  <c r="L133" i="2" a="1"/>
  <c r="L133" i="2"/>
  <c r="K133" i="2"/>
  <c r="M132" i="2" a="1"/>
  <c r="M132" i="2" s="1"/>
  <c r="L132" i="2" a="1"/>
  <c r="L132" i="2" s="1"/>
  <c r="K132" i="2"/>
  <c r="M131" i="2" a="1"/>
  <c r="M131" i="2"/>
  <c r="L131" i="2" a="1"/>
  <c r="L131" i="2"/>
  <c r="K131" i="2"/>
  <c r="M130" i="2" a="1"/>
  <c r="M130" i="2" s="1"/>
  <c r="L130" i="2" a="1"/>
  <c r="L130" i="2" s="1"/>
  <c r="K130" i="2"/>
  <c r="M129" i="2" a="1"/>
  <c r="M129" i="2"/>
  <c r="L129" i="2" a="1"/>
  <c r="L129" i="2"/>
  <c r="K129" i="2"/>
  <c r="M128" i="2" a="1"/>
  <c r="M128" i="2" s="1"/>
  <c r="L128" i="2" a="1"/>
  <c r="L128" i="2"/>
  <c r="K128" i="2"/>
  <c r="M127" i="2" a="1"/>
  <c r="M127" i="2"/>
  <c r="L127" i="2" a="1"/>
  <c r="L127" i="2" s="1"/>
  <c r="K127" i="2"/>
  <c r="M126" i="2" a="1"/>
  <c r="M126" i="2"/>
  <c r="L126" i="2" a="1"/>
  <c r="L126" i="2" s="1"/>
  <c r="K126" i="2"/>
  <c r="M125" i="2" a="1"/>
  <c r="M125" i="2" s="1"/>
  <c r="L125" i="2" a="1"/>
  <c r="L125" i="2"/>
  <c r="K125" i="2"/>
  <c r="M124" i="2" a="1"/>
  <c r="M124" i="2" s="1"/>
  <c r="L124" i="2" a="1"/>
  <c r="L124" i="2" s="1"/>
  <c r="K124" i="2"/>
  <c r="M123" i="2" a="1"/>
  <c r="M123" i="2"/>
  <c r="L123" i="2" a="1"/>
  <c r="L123" i="2"/>
  <c r="K123" i="2"/>
  <c r="M122" i="2" a="1"/>
  <c r="M122" i="2" s="1"/>
  <c r="L122" i="2" a="1"/>
  <c r="L122" i="2" s="1"/>
  <c r="K122" i="2"/>
  <c r="M121" i="2" a="1"/>
  <c r="M121" i="2"/>
  <c r="L121" i="2" a="1"/>
  <c r="L121" i="2"/>
  <c r="K121" i="2"/>
  <c r="M120" i="2" a="1"/>
  <c r="M120" i="2" s="1"/>
  <c r="L120" i="2" a="1"/>
  <c r="L120" i="2"/>
  <c r="K120" i="2"/>
  <c r="M119" i="2" a="1"/>
  <c r="M119" i="2"/>
  <c r="L119" i="2" a="1"/>
  <c r="L119" i="2" s="1"/>
  <c r="K119" i="2"/>
  <c r="M118" i="2" a="1"/>
  <c r="M118" i="2"/>
  <c r="L118" i="2" a="1"/>
  <c r="L118" i="2" s="1"/>
  <c r="K118" i="2"/>
  <c r="M117" i="2" a="1"/>
  <c r="M117" i="2" s="1"/>
  <c r="L117" i="2" a="1"/>
  <c r="L117" i="2"/>
  <c r="K117" i="2"/>
  <c r="M116" i="2" a="1"/>
  <c r="M116" i="2" s="1"/>
  <c r="L116" i="2" a="1"/>
  <c r="L116" i="2"/>
  <c r="K116" i="2"/>
  <c r="M115" i="2" a="1"/>
  <c r="M115" i="2"/>
  <c r="L115" i="2" a="1"/>
  <c r="L115" i="2"/>
  <c r="K115" i="2"/>
  <c r="M114" i="2" a="1"/>
  <c r="M114" i="2"/>
  <c r="L114" i="2" a="1"/>
  <c r="L114" i="2" s="1"/>
  <c r="K114" i="2"/>
  <c r="M113" i="2" a="1"/>
  <c r="M113" i="2" s="1"/>
  <c r="L113" i="2" a="1"/>
  <c r="L113" i="2"/>
  <c r="K113" i="2"/>
  <c r="M112" i="2" a="1"/>
  <c r="M112" i="2" s="1"/>
  <c r="L112" i="2" a="1"/>
  <c r="L112" i="2"/>
  <c r="K112" i="2"/>
  <c r="M111" i="2" a="1"/>
  <c r="M111" i="2"/>
  <c r="L111" i="2" a="1"/>
  <c r="L111" i="2" s="1"/>
  <c r="K111" i="2"/>
  <c r="M110" i="2" a="1"/>
  <c r="M110" i="2"/>
  <c r="L110" i="2" a="1"/>
  <c r="L110" i="2" s="1"/>
  <c r="K110" i="2"/>
  <c r="M109" i="2" a="1"/>
  <c r="M109" i="2" s="1"/>
  <c r="L109" i="2" a="1"/>
  <c r="L109" i="2"/>
  <c r="K109" i="2"/>
  <c r="M108" i="2" a="1"/>
  <c r="M108" i="2" s="1"/>
  <c r="L108" i="2" a="1"/>
  <c r="L108" i="2"/>
  <c r="K108" i="2"/>
  <c r="M107" i="2" a="1"/>
  <c r="M107" i="2"/>
  <c r="L107" i="2" a="1"/>
  <c r="L107" i="2" s="1"/>
  <c r="K107" i="2"/>
  <c r="M106" i="2" a="1"/>
  <c r="M106" i="2"/>
  <c r="L106" i="2" a="1"/>
  <c r="L106" i="2" s="1"/>
  <c r="K106" i="2"/>
  <c r="M105" i="2" a="1"/>
  <c r="M105" i="2" s="1"/>
  <c r="L105" i="2" a="1"/>
  <c r="L105" i="2"/>
  <c r="K105" i="2"/>
  <c r="M104" i="2" a="1"/>
  <c r="M104" i="2" s="1"/>
  <c r="L104" i="2" a="1"/>
  <c r="L104" i="2"/>
  <c r="K104" i="2"/>
  <c r="M103" i="2" a="1"/>
  <c r="M103" i="2"/>
  <c r="L103" i="2" a="1"/>
  <c r="L103" i="2" s="1"/>
  <c r="K103" i="2"/>
  <c r="M102" i="2" a="1"/>
  <c r="M102" i="2"/>
  <c r="L102" i="2" a="1"/>
  <c r="L102" i="2" s="1"/>
  <c r="K102" i="2"/>
  <c r="M101" i="2" a="1"/>
  <c r="M101" i="2" s="1"/>
  <c r="L101" i="2" a="1"/>
  <c r="L101" i="2"/>
  <c r="K101" i="2"/>
  <c r="M100" i="2" a="1"/>
  <c r="M100" i="2" s="1"/>
  <c r="L100" i="2" a="1"/>
  <c r="L100" i="2" s="1"/>
  <c r="K100" i="2"/>
  <c r="M99" i="2" a="1"/>
  <c r="M99" i="2"/>
  <c r="L99" i="2" a="1"/>
  <c r="L99" i="2"/>
  <c r="K99" i="2"/>
  <c r="M98" i="2" a="1"/>
  <c r="M98" i="2" s="1"/>
  <c r="L98" i="2" a="1"/>
  <c r="L98" i="2" s="1"/>
  <c r="K98" i="2"/>
  <c r="M97" i="2" a="1"/>
  <c r="M97" i="2"/>
  <c r="L97" i="2" a="1"/>
  <c r="L97" i="2"/>
  <c r="K97" i="2"/>
  <c r="M96" i="2" a="1"/>
  <c r="M96" i="2" s="1"/>
  <c r="L96" i="2" a="1"/>
  <c r="L96" i="2"/>
  <c r="K96" i="2"/>
  <c r="M95" i="2" a="1"/>
  <c r="M95" i="2"/>
  <c r="L95" i="2" a="1"/>
  <c r="L95" i="2" s="1"/>
  <c r="K95" i="2"/>
  <c r="M94" i="2" a="1"/>
  <c r="M94" i="2"/>
  <c r="L94" i="2" a="1"/>
  <c r="L94" i="2" s="1"/>
  <c r="K94" i="2"/>
  <c r="M93" i="2" a="1"/>
  <c r="M93" i="2" s="1"/>
  <c r="L93" i="2" a="1"/>
  <c r="L93" i="2"/>
  <c r="K93" i="2"/>
  <c r="M92" i="2" a="1"/>
  <c r="M92" i="2" s="1"/>
  <c r="L92" i="2" a="1"/>
  <c r="L92" i="2"/>
  <c r="K92" i="2"/>
  <c r="M91" i="2" a="1"/>
  <c r="M91" i="2"/>
  <c r="L91" i="2" a="1"/>
  <c r="L91" i="2"/>
  <c r="K91" i="2"/>
  <c r="M90" i="2" a="1"/>
  <c r="M90" i="2" s="1"/>
  <c r="L90" i="2" a="1"/>
  <c r="L90" i="2" s="1"/>
  <c r="K90" i="2"/>
  <c r="M89" i="2" a="1"/>
  <c r="M89" i="2"/>
  <c r="L89" i="2" a="1"/>
  <c r="L89" i="2"/>
  <c r="K89" i="2"/>
  <c r="M88" i="2" a="1"/>
  <c r="M88" i="2" s="1"/>
  <c r="L88" i="2" a="1"/>
  <c r="L88" i="2"/>
  <c r="K88" i="2"/>
  <c r="M87" i="2" a="1"/>
  <c r="M87" i="2"/>
  <c r="L87" i="2" a="1"/>
  <c r="L87" i="2" s="1"/>
  <c r="K87" i="2"/>
  <c r="M86" i="2" a="1"/>
  <c r="M86" i="2"/>
  <c r="L86" i="2" a="1"/>
  <c r="L86" i="2" s="1"/>
  <c r="K86" i="2"/>
  <c r="M85" i="2" a="1"/>
  <c r="M85" i="2" s="1"/>
  <c r="L85" i="2" a="1"/>
  <c r="L85" i="2"/>
  <c r="K85" i="2"/>
  <c r="M84" i="2" a="1"/>
  <c r="M84" i="2" s="1"/>
  <c r="L84" i="2" a="1"/>
  <c r="L84" i="2"/>
  <c r="K84" i="2"/>
  <c r="M83" i="2" a="1"/>
  <c r="M83" i="2"/>
  <c r="L83" i="2" a="1"/>
  <c r="L83" i="2"/>
  <c r="K83" i="2"/>
  <c r="M82" i="2" a="1"/>
  <c r="M82" i="2"/>
  <c r="L82" i="2" a="1"/>
  <c r="L82" i="2" s="1"/>
  <c r="K82" i="2"/>
  <c r="M81" i="2" a="1"/>
  <c r="M81" i="2" s="1"/>
  <c r="L81" i="2" a="1"/>
  <c r="L81" i="2"/>
  <c r="K81" i="2"/>
  <c r="M80" i="2" a="1"/>
  <c r="M80" i="2" s="1"/>
  <c r="L80" i="2" a="1"/>
  <c r="L80" i="2"/>
  <c r="K80" i="2"/>
  <c r="M79" i="2" a="1"/>
  <c r="M79" i="2"/>
  <c r="L79" i="2" a="1"/>
  <c r="L79" i="2" s="1"/>
  <c r="K79" i="2"/>
  <c r="M78" i="2" a="1"/>
  <c r="M78" i="2"/>
  <c r="L78" i="2" a="1"/>
  <c r="L78" i="2" s="1"/>
  <c r="K78" i="2"/>
  <c r="M77" i="2" a="1"/>
  <c r="M77" i="2" s="1"/>
  <c r="L77" i="2" a="1"/>
  <c r="L77" i="2"/>
  <c r="K77" i="2"/>
  <c r="M76" i="2" a="1"/>
  <c r="M76" i="2" s="1"/>
  <c r="L76" i="2" a="1"/>
  <c r="L76" i="2"/>
  <c r="K76" i="2"/>
  <c r="M75" i="2" a="1"/>
  <c r="M75" i="2"/>
  <c r="L75" i="2" a="1"/>
  <c r="L75" i="2" s="1"/>
  <c r="K75" i="2"/>
  <c r="M74" i="2" a="1"/>
  <c r="M74" i="2"/>
  <c r="L74" i="2" a="1"/>
  <c r="L74" i="2" s="1"/>
  <c r="K74" i="2"/>
  <c r="M73" i="2" a="1"/>
  <c r="M73" i="2" s="1"/>
  <c r="L73" i="2" a="1"/>
  <c r="L73" i="2"/>
  <c r="K73" i="2"/>
  <c r="M72" i="2" a="1"/>
  <c r="M72" i="2" s="1"/>
  <c r="L72" i="2" a="1"/>
  <c r="L72" i="2"/>
  <c r="K72" i="2"/>
  <c r="M71" i="2" a="1"/>
  <c r="M71" i="2"/>
  <c r="L71" i="2" a="1"/>
  <c r="L71" i="2" s="1"/>
  <c r="K71" i="2"/>
  <c r="M70" i="2" a="1"/>
  <c r="M70" i="2"/>
  <c r="L70" i="2" a="1"/>
  <c r="L70" i="2" s="1"/>
  <c r="K70" i="2"/>
  <c r="M69" i="2" a="1"/>
  <c r="M69" i="2" s="1"/>
  <c r="L69" i="2" a="1"/>
  <c r="L69" i="2"/>
  <c r="K69" i="2"/>
  <c r="M68" i="2" a="1"/>
  <c r="M68" i="2" s="1"/>
  <c r="L68" i="2" a="1"/>
  <c r="L68" i="2" s="1"/>
  <c r="K68" i="2"/>
  <c r="M67" i="2" a="1"/>
  <c r="M67" i="2"/>
  <c r="L67" i="2" a="1"/>
  <c r="L67" i="2"/>
  <c r="K67" i="2"/>
  <c r="M66" i="2" a="1"/>
  <c r="M66" i="2" s="1"/>
  <c r="L66" i="2" a="1"/>
  <c r="L66" i="2" s="1"/>
  <c r="K66" i="2"/>
  <c r="M65" i="2" a="1"/>
  <c r="M65" i="2"/>
  <c r="L65" i="2" a="1"/>
  <c r="L65" i="2"/>
  <c r="K65" i="2"/>
  <c r="M64" i="2" a="1"/>
  <c r="M64" i="2" s="1"/>
  <c r="L64" i="2" a="1"/>
  <c r="L64" i="2"/>
  <c r="K64" i="2"/>
  <c r="M63" i="2" a="1"/>
  <c r="M63" i="2"/>
  <c r="L63" i="2" a="1"/>
  <c r="L63" i="2" s="1"/>
  <c r="K63" i="2"/>
  <c r="M62" i="2" a="1"/>
  <c r="M62" i="2"/>
  <c r="L62" i="2" a="1"/>
  <c r="L62" i="2" s="1"/>
  <c r="K62" i="2"/>
  <c r="M61" i="2" a="1"/>
  <c r="M61" i="2" s="1"/>
  <c r="L61" i="2" a="1"/>
  <c r="L61" i="2"/>
  <c r="K61" i="2"/>
  <c r="M60" i="2" a="1"/>
  <c r="M60" i="2" s="1"/>
  <c r="L60" i="2" a="1"/>
  <c r="L60" i="2" s="1"/>
  <c r="K60" i="2"/>
  <c r="M59" i="2" a="1"/>
  <c r="M59" i="2"/>
  <c r="L59" i="2" a="1"/>
  <c r="L59" i="2" s="1"/>
  <c r="K59" i="2"/>
  <c r="M58" i="2" a="1"/>
  <c r="M58" i="2" s="1"/>
  <c r="L58" i="2" a="1"/>
  <c r="L58" i="2" s="1"/>
  <c r="K58" i="2"/>
  <c r="M57" i="2" a="1"/>
  <c r="M57" i="2"/>
  <c r="L57" i="2" a="1"/>
  <c r="L57" i="2"/>
  <c r="K57" i="2"/>
  <c r="M56" i="2" a="1"/>
  <c r="M56" i="2" s="1"/>
  <c r="L56" i="2" a="1"/>
  <c r="L56" i="2"/>
  <c r="K56" i="2"/>
  <c r="M55" i="2" a="1"/>
  <c r="M55" i="2"/>
  <c r="L55" i="2" a="1"/>
  <c r="L55" i="2" s="1"/>
  <c r="K55" i="2"/>
  <c r="M54" i="2" a="1"/>
  <c r="M54" i="2"/>
  <c r="L54" i="2" a="1"/>
  <c r="L54" i="2" s="1"/>
  <c r="K54" i="2"/>
  <c r="M53" i="2" a="1"/>
  <c r="M53" i="2" s="1"/>
  <c r="L53" i="2" a="1"/>
  <c r="L53" i="2"/>
  <c r="K53" i="2"/>
  <c r="M52" i="2" a="1"/>
  <c r="M52" i="2" s="1"/>
  <c r="L52" i="2" a="1"/>
  <c r="L52" i="2"/>
  <c r="K52" i="2"/>
  <c r="M51" i="2" a="1"/>
  <c r="M51" i="2"/>
  <c r="L51" i="2" a="1"/>
  <c r="L51" i="2"/>
  <c r="K51" i="2"/>
  <c r="M50" i="2" a="1"/>
  <c r="M50" i="2"/>
  <c r="L50" i="2" a="1"/>
  <c r="L50" i="2" s="1"/>
  <c r="K50" i="2"/>
  <c r="M49" i="2" a="1"/>
  <c r="M49" i="2" s="1"/>
  <c r="L49" i="2" a="1"/>
  <c r="L49" i="2"/>
  <c r="K49" i="2"/>
  <c r="M48" i="2" a="1"/>
  <c r="M48" i="2" s="1"/>
  <c r="L48" i="2" a="1"/>
  <c r="L48" i="2"/>
  <c r="K48" i="2"/>
  <c r="M47" i="2" a="1"/>
  <c r="M47" i="2"/>
  <c r="L47" i="2" a="1"/>
  <c r="L47" i="2" s="1"/>
  <c r="K47" i="2"/>
  <c r="M46" i="2" a="1"/>
  <c r="M46" i="2"/>
  <c r="L46" i="2" a="1"/>
  <c r="L46" i="2" s="1"/>
  <c r="K46" i="2"/>
  <c r="M45" i="2" a="1"/>
  <c r="M45" i="2" s="1"/>
  <c r="L45" i="2" a="1"/>
  <c r="L45" i="2"/>
  <c r="K45" i="2"/>
  <c r="M44" i="2" a="1"/>
  <c r="M44" i="2" s="1"/>
  <c r="L44" i="2" a="1"/>
  <c r="L44" i="2"/>
  <c r="K44" i="2"/>
  <c r="M43" i="2" a="1"/>
  <c r="M43" i="2"/>
  <c r="L43" i="2" a="1"/>
  <c r="L43" i="2" s="1"/>
  <c r="K43" i="2"/>
  <c r="M42" i="2" a="1"/>
  <c r="M42" i="2"/>
  <c r="L42" i="2" a="1"/>
  <c r="L42" i="2" s="1"/>
  <c r="K42" i="2"/>
  <c r="M41" i="2" a="1"/>
  <c r="M41" i="2" s="1"/>
  <c r="L41" i="2" a="1"/>
  <c r="L41" i="2"/>
  <c r="K41" i="2"/>
  <c r="M40" i="2" a="1"/>
  <c r="M40" i="2" s="1"/>
  <c r="L40" i="2" a="1"/>
  <c r="L40" i="2"/>
  <c r="K40" i="2"/>
  <c r="M39" i="2" a="1"/>
  <c r="M39" i="2"/>
  <c r="L39" i="2" a="1"/>
  <c r="L39" i="2" s="1"/>
  <c r="K39" i="2"/>
  <c r="M38" i="2" a="1"/>
  <c r="M38" i="2"/>
  <c r="L38" i="2" a="1"/>
  <c r="L38" i="2" s="1"/>
  <c r="K38" i="2"/>
  <c r="M37" i="2" a="1"/>
  <c r="M37" i="2" s="1"/>
  <c r="L37" i="2" a="1"/>
  <c r="L37" i="2"/>
  <c r="K37" i="2"/>
  <c r="M36" i="2" a="1"/>
  <c r="M36" i="2" s="1"/>
  <c r="L36" i="2" a="1"/>
  <c r="L36" i="2" s="1"/>
  <c r="K36" i="2"/>
  <c r="M35" i="2" a="1"/>
  <c r="M35" i="2"/>
  <c r="L35" i="2" a="1"/>
  <c r="L35" i="2" s="1"/>
  <c r="K35" i="2"/>
  <c r="M34" i="2" a="1"/>
  <c r="M34" i="2" s="1"/>
  <c r="L34" i="2" a="1"/>
  <c r="L34" i="2" s="1"/>
  <c r="K34" i="2"/>
  <c r="A34" i="2"/>
  <c r="M33" i="2" a="1"/>
  <c r="M33" i="2" s="1"/>
  <c r="L33" i="2" a="1"/>
  <c r="L33" i="2"/>
  <c r="K33" i="2"/>
  <c r="A33" i="2"/>
  <c r="M32" i="2" a="1"/>
  <c r="M32" i="2"/>
  <c r="L32" i="2" a="1"/>
  <c r="L32" i="2" s="1"/>
  <c r="K32" i="2"/>
  <c r="A32" i="2"/>
  <c r="M31" i="2" a="1"/>
  <c r="M31" i="2" s="1"/>
  <c r="L31" i="2" a="1"/>
  <c r="L31" i="2"/>
  <c r="K31" i="2"/>
  <c r="A31" i="2"/>
  <c r="M30" i="2" a="1"/>
  <c r="M30" i="2"/>
  <c r="L30" i="2" a="1"/>
  <c r="L30" i="2" s="1"/>
  <c r="K30" i="2"/>
  <c r="A30" i="2"/>
  <c r="M29" i="2" a="1"/>
  <c r="M29" i="2" s="1"/>
  <c r="L29" i="2" a="1"/>
  <c r="L29" i="2"/>
  <c r="K29" i="2"/>
  <c r="A29" i="2"/>
  <c r="M28" i="2" a="1"/>
  <c r="M28" i="2"/>
  <c r="L28" i="2" a="1"/>
  <c r="L28" i="2" s="1"/>
  <c r="K28" i="2"/>
  <c r="A28" i="2"/>
  <c r="M27" i="2" a="1"/>
  <c r="M27" i="2" s="1"/>
  <c r="L27" i="2" a="1"/>
  <c r="L27" i="2"/>
  <c r="K27" i="2"/>
  <c r="A27" i="2"/>
  <c r="M26" i="2" a="1"/>
  <c r="M26" i="2" s="1"/>
  <c r="L26" i="2" a="1"/>
  <c r="L26" i="2" s="1"/>
  <c r="K26" i="2"/>
  <c r="A26" i="2"/>
  <c r="M25" i="2" a="1"/>
  <c r="M25" i="2" s="1"/>
  <c r="L25" i="2" a="1"/>
  <c r="L25" i="2"/>
  <c r="K25" i="2"/>
  <c r="A25" i="2"/>
  <c r="M24" i="2" a="1"/>
  <c r="M24" i="2"/>
  <c r="L24" i="2" a="1"/>
  <c r="L24" i="2" s="1"/>
  <c r="K24" i="2"/>
  <c r="A24" i="2"/>
  <c r="M23" i="2" a="1"/>
  <c r="M23" i="2" s="1"/>
  <c r="L23" i="2" a="1"/>
  <c r="L23" i="2"/>
  <c r="K23" i="2"/>
  <c r="A23" i="2"/>
  <c r="M22" i="2" a="1"/>
  <c r="M22" i="2"/>
  <c r="L22" i="2" a="1"/>
  <c r="L22" i="2" s="1"/>
  <c r="K22" i="2"/>
  <c r="A22" i="2"/>
  <c r="M21" i="2" a="1"/>
  <c r="M21" i="2" s="1"/>
  <c r="L21" i="2" a="1"/>
  <c r="L21" i="2" s="1"/>
  <c r="K21" i="2"/>
  <c r="A21" i="2"/>
  <c r="M20" i="2" a="1"/>
  <c r="M20" i="2"/>
  <c r="L20" i="2" a="1"/>
  <c r="L20" i="2" s="1"/>
  <c r="K20" i="2"/>
  <c r="A20" i="2"/>
  <c r="M19" i="2" a="1"/>
  <c r="M19" i="2" s="1"/>
  <c r="L19" i="2" a="1"/>
  <c r="L19" i="2"/>
  <c r="K19" i="2"/>
  <c r="A19" i="2"/>
  <c r="M18" i="2" a="1"/>
  <c r="M18" i="2" s="1"/>
  <c r="L18" i="2" a="1"/>
  <c r="L18" i="2" s="1"/>
  <c r="K18" i="2"/>
  <c r="A18" i="2"/>
  <c r="M17" i="2" a="1"/>
  <c r="M17" i="2" s="1"/>
  <c r="L17" i="2" a="1"/>
  <c r="L17" i="2"/>
  <c r="K17" i="2"/>
  <c r="A17" i="2"/>
  <c r="M16" i="2" a="1"/>
  <c r="M16" i="2"/>
  <c r="L16" i="2" a="1"/>
  <c r="L16" i="2" s="1"/>
  <c r="K16" i="2"/>
  <c r="A16" i="2"/>
  <c r="M15" i="2" a="1"/>
  <c r="M15" i="2" s="1"/>
  <c r="L15" i="2" a="1"/>
  <c r="L15" i="2"/>
  <c r="K15" i="2"/>
  <c r="A15" i="2"/>
  <c r="M14" i="2" a="1"/>
  <c r="M14" i="2"/>
  <c r="L14" i="2" a="1"/>
  <c r="L14" i="2" s="1"/>
  <c r="K14" i="2"/>
  <c r="A14" i="2"/>
  <c r="M13" i="2" a="1"/>
  <c r="M13" i="2" s="1"/>
  <c r="L13" i="2" a="1"/>
  <c r="L13" i="2"/>
  <c r="K13" i="2"/>
  <c r="A13" i="2"/>
  <c r="M12" i="2" a="1"/>
  <c r="M12" i="2"/>
  <c r="L12" i="2" a="1"/>
  <c r="L12" i="2" s="1"/>
  <c r="K12" i="2"/>
  <c r="A12" i="2"/>
  <c r="M11" i="2" a="1"/>
  <c r="M11" i="2" s="1"/>
  <c r="L11" i="2" a="1"/>
  <c r="L11" i="2"/>
  <c r="K11" i="2"/>
  <c r="A11" i="2"/>
  <c r="M10" i="2" a="1"/>
  <c r="M10" i="2" s="1"/>
  <c r="L10" i="2" a="1"/>
  <c r="L10" i="2" s="1"/>
  <c r="K10" i="2"/>
  <c r="A10" i="2"/>
  <c r="M9" i="2" a="1"/>
  <c r="M9" i="2" s="1"/>
  <c r="L9" i="2" a="1"/>
  <c r="L9" i="2"/>
  <c r="K9" i="2"/>
  <c r="A9" i="2"/>
  <c r="M8" i="2" a="1"/>
  <c r="M8" i="2"/>
  <c r="L8" i="2" a="1"/>
  <c r="L8" i="2" s="1"/>
  <c r="K8" i="2"/>
  <c r="A8" i="2"/>
  <c r="M7" i="2" a="1"/>
  <c r="M7" i="2" s="1"/>
  <c r="L7" i="2" a="1"/>
  <c r="L7" i="2"/>
  <c r="K7" i="2"/>
  <c r="A7" i="2"/>
  <c r="M6" i="2" a="1"/>
  <c r="M6" i="2"/>
  <c r="L6" i="2" a="1"/>
  <c r="L6" i="2" s="1"/>
  <c r="K6" i="2"/>
  <c r="A6" i="2"/>
  <c r="M5" i="2" a="1"/>
  <c r="M5" i="2" s="1"/>
  <c r="L5" i="2" a="1"/>
  <c r="L5" i="2" s="1"/>
  <c r="K5" i="2"/>
  <c r="A5" i="2"/>
  <c r="B2" i="2"/>
  <c r="Y849" i="1" a="1"/>
  <c r="Y849" i="1" s="1"/>
  <c r="V849" i="1" a="1"/>
  <c r="V849" i="1"/>
  <c r="U849" i="1" a="1"/>
  <c r="U849" i="1" s="1"/>
  <c r="T849" i="1"/>
  <c r="S849" i="1" a="1"/>
  <c r="S849" i="1"/>
  <c r="R849" i="1" a="1"/>
  <c r="R849" i="1" s="1"/>
  <c r="Q849" i="1"/>
  <c r="M849" i="1" a="1"/>
  <c r="M849" i="1" s="1"/>
  <c r="B849" i="1" s="1" a="1"/>
  <c r="B849" i="1" s="1"/>
  <c r="L849" i="1" a="1"/>
  <c r="L849" i="1"/>
  <c r="K849" i="1" a="1"/>
  <c r="K849" i="1"/>
  <c r="J849" i="1" a="1"/>
  <c r="J849" i="1"/>
  <c r="I849" i="1" a="1"/>
  <c r="I849" i="1" s="1"/>
  <c r="H849" i="1" a="1"/>
  <c r="H849" i="1"/>
  <c r="G849" i="1" a="1"/>
  <c r="G849" i="1" s="1"/>
  <c r="C849" i="1" a="1"/>
  <c r="C849" i="1"/>
  <c r="Y848" i="1" a="1"/>
  <c r="Y848" i="1" s="1"/>
  <c r="V848" i="1" a="1"/>
  <c r="V848" i="1" s="1"/>
  <c r="U848" i="1" a="1"/>
  <c r="U848" i="1" s="1"/>
  <c r="T848" i="1"/>
  <c r="S848" i="1" a="1"/>
  <c r="S848" i="1"/>
  <c r="Q848" i="1"/>
  <c r="M848" i="1" a="1"/>
  <c r="M848" i="1" s="1"/>
  <c r="B848" i="1" s="1" a="1"/>
  <c r="B848" i="1" s="1"/>
  <c r="L848" i="1" a="1"/>
  <c r="L848" i="1"/>
  <c r="K848" i="1" a="1"/>
  <c r="K848" i="1" s="1"/>
  <c r="J848" i="1" a="1"/>
  <c r="J848" i="1" s="1"/>
  <c r="I848" i="1" a="1"/>
  <c r="I848" i="1" s="1"/>
  <c r="H848" i="1" a="1"/>
  <c r="H848" i="1"/>
  <c r="G848" i="1" a="1"/>
  <c r="G848" i="1" s="1"/>
  <c r="C848" i="1" a="1"/>
  <c r="C848" i="1" s="1"/>
  <c r="Y847" i="1" a="1"/>
  <c r="Y847" i="1"/>
  <c r="V847" i="1" a="1"/>
  <c r="V847" i="1"/>
  <c r="U847" i="1" a="1"/>
  <c r="U847" i="1" s="1"/>
  <c r="T847" i="1"/>
  <c r="S847" i="1" a="1"/>
  <c r="S847" i="1"/>
  <c r="Q847" i="1"/>
  <c r="M847" i="1" a="1"/>
  <c r="M847" i="1" s="1"/>
  <c r="L847" i="1" a="1"/>
  <c r="L847" i="1" s="1"/>
  <c r="K847" i="1" a="1"/>
  <c r="K847" i="1"/>
  <c r="J847" i="1" a="1"/>
  <c r="J847" i="1" s="1"/>
  <c r="I847" i="1" a="1"/>
  <c r="I847" i="1" s="1"/>
  <c r="H847" i="1" a="1"/>
  <c r="H847" i="1" s="1"/>
  <c r="G847" i="1" a="1"/>
  <c r="G847" i="1"/>
  <c r="B847" i="1" a="1"/>
  <c r="B847" i="1" s="1"/>
  <c r="Y846" i="1" a="1"/>
  <c r="Y846" i="1" s="1"/>
  <c r="V846" i="1" a="1"/>
  <c r="V846" i="1" s="1"/>
  <c r="U846" i="1" a="1"/>
  <c r="U846" i="1" s="1"/>
  <c r="T846" i="1"/>
  <c r="S846" i="1" a="1"/>
  <c r="S846" i="1" s="1"/>
  <c r="R846" i="1" s="1" a="1"/>
  <c r="R846" i="1" s="1"/>
  <c r="Q846" i="1"/>
  <c r="M846" i="1" a="1"/>
  <c r="M846" i="1"/>
  <c r="B846" i="1" s="1" a="1"/>
  <c r="B846" i="1" s="1"/>
  <c r="L846" i="1" a="1"/>
  <c r="L846" i="1"/>
  <c r="K846" i="1" a="1"/>
  <c r="K846" i="1" s="1"/>
  <c r="J846" i="1" a="1"/>
  <c r="J846" i="1" s="1"/>
  <c r="I846" i="1" a="1"/>
  <c r="I846" i="1" s="1"/>
  <c r="H846" i="1" a="1"/>
  <c r="H846" i="1" s="1"/>
  <c r="G846" i="1" a="1"/>
  <c r="G846" i="1" s="1"/>
  <c r="E846" i="1" a="1"/>
  <c r="E846" i="1" s="1"/>
  <c r="C846" i="1" a="1"/>
  <c r="C846" i="1" s="1"/>
  <c r="Y845" i="1" a="1"/>
  <c r="Y845" i="1"/>
  <c r="E845" i="1" s="1" a="1"/>
  <c r="E845" i="1" s="1"/>
  <c r="V845" i="1" a="1"/>
  <c r="V845" i="1" s="1"/>
  <c r="U845" i="1" a="1"/>
  <c r="U845" i="1" s="1"/>
  <c r="T845" i="1"/>
  <c r="S845" i="1" a="1"/>
  <c r="S845" i="1"/>
  <c r="R845" i="1" s="1" a="1"/>
  <c r="R845" i="1" s="1"/>
  <c r="Q845" i="1"/>
  <c r="M845" i="1" a="1"/>
  <c r="M845" i="1" s="1"/>
  <c r="L845" i="1" a="1"/>
  <c r="L845" i="1" s="1"/>
  <c r="K845" i="1" a="1"/>
  <c r="K845" i="1" s="1"/>
  <c r="J845" i="1" a="1"/>
  <c r="J845" i="1"/>
  <c r="I845" i="1" a="1"/>
  <c r="I845" i="1" s="1"/>
  <c r="H845" i="1" a="1"/>
  <c r="H845" i="1"/>
  <c r="G845" i="1" a="1"/>
  <c r="G845" i="1"/>
  <c r="B845" i="1" a="1"/>
  <c r="B845" i="1" s="1"/>
  <c r="Y844" i="1" a="1"/>
  <c r="Y844" i="1" s="1"/>
  <c r="V844" i="1" a="1"/>
  <c r="V844" i="1" s="1"/>
  <c r="U844" i="1" a="1"/>
  <c r="U844" i="1"/>
  <c r="T844" i="1"/>
  <c r="S844" i="1" a="1"/>
  <c r="S844" i="1" s="1"/>
  <c r="Q844" i="1"/>
  <c r="M844" i="1" a="1"/>
  <c r="M844" i="1" s="1"/>
  <c r="B844" i="1" s="1" a="1"/>
  <c r="B844" i="1" s="1"/>
  <c r="L844" i="1" a="1"/>
  <c r="L844" i="1" s="1"/>
  <c r="K844" i="1" a="1"/>
  <c r="K844" i="1" s="1"/>
  <c r="J844" i="1" a="1"/>
  <c r="J844" i="1" s="1"/>
  <c r="I844" i="1" a="1"/>
  <c r="I844" i="1"/>
  <c r="H844" i="1" a="1"/>
  <c r="H844" i="1"/>
  <c r="G844" i="1" a="1"/>
  <c r="G844" i="1" s="1"/>
  <c r="E844" i="1" a="1"/>
  <c r="E844" i="1"/>
  <c r="Y843" i="1" a="1"/>
  <c r="Y843" i="1" s="1"/>
  <c r="V843" i="1" a="1"/>
  <c r="V843" i="1" s="1"/>
  <c r="U843" i="1" a="1"/>
  <c r="U843" i="1" s="1"/>
  <c r="T843" i="1"/>
  <c r="S843" i="1" a="1"/>
  <c r="S843" i="1"/>
  <c r="C843" i="1" s="1" a="1"/>
  <c r="R843" i="1" a="1"/>
  <c r="R843" i="1" s="1"/>
  <c r="Q843" i="1"/>
  <c r="M843" i="1" a="1"/>
  <c r="M843" i="1" s="1"/>
  <c r="B843" i="1" s="1" a="1"/>
  <c r="B843" i="1" s="1"/>
  <c r="L843" i="1" a="1"/>
  <c r="L843" i="1"/>
  <c r="K843" i="1" a="1"/>
  <c r="K843" i="1"/>
  <c r="J843" i="1" a="1"/>
  <c r="J843" i="1" s="1"/>
  <c r="I843" i="1" a="1"/>
  <c r="I843" i="1" s="1"/>
  <c r="H843" i="1" a="1"/>
  <c r="H843" i="1" s="1"/>
  <c r="G843" i="1" a="1"/>
  <c r="G843" i="1" s="1"/>
  <c r="C843" i="1"/>
  <c r="Y842" i="1" a="1"/>
  <c r="Y842" i="1" s="1"/>
  <c r="V842" i="1" a="1"/>
  <c r="V842" i="1"/>
  <c r="U842" i="1" a="1"/>
  <c r="U842" i="1" s="1"/>
  <c r="T842" i="1"/>
  <c r="S842" i="1" a="1"/>
  <c r="S842" i="1"/>
  <c r="Q842" i="1"/>
  <c r="M842" i="1" a="1"/>
  <c r="M842" i="1" s="1"/>
  <c r="B842" i="1" s="1" a="1"/>
  <c r="B842" i="1" s="1"/>
  <c r="L842" i="1" a="1"/>
  <c r="L842" i="1"/>
  <c r="K842" i="1" a="1"/>
  <c r="K842" i="1" s="1"/>
  <c r="J842" i="1" a="1"/>
  <c r="J842" i="1"/>
  <c r="I842" i="1" a="1"/>
  <c r="I842" i="1"/>
  <c r="H842" i="1" a="1"/>
  <c r="H842" i="1" s="1"/>
  <c r="G842" i="1" a="1"/>
  <c r="G842" i="1" s="1"/>
  <c r="E842" i="1" a="1"/>
  <c r="E842" i="1" s="1"/>
  <c r="Y841" i="1" a="1"/>
  <c r="Y841" i="1" s="1"/>
  <c r="V841" i="1" a="1"/>
  <c r="V841" i="1"/>
  <c r="U841" i="1" a="1"/>
  <c r="U841" i="1" s="1"/>
  <c r="T841" i="1"/>
  <c r="S841" i="1" a="1"/>
  <c r="S841" i="1" s="1"/>
  <c r="Q841" i="1"/>
  <c r="M841" i="1" a="1"/>
  <c r="M841" i="1" s="1"/>
  <c r="L841" i="1" a="1"/>
  <c r="L841" i="1" s="1"/>
  <c r="K841" i="1" a="1"/>
  <c r="K841" i="1" s="1"/>
  <c r="J841" i="1" a="1"/>
  <c r="J841" i="1"/>
  <c r="I841" i="1" a="1"/>
  <c r="I841" i="1" s="1"/>
  <c r="H841" i="1" a="1"/>
  <c r="H841" i="1" s="1"/>
  <c r="G841" i="1" a="1"/>
  <c r="G841" i="1"/>
  <c r="E841" i="1" a="1"/>
  <c r="E841" i="1" s="1"/>
  <c r="B841" i="1" a="1"/>
  <c r="B841" i="1" s="1"/>
  <c r="Y840" i="1" a="1"/>
  <c r="Y840" i="1" s="1"/>
  <c r="V840" i="1" a="1"/>
  <c r="V840" i="1" s="1"/>
  <c r="U840" i="1" a="1"/>
  <c r="U840" i="1"/>
  <c r="T840" i="1"/>
  <c r="S840" i="1" a="1"/>
  <c r="S840" i="1" s="1"/>
  <c r="Q840" i="1"/>
  <c r="M840" i="1" a="1"/>
  <c r="M840" i="1"/>
  <c r="B840" i="1" s="1" a="1"/>
  <c r="B840" i="1" s="1"/>
  <c r="L840" i="1" a="1"/>
  <c r="L840" i="1" s="1"/>
  <c r="K840" i="1" a="1"/>
  <c r="K840" i="1" s="1"/>
  <c r="J840" i="1" a="1"/>
  <c r="J840" i="1"/>
  <c r="I840" i="1" a="1"/>
  <c r="I840" i="1" s="1"/>
  <c r="H840" i="1" a="1"/>
  <c r="H840" i="1" s="1"/>
  <c r="G840" i="1" a="1"/>
  <c r="G840" i="1" s="1"/>
  <c r="E840" i="1" a="1"/>
  <c r="E840" i="1"/>
  <c r="C840" i="1" a="1"/>
  <c r="C840" i="1" s="1"/>
  <c r="V839" i="1" a="1"/>
  <c r="V839" i="1" s="1"/>
  <c r="U839" i="1" a="1"/>
  <c r="U839" i="1" s="1"/>
  <c r="T839" i="1"/>
  <c r="S839" i="1" a="1"/>
  <c r="S839" i="1"/>
  <c r="Q839" i="1"/>
  <c r="M839" i="1" a="1"/>
  <c r="M839" i="1" s="1"/>
  <c r="B839" i="1" s="1" a="1"/>
  <c r="L839" i="1" a="1"/>
  <c r="L839" i="1" s="1"/>
  <c r="K839" i="1" a="1"/>
  <c r="K839" i="1"/>
  <c r="J839" i="1" a="1"/>
  <c r="J839" i="1"/>
  <c r="I839" i="1" a="1"/>
  <c r="I839" i="1" s="1"/>
  <c r="H839" i="1" a="1"/>
  <c r="H839" i="1"/>
  <c r="G839" i="1" a="1"/>
  <c r="G839" i="1" s="1"/>
  <c r="C839" i="1" a="1"/>
  <c r="C839" i="1"/>
  <c r="B839" i="1"/>
  <c r="Y838" i="1" a="1"/>
  <c r="Y838" i="1" s="1"/>
  <c r="V838" i="1" a="1"/>
  <c r="V838" i="1"/>
  <c r="U838" i="1" a="1"/>
  <c r="U838" i="1"/>
  <c r="T838" i="1"/>
  <c r="S838" i="1" a="1"/>
  <c r="S838" i="1"/>
  <c r="R838" i="1" s="1" a="1"/>
  <c r="R838" i="1" s="1"/>
  <c r="Q838" i="1"/>
  <c r="M838" i="1" a="1"/>
  <c r="M838" i="1" s="1"/>
  <c r="L838" i="1" a="1"/>
  <c r="L838" i="1" s="1"/>
  <c r="K838" i="1" a="1"/>
  <c r="K838" i="1" s="1"/>
  <c r="J838" i="1" a="1"/>
  <c r="J838" i="1" s="1"/>
  <c r="I838" i="1" a="1"/>
  <c r="I838" i="1" s="1"/>
  <c r="H838" i="1" a="1"/>
  <c r="H838" i="1"/>
  <c r="G838" i="1" a="1"/>
  <c r="G838" i="1" s="1"/>
  <c r="E838" i="1" a="1"/>
  <c r="E838" i="1"/>
  <c r="C838" i="1" a="1"/>
  <c r="C838" i="1" s="1"/>
  <c r="B838" i="1" a="1"/>
  <c r="B838" i="1" s="1"/>
  <c r="Y837" i="1" a="1"/>
  <c r="Y837" i="1"/>
  <c r="V837" i="1" a="1"/>
  <c r="V837" i="1" s="1"/>
  <c r="U837" i="1" a="1"/>
  <c r="U837" i="1" s="1"/>
  <c r="T837" i="1"/>
  <c r="S837" i="1" a="1"/>
  <c r="S837" i="1" s="1"/>
  <c r="C837" i="1" s="1" a="1"/>
  <c r="R837" i="1" a="1"/>
  <c r="R837" i="1" s="1"/>
  <c r="Q837" i="1"/>
  <c r="M837" i="1" a="1"/>
  <c r="M837" i="1" s="1"/>
  <c r="B837" i="1" s="1" a="1"/>
  <c r="B837" i="1" s="1"/>
  <c r="L837" i="1" a="1"/>
  <c r="L837" i="1" s="1"/>
  <c r="K837" i="1" a="1"/>
  <c r="K837" i="1"/>
  <c r="J837" i="1" a="1"/>
  <c r="J837" i="1" s="1"/>
  <c r="I837" i="1" a="1"/>
  <c r="I837" i="1" s="1"/>
  <c r="H837" i="1" a="1"/>
  <c r="H837" i="1"/>
  <c r="G837" i="1" a="1"/>
  <c r="G837" i="1"/>
  <c r="C837" i="1"/>
  <c r="Y836" i="1" a="1"/>
  <c r="Y836" i="1" s="1"/>
  <c r="E836" i="1" s="1" a="1"/>
  <c r="V836" i="1" a="1"/>
  <c r="V836" i="1" s="1"/>
  <c r="U836" i="1" a="1"/>
  <c r="U836" i="1"/>
  <c r="T836" i="1"/>
  <c r="S836" i="1" a="1"/>
  <c r="S836" i="1"/>
  <c r="Q836" i="1"/>
  <c r="M836" i="1" a="1"/>
  <c r="M836" i="1"/>
  <c r="L836" i="1" a="1"/>
  <c r="L836" i="1"/>
  <c r="K836" i="1" a="1"/>
  <c r="K836" i="1" s="1"/>
  <c r="J836" i="1" a="1"/>
  <c r="J836" i="1" s="1"/>
  <c r="I836" i="1" a="1"/>
  <c r="I836" i="1"/>
  <c r="H836" i="1" a="1"/>
  <c r="H836" i="1" s="1"/>
  <c r="G836" i="1" a="1"/>
  <c r="G836" i="1" s="1"/>
  <c r="E836" i="1"/>
  <c r="B836" i="1" a="1"/>
  <c r="B836" i="1"/>
  <c r="Y835" i="1" a="1"/>
  <c r="Y835" i="1"/>
  <c r="V835" i="1" a="1"/>
  <c r="V835" i="1" s="1"/>
  <c r="U835" i="1" a="1"/>
  <c r="U835" i="1" s="1"/>
  <c r="T835" i="1"/>
  <c r="S835" i="1" a="1"/>
  <c r="S835" i="1" s="1"/>
  <c r="Q835" i="1"/>
  <c r="M835" i="1" a="1"/>
  <c r="M835" i="1" s="1"/>
  <c r="B835" i="1" s="1" a="1"/>
  <c r="B835" i="1" s="1"/>
  <c r="L835" i="1" a="1"/>
  <c r="L835" i="1" s="1"/>
  <c r="K835" i="1" a="1"/>
  <c r="K835" i="1"/>
  <c r="J835" i="1" a="1"/>
  <c r="J835" i="1" s="1"/>
  <c r="I835" i="1" a="1"/>
  <c r="I835" i="1" s="1"/>
  <c r="H835" i="1" a="1"/>
  <c r="H835" i="1" s="1"/>
  <c r="G835" i="1" a="1"/>
  <c r="G835" i="1"/>
  <c r="E835" i="1" a="1"/>
  <c r="E835" i="1" s="1"/>
  <c r="Y834" i="1" a="1"/>
  <c r="Y834" i="1" s="1"/>
  <c r="V834" i="1" a="1"/>
  <c r="V834" i="1"/>
  <c r="U834" i="1" a="1"/>
  <c r="U834" i="1" s="1"/>
  <c r="T834" i="1"/>
  <c r="S834" i="1" a="1"/>
  <c r="S834" i="1"/>
  <c r="Q834" i="1"/>
  <c r="M834" i="1" a="1"/>
  <c r="M834" i="1"/>
  <c r="B834" i="1" s="1" a="1"/>
  <c r="B834" i="1" s="1"/>
  <c r="L834" i="1" a="1"/>
  <c r="L834" i="1" s="1"/>
  <c r="K834" i="1" a="1"/>
  <c r="K834" i="1" s="1"/>
  <c r="J834" i="1" a="1"/>
  <c r="J834" i="1"/>
  <c r="I834" i="1" a="1"/>
  <c r="I834" i="1"/>
  <c r="H834" i="1" a="1"/>
  <c r="H834" i="1" s="1"/>
  <c r="G834" i="1" a="1"/>
  <c r="G834" i="1" s="1"/>
  <c r="Y833" i="1" a="1"/>
  <c r="Y833" i="1"/>
  <c r="E833" i="1" s="1" a="1"/>
  <c r="E833" i="1" s="1"/>
  <c r="V833" i="1" a="1"/>
  <c r="V833" i="1" s="1"/>
  <c r="U833" i="1" a="1"/>
  <c r="U833" i="1" s="1"/>
  <c r="T833" i="1"/>
  <c r="S833" i="1" a="1"/>
  <c r="S833" i="1" s="1"/>
  <c r="C833" i="1" s="1" a="1"/>
  <c r="Q833" i="1"/>
  <c r="M833" i="1" a="1"/>
  <c r="M833" i="1" s="1"/>
  <c r="L833" i="1" a="1"/>
  <c r="L833" i="1"/>
  <c r="K833" i="1" a="1"/>
  <c r="K833" i="1"/>
  <c r="J833" i="1" a="1"/>
  <c r="J833" i="1" s="1"/>
  <c r="I833" i="1" a="1"/>
  <c r="I833" i="1" s="1"/>
  <c r="H833" i="1" a="1"/>
  <c r="H833" i="1" s="1"/>
  <c r="G833" i="1" a="1"/>
  <c r="G833" i="1"/>
  <c r="C833" i="1"/>
  <c r="B833" i="1" a="1"/>
  <c r="B833" i="1" s="1"/>
  <c r="Y832" i="1" a="1"/>
  <c r="Y832" i="1" s="1"/>
  <c r="V832" i="1" a="1"/>
  <c r="V832" i="1" s="1"/>
  <c r="U832" i="1" a="1"/>
  <c r="U832" i="1" s="1"/>
  <c r="T832" i="1"/>
  <c r="S832" i="1" a="1"/>
  <c r="S832" i="1" s="1"/>
  <c r="Q832" i="1"/>
  <c r="M832" i="1" a="1"/>
  <c r="M832" i="1"/>
  <c r="L832" i="1" a="1"/>
  <c r="L832" i="1" s="1"/>
  <c r="K832" i="1" a="1"/>
  <c r="K832" i="1" s="1"/>
  <c r="J832" i="1" a="1"/>
  <c r="J832" i="1" s="1"/>
  <c r="I832" i="1" a="1"/>
  <c r="I832" i="1"/>
  <c r="H832" i="1" a="1"/>
  <c r="H832" i="1" s="1"/>
  <c r="G832" i="1" a="1"/>
  <c r="G832" i="1" s="1"/>
  <c r="C832" i="1" a="1"/>
  <c r="C832" i="1" s="1"/>
  <c r="B832" i="1" a="1"/>
  <c r="B832" i="1" s="1"/>
  <c r="Y831" i="1" a="1"/>
  <c r="Y831" i="1"/>
  <c r="V831" i="1" a="1"/>
  <c r="V831" i="1" s="1"/>
  <c r="U831" i="1" a="1"/>
  <c r="U831" i="1" s="1"/>
  <c r="T831" i="1"/>
  <c r="S831" i="1" a="1"/>
  <c r="S831" i="1" s="1"/>
  <c r="C831" i="1" s="1" a="1"/>
  <c r="C831" i="1" s="1"/>
  <c r="R831" i="1" a="1"/>
  <c r="R831" i="1" s="1"/>
  <c r="Q831" i="1"/>
  <c r="M831" i="1" a="1"/>
  <c r="M831" i="1" s="1"/>
  <c r="B831" i="1" s="1" a="1"/>
  <c r="B831" i="1" s="1"/>
  <c r="L831" i="1" a="1"/>
  <c r="L831" i="1" s="1"/>
  <c r="K831" i="1" a="1"/>
  <c r="K831" i="1"/>
  <c r="J831" i="1" a="1"/>
  <c r="J831" i="1"/>
  <c r="I831" i="1" a="1"/>
  <c r="I831" i="1" s="1"/>
  <c r="H831" i="1" a="1"/>
  <c r="H831" i="1" s="1"/>
  <c r="G831" i="1" a="1"/>
  <c r="G831" i="1"/>
  <c r="E831" i="1" a="1"/>
  <c r="E831" i="1" s="1"/>
  <c r="Y830" i="1" a="1"/>
  <c r="Y830" i="1" s="1"/>
  <c r="V830" i="1" a="1"/>
  <c r="V830" i="1" s="1"/>
  <c r="U830" i="1" a="1"/>
  <c r="U830" i="1" s="1"/>
  <c r="T830" i="1"/>
  <c r="S830" i="1" a="1"/>
  <c r="S830" i="1"/>
  <c r="R830" i="1" s="1" a="1"/>
  <c r="R830" i="1" s="1"/>
  <c r="Q830" i="1"/>
  <c r="M830" i="1" a="1"/>
  <c r="M830" i="1"/>
  <c r="L830" i="1" a="1"/>
  <c r="L830" i="1" s="1"/>
  <c r="K830" i="1" a="1"/>
  <c r="K830" i="1" s="1"/>
  <c r="J830" i="1" a="1"/>
  <c r="J830" i="1" s="1"/>
  <c r="I830" i="1" a="1"/>
  <c r="I830" i="1"/>
  <c r="H830" i="1" a="1"/>
  <c r="H830" i="1" s="1"/>
  <c r="G830" i="1" a="1"/>
  <c r="G830" i="1" s="1"/>
  <c r="B830" i="1" a="1"/>
  <c r="B830" i="1" s="1"/>
  <c r="Y829" i="1" a="1"/>
  <c r="Y829" i="1"/>
  <c r="V829" i="1" a="1"/>
  <c r="V829" i="1"/>
  <c r="U829" i="1" a="1"/>
  <c r="U829" i="1" s="1"/>
  <c r="T829" i="1"/>
  <c r="S829" i="1" a="1"/>
  <c r="S829" i="1" s="1"/>
  <c r="R829" i="1" s="1" a="1"/>
  <c r="R829" i="1" s="1"/>
  <c r="Q829" i="1"/>
  <c r="M829" i="1" a="1"/>
  <c r="M829" i="1" s="1"/>
  <c r="L829" i="1" a="1"/>
  <c r="L829" i="1" s="1"/>
  <c r="K829" i="1" a="1"/>
  <c r="K829" i="1"/>
  <c r="J829" i="1" a="1"/>
  <c r="J829" i="1" s="1"/>
  <c r="I829" i="1" a="1"/>
  <c r="I829" i="1" s="1"/>
  <c r="H829" i="1" a="1"/>
  <c r="H829" i="1" s="1"/>
  <c r="G829" i="1" a="1"/>
  <c r="G829" i="1"/>
  <c r="C829" i="1" a="1"/>
  <c r="C829" i="1" s="1"/>
  <c r="B829" i="1" a="1"/>
  <c r="B829" i="1" s="1"/>
  <c r="V828" i="1" a="1"/>
  <c r="V828" i="1"/>
  <c r="U828" i="1" a="1"/>
  <c r="U828" i="1" s="1"/>
  <c r="T828" i="1"/>
  <c r="S828" i="1" a="1"/>
  <c r="S828" i="1" s="1"/>
  <c r="Q828" i="1"/>
  <c r="M828" i="1" a="1"/>
  <c r="M828" i="1" s="1"/>
  <c r="B828" i="1" s="1" a="1"/>
  <c r="B828" i="1" s="1"/>
  <c r="L828" i="1" a="1"/>
  <c r="L828" i="1" s="1"/>
  <c r="K828" i="1" a="1"/>
  <c r="K828" i="1" s="1"/>
  <c r="J828" i="1" a="1"/>
  <c r="J828" i="1" s="1"/>
  <c r="I828" i="1" a="1"/>
  <c r="I828" i="1"/>
  <c r="H828" i="1" a="1"/>
  <c r="H828" i="1"/>
  <c r="G828" i="1" a="1"/>
  <c r="G828" i="1" s="1"/>
  <c r="Y827" i="1" a="1"/>
  <c r="Y827" i="1" s="1"/>
  <c r="V827" i="1" a="1"/>
  <c r="V827" i="1"/>
  <c r="U827" i="1" a="1"/>
  <c r="U827" i="1" s="1"/>
  <c r="T827" i="1"/>
  <c r="S827" i="1" a="1"/>
  <c r="S827" i="1" s="1"/>
  <c r="Q827" i="1"/>
  <c r="M827" i="1" a="1"/>
  <c r="M827" i="1" s="1"/>
  <c r="L827" i="1" a="1"/>
  <c r="L827" i="1" s="1"/>
  <c r="K827" i="1" a="1"/>
  <c r="K827" i="1"/>
  <c r="J827" i="1" a="1"/>
  <c r="J827" i="1" s="1"/>
  <c r="I827" i="1" a="1"/>
  <c r="I827" i="1" s="1"/>
  <c r="H827" i="1" a="1"/>
  <c r="H827" i="1" s="1"/>
  <c r="G827" i="1" a="1"/>
  <c r="G827" i="1" s="1"/>
  <c r="B827" i="1" a="1"/>
  <c r="B827" i="1" s="1"/>
  <c r="Y826" i="1" a="1"/>
  <c r="Y826" i="1" s="1"/>
  <c r="V826" i="1" a="1"/>
  <c r="V826" i="1"/>
  <c r="U826" i="1" a="1"/>
  <c r="U826" i="1" s="1"/>
  <c r="T826" i="1"/>
  <c r="S826" i="1" a="1"/>
  <c r="S826" i="1"/>
  <c r="Q826" i="1"/>
  <c r="M826" i="1" a="1"/>
  <c r="M826" i="1"/>
  <c r="B826" i="1" s="1" a="1"/>
  <c r="B826" i="1" s="1"/>
  <c r="L826" i="1" a="1"/>
  <c r="L826" i="1" s="1"/>
  <c r="K826" i="1" a="1"/>
  <c r="K826" i="1" s="1"/>
  <c r="J826" i="1" a="1"/>
  <c r="J826" i="1"/>
  <c r="I826" i="1" a="1"/>
  <c r="I826" i="1" s="1"/>
  <c r="H826" i="1" a="1"/>
  <c r="H826" i="1" s="1"/>
  <c r="G826" i="1" a="1"/>
  <c r="G826" i="1" s="1"/>
  <c r="E826" i="1" a="1"/>
  <c r="E826" i="1"/>
  <c r="Y825" i="1" a="1"/>
  <c r="Y825" i="1" s="1"/>
  <c r="V825" i="1" a="1"/>
  <c r="V825" i="1"/>
  <c r="U825" i="1" a="1"/>
  <c r="U825" i="1" s="1"/>
  <c r="T825" i="1"/>
  <c r="S825" i="1" a="1"/>
  <c r="S825" i="1" s="1"/>
  <c r="R825" i="1" a="1"/>
  <c r="R825" i="1" s="1"/>
  <c r="Q825" i="1"/>
  <c r="M825" i="1" a="1"/>
  <c r="M825" i="1" s="1"/>
  <c r="B825" i="1" s="1" a="1"/>
  <c r="B825" i="1" s="1"/>
  <c r="L825" i="1" a="1"/>
  <c r="L825" i="1"/>
  <c r="K825" i="1" a="1"/>
  <c r="K825" i="1" s="1"/>
  <c r="J825" i="1" a="1"/>
  <c r="J825" i="1" s="1"/>
  <c r="I825" i="1" a="1"/>
  <c r="I825" i="1" s="1"/>
  <c r="H825" i="1" a="1"/>
  <c r="H825" i="1"/>
  <c r="G825" i="1" a="1"/>
  <c r="G825" i="1"/>
  <c r="C825" i="1" a="1"/>
  <c r="C825" i="1" s="1"/>
  <c r="Y824" i="1" a="1"/>
  <c r="Y824" i="1" s="1"/>
  <c r="V824" i="1" a="1"/>
  <c r="V824" i="1"/>
  <c r="U824" i="1" a="1"/>
  <c r="U824" i="1" s="1"/>
  <c r="T824" i="1"/>
  <c r="S824" i="1" a="1"/>
  <c r="S824" i="1"/>
  <c r="R824" i="1" s="1" a="1"/>
  <c r="R824" i="1" s="1"/>
  <c r="Q824" i="1"/>
  <c r="M824" i="1" a="1"/>
  <c r="M824" i="1" s="1"/>
  <c r="B824" i="1" s="1" a="1"/>
  <c r="B824" i="1" s="1"/>
  <c r="L824" i="1" a="1"/>
  <c r="L824" i="1"/>
  <c r="K824" i="1" a="1"/>
  <c r="K824" i="1" s="1"/>
  <c r="J824" i="1" a="1"/>
  <c r="J824" i="1"/>
  <c r="I824" i="1" a="1"/>
  <c r="I824" i="1"/>
  <c r="H824" i="1" a="1"/>
  <c r="H824" i="1" s="1"/>
  <c r="G824" i="1" a="1"/>
  <c r="G824" i="1" s="1"/>
  <c r="C824" i="1" a="1"/>
  <c r="C824" i="1" s="1"/>
  <c r="Y823" i="1" a="1"/>
  <c r="Y823" i="1" s="1"/>
  <c r="V823" i="1" a="1"/>
  <c r="V823" i="1"/>
  <c r="U823" i="1" a="1"/>
  <c r="U823" i="1" s="1"/>
  <c r="T823" i="1"/>
  <c r="S823" i="1" a="1"/>
  <c r="S823" i="1" s="1"/>
  <c r="R823" i="1" a="1"/>
  <c r="R823" i="1" s="1"/>
  <c r="Q823" i="1"/>
  <c r="M823" i="1" a="1"/>
  <c r="M823" i="1" s="1"/>
  <c r="B823" i="1" s="1" a="1"/>
  <c r="B823" i="1" s="1"/>
  <c r="L823" i="1" a="1"/>
  <c r="L823" i="1"/>
  <c r="K823" i="1" a="1"/>
  <c r="K823" i="1" s="1"/>
  <c r="J823" i="1" a="1"/>
  <c r="J823" i="1" s="1"/>
  <c r="I823" i="1" a="1"/>
  <c r="I823" i="1" s="1"/>
  <c r="H823" i="1" a="1"/>
  <c r="H823" i="1"/>
  <c r="G823" i="1" a="1"/>
  <c r="G823" i="1"/>
  <c r="Y822" i="1" a="1"/>
  <c r="Y822" i="1" s="1"/>
  <c r="V822" i="1" a="1"/>
  <c r="V822" i="1"/>
  <c r="U822" i="1" a="1"/>
  <c r="U822" i="1" s="1"/>
  <c r="T822" i="1"/>
  <c r="S822" i="1" a="1"/>
  <c r="S822" i="1"/>
  <c r="Q822" i="1"/>
  <c r="M822" i="1" a="1"/>
  <c r="M822" i="1" s="1"/>
  <c r="B822" i="1" s="1" a="1"/>
  <c r="B822" i="1" s="1"/>
  <c r="L822" i="1" a="1"/>
  <c r="L822" i="1"/>
  <c r="K822" i="1" a="1"/>
  <c r="K822" i="1" s="1"/>
  <c r="J822" i="1" a="1"/>
  <c r="J822" i="1"/>
  <c r="I822" i="1" a="1"/>
  <c r="I822" i="1" s="1"/>
  <c r="H822" i="1" a="1"/>
  <c r="H822" i="1" s="1"/>
  <c r="G822" i="1" a="1"/>
  <c r="G822" i="1" s="1"/>
  <c r="E822" i="1" a="1"/>
  <c r="E822" i="1"/>
  <c r="Y821" i="1" a="1"/>
  <c r="Y821" i="1"/>
  <c r="V821" i="1" a="1"/>
  <c r="V821" i="1"/>
  <c r="U821" i="1" a="1"/>
  <c r="U821" i="1" s="1"/>
  <c r="T821" i="1"/>
  <c r="S821" i="1" a="1"/>
  <c r="S821" i="1" s="1"/>
  <c r="R821" i="1" a="1"/>
  <c r="R821" i="1" s="1"/>
  <c r="Q821" i="1"/>
  <c r="M821" i="1" a="1"/>
  <c r="M821" i="1" s="1"/>
  <c r="L821" i="1" a="1"/>
  <c r="L821" i="1"/>
  <c r="K821" i="1" a="1"/>
  <c r="K821" i="1" s="1"/>
  <c r="J821" i="1" a="1"/>
  <c r="J821" i="1"/>
  <c r="I821" i="1" a="1"/>
  <c r="I821" i="1" s="1"/>
  <c r="H821" i="1" a="1"/>
  <c r="H821" i="1"/>
  <c r="G821" i="1" a="1"/>
  <c r="G821" i="1" s="1"/>
  <c r="E821" i="1" a="1"/>
  <c r="E821" i="1" s="1"/>
  <c r="C821" i="1" a="1"/>
  <c r="C821" i="1" s="1"/>
  <c r="B821" i="1" a="1"/>
  <c r="B821" i="1" s="1"/>
  <c r="Y820" i="1" a="1"/>
  <c r="Y820" i="1" s="1"/>
  <c r="V820" i="1" a="1"/>
  <c r="V820" i="1"/>
  <c r="U820" i="1" a="1"/>
  <c r="U820" i="1" s="1"/>
  <c r="T820" i="1"/>
  <c r="S820" i="1" a="1"/>
  <c r="S820" i="1" s="1"/>
  <c r="Q820" i="1"/>
  <c r="M820" i="1" a="1"/>
  <c r="M820" i="1" s="1"/>
  <c r="B820" i="1" s="1" a="1"/>
  <c r="B820" i="1" s="1"/>
  <c r="L820" i="1" a="1"/>
  <c r="L820" i="1"/>
  <c r="K820" i="1" a="1"/>
  <c r="K820" i="1" s="1"/>
  <c r="J820" i="1" a="1"/>
  <c r="J820" i="1"/>
  <c r="I820" i="1" a="1"/>
  <c r="I820" i="1"/>
  <c r="H820" i="1" a="1"/>
  <c r="H820" i="1" s="1"/>
  <c r="G820" i="1" a="1"/>
  <c r="G820" i="1" s="1"/>
  <c r="E820" i="1" a="1"/>
  <c r="E820" i="1" s="1"/>
  <c r="C820" i="1" a="1"/>
  <c r="C820" i="1" s="1"/>
  <c r="Y819" i="1" a="1"/>
  <c r="Y819" i="1" s="1"/>
  <c r="E819" i="1" s="1" a="1"/>
  <c r="E819" i="1" s="1"/>
  <c r="V819" i="1" a="1"/>
  <c r="V819" i="1" s="1"/>
  <c r="U819" i="1" a="1"/>
  <c r="U819" i="1" s="1"/>
  <c r="T819" i="1"/>
  <c r="S819" i="1" a="1"/>
  <c r="S819" i="1"/>
  <c r="R819" i="1" a="1"/>
  <c r="R819" i="1" s="1"/>
  <c r="Q819" i="1"/>
  <c r="M819" i="1" a="1"/>
  <c r="M819" i="1" s="1"/>
  <c r="L819" i="1" a="1"/>
  <c r="L819" i="1"/>
  <c r="K819" i="1" a="1"/>
  <c r="K819" i="1"/>
  <c r="J819" i="1" a="1"/>
  <c r="J819" i="1" s="1"/>
  <c r="I819" i="1" a="1"/>
  <c r="I819" i="1" s="1"/>
  <c r="H819" i="1" a="1"/>
  <c r="H819" i="1"/>
  <c r="G819" i="1" a="1"/>
  <c r="G819" i="1" s="1"/>
  <c r="B819" i="1" a="1"/>
  <c r="B819" i="1" s="1"/>
  <c r="Y818" i="1" a="1"/>
  <c r="Y818" i="1" s="1"/>
  <c r="V818" i="1" a="1"/>
  <c r="V818" i="1"/>
  <c r="U818" i="1" a="1"/>
  <c r="U818" i="1" s="1"/>
  <c r="T818" i="1"/>
  <c r="S818" i="1" a="1"/>
  <c r="S818" i="1"/>
  <c r="Q818" i="1"/>
  <c r="M818" i="1" a="1"/>
  <c r="M818" i="1" s="1"/>
  <c r="B818" i="1" s="1" a="1"/>
  <c r="B818" i="1" s="1"/>
  <c r="L818" i="1" a="1"/>
  <c r="L818" i="1" s="1"/>
  <c r="K818" i="1" a="1"/>
  <c r="K818" i="1" s="1"/>
  <c r="J818" i="1" a="1"/>
  <c r="J818" i="1"/>
  <c r="I818" i="1" a="1"/>
  <c r="I818" i="1" s="1"/>
  <c r="H818" i="1" a="1"/>
  <c r="H818" i="1" s="1"/>
  <c r="G818" i="1" a="1"/>
  <c r="G818" i="1" s="1"/>
  <c r="E818" i="1" a="1"/>
  <c r="E818" i="1"/>
  <c r="Y817" i="1" a="1"/>
  <c r="Y817" i="1" s="1"/>
  <c r="E817" i="1" s="1" a="1"/>
  <c r="E817" i="1" s="1"/>
  <c r="V817" i="1" a="1"/>
  <c r="V817" i="1"/>
  <c r="U817" i="1" a="1"/>
  <c r="U817" i="1" s="1"/>
  <c r="T817" i="1"/>
  <c r="S817" i="1" a="1"/>
  <c r="S817" i="1" s="1"/>
  <c r="Q817" i="1"/>
  <c r="M817" i="1" a="1"/>
  <c r="M817" i="1" s="1"/>
  <c r="L817" i="1" a="1"/>
  <c r="L817" i="1"/>
  <c r="K817" i="1" a="1"/>
  <c r="K817" i="1" s="1"/>
  <c r="J817" i="1" a="1"/>
  <c r="J817" i="1" s="1"/>
  <c r="I817" i="1" a="1"/>
  <c r="I817" i="1" s="1"/>
  <c r="H817" i="1" a="1"/>
  <c r="H817" i="1"/>
  <c r="G817" i="1" a="1"/>
  <c r="G817" i="1"/>
  <c r="B817" i="1" a="1"/>
  <c r="B817" i="1" s="1"/>
  <c r="Y816" i="1" a="1"/>
  <c r="Y816" i="1" s="1"/>
  <c r="V816" i="1" a="1"/>
  <c r="V816" i="1"/>
  <c r="U816" i="1" a="1"/>
  <c r="U816" i="1" s="1"/>
  <c r="T816" i="1"/>
  <c r="S816" i="1" a="1"/>
  <c r="S816" i="1" s="1"/>
  <c r="Q816" i="1"/>
  <c r="M816" i="1" a="1"/>
  <c r="M816" i="1" s="1"/>
  <c r="B816" i="1" s="1" a="1"/>
  <c r="B816" i="1" s="1"/>
  <c r="L816" i="1" a="1"/>
  <c r="L816" i="1" s="1"/>
  <c r="K816" i="1" a="1"/>
  <c r="K816" i="1" s="1"/>
  <c r="J816" i="1" a="1"/>
  <c r="J816" i="1"/>
  <c r="I816" i="1" a="1"/>
  <c r="I816" i="1" s="1"/>
  <c r="H816" i="1" a="1"/>
  <c r="H816" i="1"/>
  <c r="G816" i="1" a="1"/>
  <c r="G816" i="1" s="1"/>
  <c r="E816" i="1" a="1"/>
  <c r="E816" i="1" s="1"/>
  <c r="Y815" i="1" a="1"/>
  <c r="Y815" i="1"/>
  <c r="V815" i="1" a="1"/>
  <c r="V815" i="1" s="1"/>
  <c r="U815" i="1" a="1"/>
  <c r="U815" i="1" s="1"/>
  <c r="T815" i="1"/>
  <c r="S815" i="1" a="1"/>
  <c r="S815" i="1"/>
  <c r="R815" i="1" a="1"/>
  <c r="R815" i="1" s="1"/>
  <c r="Q815" i="1"/>
  <c r="M815" i="1" a="1"/>
  <c r="M815" i="1" s="1"/>
  <c r="B815" i="1" s="1" a="1"/>
  <c r="B815" i="1" s="1"/>
  <c r="L815" i="1" a="1"/>
  <c r="L815" i="1"/>
  <c r="K815" i="1" a="1"/>
  <c r="K815" i="1"/>
  <c r="J815" i="1" a="1"/>
  <c r="J815" i="1" s="1"/>
  <c r="I815" i="1" a="1"/>
  <c r="I815" i="1" s="1"/>
  <c r="H815" i="1" a="1"/>
  <c r="H815" i="1"/>
  <c r="G815" i="1" a="1"/>
  <c r="G815" i="1" s="1"/>
  <c r="C815" i="1" a="1"/>
  <c r="C815" i="1" s="1"/>
  <c r="Y814" i="1" a="1"/>
  <c r="Y814" i="1" s="1"/>
  <c r="V814" i="1" a="1"/>
  <c r="V814" i="1"/>
  <c r="U814" i="1" a="1"/>
  <c r="U814" i="1"/>
  <c r="T814" i="1"/>
  <c r="S814" i="1" a="1"/>
  <c r="S814" i="1" s="1"/>
  <c r="R814" i="1" s="1" a="1"/>
  <c r="R814" i="1" s="1"/>
  <c r="Q814" i="1"/>
  <c r="M814" i="1" a="1"/>
  <c r="M814" i="1"/>
  <c r="B814" i="1" s="1" a="1"/>
  <c r="B814" i="1" s="1"/>
  <c r="L814" i="1" a="1"/>
  <c r="L814" i="1"/>
  <c r="K814" i="1" a="1"/>
  <c r="K814" i="1" s="1"/>
  <c r="J814" i="1" a="1"/>
  <c r="J814" i="1"/>
  <c r="I814" i="1" a="1"/>
  <c r="I814" i="1" s="1"/>
  <c r="H814" i="1" a="1"/>
  <c r="H814" i="1" s="1"/>
  <c r="G814" i="1" a="1"/>
  <c r="G814" i="1" s="1"/>
  <c r="C814" i="1" a="1"/>
  <c r="C814" i="1" s="1"/>
  <c r="Y813" i="1" a="1"/>
  <c r="Y813" i="1"/>
  <c r="E813" i="1" s="1" a="1"/>
  <c r="E813" i="1" s="1"/>
  <c r="V813" i="1" a="1"/>
  <c r="V813" i="1" s="1"/>
  <c r="U813" i="1" a="1"/>
  <c r="U813" i="1"/>
  <c r="T813" i="1"/>
  <c r="S813" i="1" a="1"/>
  <c r="S813" i="1"/>
  <c r="R813" i="1" a="1"/>
  <c r="R813" i="1"/>
  <c r="Q813" i="1"/>
  <c r="M813" i="1" a="1"/>
  <c r="M813" i="1"/>
  <c r="L813" i="1" a="1"/>
  <c r="L813" i="1"/>
  <c r="K813" i="1" a="1"/>
  <c r="K813" i="1"/>
  <c r="J813" i="1" a="1"/>
  <c r="J813" i="1" s="1"/>
  <c r="I813" i="1" a="1"/>
  <c r="I813" i="1"/>
  <c r="H813" i="1" a="1"/>
  <c r="H813" i="1"/>
  <c r="G813" i="1" a="1"/>
  <c r="G813" i="1"/>
  <c r="B813" i="1" a="1"/>
  <c r="B813" i="1" s="1"/>
  <c r="Y812" i="1" a="1"/>
  <c r="Y812" i="1"/>
  <c r="V812" i="1" a="1"/>
  <c r="V812" i="1"/>
  <c r="U812" i="1" a="1"/>
  <c r="U812" i="1" s="1"/>
  <c r="T812" i="1"/>
  <c r="S812" i="1" a="1"/>
  <c r="S812" i="1"/>
  <c r="R812" i="1" a="1"/>
  <c r="R812" i="1" s="1"/>
  <c r="Q812" i="1"/>
  <c r="M812" i="1" a="1"/>
  <c r="M812" i="1" s="1"/>
  <c r="B812" i="1" s="1" a="1"/>
  <c r="B812" i="1" s="1"/>
  <c r="L812" i="1" a="1"/>
  <c r="L812" i="1" s="1"/>
  <c r="K812" i="1" a="1"/>
  <c r="K812" i="1" s="1"/>
  <c r="J812" i="1" a="1"/>
  <c r="J812" i="1"/>
  <c r="I812" i="1" a="1"/>
  <c r="I812" i="1" s="1"/>
  <c r="H812" i="1" a="1"/>
  <c r="H812" i="1"/>
  <c r="G812" i="1" a="1"/>
  <c r="G812" i="1"/>
  <c r="Y811" i="1" a="1"/>
  <c r="Y811" i="1"/>
  <c r="V811" i="1" a="1"/>
  <c r="V811" i="1" s="1"/>
  <c r="U811" i="1" a="1"/>
  <c r="U811" i="1" s="1"/>
  <c r="T811" i="1"/>
  <c r="S811" i="1" a="1"/>
  <c r="S811" i="1"/>
  <c r="Q811" i="1"/>
  <c r="M811" i="1" a="1"/>
  <c r="M811" i="1"/>
  <c r="L811" i="1" a="1"/>
  <c r="L811" i="1"/>
  <c r="K811" i="1" a="1"/>
  <c r="K811" i="1"/>
  <c r="J811" i="1" a="1"/>
  <c r="J811" i="1" s="1"/>
  <c r="I811" i="1" a="1"/>
  <c r="I811" i="1" s="1"/>
  <c r="H811" i="1" a="1"/>
  <c r="H811" i="1"/>
  <c r="G811" i="1" a="1"/>
  <c r="G811" i="1" s="1"/>
  <c r="B811" i="1" a="1"/>
  <c r="B811" i="1" s="1"/>
  <c r="Y810" i="1" a="1"/>
  <c r="Y810" i="1"/>
  <c r="V810" i="1" a="1"/>
  <c r="V810" i="1"/>
  <c r="U810" i="1" a="1"/>
  <c r="U810" i="1" s="1"/>
  <c r="T810" i="1"/>
  <c r="S810" i="1" a="1"/>
  <c r="S810" i="1" s="1"/>
  <c r="R810" i="1" a="1"/>
  <c r="R810" i="1" s="1"/>
  <c r="Q810" i="1"/>
  <c r="M810" i="1" a="1"/>
  <c r="M810" i="1" s="1"/>
  <c r="B810" i="1" s="1" a="1"/>
  <c r="B810" i="1" s="1"/>
  <c r="L810" i="1" a="1"/>
  <c r="L810" i="1" s="1"/>
  <c r="K810" i="1" a="1"/>
  <c r="K810" i="1" s="1"/>
  <c r="J810" i="1" a="1"/>
  <c r="J810" i="1"/>
  <c r="I810" i="1" a="1"/>
  <c r="I810" i="1"/>
  <c r="H810" i="1" a="1"/>
  <c r="H810" i="1"/>
  <c r="G810" i="1" a="1"/>
  <c r="G810" i="1" s="1"/>
  <c r="E810" i="1" a="1"/>
  <c r="E810" i="1" s="1"/>
  <c r="Y809" i="1" a="1"/>
  <c r="Y809" i="1" s="1"/>
  <c r="V809" i="1" a="1"/>
  <c r="V809" i="1"/>
  <c r="U809" i="1" a="1"/>
  <c r="U809" i="1" s="1"/>
  <c r="T809" i="1"/>
  <c r="S809" i="1" a="1"/>
  <c r="S809" i="1"/>
  <c r="Q809" i="1"/>
  <c r="M809" i="1" a="1"/>
  <c r="M809" i="1" s="1"/>
  <c r="B809" i="1" s="1" a="1"/>
  <c r="B809" i="1" s="1"/>
  <c r="L809" i="1" a="1"/>
  <c r="L809" i="1"/>
  <c r="K809" i="1" a="1"/>
  <c r="K809" i="1" s="1"/>
  <c r="J809" i="1" a="1"/>
  <c r="J809" i="1" s="1"/>
  <c r="I809" i="1" a="1"/>
  <c r="I809" i="1" s="1"/>
  <c r="H809" i="1" a="1"/>
  <c r="H809" i="1"/>
  <c r="G809" i="1" a="1"/>
  <c r="G809" i="1" s="1"/>
  <c r="Y808" i="1" a="1"/>
  <c r="Y808" i="1"/>
  <c r="V808" i="1" a="1"/>
  <c r="V808" i="1"/>
  <c r="U808" i="1" a="1"/>
  <c r="U808" i="1" s="1"/>
  <c r="T808" i="1"/>
  <c r="S808" i="1" a="1"/>
  <c r="S808" i="1" s="1"/>
  <c r="R808" i="1" a="1"/>
  <c r="R808" i="1" s="1"/>
  <c r="Q808" i="1"/>
  <c r="M808" i="1" a="1"/>
  <c r="M808" i="1" s="1"/>
  <c r="B808" i="1" s="1" a="1"/>
  <c r="B808" i="1" s="1"/>
  <c r="L808" i="1" a="1"/>
  <c r="L808" i="1"/>
  <c r="K808" i="1" a="1"/>
  <c r="K808" i="1"/>
  <c r="J808" i="1" a="1"/>
  <c r="J808" i="1"/>
  <c r="I808" i="1" a="1"/>
  <c r="I808" i="1" s="1"/>
  <c r="H808" i="1" a="1"/>
  <c r="H808" i="1" s="1"/>
  <c r="G808" i="1" a="1"/>
  <c r="G808" i="1" s="1"/>
  <c r="C808" i="1" a="1"/>
  <c r="C808" i="1" s="1"/>
  <c r="Y807" i="1" a="1"/>
  <c r="Y807" i="1" s="1"/>
  <c r="V807" i="1" a="1"/>
  <c r="V807" i="1" s="1"/>
  <c r="U807" i="1" a="1"/>
  <c r="U807" i="1"/>
  <c r="T807" i="1"/>
  <c r="S807" i="1" a="1"/>
  <c r="S807" i="1" s="1"/>
  <c r="R807" i="1" s="1" a="1"/>
  <c r="R807" i="1" s="1"/>
  <c r="Q807" i="1"/>
  <c r="M807" i="1" a="1"/>
  <c r="M807" i="1" s="1"/>
  <c r="B807" i="1" s="1" a="1"/>
  <c r="B807" i="1" s="1"/>
  <c r="L807" i="1" a="1"/>
  <c r="L807" i="1"/>
  <c r="K807" i="1" a="1"/>
  <c r="K807" i="1" s="1"/>
  <c r="J807" i="1" a="1"/>
  <c r="J807" i="1" s="1"/>
  <c r="I807" i="1" a="1"/>
  <c r="I807" i="1"/>
  <c r="H807" i="1" a="1"/>
  <c r="H807" i="1"/>
  <c r="G807" i="1" a="1"/>
  <c r="G807" i="1"/>
  <c r="C807" i="1" a="1"/>
  <c r="C807" i="1" s="1"/>
  <c r="Y806" i="1" a="1"/>
  <c r="Y806" i="1"/>
  <c r="V806" i="1" a="1"/>
  <c r="V806" i="1"/>
  <c r="U806" i="1" a="1"/>
  <c r="U806" i="1" s="1"/>
  <c r="T806" i="1"/>
  <c r="S806" i="1" a="1"/>
  <c r="S806" i="1" s="1"/>
  <c r="C806" i="1" s="1" a="1"/>
  <c r="C806" i="1" s="1"/>
  <c r="Q806" i="1"/>
  <c r="M806" i="1" a="1"/>
  <c r="M806" i="1" s="1"/>
  <c r="B806" i="1" s="1" a="1"/>
  <c r="B806" i="1" s="1"/>
  <c r="L806" i="1" a="1"/>
  <c r="L806" i="1" s="1"/>
  <c r="K806" i="1" a="1"/>
  <c r="K806" i="1"/>
  <c r="J806" i="1" a="1"/>
  <c r="J806" i="1" s="1"/>
  <c r="I806" i="1" a="1"/>
  <c r="I806" i="1"/>
  <c r="H806" i="1" a="1"/>
  <c r="H806" i="1" s="1"/>
  <c r="G806" i="1" a="1"/>
  <c r="G806" i="1"/>
  <c r="E806" i="1" a="1"/>
  <c r="E806" i="1" s="1"/>
  <c r="Y805" i="1" a="1"/>
  <c r="Y805" i="1"/>
  <c r="V805" i="1" a="1"/>
  <c r="V805" i="1" s="1"/>
  <c r="U805" i="1" a="1"/>
  <c r="U805" i="1" s="1"/>
  <c r="T805" i="1"/>
  <c r="S805" i="1" a="1"/>
  <c r="S805" i="1" s="1"/>
  <c r="R805" i="1" a="1"/>
  <c r="R805" i="1"/>
  <c r="Q805" i="1"/>
  <c r="M805" i="1" a="1"/>
  <c r="M805" i="1"/>
  <c r="B805" i="1" s="1" a="1"/>
  <c r="B805" i="1" s="1"/>
  <c r="L805" i="1" a="1"/>
  <c r="L805" i="1"/>
  <c r="K805" i="1" a="1"/>
  <c r="K805" i="1"/>
  <c r="J805" i="1" a="1"/>
  <c r="J805" i="1" s="1"/>
  <c r="I805" i="1" a="1"/>
  <c r="I805" i="1"/>
  <c r="H805" i="1" a="1"/>
  <c r="H805" i="1" s="1"/>
  <c r="G805" i="1" a="1"/>
  <c r="G805" i="1" s="1"/>
  <c r="C805" i="1" a="1"/>
  <c r="C805" i="1" s="1"/>
  <c r="Y804" i="1" a="1"/>
  <c r="Y804" i="1"/>
  <c r="V804" i="1" a="1"/>
  <c r="V804" i="1" s="1"/>
  <c r="U804" i="1" a="1"/>
  <c r="U804" i="1"/>
  <c r="T804" i="1"/>
  <c r="S804" i="1" a="1"/>
  <c r="S804" i="1" s="1"/>
  <c r="Q804" i="1"/>
  <c r="M804" i="1" a="1"/>
  <c r="M804" i="1" s="1"/>
  <c r="L804" i="1" a="1"/>
  <c r="L804" i="1" s="1"/>
  <c r="K804" i="1" a="1"/>
  <c r="K804" i="1"/>
  <c r="J804" i="1" a="1"/>
  <c r="J804" i="1"/>
  <c r="I804" i="1" a="1"/>
  <c r="I804" i="1"/>
  <c r="H804" i="1" a="1"/>
  <c r="H804" i="1" s="1"/>
  <c r="G804" i="1" a="1"/>
  <c r="G804" i="1"/>
  <c r="B804" i="1" a="1"/>
  <c r="B804" i="1" s="1"/>
  <c r="Y803" i="1" a="1"/>
  <c r="Y803" i="1" s="1"/>
  <c r="E803" i="1" s="1" a="1"/>
  <c r="E803" i="1" s="1"/>
  <c r="V803" i="1" a="1"/>
  <c r="V803" i="1" s="1"/>
  <c r="U803" i="1" a="1"/>
  <c r="U803" i="1"/>
  <c r="T803" i="1"/>
  <c r="S803" i="1" a="1"/>
  <c r="S803" i="1" s="1"/>
  <c r="Q803" i="1"/>
  <c r="M803" i="1" a="1"/>
  <c r="M803" i="1"/>
  <c r="L803" i="1" a="1"/>
  <c r="L803" i="1"/>
  <c r="K803" i="1" a="1"/>
  <c r="K803" i="1"/>
  <c r="J803" i="1" a="1"/>
  <c r="J803" i="1" s="1"/>
  <c r="I803" i="1" a="1"/>
  <c r="I803" i="1"/>
  <c r="H803" i="1" a="1"/>
  <c r="H803" i="1" s="1"/>
  <c r="G803" i="1" a="1"/>
  <c r="G803" i="1" s="1"/>
  <c r="B803" i="1" a="1"/>
  <c r="B803" i="1" s="1"/>
  <c r="Y802" i="1" a="1"/>
  <c r="Y802" i="1"/>
  <c r="V802" i="1" a="1"/>
  <c r="V802" i="1"/>
  <c r="U802" i="1" a="1"/>
  <c r="U802" i="1"/>
  <c r="T802" i="1"/>
  <c r="S802" i="1" a="1"/>
  <c r="S802" i="1" s="1"/>
  <c r="Q802" i="1"/>
  <c r="M802" i="1" a="1"/>
  <c r="M802" i="1"/>
  <c r="B802" i="1" s="1" a="1"/>
  <c r="B802" i="1" s="1"/>
  <c r="L802" i="1" a="1"/>
  <c r="L802" i="1" s="1"/>
  <c r="K802" i="1" a="1"/>
  <c r="K802" i="1"/>
  <c r="J802" i="1" a="1"/>
  <c r="J802" i="1"/>
  <c r="I802" i="1" a="1"/>
  <c r="I802" i="1"/>
  <c r="H802" i="1" a="1"/>
  <c r="H802" i="1" s="1"/>
  <c r="G802" i="1" a="1"/>
  <c r="G802" i="1"/>
  <c r="E802" i="1" a="1"/>
  <c r="E802" i="1" s="1"/>
  <c r="Y801" i="1" a="1"/>
  <c r="Y801" i="1" s="1"/>
  <c r="E801" i="1" s="1" a="1"/>
  <c r="E801" i="1" s="1"/>
  <c r="V801" i="1" a="1"/>
  <c r="V801" i="1" s="1"/>
  <c r="U801" i="1" a="1"/>
  <c r="U801" i="1" s="1"/>
  <c r="T801" i="1"/>
  <c r="S801" i="1" a="1"/>
  <c r="S801" i="1" s="1"/>
  <c r="R801" i="1" s="1" a="1"/>
  <c r="R801" i="1" s="1"/>
  <c r="Q801" i="1"/>
  <c r="M801" i="1" a="1"/>
  <c r="M801" i="1"/>
  <c r="L801" i="1" a="1"/>
  <c r="L801" i="1" s="1"/>
  <c r="K801" i="1" a="1"/>
  <c r="K801" i="1"/>
  <c r="J801" i="1" a="1"/>
  <c r="J801" i="1" s="1"/>
  <c r="I801" i="1" a="1"/>
  <c r="I801" i="1"/>
  <c r="H801" i="1" a="1"/>
  <c r="H801" i="1" s="1"/>
  <c r="G801" i="1" a="1"/>
  <c r="G801" i="1" s="1"/>
  <c r="B801" i="1" a="1"/>
  <c r="B801" i="1" s="1"/>
  <c r="Y800" i="1" a="1"/>
  <c r="Y800" i="1"/>
  <c r="V800" i="1" a="1"/>
  <c r="V800" i="1"/>
  <c r="U800" i="1" a="1"/>
  <c r="U800" i="1"/>
  <c r="T800" i="1"/>
  <c r="S800" i="1" a="1"/>
  <c r="S800" i="1" s="1"/>
  <c r="Q800" i="1"/>
  <c r="M800" i="1" a="1"/>
  <c r="M800" i="1" s="1"/>
  <c r="L800" i="1" a="1"/>
  <c r="L800" i="1" s="1"/>
  <c r="K800" i="1" a="1"/>
  <c r="K800" i="1"/>
  <c r="J800" i="1" a="1"/>
  <c r="J800" i="1"/>
  <c r="I800" i="1" a="1"/>
  <c r="I800" i="1"/>
  <c r="H800" i="1" a="1"/>
  <c r="H800" i="1" s="1"/>
  <c r="G800" i="1" a="1"/>
  <c r="G800" i="1"/>
  <c r="B800" i="1" a="1"/>
  <c r="B800" i="1" s="1"/>
  <c r="Y799" i="1" a="1"/>
  <c r="Y799" i="1" s="1"/>
  <c r="E799" i="1" s="1" a="1"/>
  <c r="E799" i="1" s="1"/>
  <c r="V799" i="1" a="1"/>
  <c r="V799" i="1" s="1"/>
  <c r="U799" i="1" a="1"/>
  <c r="U799" i="1"/>
  <c r="T799" i="1"/>
  <c r="S799" i="1" a="1"/>
  <c r="S799" i="1"/>
  <c r="R799" i="1" s="1" a="1"/>
  <c r="R799" i="1" s="1"/>
  <c r="Q799" i="1"/>
  <c r="M799" i="1" a="1"/>
  <c r="M799" i="1"/>
  <c r="B799" i="1" s="1" a="1"/>
  <c r="B799" i="1" s="1"/>
  <c r="L799" i="1" a="1"/>
  <c r="L799" i="1"/>
  <c r="K799" i="1" a="1"/>
  <c r="K799" i="1" s="1"/>
  <c r="J799" i="1" a="1"/>
  <c r="J799" i="1" s="1"/>
  <c r="I799" i="1" a="1"/>
  <c r="I799" i="1"/>
  <c r="H799" i="1" a="1"/>
  <c r="H799" i="1" s="1"/>
  <c r="G799" i="1" a="1"/>
  <c r="G799" i="1" s="1"/>
  <c r="C799" i="1" a="1"/>
  <c r="C799" i="1" s="1"/>
  <c r="Y798" i="1" a="1"/>
  <c r="Y798" i="1"/>
  <c r="V798" i="1" a="1"/>
  <c r="V798" i="1"/>
  <c r="U798" i="1" a="1"/>
  <c r="U798" i="1"/>
  <c r="T798" i="1"/>
  <c r="S798" i="1" a="1"/>
  <c r="S798" i="1" s="1"/>
  <c r="C798" i="1" s="1" a="1"/>
  <c r="C798" i="1" s="1"/>
  <c r="R798" i="1" a="1"/>
  <c r="R798" i="1" s="1"/>
  <c r="Q798" i="1"/>
  <c r="M798" i="1" a="1"/>
  <c r="M798" i="1" s="1"/>
  <c r="L798" i="1" a="1"/>
  <c r="L798" i="1" s="1"/>
  <c r="K798" i="1" a="1"/>
  <c r="K798" i="1"/>
  <c r="J798" i="1" a="1"/>
  <c r="J798" i="1"/>
  <c r="I798" i="1" a="1"/>
  <c r="I798" i="1"/>
  <c r="H798" i="1" a="1"/>
  <c r="H798" i="1" s="1"/>
  <c r="G798" i="1" a="1"/>
  <c r="G798" i="1"/>
  <c r="E798" i="1" a="1"/>
  <c r="E798" i="1" s="1"/>
  <c r="B798" i="1" a="1"/>
  <c r="B798" i="1" s="1"/>
  <c r="Y797" i="1" a="1"/>
  <c r="Y797" i="1"/>
  <c r="V797" i="1" a="1"/>
  <c r="V797" i="1" s="1"/>
  <c r="U797" i="1" a="1"/>
  <c r="U797" i="1"/>
  <c r="T797" i="1"/>
  <c r="S797" i="1" a="1"/>
  <c r="S797" i="1" s="1"/>
  <c r="Q797" i="1"/>
  <c r="M797" i="1" a="1"/>
  <c r="M797" i="1"/>
  <c r="B797" i="1" s="1" a="1"/>
  <c r="B797" i="1" s="1"/>
  <c r="L797" i="1" a="1"/>
  <c r="L797" i="1"/>
  <c r="K797" i="1" a="1"/>
  <c r="K797" i="1"/>
  <c r="J797" i="1" a="1"/>
  <c r="J797" i="1" s="1"/>
  <c r="I797" i="1" a="1"/>
  <c r="I797" i="1"/>
  <c r="H797" i="1" a="1"/>
  <c r="H797" i="1" s="1"/>
  <c r="G797" i="1" a="1"/>
  <c r="G797" i="1" s="1"/>
  <c r="Y796" i="1" a="1"/>
  <c r="Y796" i="1"/>
  <c r="V796" i="1" a="1"/>
  <c r="V796" i="1"/>
  <c r="U796" i="1" a="1"/>
  <c r="U796" i="1" s="1"/>
  <c r="T796" i="1"/>
  <c r="S796" i="1" a="1"/>
  <c r="S796" i="1"/>
  <c r="R796" i="1" a="1"/>
  <c r="R796" i="1" s="1"/>
  <c r="Q796" i="1"/>
  <c r="M796" i="1" a="1"/>
  <c r="M796" i="1"/>
  <c r="L796" i="1" a="1"/>
  <c r="L796" i="1" s="1"/>
  <c r="K796" i="1" a="1"/>
  <c r="K796" i="1"/>
  <c r="J796" i="1" a="1"/>
  <c r="J796" i="1" s="1"/>
  <c r="I796" i="1" a="1"/>
  <c r="I796" i="1" s="1"/>
  <c r="H796" i="1" a="1"/>
  <c r="H796" i="1" s="1"/>
  <c r="G796" i="1" a="1"/>
  <c r="G796" i="1"/>
  <c r="E796" i="1" a="1"/>
  <c r="E796" i="1" s="1"/>
  <c r="C796" i="1" a="1"/>
  <c r="C796" i="1"/>
  <c r="B796" i="1" a="1"/>
  <c r="B796" i="1" s="1"/>
  <c r="Y795" i="1" a="1"/>
  <c r="Y795" i="1" s="1"/>
  <c r="V795" i="1" a="1"/>
  <c r="V795" i="1" s="1"/>
  <c r="U795" i="1" a="1"/>
  <c r="U795" i="1" s="1"/>
  <c r="T795" i="1"/>
  <c r="S795" i="1" a="1"/>
  <c r="S795" i="1" s="1"/>
  <c r="R795" i="1" s="1" a="1"/>
  <c r="R795" i="1" s="1"/>
  <c r="Q795" i="1"/>
  <c r="M795" i="1" a="1"/>
  <c r="M795" i="1"/>
  <c r="B795" i="1" s="1" a="1"/>
  <c r="B795" i="1" s="1"/>
  <c r="L795" i="1" a="1"/>
  <c r="L795" i="1"/>
  <c r="K795" i="1" a="1"/>
  <c r="K795" i="1"/>
  <c r="J795" i="1" a="1"/>
  <c r="J795" i="1" s="1"/>
  <c r="I795" i="1" a="1"/>
  <c r="I795" i="1" s="1"/>
  <c r="H795" i="1" a="1"/>
  <c r="H795" i="1" s="1"/>
  <c r="G795" i="1" a="1"/>
  <c r="G795" i="1" s="1"/>
  <c r="Y794" i="1" a="1"/>
  <c r="Y794" i="1"/>
  <c r="V794" i="1" a="1"/>
  <c r="V794" i="1" s="1"/>
  <c r="U794" i="1" a="1"/>
  <c r="U794" i="1" s="1"/>
  <c r="T794" i="1"/>
  <c r="S794" i="1" a="1"/>
  <c r="S794" i="1"/>
  <c r="Q794" i="1"/>
  <c r="M794" i="1" a="1"/>
  <c r="M794" i="1" s="1"/>
  <c r="B794" i="1" s="1" a="1"/>
  <c r="B794" i="1" s="1"/>
  <c r="L794" i="1" a="1"/>
  <c r="L794" i="1" s="1"/>
  <c r="K794" i="1" a="1"/>
  <c r="K794" i="1"/>
  <c r="J794" i="1" a="1"/>
  <c r="J794" i="1" s="1"/>
  <c r="I794" i="1" a="1"/>
  <c r="I794" i="1"/>
  <c r="H794" i="1" a="1"/>
  <c r="H794" i="1" s="1"/>
  <c r="G794" i="1" a="1"/>
  <c r="G794" i="1" s="1"/>
  <c r="E794" i="1" a="1"/>
  <c r="E794" i="1" s="1"/>
  <c r="Y793" i="1" a="1"/>
  <c r="Y793" i="1" s="1"/>
  <c r="V793" i="1" a="1"/>
  <c r="V793" i="1" s="1"/>
  <c r="U793" i="1" a="1"/>
  <c r="U793" i="1" s="1"/>
  <c r="T793" i="1"/>
  <c r="S793" i="1" a="1"/>
  <c r="S793" i="1"/>
  <c r="R793" i="1" a="1"/>
  <c r="R793" i="1"/>
  <c r="Q793" i="1"/>
  <c r="M793" i="1" a="1"/>
  <c r="M793" i="1" s="1"/>
  <c r="L793" i="1" a="1"/>
  <c r="L793" i="1" s="1"/>
  <c r="K793" i="1" a="1"/>
  <c r="K793" i="1" s="1"/>
  <c r="J793" i="1" a="1"/>
  <c r="J793" i="1" s="1"/>
  <c r="I793" i="1" a="1"/>
  <c r="I793" i="1"/>
  <c r="H793" i="1" a="1"/>
  <c r="H793" i="1"/>
  <c r="G793" i="1" a="1"/>
  <c r="G793" i="1"/>
  <c r="C793" i="1" a="1"/>
  <c r="C793" i="1" s="1"/>
  <c r="B793" i="1" a="1"/>
  <c r="B793" i="1" s="1"/>
  <c r="Y792" i="1" a="1"/>
  <c r="Y792" i="1"/>
  <c r="E792" i="1" s="1" a="1"/>
  <c r="E792" i="1" s="1"/>
  <c r="V792" i="1" a="1"/>
  <c r="V792" i="1"/>
  <c r="U792" i="1" a="1"/>
  <c r="U792" i="1" s="1"/>
  <c r="T792" i="1"/>
  <c r="S792" i="1" a="1"/>
  <c r="S792" i="1"/>
  <c r="R792" i="1" a="1"/>
  <c r="R792" i="1" s="1"/>
  <c r="Q792" i="1"/>
  <c r="M792" i="1" a="1"/>
  <c r="M792" i="1"/>
  <c r="L792" i="1" a="1"/>
  <c r="L792" i="1" s="1"/>
  <c r="K792" i="1" a="1"/>
  <c r="K792" i="1"/>
  <c r="J792" i="1" a="1"/>
  <c r="J792" i="1" s="1"/>
  <c r="I792" i="1" a="1"/>
  <c r="I792" i="1" s="1"/>
  <c r="H792" i="1" a="1"/>
  <c r="H792" i="1" s="1"/>
  <c r="G792" i="1" a="1"/>
  <c r="G792" i="1"/>
  <c r="C792" i="1" a="1"/>
  <c r="C792" i="1" s="1"/>
  <c r="B792" i="1" a="1"/>
  <c r="B792" i="1" s="1"/>
  <c r="Y791" i="1" a="1"/>
  <c r="Y791" i="1" s="1"/>
  <c r="E791" i="1" s="1" a="1"/>
  <c r="V791" i="1" a="1"/>
  <c r="V791" i="1" s="1"/>
  <c r="U791" i="1" a="1"/>
  <c r="U791" i="1" s="1"/>
  <c r="T791" i="1"/>
  <c r="S791" i="1" a="1"/>
  <c r="S791" i="1"/>
  <c r="Q791" i="1"/>
  <c r="M791" i="1" a="1"/>
  <c r="M791" i="1"/>
  <c r="L791" i="1" a="1"/>
  <c r="L791" i="1"/>
  <c r="K791" i="1" a="1"/>
  <c r="K791" i="1"/>
  <c r="J791" i="1" a="1"/>
  <c r="J791" i="1" s="1"/>
  <c r="I791" i="1" a="1"/>
  <c r="I791" i="1" s="1"/>
  <c r="H791" i="1" a="1"/>
  <c r="H791" i="1" s="1"/>
  <c r="G791" i="1" a="1"/>
  <c r="G791" i="1" s="1"/>
  <c r="E791" i="1"/>
  <c r="B791" i="1" a="1"/>
  <c r="B791" i="1" s="1"/>
  <c r="Y790" i="1" a="1"/>
  <c r="Y790" i="1" s="1"/>
  <c r="E790" i="1" s="1" a="1"/>
  <c r="E790" i="1" s="1"/>
  <c r="V790" i="1" a="1"/>
  <c r="V790" i="1"/>
  <c r="U790" i="1" a="1"/>
  <c r="U790" i="1" s="1"/>
  <c r="T790" i="1"/>
  <c r="S790" i="1" a="1"/>
  <c r="S790" i="1"/>
  <c r="Q790" i="1"/>
  <c r="M790" i="1" a="1"/>
  <c r="M790" i="1" s="1"/>
  <c r="L790" i="1" a="1"/>
  <c r="L790" i="1" s="1"/>
  <c r="K790" i="1" a="1"/>
  <c r="K790" i="1" s="1"/>
  <c r="J790" i="1" a="1"/>
  <c r="J790" i="1"/>
  <c r="I790" i="1" a="1"/>
  <c r="I790" i="1" s="1"/>
  <c r="H790" i="1" a="1"/>
  <c r="H790" i="1" s="1"/>
  <c r="G790" i="1" a="1"/>
  <c r="G790" i="1" s="1"/>
  <c r="B790" i="1" a="1"/>
  <c r="B790" i="1" s="1"/>
  <c r="Y789" i="1" a="1"/>
  <c r="Y789" i="1"/>
  <c r="V789" i="1" a="1"/>
  <c r="V789" i="1" s="1"/>
  <c r="U789" i="1" a="1"/>
  <c r="U789" i="1" s="1"/>
  <c r="T789" i="1"/>
  <c r="S789" i="1" a="1"/>
  <c r="S789" i="1"/>
  <c r="Q789" i="1"/>
  <c r="M789" i="1" a="1"/>
  <c r="M789" i="1" s="1"/>
  <c r="B789" i="1" s="1" a="1"/>
  <c r="B789" i="1" s="1"/>
  <c r="L789" i="1" a="1"/>
  <c r="L789" i="1" s="1"/>
  <c r="K789" i="1" a="1"/>
  <c r="K789" i="1" s="1"/>
  <c r="J789" i="1" a="1"/>
  <c r="J789" i="1" s="1"/>
  <c r="I789" i="1" a="1"/>
  <c r="I789" i="1" s="1"/>
  <c r="H789" i="1" a="1"/>
  <c r="H789" i="1"/>
  <c r="G789" i="1" a="1"/>
  <c r="G789" i="1" s="1"/>
  <c r="E789" i="1" a="1"/>
  <c r="E789" i="1" s="1"/>
  <c r="Y788" i="1" a="1"/>
  <c r="Y788" i="1"/>
  <c r="V788" i="1" a="1"/>
  <c r="V788" i="1" s="1"/>
  <c r="U788" i="1" a="1"/>
  <c r="U788" i="1" s="1"/>
  <c r="T788" i="1"/>
  <c r="S788" i="1" a="1"/>
  <c r="S788" i="1"/>
  <c r="R788" i="1" a="1"/>
  <c r="R788" i="1"/>
  <c r="Q788" i="1"/>
  <c r="M788" i="1" a="1"/>
  <c r="M788" i="1"/>
  <c r="L788" i="1" a="1"/>
  <c r="L788" i="1" s="1"/>
  <c r="K788" i="1" a="1"/>
  <c r="K788" i="1" s="1"/>
  <c r="J788" i="1" a="1"/>
  <c r="J788" i="1" s="1"/>
  <c r="I788" i="1" a="1"/>
  <c r="I788" i="1" s="1"/>
  <c r="H788" i="1" a="1"/>
  <c r="H788" i="1" s="1"/>
  <c r="G788" i="1" a="1"/>
  <c r="G788" i="1"/>
  <c r="E788" i="1" a="1"/>
  <c r="E788" i="1" s="1"/>
  <c r="C788" i="1" a="1"/>
  <c r="C788" i="1"/>
  <c r="B788" i="1" a="1"/>
  <c r="B788" i="1" s="1"/>
  <c r="Y787" i="1" a="1"/>
  <c r="Y787" i="1" s="1"/>
  <c r="V787" i="1" a="1"/>
  <c r="V787" i="1" s="1"/>
  <c r="U787" i="1" a="1"/>
  <c r="U787" i="1" s="1"/>
  <c r="T787" i="1"/>
  <c r="S787" i="1" a="1"/>
  <c r="S787" i="1" s="1"/>
  <c r="R787" i="1" a="1"/>
  <c r="R787" i="1" s="1"/>
  <c r="Q787" i="1"/>
  <c r="M787" i="1" a="1"/>
  <c r="M787" i="1"/>
  <c r="B787" i="1" s="1" a="1"/>
  <c r="B787" i="1" s="1"/>
  <c r="L787" i="1" a="1"/>
  <c r="L787" i="1" s="1"/>
  <c r="K787" i="1" a="1"/>
  <c r="K787" i="1"/>
  <c r="J787" i="1" a="1"/>
  <c r="J787" i="1" s="1"/>
  <c r="I787" i="1" a="1"/>
  <c r="I787" i="1" s="1"/>
  <c r="H787" i="1" a="1"/>
  <c r="H787" i="1"/>
  <c r="G787" i="1" a="1"/>
  <c r="G787" i="1" s="1"/>
  <c r="E787" i="1" a="1"/>
  <c r="E787" i="1" s="1"/>
  <c r="C787" i="1" a="1"/>
  <c r="C787" i="1"/>
  <c r="Y786" i="1" a="1"/>
  <c r="Y786" i="1" s="1"/>
  <c r="V786" i="1" a="1"/>
  <c r="V786" i="1" s="1"/>
  <c r="U786" i="1" a="1"/>
  <c r="U786" i="1"/>
  <c r="T786" i="1"/>
  <c r="S786" i="1" a="1"/>
  <c r="S786" i="1"/>
  <c r="R786" i="1" a="1"/>
  <c r="R786" i="1" s="1"/>
  <c r="Q786" i="1"/>
  <c r="M786" i="1" a="1"/>
  <c r="M786" i="1"/>
  <c r="B786" i="1" s="1" a="1"/>
  <c r="B786" i="1" s="1"/>
  <c r="L786" i="1" a="1"/>
  <c r="L786" i="1" s="1"/>
  <c r="K786" i="1" a="1"/>
  <c r="K786" i="1"/>
  <c r="J786" i="1" a="1"/>
  <c r="J786" i="1" s="1"/>
  <c r="I786" i="1" a="1"/>
  <c r="I786" i="1"/>
  <c r="H786" i="1" a="1"/>
  <c r="H786" i="1" s="1"/>
  <c r="G786" i="1" a="1"/>
  <c r="G786" i="1" s="1"/>
  <c r="E786" i="1" a="1"/>
  <c r="E786" i="1" s="1"/>
  <c r="Y785" i="1" a="1"/>
  <c r="Y785" i="1"/>
  <c r="V785" i="1" a="1"/>
  <c r="V785" i="1" s="1"/>
  <c r="U785" i="1" a="1"/>
  <c r="U785" i="1" s="1"/>
  <c r="T785" i="1"/>
  <c r="S785" i="1" a="1"/>
  <c r="S785" i="1" s="1"/>
  <c r="Q785" i="1"/>
  <c r="M785" i="1" a="1"/>
  <c r="M785" i="1" s="1"/>
  <c r="B785" i="1" s="1" a="1"/>
  <c r="B785" i="1" s="1"/>
  <c r="L785" i="1" a="1"/>
  <c r="L785" i="1"/>
  <c r="K785" i="1" a="1"/>
  <c r="K785" i="1" s="1"/>
  <c r="J785" i="1" a="1"/>
  <c r="J785" i="1" s="1"/>
  <c r="I785" i="1" a="1"/>
  <c r="I785" i="1"/>
  <c r="H785" i="1" a="1"/>
  <c r="H785" i="1" s="1"/>
  <c r="G785" i="1" a="1"/>
  <c r="G785" i="1" s="1"/>
  <c r="E785" i="1" a="1"/>
  <c r="E785" i="1" s="1"/>
  <c r="Y784" i="1" a="1"/>
  <c r="Y784" i="1"/>
  <c r="V784" i="1" a="1"/>
  <c r="V784" i="1"/>
  <c r="U784" i="1" a="1"/>
  <c r="U784" i="1" s="1"/>
  <c r="T784" i="1"/>
  <c r="S784" i="1" a="1"/>
  <c r="S784" i="1"/>
  <c r="R784" i="1" s="1" a="1"/>
  <c r="R784" i="1" s="1"/>
  <c r="Q784" i="1"/>
  <c r="M784" i="1" a="1"/>
  <c r="M784" i="1"/>
  <c r="L784" i="1" a="1"/>
  <c r="L784" i="1" s="1"/>
  <c r="K784" i="1" a="1"/>
  <c r="K784" i="1"/>
  <c r="J784" i="1" a="1"/>
  <c r="J784" i="1" s="1"/>
  <c r="I784" i="1" a="1"/>
  <c r="I784" i="1"/>
  <c r="H784" i="1" a="1"/>
  <c r="H784" i="1" s="1"/>
  <c r="G784" i="1" a="1"/>
  <c r="G784" i="1" s="1"/>
  <c r="C784" i="1" a="1"/>
  <c r="C784" i="1" s="1"/>
  <c r="B784" i="1" a="1"/>
  <c r="B784" i="1" s="1"/>
  <c r="Y783" i="1" a="1"/>
  <c r="Y783" i="1" s="1"/>
  <c r="E783" i="1" s="1" a="1"/>
  <c r="V783" i="1" a="1"/>
  <c r="V783" i="1" s="1"/>
  <c r="U783" i="1" a="1"/>
  <c r="U783" i="1" s="1"/>
  <c r="T783" i="1"/>
  <c r="S783" i="1" a="1"/>
  <c r="S783" i="1" s="1"/>
  <c r="Q783" i="1"/>
  <c r="M783" i="1" a="1"/>
  <c r="M783" i="1"/>
  <c r="B783" i="1" s="1" a="1"/>
  <c r="B783" i="1" s="1"/>
  <c r="L783" i="1" a="1"/>
  <c r="L783" i="1"/>
  <c r="K783" i="1" a="1"/>
  <c r="K783" i="1"/>
  <c r="J783" i="1" a="1"/>
  <c r="J783" i="1" s="1"/>
  <c r="I783" i="1" a="1"/>
  <c r="I783" i="1"/>
  <c r="H783" i="1" a="1"/>
  <c r="H783" i="1" s="1"/>
  <c r="G783" i="1" a="1"/>
  <c r="G783" i="1" s="1"/>
  <c r="E783" i="1"/>
  <c r="Y782" i="1" a="1"/>
  <c r="Y782" i="1" s="1"/>
  <c r="E782" i="1" s="1" a="1"/>
  <c r="E782" i="1" s="1"/>
  <c r="V782" i="1" a="1"/>
  <c r="V782" i="1" s="1"/>
  <c r="U782" i="1" a="1"/>
  <c r="U782" i="1" s="1"/>
  <c r="T782" i="1"/>
  <c r="S782" i="1" a="1"/>
  <c r="S782" i="1"/>
  <c r="Q782" i="1"/>
  <c r="M782" i="1" a="1"/>
  <c r="M782" i="1" s="1"/>
  <c r="L782" i="1" a="1"/>
  <c r="L782" i="1" s="1"/>
  <c r="K782" i="1" a="1"/>
  <c r="K782" i="1" s="1"/>
  <c r="J782" i="1" a="1"/>
  <c r="J782" i="1"/>
  <c r="I782" i="1" a="1"/>
  <c r="I782" i="1" s="1"/>
  <c r="H782" i="1" a="1"/>
  <c r="H782" i="1" s="1"/>
  <c r="G782" i="1" a="1"/>
  <c r="G782" i="1"/>
  <c r="B782" i="1" a="1"/>
  <c r="B782" i="1"/>
  <c r="Y781" i="1" a="1"/>
  <c r="Y781" i="1"/>
  <c r="V781" i="1" a="1"/>
  <c r="V781" i="1" s="1"/>
  <c r="U781" i="1" a="1"/>
  <c r="U781" i="1" s="1"/>
  <c r="T781" i="1"/>
  <c r="S781" i="1" a="1"/>
  <c r="S781" i="1" s="1"/>
  <c r="Q781" i="1"/>
  <c r="M781" i="1" a="1"/>
  <c r="M781" i="1"/>
  <c r="B781" i="1" s="1" a="1"/>
  <c r="B781" i="1" s="1"/>
  <c r="L781" i="1" a="1"/>
  <c r="L781" i="1" s="1"/>
  <c r="K781" i="1" a="1"/>
  <c r="K781" i="1" s="1"/>
  <c r="J781" i="1" a="1"/>
  <c r="J781" i="1" s="1"/>
  <c r="I781" i="1" a="1"/>
  <c r="I781" i="1"/>
  <c r="H781" i="1" a="1"/>
  <c r="H781" i="1"/>
  <c r="G781" i="1" a="1"/>
  <c r="G781" i="1" s="1"/>
  <c r="E781" i="1" a="1"/>
  <c r="E781" i="1" s="1"/>
  <c r="Y780" i="1" a="1"/>
  <c r="Y780" i="1"/>
  <c r="V780" i="1" a="1"/>
  <c r="V780" i="1" s="1"/>
  <c r="U780" i="1" a="1"/>
  <c r="U780" i="1" s="1"/>
  <c r="T780" i="1"/>
  <c r="S780" i="1" a="1"/>
  <c r="S780" i="1"/>
  <c r="R780" i="1" a="1"/>
  <c r="R780" i="1" s="1"/>
  <c r="Q780" i="1"/>
  <c r="M780" i="1" a="1"/>
  <c r="M780" i="1" s="1"/>
  <c r="B780" i="1" s="1" a="1"/>
  <c r="B780" i="1" s="1"/>
  <c r="L780" i="1" a="1"/>
  <c r="L780" i="1" s="1"/>
  <c r="K780" i="1" a="1"/>
  <c r="K780" i="1" s="1"/>
  <c r="J780" i="1" a="1"/>
  <c r="J780" i="1"/>
  <c r="I780" i="1" a="1"/>
  <c r="I780" i="1" s="1"/>
  <c r="H780" i="1" a="1"/>
  <c r="H780" i="1" s="1"/>
  <c r="G780" i="1" a="1"/>
  <c r="G780" i="1" s="1"/>
  <c r="C780" i="1" a="1"/>
  <c r="C780" i="1" s="1"/>
  <c r="Y779" i="1" a="1"/>
  <c r="Y779" i="1" s="1"/>
  <c r="V779" i="1" a="1"/>
  <c r="V779" i="1" s="1"/>
  <c r="U779" i="1" a="1"/>
  <c r="U779" i="1" s="1"/>
  <c r="T779" i="1"/>
  <c r="S779" i="1" a="1"/>
  <c r="S779" i="1" s="1"/>
  <c r="Q779" i="1"/>
  <c r="M779" i="1" a="1"/>
  <c r="M779" i="1"/>
  <c r="B779" i="1" s="1" a="1"/>
  <c r="B779" i="1" s="1"/>
  <c r="L779" i="1" a="1"/>
  <c r="L779" i="1"/>
  <c r="K779" i="1" a="1"/>
  <c r="K779" i="1"/>
  <c r="J779" i="1" a="1"/>
  <c r="J779" i="1" s="1"/>
  <c r="I779" i="1" a="1"/>
  <c r="I779" i="1" s="1"/>
  <c r="H779" i="1" a="1"/>
  <c r="H779" i="1"/>
  <c r="G779" i="1" a="1"/>
  <c r="G779" i="1" s="1"/>
  <c r="E779" i="1" a="1"/>
  <c r="E779" i="1"/>
  <c r="Y778" i="1" a="1"/>
  <c r="Y778" i="1" s="1"/>
  <c r="V778" i="1" a="1"/>
  <c r="V778" i="1"/>
  <c r="U778" i="1" a="1"/>
  <c r="U778" i="1" s="1"/>
  <c r="T778" i="1"/>
  <c r="S778" i="1" a="1"/>
  <c r="S778" i="1"/>
  <c r="C778" i="1" s="1" a="1"/>
  <c r="C778" i="1" s="1"/>
  <c r="R778" i="1" a="1"/>
  <c r="R778" i="1" s="1"/>
  <c r="Q778" i="1"/>
  <c r="M778" i="1" a="1"/>
  <c r="M778" i="1" s="1"/>
  <c r="B778" i="1" s="1" a="1"/>
  <c r="B778" i="1" s="1"/>
  <c r="L778" i="1" a="1"/>
  <c r="L778" i="1" s="1"/>
  <c r="K778" i="1" a="1"/>
  <c r="K778" i="1"/>
  <c r="J778" i="1" a="1"/>
  <c r="J778" i="1" s="1"/>
  <c r="I778" i="1" a="1"/>
  <c r="I778" i="1" s="1"/>
  <c r="H778" i="1" a="1"/>
  <c r="H778" i="1" s="1"/>
  <c r="G778" i="1" a="1"/>
  <c r="G778" i="1" s="1"/>
  <c r="Y777" i="1" a="1"/>
  <c r="Y777" i="1"/>
  <c r="V777" i="1" a="1"/>
  <c r="V777" i="1" s="1"/>
  <c r="U777" i="1" a="1"/>
  <c r="U777" i="1" s="1"/>
  <c r="T777" i="1"/>
  <c r="S777" i="1" a="1"/>
  <c r="S777" i="1"/>
  <c r="Q777" i="1"/>
  <c r="M777" i="1" a="1"/>
  <c r="M777" i="1" s="1"/>
  <c r="B777" i="1" s="1" a="1"/>
  <c r="B777" i="1" s="1"/>
  <c r="L777" i="1" a="1"/>
  <c r="L777" i="1" s="1"/>
  <c r="K777" i="1" a="1"/>
  <c r="K777" i="1"/>
  <c r="J777" i="1" a="1"/>
  <c r="J777" i="1" s="1"/>
  <c r="I777" i="1" a="1"/>
  <c r="I777" i="1" s="1"/>
  <c r="H777" i="1" a="1"/>
  <c r="H777" i="1" s="1"/>
  <c r="G777" i="1" a="1"/>
  <c r="G777" i="1"/>
  <c r="Y776" i="1" a="1"/>
  <c r="Y776" i="1"/>
  <c r="V776" i="1" a="1"/>
  <c r="V776" i="1" s="1"/>
  <c r="U776" i="1" a="1"/>
  <c r="U776" i="1" s="1"/>
  <c r="T776" i="1"/>
  <c r="S776" i="1" a="1"/>
  <c r="S776" i="1"/>
  <c r="R776" i="1" a="1"/>
  <c r="R776" i="1" s="1"/>
  <c r="Q776" i="1"/>
  <c r="M776" i="1" a="1"/>
  <c r="M776" i="1" s="1"/>
  <c r="B776" i="1" s="1" a="1"/>
  <c r="B776" i="1" s="1"/>
  <c r="L776" i="1" a="1"/>
  <c r="L776" i="1" s="1"/>
  <c r="K776" i="1" a="1"/>
  <c r="K776" i="1" s="1"/>
  <c r="J776" i="1" a="1"/>
  <c r="J776" i="1" s="1"/>
  <c r="I776" i="1" a="1"/>
  <c r="I776" i="1" s="1"/>
  <c r="H776" i="1" a="1"/>
  <c r="H776" i="1" s="1"/>
  <c r="G776" i="1" a="1"/>
  <c r="G776" i="1"/>
  <c r="E776" i="1" a="1"/>
  <c r="E776" i="1" s="1"/>
  <c r="C776" i="1" a="1"/>
  <c r="C776" i="1"/>
  <c r="Y775" i="1" a="1"/>
  <c r="Y775" i="1" s="1"/>
  <c r="V775" i="1" a="1"/>
  <c r="V775" i="1" s="1"/>
  <c r="U775" i="1" a="1"/>
  <c r="U775" i="1" s="1"/>
  <c r="T775" i="1"/>
  <c r="S775" i="1" a="1"/>
  <c r="S775" i="1" s="1"/>
  <c r="R775" i="1" s="1" a="1"/>
  <c r="R775" i="1" s="1"/>
  <c r="Q775" i="1"/>
  <c r="M775" i="1" a="1"/>
  <c r="M775" i="1"/>
  <c r="B775" i="1" s="1" a="1"/>
  <c r="B775" i="1" s="1"/>
  <c r="L775" i="1" a="1"/>
  <c r="L775" i="1" s="1"/>
  <c r="K775" i="1" a="1"/>
  <c r="K775" i="1"/>
  <c r="J775" i="1" a="1"/>
  <c r="J775" i="1" s="1"/>
  <c r="I775" i="1" a="1"/>
  <c r="I775" i="1"/>
  <c r="H775" i="1" a="1"/>
  <c r="H775" i="1"/>
  <c r="G775" i="1" a="1"/>
  <c r="G775" i="1" s="1"/>
  <c r="Y774" i="1" a="1"/>
  <c r="Y774" i="1" s="1"/>
  <c r="V774" i="1" a="1"/>
  <c r="V774" i="1" s="1"/>
  <c r="U774" i="1" a="1"/>
  <c r="U774" i="1" s="1"/>
  <c r="T774" i="1"/>
  <c r="S774" i="1" a="1"/>
  <c r="S774" i="1"/>
  <c r="Q774" i="1"/>
  <c r="M774" i="1" a="1"/>
  <c r="M774" i="1"/>
  <c r="B774" i="1" s="1" a="1"/>
  <c r="L774" i="1" a="1"/>
  <c r="L774" i="1" s="1"/>
  <c r="K774" i="1" a="1"/>
  <c r="K774" i="1"/>
  <c r="J774" i="1" a="1"/>
  <c r="J774" i="1" s="1"/>
  <c r="I774" i="1" a="1"/>
  <c r="I774" i="1" s="1"/>
  <c r="H774" i="1" a="1"/>
  <c r="H774" i="1" s="1"/>
  <c r="G774" i="1" a="1"/>
  <c r="G774" i="1" s="1"/>
  <c r="B774" i="1"/>
  <c r="Y773" i="1" a="1"/>
  <c r="Y773" i="1"/>
  <c r="E773" i="1" s="1" a="1"/>
  <c r="E773" i="1" s="1"/>
  <c r="V773" i="1" a="1"/>
  <c r="V773" i="1" s="1"/>
  <c r="U773" i="1" a="1"/>
  <c r="U773" i="1" s="1"/>
  <c r="T773" i="1"/>
  <c r="S773" i="1" a="1"/>
  <c r="S773" i="1"/>
  <c r="Q773" i="1"/>
  <c r="M773" i="1" a="1"/>
  <c r="M773" i="1" s="1"/>
  <c r="B773" i="1" s="1" a="1"/>
  <c r="B773" i="1" s="1"/>
  <c r="L773" i="1" a="1"/>
  <c r="L773" i="1"/>
  <c r="K773" i="1" a="1"/>
  <c r="K773" i="1" s="1"/>
  <c r="J773" i="1" a="1"/>
  <c r="J773" i="1"/>
  <c r="I773" i="1" a="1"/>
  <c r="I773" i="1" s="1"/>
  <c r="H773" i="1" a="1"/>
  <c r="H773" i="1" s="1"/>
  <c r="G773" i="1" a="1"/>
  <c r="G773" i="1" s="1"/>
  <c r="Y772" i="1" a="1"/>
  <c r="Y772" i="1" s="1"/>
  <c r="V772" i="1" a="1"/>
  <c r="V772" i="1" s="1"/>
  <c r="U772" i="1" a="1"/>
  <c r="U772" i="1" s="1"/>
  <c r="T772" i="1"/>
  <c r="S772" i="1" a="1"/>
  <c r="S772" i="1" s="1"/>
  <c r="Q772" i="1"/>
  <c r="M772" i="1" a="1"/>
  <c r="M772" i="1" s="1"/>
  <c r="B772" i="1" s="1" a="1"/>
  <c r="L772" i="1" a="1"/>
  <c r="L772" i="1"/>
  <c r="K772" i="1" a="1"/>
  <c r="K772" i="1" s="1"/>
  <c r="J772" i="1" a="1"/>
  <c r="J772" i="1" s="1"/>
  <c r="I772" i="1" a="1"/>
  <c r="I772" i="1" s="1"/>
  <c r="H772" i="1" a="1"/>
  <c r="H772" i="1" s="1"/>
  <c r="G772" i="1" a="1"/>
  <c r="G772" i="1" s="1"/>
  <c r="B772" i="1"/>
  <c r="Y771" i="1" a="1"/>
  <c r="Y771" i="1" s="1"/>
  <c r="V771" i="1" a="1"/>
  <c r="V771" i="1" s="1"/>
  <c r="U771" i="1" a="1"/>
  <c r="U771" i="1" s="1"/>
  <c r="T771" i="1"/>
  <c r="S771" i="1" a="1"/>
  <c r="S771" i="1"/>
  <c r="R771" i="1" a="1"/>
  <c r="R771" i="1" s="1"/>
  <c r="Q771" i="1"/>
  <c r="M771" i="1" a="1"/>
  <c r="M771" i="1" s="1"/>
  <c r="L771" i="1" a="1"/>
  <c r="L771" i="1" s="1"/>
  <c r="K771" i="1" a="1"/>
  <c r="K771" i="1" s="1"/>
  <c r="J771" i="1" a="1"/>
  <c r="J771" i="1"/>
  <c r="I771" i="1" a="1"/>
  <c r="I771" i="1" s="1"/>
  <c r="H771" i="1" a="1"/>
  <c r="H771" i="1" s="1"/>
  <c r="G771" i="1" a="1"/>
  <c r="G771" i="1"/>
  <c r="B771" i="1" a="1"/>
  <c r="B771" i="1"/>
  <c r="Y770" i="1" a="1"/>
  <c r="Y770" i="1" s="1"/>
  <c r="V770" i="1" a="1"/>
  <c r="V770" i="1" s="1"/>
  <c r="U770" i="1" a="1"/>
  <c r="U770" i="1" s="1"/>
  <c r="T770" i="1"/>
  <c r="S770" i="1" a="1"/>
  <c r="S770" i="1" s="1"/>
  <c r="Q770" i="1"/>
  <c r="M770" i="1" a="1"/>
  <c r="M770" i="1" s="1"/>
  <c r="B770" i="1" s="1" a="1"/>
  <c r="B770" i="1" s="1"/>
  <c r="L770" i="1" a="1"/>
  <c r="L770" i="1" s="1"/>
  <c r="K770" i="1" a="1"/>
  <c r="K770" i="1" s="1"/>
  <c r="J770" i="1" a="1"/>
  <c r="J770" i="1"/>
  <c r="I770" i="1" a="1"/>
  <c r="I770" i="1"/>
  <c r="H770" i="1" a="1"/>
  <c r="H770" i="1" s="1"/>
  <c r="G770" i="1" a="1"/>
  <c r="G770" i="1" s="1"/>
  <c r="E770" i="1" a="1"/>
  <c r="E770" i="1" s="1"/>
  <c r="Y769" i="1" a="1"/>
  <c r="Y769" i="1"/>
  <c r="V769" i="1" a="1"/>
  <c r="V769" i="1" s="1"/>
  <c r="U769" i="1" a="1"/>
  <c r="U769" i="1" s="1"/>
  <c r="T769" i="1"/>
  <c r="S769" i="1" a="1"/>
  <c r="S769" i="1"/>
  <c r="R769" i="1" s="1" a="1"/>
  <c r="R769" i="1"/>
  <c r="Q769" i="1"/>
  <c r="M769" i="1" a="1"/>
  <c r="M769" i="1" s="1"/>
  <c r="L769" i="1" a="1"/>
  <c r="L769" i="1"/>
  <c r="K769" i="1" a="1"/>
  <c r="K769" i="1"/>
  <c r="J769" i="1" a="1"/>
  <c r="J769" i="1"/>
  <c r="I769" i="1" a="1"/>
  <c r="I769" i="1" s="1"/>
  <c r="H769" i="1" a="1"/>
  <c r="H769" i="1"/>
  <c r="G769" i="1" a="1"/>
  <c r="G769" i="1" s="1"/>
  <c r="C769" i="1" a="1"/>
  <c r="C769" i="1" s="1"/>
  <c r="B769" i="1" a="1"/>
  <c r="B769" i="1" s="1"/>
  <c r="Y768" i="1" a="1"/>
  <c r="Y768" i="1" s="1"/>
  <c r="V768" i="1" a="1"/>
  <c r="V768" i="1"/>
  <c r="U768" i="1" a="1"/>
  <c r="U768" i="1" s="1"/>
  <c r="T768" i="1"/>
  <c r="S768" i="1" a="1"/>
  <c r="S768" i="1" s="1"/>
  <c r="Q768" i="1"/>
  <c r="M768" i="1" a="1"/>
  <c r="M768" i="1" s="1"/>
  <c r="L768" i="1" a="1"/>
  <c r="L768" i="1"/>
  <c r="K768" i="1" a="1"/>
  <c r="K768" i="1" s="1"/>
  <c r="J768" i="1" a="1"/>
  <c r="J768" i="1" s="1"/>
  <c r="I768" i="1" a="1"/>
  <c r="I768" i="1" s="1"/>
  <c r="H768" i="1" a="1"/>
  <c r="H768" i="1" s="1"/>
  <c r="G768" i="1" a="1"/>
  <c r="G768" i="1" s="1"/>
  <c r="B768" i="1" a="1"/>
  <c r="B768" i="1" s="1"/>
  <c r="Y767" i="1" a="1"/>
  <c r="Y767" i="1" s="1"/>
  <c r="V767" i="1" a="1"/>
  <c r="V767" i="1"/>
  <c r="U767" i="1" a="1"/>
  <c r="U767" i="1" s="1"/>
  <c r="T767" i="1"/>
  <c r="S767" i="1" a="1"/>
  <c r="S767" i="1" s="1"/>
  <c r="Q767" i="1"/>
  <c r="M767" i="1" a="1"/>
  <c r="M767" i="1"/>
  <c r="B767" i="1" s="1" a="1"/>
  <c r="B767" i="1" s="1"/>
  <c r="L767" i="1" a="1"/>
  <c r="L767" i="1"/>
  <c r="K767" i="1" a="1"/>
  <c r="K767" i="1" s="1"/>
  <c r="J767" i="1" a="1"/>
  <c r="J767" i="1" s="1"/>
  <c r="I767" i="1" a="1"/>
  <c r="I767" i="1"/>
  <c r="H767" i="1" a="1"/>
  <c r="H767" i="1" s="1"/>
  <c r="G767" i="1" a="1"/>
  <c r="G767" i="1" s="1"/>
  <c r="E767" i="1" a="1"/>
  <c r="E767" i="1" s="1"/>
  <c r="Y766" i="1" a="1"/>
  <c r="Y766" i="1" s="1"/>
  <c r="V766" i="1" a="1"/>
  <c r="V766" i="1"/>
  <c r="U766" i="1" a="1"/>
  <c r="U766" i="1" s="1"/>
  <c r="T766" i="1"/>
  <c r="S766" i="1" a="1"/>
  <c r="S766" i="1" s="1"/>
  <c r="Q766" i="1"/>
  <c r="M766" i="1" a="1"/>
  <c r="M766" i="1" s="1"/>
  <c r="B766" i="1" s="1" a="1"/>
  <c r="B766" i="1" s="1"/>
  <c r="L766" i="1" a="1"/>
  <c r="L766" i="1" s="1"/>
  <c r="K766" i="1" a="1"/>
  <c r="K766" i="1"/>
  <c r="J766" i="1" a="1"/>
  <c r="J766" i="1" s="1"/>
  <c r="I766" i="1" a="1"/>
  <c r="I766" i="1" s="1"/>
  <c r="H766" i="1" a="1"/>
  <c r="H766" i="1"/>
  <c r="G766" i="1" a="1"/>
  <c r="G766" i="1"/>
  <c r="C766" i="1" a="1"/>
  <c r="C766" i="1" s="1"/>
  <c r="Y765" i="1" a="1"/>
  <c r="Y765" i="1" s="1"/>
  <c r="V765" i="1" a="1"/>
  <c r="V765" i="1" s="1"/>
  <c r="U765" i="1" a="1"/>
  <c r="U765" i="1" s="1"/>
  <c r="T765" i="1"/>
  <c r="S765" i="1" a="1"/>
  <c r="S765" i="1" s="1"/>
  <c r="Q765" i="1"/>
  <c r="M765" i="1" a="1"/>
  <c r="M765" i="1"/>
  <c r="B765" i="1" s="1" a="1"/>
  <c r="B765" i="1" s="1"/>
  <c r="L765" i="1" a="1"/>
  <c r="L765" i="1" s="1"/>
  <c r="K765" i="1" a="1"/>
  <c r="K765" i="1" s="1"/>
  <c r="J765" i="1" a="1"/>
  <c r="J765" i="1" s="1"/>
  <c r="I765" i="1" a="1"/>
  <c r="I765" i="1" s="1"/>
  <c r="H765" i="1" a="1"/>
  <c r="H765" i="1" s="1"/>
  <c r="G765" i="1" a="1"/>
  <c r="G765" i="1" s="1"/>
  <c r="E765" i="1" a="1"/>
  <c r="E765" i="1" s="1"/>
  <c r="Y764" i="1" a="1"/>
  <c r="Y764" i="1"/>
  <c r="V764" i="1" a="1"/>
  <c r="V764" i="1" s="1"/>
  <c r="U764" i="1" a="1"/>
  <c r="U764" i="1" s="1"/>
  <c r="T764" i="1"/>
  <c r="S764" i="1" a="1"/>
  <c r="S764" i="1"/>
  <c r="Q764" i="1"/>
  <c r="M764" i="1" a="1"/>
  <c r="M764" i="1" s="1"/>
  <c r="B764" i="1" s="1" a="1"/>
  <c r="B764" i="1" s="1"/>
  <c r="L764" i="1" a="1"/>
  <c r="L764" i="1" s="1"/>
  <c r="K764" i="1" a="1"/>
  <c r="K764" i="1"/>
  <c r="J764" i="1" a="1"/>
  <c r="J764" i="1" s="1"/>
  <c r="I764" i="1" a="1"/>
  <c r="I764" i="1" s="1"/>
  <c r="H764" i="1" a="1"/>
  <c r="H764" i="1"/>
  <c r="G764" i="1" a="1"/>
  <c r="G764" i="1" s="1"/>
  <c r="E764" i="1" a="1"/>
  <c r="E764" i="1" s="1"/>
  <c r="Y763" i="1" a="1"/>
  <c r="Y763" i="1" s="1"/>
  <c r="V763" i="1" a="1"/>
  <c r="V763" i="1" s="1"/>
  <c r="U763" i="1" a="1"/>
  <c r="U763" i="1"/>
  <c r="T763" i="1"/>
  <c r="S763" i="1" a="1"/>
  <c r="S763" i="1"/>
  <c r="Q763" i="1"/>
  <c r="M763" i="1" a="1"/>
  <c r="M763" i="1" s="1"/>
  <c r="L763" i="1" a="1"/>
  <c r="L763" i="1"/>
  <c r="K763" i="1" a="1"/>
  <c r="K763" i="1" s="1"/>
  <c r="J763" i="1" a="1"/>
  <c r="J763" i="1"/>
  <c r="I763" i="1" a="1"/>
  <c r="I763" i="1" s="1"/>
  <c r="H763" i="1" a="1"/>
  <c r="H763" i="1"/>
  <c r="G763" i="1" a="1"/>
  <c r="G763" i="1" s="1"/>
  <c r="C763" i="1" a="1"/>
  <c r="C763" i="1" s="1"/>
  <c r="B763" i="1" a="1"/>
  <c r="B763" i="1" s="1"/>
  <c r="Y762" i="1" a="1"/>
  <c r="Y762" i="1" s="1"/>
  <c r="V762" i="1" a="1"/>
  <c r="V762" i="1" s="1"/>
  <c r="U762" i="1" a="1"/>
  <c r="U762" i="1" s="1"/>
  <c r="T762" i="1"/>
  <c r="S762" i="1" a="1"/>
  <c r="S762" i="1" s="1"/>
  <c r="C762" i="1" s="1" a="1"/>
  <c r="R762" i="1" a="1"/>
  <c r="R762" i="1"/>
  <c r="Q762" i="1"/>
  <c r="M762" i="1" a="1"/>
  <c r="M762" i="1" s="1"/>
  <c r="L762" i="1" a="1"/>
  <c r="L762" i="1"/>
  <c r="K762" i="1" a="1"/>
  <c r="K762" i="1" s="1"/>
  <c r="J762" i="1" a="1"/>
  <c r="J762" i="1"/>
  <c r="I762" i="1" a="1"/>
  <c r="I762" i="1" s="1"/>
  <c r="H762" i="1" a="1"/>
  <c r="H762" i="1" s="1"/>
  <c r="G762" i="1" a="1"/>
  <c r="G762" i="1"/>
  <c r="C762" i="1"/>
  <c r="B762" i="1" a="1"/>
  <c r="B762" i="1" s="1"/>
  <c r="Y761" i="1" a="1"/>
  <c r="Y761" i="1" s="1"/>
  <c r="E761" i="1" s="1" a="1"/>
  <c r="E761" i="1" s="1"/>
  <c r="V761" i="1" a="1"/>
  <c r="V761" i="1"/>
  <c r="U761" i="1" a="1"/>
  <c r="U761" i="1" s="1"/>
  <c r="T761" i="1"/>
  <c r="S761" i="1" a="1"/>
  <c r="S761" i="1" s="1"/>
  <c r="Q761" i="1"/>
  <c r="M761" i="1" a="1"/>
  <c r="M761" i="1" s="1"/>
  <c r="B761" i="1" s="1" a="1"/>
  <c r="B761" i="1" s="1"/>
  <c r="L761" i="1" a="1"/>
  <c r="L761" i="1"/>
  <c r="K761" i="1" a="1"/>
  <c r="K761" i="1" s="1"/>
  <c r="J761" i="1" a="1"/>
  <c r="J761" i="1"/>
  <c r="I761" i="1" a="1"/>
  <c r="I761" i="1"/>
  <c r="H761" i="1" a="1"/>
  <c r="H761" i="1" s="1"/>
  <c r="G761" i="1" a="1"/>
  <c r="G761" i="1" s="1"/>
  <c r="Y760" i="1" a="1"/>
  <c r="Y760" i="1"/>
  <c r="V760" i="1" a="1"/>
  <c r="V760" i="1"/>
  <c r="U760" i="1" a="1"/>
  <c r="U760" i="1" s="1"/>
  <c r="T760" i="1"/>
  <c r="S760" i="1" a="1"/>
  <c r="S760" i="1"/>
  <c r="Q760" i="1"/>
  <c r="M760" i="1" a="1"/>
  <c r="M760" i="1" s="1"/>
  <c r="L760" i="1" a="1"/>
  <c r="L760" i="1" s="1"/>
  <c r="K760" i="1" a="1"/>
  <c r="K760" i="1"/>
  <c r="J760" i="1" a="1"/>
  <c r="J760" i="1"/>
  <c r="I760" i="1" a="1"/>
  <c r="I760" i="1" s="1"/>
  <c r="H760" i="1" a="1"/>
  <c r="H760" i="1" s="1"/>
  <c r="G760" i="1" a="1"/>
  <c r="G760" i="1"/>
  <c r="B760" i="1" a="1"/>
  <c r="B760" i="1" s="1"/>
  <c r="Y759" i="1" a="1"/>
  <c r="Y759" i="1" s="1"/>
  <c r="V759" i="1" a="1"/>
  <c r="V759" i="1" s="1"/>
  <c r="U759" i="1" a="1"/>
  <c r="U759" i="1" s="1"/>
  <c r="T759" i="1"/>
  <c r="S759" i="1" a="1"/>
  <c r="S759" i="1"/>
  <c r="Q759" i="1"/>
  <c r="M759" i="1" a="1"/>
  <c r="M759" i="1" s="1"/>
  <c r="B759" i="1" s="1" a="1"/>
  <c r="B759" i="1" s="1"/>
  <c r="L759" i="1" a="1"/>
  <c r="L759" i="1" s="1"/>
  <c r="K759" i="1" a="1"/>
  <c r="K759" i="1" s="1"/>
  <c r="J759" i="1" a="1"/>
  <c r="J759" i="1" s="1"/>
  <c r="I759" i="1" a="1"/>
  <c r="I759" i="1"/>
  <c r="H759" i="1" a="1"/>
  <c r="H759" i="1" s="1"/>
  <c r="G759" i="1" a="1"/>
  <c r="G759" i="1" s="1"/>
  <c r="E759" i="1" a="1"/>
  <c r="E759" i="1"/>
  <c r="Y758" i="1" a="1"/>
  <c r="Y758" i="1" s="1"/>
  <c r="V758" i="1" a="1"/>
  <c r="V758" i="1" s="1"/>
  <c r="U758" i="1" a="1"/>
  <c r="U758" i="1" s="1"/>
  <c r="T758" i="1"/>
  <c r="S758" i="1" a="1"/>
  <c r="S758" i="1"/>
  <c r="Q758" i="1"/>
  <c r="M758" i="1" a="1"/>
  <c r="M758" i="1" s="1"/>
  <c r="B758" i="1" s="1" a="1"/>
  <c r="B758" i="1" s="1"/>
  <c r="L758" i="1" a="1"/>
  <c r="L758" i="1" s="1"/>
  <c r="K758" i="1" a="1"/>
  <c r="K758" i="1"/>
  <c r="J758" i="1" a="1"/>
  <c r="J758" i="1" s="1"/>
  <c r="I758" i="1" a="1"/>
  <c r="I758" i="1" s="1"/>
  <c r="H758" i="1" a="1"/>
  <c r="H758" i="1"/>
  <c r="G758" i="1" a="1"/>
  <c r="G758" i="1" s="1"/>
  <c r="C758" i="1" a="1"/>
  <c r="C758" i="1" s="1"/>
  <c r="Y757" i="1" a="1"/>
  <c r="Y757" i="1" s="1"/>
  <c r="V757" i="1" a="1"/>
  <c r="V757" i="1"/>
  <c r="U757" i="1" a="1"/>
  <c r="U757" i="1" s="1"/>
  <c r="T757" i="1"/>
  <c r="S757" i="1" a="1"/>
  <c r="S757" i="1"/>
  <c r="R757" i="1" s="1" a="1"/>
  <c r="R757" i="1"/>
  <c r="Q757" i="1"/>
  <c r="M757" i="1" a="1"/>
  <c r="M757" i="1"/>
  <c r="B757" i="1" s="1" a="1"/>
  <c r="B757" i="1" s="1"/>
  <c r="L757" i="1" a="1"/>
  <c r="L757" i="1" s="1"/>
  <c r="K757" i="1" a="1"/>
  <c r="K757" i="1" s="1"/>
  <c r="J757" i="1" a="1"/>
  <c r="J757" i="1" s="1"/>
  <c r="I757" i="1" a="1"/>
  <c r="I757" i="1"/>
  <c r="H757" i="1" a="1"/>
  <c r="H757" i="1"/>
  <c r="G757" i="1" a="1"/>
  <c r="G757" i="1" s="1"/>
  <c r="C757" i="1" a="1"/>
  <c r="C757" i="1" s="1"/>
  <c r="Y756" i="1" a="1"/>
  <c r="Y756" i="1"/>
  <c r="E756" i="1" s="1" a="1"/>
  <c r="E756" i="1" s="1"/>
  <c r="V756" i="1" a="1"/>
  <c r="V756" i="1"/>
  <c r="U756" i="1" a="1"/>
  <c r="U756" i="1" s="1"/>
  <c r="T756" i="1"/>
  <c r="S756" i="1" a="1"/>
  <c r="S756" i="1" s="1"/>
  <c r="R756" i="1" a="1"/>
  <c r="R756" i="1" s="1"/>
  <c r="Q756" i="1"/>
  <c r="M756" i="1" a="1"/>
  <c r="M756" i="1" s="1"/>
  <c r="B756" i="1" s="1" a="1"/>
  <c r="B756" i="1" s="1"/>
  <c r="L756" i="1" a="1"/>
  <c r="L756" i="1"/>
  <c r="K756" i="1" a="1"/>
  <c r="K756" i="1" s="1"/>
  <c r="J756" i="1" a="1"/>
  <c r="J756" i="1"/>
  <c r="I756" i="1" a="1"/>
  <c r="I756" i="1" s="1"/>
  <c r="H756" i="1" a="1"/>
  <c r="H756" i="1" s="1"/>
  <c r="G756" i="1" a="1"/>
  <c r="G756" i="1" s="1"/>
  <c r="C756" i="1" a="1"/>
  <c r="C756" i="1" s="1"/>
  <c r="Y755" i="1" a="1"/>
  <c r="Y755" i="1" s="1"/>
  <c r="E755" i="1" s="1" a="1"/>
  <c r="V755" i="1" a="1"/>
  <c r="V755" i="1" s="1"/>
  <c r="U755" i="1" a="1"/>
  <c r="U755" i="1" s="1"/>
  <c r="T755" i="1"/>
  <c r="S755" i="1" a="1"/>
  <c r="S755" i="1" s="1"/>
  <c r="Q755" i="1"/>
  <c r="M755" i="1" a="1"/>
  <c r="M755" i="1"/>
  <c r="L755" i="1" a="1"/>
  <c r="L755" i="1"/>
  <c r="K755" i="1" a="1"/>
  <c r="K755" i="1" s="1"/>
  <c r="J755" i="1" a="1"/>
  <c r="J755" i="1"/>
  <c r="I755" i="1" a="1"/>
  <c r="I755" i="1" s="1"/>
  <c r="H755" i="1" a="1"/>
  <c r="H755" i="1" s="1"/>
  <c r="G755" i="1" a="1"/>
  <c r="G755" i="1" s="1"/>
  <c r="E755" i="1"/>
  <c r="B755" i="1" a="1"/>
  <c r="B755" i="1" s="1"/>
  <c r="Y754" i="1" a="1"/>
  <c r="Y754" i="1"/>
  <c r="V754" i="1" a="1"/>
  <c r="V754" i="1" s="1"/>
  <c r="U754" i="1" a="1"/>
  <c r="U754" i="1" s="1"/>
  <c r="T754" i="1"/>
  <c r="S754" i="1" a="1"/>
  <c r="S754" i="1"/>
  <c r="R754" i="1" s="1" a="1"/>
  <c r="R754" i="1" s="1"/>
  <c r="Q754" i="1"/>
  <c r="M754" i="1" a="1"/>
  <c r="M754" i="1" s="1"/>
  <c r="L754" i="1" a="1"/>
  <c r="L754" i="1"/>
  <c r="K754" i="1" a="1"/>
  <c r="K754" i="1" s="1"/>
  <c r="J754" i="1" a="1"/>
  <c r="J754" i="1"/>
  <c r="I754" i="1" a="1"/>
  <c r="I754" i="1" s="1"/>
  <c r="H754" i="1" a="1"/>
  <c r="H754" i="1"/>
  <c r="G754" i="1" a="1"/>
  <c r="G754" i="1" s="1"/>
  <c r="C754" i="1" a="1"/>
  <c r="C754" i="1"/>
  <c r="B754" i="1" a="1"/>
  <c r="B754" i="1"/>
  <c r="Y753" i="1" a="1"/>
  <c r="Y753" i="1" s="1"/>
  <c r="V753" i="1" a="1"/>
  <c r="V753" i="1"/>
  <c r="U753" i="1" a="1"/>
  <c r="U753" i="1" s="1"/>
  <c r="T753" i="1"/>
  <c r="S753" i="1" a="1"/>
  <c r="S753" i="1"/>
  <c r="Q753" i="1"/>
  <c r="M753" i="1" a="1"/>
  <c r="M753" i="1" s="1"/>
  <c r="L753" i="1" a="1"/>
  <c r="L753" i="1" s="1"/>
  <c r="K753" i="1" a="1"/>
  <c r="K753" i="1" s="1"/>
  <c r="J753" i="1" a="1"/>
  <c r="J753" i="1" s="1"/>
  <c r="I753" i="1" a="1"/>
  <c r="I753" i="1"/>
  <c r="H753" i="1" a="1"/>
  <c r="H753" i="1"/>
  <c r="G753" i="1" a="1"/>
  <c r="G753" i="1" s="1"/>
  <c r="E753" i="1" a="1"/>
  <c r="E753" i="1"/>
  <c r="B753" i="1" a="1"/>
  <c r="B753" i="1"/>
  <c r="Y752" i="1" a="1"/>
  <c r="Y752" i="1" s="1"/>
  <c r="E752" i="1" s="1" a="1"/>
  <c r="E752" i="1" s="1"/>
  <c r="V752" i="1" a="1"/>
  <c r="V752" i="1" s="1"/>
  <c r="U752" i="1" a="1"/>
  <c r="U752" i="1" s="1"/>
  <c r="T752" i="1"/>
  <c r="S752" i="1" a="1"/>
  <c r="S752" i="1" s="1"/>
  <c r="Q752" i="1"/>
  <c r="M752" i="1" a="1"/>
  <c r="M752" i="1" s="1"/>
  <c r="B752" i="1" s="1" a="1"/>
  <c r="B752" i="1" s="1"/>
  <c r="L752" i="1" a="1"/>
  <c r="L752" i="1"/>
  <c r="K752" i="1" a="1"/>
  <c r="K752" i="1"/>
  <c r="J752" i="1" a="1"/>
  <c r="J752" i="1" s="1"/>
  <c r="I752" i="1" a="1"/>
  <c r="I752" i="1" s="1"/>
  <c r="H752" i="1" a="1"/>
  <c r="H752" i="1" s="1"/>
  <c r="G752" i="1" a="1"/>
  <c r="G752" i="1" s="1"/>
  <c r="Y751" i="1" a="1"/>
  <c r="Y751" i="1" s="1"/>
  <c r="V751" i="1" a="1"/>
  <c r="V751" i="1"/>
  <c r="U751" i="1" a="1"/>
  <c r="U751" i="1" s="1"/>
  <c r="T751" i="1"/>
  <c r="S751" i="1" a="1"/>
  <c r="S751" i="1" s="1"/>
  <c r="Q751" i="1"/>
  <c r="M751" i="1" a="1"/>
  <c r="M751" i="1"/>
  <c r="B751" i="1" s="1" a="1"/>
  <c r="L751" i="1" a="1"/>
  <c r="L751" i="1"/>
  <c r="K751" i="1" a="1"/>
  <c r="K751" i="1" s="1"/>
  <c r="J751" i="1" a="1"/>
  <c r="J751" i="1"/>
  <c r="I751" i="1" a="1"/>
  <c r="I751" i="1"/>
  <c r="H751" i="1" a="1"/>
  <c r="H751" i="1" s="1"/>
  <c r="G751" i="1" a="1"/>
  <c r="G751" i="1" s="1"/>
  <c r="B751" i="1"/>
  <c r="Y750" i="1" a="1"/>
  <c r="Y750" i="1" s="1"/>
  <c r="V750" i="1" a="1"/>
  <c r="V750" i="1"/>
  <c r="U750" i="1" a="1"/>
  <c r="U750" i="1" s="1"/>
  <c r="T750" i="1"/>
  <c r="S750" i="1" a="1"/>
  <c r="S750" i="1"/>
  <c r="R750" i="1" a="1"/>
  <c r="R750" i="1" s="1"/>
  <c r="Q750" i="1"/>
  <c r="M750" i="1" a="1"/>
  <c r="M750" i="1" s="1"/>
  <c r="L750" i="1" a="1"/>
  <c r="L750" i="1" s="1"/>
  <c r="K750" i="1" a="1"/>
  <c r="K750" i="1" s="1"/>
  <c r="J750" i="1" a="1"/>
  <c r="J750" i="1" s="1"/>
  <c r="I750" i="1" a="1"/>
  <c r="I750" i="1" s="1"/>
  <c r="H750" i="1" a="1"/>
  <c r="H750" i="1" s="1"/>
  <c r="G750" i="1" a="1"/>
  <c r="G750" i="1"/>
  <c r="C750" i="1" a="1"/>
  <c r="C750" i="1" s="1"/>
  <c r="B750" i="1" a="1"/>
  <c r="B750" i="1" s="1"/>
  <c r="Y749" i="1" a="1"/>
  <c r="Y749" i="1" s="1"/>
  <c r="V749" i="1" a="1"/>
  <c r="V749" i="1" s="1"/>
  <c r="U749" i="1" a="1"/>
  <c r="U749" i="1" s="1"/>
  <c r="T749" i="1"/>
  <c r="S749" i="1" a="1"/>
  <c r="S749" i="1" s="1"/>
  <c r="Q749" i="1"/>
  <c r="M749" i="1" a="1"/>
  <c r="M749" i="1"/>
  <c r="B749" i="1" s="1" a="1"/>
  <c r="B749" i="1" s="1"/>
  <c r="L749" i="1" a="1"/>
  <c r="L749" i="1" s="1"/>
  <c r="K749" i="1" a="1"/>
  <c r="K749" i="1" s="1"/>
  <c r="J749" i="1" a="1"/>
  <c r="J749" i="1" s="1"/>
  <c r="I749" i="1" a="1"/>
  <c r="I749" i="1" s="1"/>
  <c r="H749" i="1" a="1"/>
  <c r="H749" i="1" s="1"/>
  <c r="G749" i="1" a="1"/>
  <c r="G749" i="1" s="1"/>
  <c r="E749" i="1" a="1"/>
  <c r="E749" i="1" s="1"/>
  <c r="Y748" i="1" a="1"/>
  <c r="Y748" i="1" s="1"/>
  <c r="V748" i="1" a="1"/>
  <c r="V748" i="1" s="1"/>
  <c r="U748" i="1" a="1"/>
  <c r="U748" i="1" s="1"/>
  <c r="T748" i="1"/>
  <c r="S748" i="1" a="1"/>
  <c r="S748" i="1"/>
  <c r="R748" i="1" s="1" a="1"/>
  <c r="R748" i="1" s="1"/>
  <c r="Q748" i="1"/>
  <c r="M748" i="1" a="1"/>
  <c r="M748" i="1" s="1"/>
  <c r="B748" i="1" s="1" a="1"/>
  <c r="B748" i="1" s="1"/>
  <c r="L748" i="1" a="1"/>
  <c r="L748" i="1" s="1"/>
  <c r="K748" i="1" a="1"/>
  <c r="K748" i="1"/>
  <c r="J748" i="1" a="1"/>
  <c r="J748" i="1"/>
  <c r="I748" i="1" a="1"/>
  <c r="I748" i="1" s="1"/>
  <c r="H748" i="1" a="1"/>
  <c r="H748" i="1"/>
  <c r="G748" i="1" a="1"/>
  <c r="G748" i="1" s="1"/>
  <c r="C748" i="1" a="1"/>
  <c r="C748" i="1" s="1"/>
  <c r="Y747" i="1" a="1"/>
  <c r="Y747" i="1" s="1"/>
  <c r="V747" i="1" a="1"/>
  <c r="V747" i="1" s="1"/>
  <c r="U747" i="1" a="1"/>
  <c r="U747" i="1"/>
  <c r="T747" i="1"/>
  <c r="S747" i="1" a="1"/>
  <c r="S747" i="1"/>
  <c r="Q747" i="1"/>
  <c r="M747" i="1" a="1"/>
  <c r="M747" i="1" s="1"/>
  <c r="B747" i="1" s="1" a="1"/>
  <c r="B747" i="1" s="1"/>
  <c r="L747" i="1" a="1"/>
  <c r="L747" i="1"/>
  <c r="K747" i="1" a="1"/>
  <c r="K747" i="1" s="1"/>
  <c r="J747" i="1" a="1"/>
  <c r="J747" i="1"/>
  <c r="I747" i="1" a="1"/>
  <c r="I747" i="1"/>
  <c r="H747" i="1" a="1"/>
  <c r="H747" i="1"/>
  <c r="G747" i="1" a="1"/>
  <c r="G747" i="1" s="1"/>
  <c r="C747" i="1" a="1"/>
  <c r="C747" i="1" s="1"/>
  <c r="Y746" i="1" a="1"/>
  <c r="Y746" i="1"/>
  <c r="V746" i="1" a="1"/>
  <c r="V746" i="1" s="1"/>
  <c r="U746" i="1" a="1"/>
  <c r="U746" i="1" s="1"/>
  <c r="T746" i="1"/>
  <c r="S746" i="1" a="1"/>
  <c r="S746" i="1" s="1"/>
  <c r="R746" i="1" a="1"/>
  <c r="R746" i="1" s="1"/>
  <c r="Q746" i="1"/>
  <c r="M746" i="1" a="1"/>
  <c r="M746" i="1" s="1"/>
  <c r="B746" i="1" s="1" a="1"/>
  <c r="B746" i="1" s="1"/>
  <c r="L746" i="1" a="1"/>
  <c r="L746" i="1"/>
  <c r="K746" i="1" a="1"/>
  <c r="K746" i="1" s="1"/>
  <c r="J746" i="1" a="1"/>
  <c r="J746" i="1"/>
  <c r="I746" i="1" a="1"/>
  <c r="I746" i="1" s="1"/>
  <c r="H746" i="1" a="1"/>
  <c r="H746" i="1" s="1"/>
  <c r="G746" i="1" a="1"/>
  <c r="G746" i="1" s="1"/>
  <c r="Y745" i="1" a="1"/>
  <c r="Y745" i="1" s="1"/>
  <c r="V745" i="1" a="1"/>
  <c r="V745" i="1"/>
  <c r="U745" i="1" a="1"/>
  <c r="U745" i="1" s="1"/>
  <c r="T745" i="1"/>
  <c r="S745" i="1" a="1"/>
  <c r="S745" i="1" s="1"/>
  <c r="Q745" i="1"/>
  <c r="M745" i="1" a="1"/>
  <c r="M745" i="1" s="1"/>
  <c r="L745" i="1" a="1"/>
  <c r="L745" i="1"/>
  <c r="K745" i="1" a="1"/>
  <c r="K745" i="1" s="1"/>
  <c r="J745" i="1" a="1"/>
  <c r="J745" i="1"/>
  <c r="I745" i="1" a="1"/>
  <c r="I745" i="1"/>
  <c r="H745" i="1" a="1"/>
  <c r="H745" i="1" s="1"/>
  <c r="G745" i="1" a="1"/>
  <c r="G745" i="1" s="1"/>
  <c r="B745" i="1" a="1"/>
  <c r="B745" i="1" s="1"/>
  <c r="Y744" i="1" a="1"/>
  <c r="Y744" i="1"/>
  <c r="V744" i="1" a="1"/>
  <c r="V744" i="1"/>
  <c r="U744" i="1" a="1"/>
  <c r="U744" i="1" s="1"/>
  <c r="T744" i="1"/>
  <c r="S744" i="1" a="1"/>
  <c r="S744" i="1" s="1"/>
  <c r="Q744" i="1"/>
  <c r="M744" i="1" a="1"/>
  <c r="M744" i="1" s="1"/>
  <c r="L744" i="1" a="1"/>
  <c r="L744" i="1" s="1"/>
  <c r="K744" i="1" a="1"/>
  <c r="K744" i="1"/>
  <c r="J744" i="1" a="1"/>
  <c r="J744" i="1"/>
  <c r="I744" i="1" a="1"/>
  <c r="I744" i="1" s="1"/>
  <c r="H744" i="1" a="1"/>
  <c r="H744" i="1"/>
  <c r="G744" i="1" a="1"/>
  <c r="G744" i="1"/>
  <c r="E744" i="1" a="1"/>
  <c r="E744" i="1" s="1"/>
  <c r="B744" i="1" a="1"/>
  <c r="B744" i="1" s="1"/>
  <c r="Y743" i="1" a="1"/>
  <c r="Y743" i="1" s="1"/>
  <c r="V743" i="1" a="1"/>
  <c r="V743" i="1"/>
  <c r="U743" i="1" a="1"/>
  <c r="U743" i="1" s="1"/>
  <c r="T743" i="1"/>
  <c r="S743" i="1" a="1"/>
  <c r="S743" i="1" s="1"/>
  <c r="Q743" i="1"/>
  <c r="M743" i="1" a="1"/>
  <c r="M743" i="1"/>
  <c r="B743" i="1" s="1" a="1"/>
  <c r="B743" i="1" s="1"/>
  <c r="L743" i="1" a="1"/>
  <c r="L743" i="1" s="1"/>
  <c r="K743" i="1" a="1"/>
  <c r="K743" i="1" s="1"/>
  <c r="J743" i="1" a="1"/>
  <c r="J743" i="1" s="1"/>
  <c r="I743" i="1" a="1"/>
  <c r="I743" i="1" s="1"/>
  <c r="H743" i="1" a="1"/>
  <c r="H743" i="1"/>
  <c r="G743" i="1" a="1"/>
  <c r="G743" i="1" s="1"/>
  <c r="E743" i="1" a="1"/>
  <c r="E743" i="1"/>
  <c r="Y742" i="1" a="1"/>
  <c r="Y742" i="1" s="1"/>
  <c r="E742" i="1" s="1" a="1"/>
  <c r="E742" i="1" s="1"/>
  <c r="V742" i="1" a="1"/>
  <c r="V742" i="1" s="1"/>
  <c r="U742" i="1" a="1"/>
  <c r="U742" i="1" s="1"/>
  <c r="T742" i="1"/>
  <c r="S742" i="1" a="1"/>
  <c r="S742" i="1"/>
  <c r="Q742" i="1"/>
  <c r="M742" i="1" a="1"/>
  <c r="M742" i="1" s="1"/>
  <c r="B742" i="1" s="1" a="1"/>
  <c r="B742" i="1" s="1"/>
  <c r="L742" i="1" a="1"/>
  <c r="L742" i="1"/>
  <c r="K742" i="1" a="1"/>
  <c r="K742" i="1"/>
  <c r="J742" i="1" a="1"/>
  <c r="J742" i="1" s="1"/>
  <c r="I742" i="1" a="1"/>
  <c r="I742" i="1" s="1"/>
  <c r="H742" i="1" a="1"/>
  <c r="H742" i="1"/>
  <c r="G742" i="1" a="1"/>
  <c r="G742" i="1" s="1"/>
  <c r="C742" i="1" a="1"/>
  <c r="C742" i="1" s="1"/>
  <c r="Y741" i="1" a="1"/>
  <c r="Y741" i="1" s="1"/>
  <c r="V741" i="1" a="1"/>
  <c r="V741" i="1"/>
  <c r="U741" i="1" a="1"/>
  <c r="U741" i="1" s="1"/>
  <c r="T741" i="1"/>
  <c r="S741" i="1" a="1"/>
  <c r="S741" i="1"/>
  <c r="R741" i="1" s="1" a="1"/>
  <c r="R741" i="1" s="1"/>
  <c r="Q741" i="1"/>
  <c r="M741" i="1" a="1"/>
  <c r="M741" i="1" s="1"/>
  <c r="B741" i="1" s="1" a="1"/>
  <c r="L741" i="1" a="1"/>
  <c r="L741" i="1" s="1"/>
  <c r="K741" i="1" a="1"/>
  <c r="K741" i="1" s="1"/>
  <c r="J741" i="1" a="1"/>
  <c r="J741" i="1"/>
  <c r="I741" i="1" a="1"/>
  <c r="I741" i="1" s="1"/>
  <c r="H741" i="1" a="1"/>
  <c r="H741" i="1" s="1"/>
  <c r="G741" i="1" a="1"/>
  <c r="G741" i="1"/>
  <c r="E741" i="1" a="1"/>
  <c r="E741" i="1" s="1"/>
  <c r="C741" i="1" a="1"/>
  <c r="C741" i="1" s="1"/>
  <c r="B741" i="1"/>
  <c r="Y740" i="1" a="1"/>
  <c r="Y740" i="1" s="1"/>
  <c r="E740" i="1" s="1" a="1"/>
  <c r="V740" i="1" a="1"/>
  <c r="V740" i="1" s="1"/>
  <c r="U740" i="1" a="1"/>
  <c r="U740" i="1"/>
  <c r="T740" i="1"/>
  <c r="S740" i="1" a="1"/>
  <c r="S740" i="1"/>
  <c r="Q740" i="1"/>
  <c r="M740" i="1" a="1"/>
  <c r="M740" i="1"/>
  <c r="B740" i="1" s="1" a="1"/>
  <c r="B740" i="1" s="1"/>
  <c r="L740" i="1" a="1"/>
  <c r="L740" i="1"/>
  <c r="K740" i="1" a="1"/>
  <c r="K740" i="1"/>
  <c r="J740" i="1" a="1"/>
  <c r="J740" i="1" s="1"/>
  <c r="I740" i="1" a="1"/>
  <c r="I740" i="1" s="1"/>
  <c r="H740" i="1" a="1"/>
  <c r="H740" i="1"/>
  <c r="G740" i="1" a="1"/>
  <c r="G740" i="1"/>
  <c r="E740" i="1"/>
  <c r="C740" i="1" a="1"/>
  <c r="C740" i="1" s="1"/>
  <c r="Y739" i="1" a="1"/>
  <c r="Y739" i="1"/>
  <c r="V739" i="1" a="1"/>
  <c r="V739" i="1"/>
  <c r="U739" i="1" a="1"/>
  <c r="U739" i="1"/>
  <c r="T739" i="1"/>
  <c r="S739" i="1" a="1"/>
  <c r="S739" i="1"/>
  <c r="R739" i="1" a="1"/>
  <c r="R739" i="1" s="1"/>
  <c r="Q739" i="1"/>
  <c r="M739" i="1" a="1"/>
  <c r="M739" i="1" s="1"/>
  <c r="B739" i="1" s="1" a="1"/>
  <c r="B739" i="1" s="1"/>
  <c r="L739" i="1" a="1"/>
  <c r="L739" i="1" s="1"/>
  <c r="K739" i="1" a="1"/>
  <c r="K739" i="1" s="1"/>
  <c r="J739" i="1" a="1"/>
  <c r="J739" i="1"/>
  <c r="I739" i="1" a="1"/>
  <c r="I739" i="1"/>
  <c r="H739" i="1" a="1"/>
  <c r="H739" i="1" s="1"/>
  <c r="G739" i="1" a="1"/>
  <c r="G739" i="1" s="1"/>
  <c r="E739" i="1" a="1"/>
  <c r="E739" i="1" s="1"/>
  <c r="Y738" i="1" a="1"/>
  <c r="Y738" i="1" s="1"/>
  <c r="E738" i="1" s="1" a="1"/>
  <c r="V738" i="1" a="1"/>
  <c r="V738" i="1" s="1"/>
  <c r="U738" i="1" a="1"/>
  <c r="U738" i="1" s="1"/>
  <c r="T738" i="1"/>
  <c r="S738" i="1" a="1"/>
  <c r="S738" i="1"/>
  <c r="Q738" i="1"/>
  <c r="M738" i="1" a="1"/>
  <c r="M738" i="1" s="1"/>
  <c r="B738" i="1" s="1" a="1"/>
  <c r="B738" i="1" s="1"/>
  <c r="L738" i="1" a="1"/>
  <c r="L738" i="1"/>
  <c r="K738" i="1" a="1"/>
  <c r="K738" i="1"/>
  <c r="J738" i="1" a="1"/>
  <c r="J738" i="1" s="1"/>
  <c r="I738" i="1" a="1"/>
  <c r="I738" i="1"/>
  <c r="H738" i="1" a="1"/>
  <c r="H738" i="1"/>
  <c r="G738" i="1" a="1"/>
  <c r="G738" i="1"/>
  <c r="E738" i="1"/>
  <c r="Y737" i="1" a="1"/>
  <c r="Y737" i="1"/>
  <c r="E737" i="1" s="1" a="1"/>
  <c r="E737" i="1" s="1"/>
  <c r="V737" i="1" a="1"/>
  <c r="V737" i="1"/>
  <c r="U737" i="1" a="1"/>
  <c r="U737" i="1" s="1"/>
  <c r="T737" i="1"/>
  <c r="S737" i="1" a="1"/>
  <c r="S737" i="1"/>
  <c r="R737" i="1" a="1"/>
  <c r="R737" i="1" s="1"/>
  <c r="Q737" i="1"/>
  <c r="M737" i="1" a="1"/>
  <c r="M737" i="1" s="1"/>
  <c r="B737" i="1" s="1" a="1"/>
  <c r="B737" i="1" s="1"/>
  <c r="L737" i="1" a="1"/>
  <c r="L737" i="1" s="1"/>
  <c r="K737" i="1" a="1"/>
  <c r="K737" i="1" s="1"/>
  <c r="J737" i="1" a="1"/>
  <c r="J737" i="1"/>
  <c r="I737" i="1" a="1"/>
  <c r="I737" i="1"/>
  <c r="H737" i="1" a="1"/>
  <c r="H737" i="1" s="1"/>
  <c r="G737" i="1" a="1"/>
  <c r="G737" i="1"/>
  <c r="C737" i="1" a="1"/>
  <c r="C737" i="1" s="1"/>
  <c r="Y736" i="1" a="1"/>
  <c r="Y736" i="1" s="1"/>
  <c r="V736" i="1" a="1"/>
  <c r="V736" i="1" s="1"/>
  <c r="U736" i="1" a="1"/>
  <c r="U736" i="1" s="1"/>
  <c r="T736" i="1"/>
  <c r="S736" i="1" a="1"/>
  <c r="S736" i="1" s="1"/>
  <c r="Q736" i="1"/>
  <c r="M736" i="1" a="1"/>
  <c r="M736" i="1" s="1"/>
  <c r="L736" i="1" a="1"/>
  <c r="L736" i="1"/>
  <c r="K736" i="1" a="1"/>
  <c r="K736" i="1"/>
  <c r="J736" i="1" a="1"/>
  <c r="J736" i="1" s="1"/>
  <c r="I736" i="1" a="1"/>
  <c r="I736" i="1"/>
  <c r="H736" i="1" a="1"/>
  <c r="H736" i="1"/>
  <c r="G736" i="1" a="1"/>
  <c r="G736" i="1" s="1"/>
  <c r="B736" i="1" a="1"/>
  <c r="B736" i="1" s="1"/>
  <c r="Y735" i="1" a="1"/>
  <c r="Y735" i="1"/>
  <c r="V735" i="1" a="1"/>
  <c r="V735" i="1"/>
  <c r="U735" i="1" a="1"/>
  <c r="U735" i="1" s="1"/>
  <c r="T735" i="1"/>
  <c r="S735" i="1" a="1"/>
  <c r="S735" i="1"/>
  <c r="R735" i="1" a="1"/>
  <c r="R735" i="1" s="1"/>
  <c r="Q735" i="1"/>
  <c r="M735" i="1" a="1"/>
  <c r="M735" i="1" s="1"/>
  <c r="B735" i="1" s="1" a="1"/>
  <c r="B735" i="1" s="1"/>
  <c r="L735" i="1" a="1"/>
  <c r="L735" i="1" s="1"/>
  <c r="K735" i="1" a="1"/>
  <c r="K735" i="1" s="1"/>
  <c r="J735" i="1" a="1"/>
  <c r="J735" i="1"/>
  <c r="I735" i="1" a="1"/>
  <c r="I735" i="1"/>
  <c r="H735" i="1" a="1"/>
  <c r="H735" i="1" s="1"/>
  <c r="G735" i="1" a="1"/>
  <c r="G735" i="1"/>
  <c r="C735" i="1" a="1"/>
  <c r="C735" i="1"/>
  <c r="Y734" i="1" a="1"/>
  <c r="Y734" i="1"/>
  <c r="V734" i="1" a="1"/>
  <c r="V734" i="1" s="1"/>
  <c r="U734" i="1" a="1"/>
  <c r="U734" i="1" s="1"/>
  <c r="T734" i="1"/>
  <c r="S734" i="1" a="1"/>
  <c r="S734" i="1"/>
  <c r="R734" i="1" a="1"/>
  <c r="R734" i="1" s="1"/>
  <c r="Q734" i="1"/>
  <c r="M734" i="1" a="1"/>
  <c r="M734" i="1" s="1"/>
  <c r="L734" i="1" a="1"/>
  <c r="L734" i="1"/>
  <c r="K734" i="1" a="1"/>
  <c r="K734" i="1"/>
  <c r="J734" i="1" a="1"/>
  <c r="J734" i="1" s="1"/>
  <c r="I734" i="1" a="1"/>
  <c r="I734" i="1"/>
  <c r="H734" i="1" a="1"/>
  <c r="H734" i="1"/>
  <c r="G734" i="1" a="1"/>
  <c r="G734" i="1"/>
  <c r="E734" i="1" a="1"/>
  <c r="E734" i="1" s="1"/>
  <c r="B734" i="1" a="1"/>
  <c r="B734" i="1" s="1"/>
  <c r="Y733" i="1" a="1"/>
  <c r="Y733" i="1"/>
  <c r="V733" i="1" a="1"/>
  <c r="V733" i="1"/>
  <c r="U733" i="1" a="1"/>
  <c r="U733" i="1" s="1"/>
  <c r="T733" i="1"/>
  <c r="S733" i="1" a="1"/>
  <c r="S733" i="1"/>
  <c r="Q733" i="1"/>
  <c r="M733" i="1" a="1"/>
  <c r="M733" i="1"/>
  <c r="B733" i="1" s="1" a="1"/>
  <c r="B733" i="1" s="1"/>
  <c r="L733" i="1" a="1"/>
  <c r="L733" i="1" s="1"/>
  <c r="K733" i="1" a="1"/>
  <c r="K733" i="1"/>
  <c r="J733" i="1" a="1"/>
  <c r="J733" i="1"/>
  <c r="I733" i="1" a="1"/>
  <c r="I733" i="1" s="1"/>
  <c r="H733" i="1" a="1"/>
  <c r="H733" i="1" s="1"/>
  <c r="G733" i="1" a="1"/>
  <c r="G733" i="1"/>
  <c r="E733" i="1" a="1"/>
  <c r="E733" i="1" s="1"/>
  <c r="Y732" i="1" a="1"/>
  <c r="Y732" i="1"/>
  <c r="V732" i="1" a="1"/>
  <c r="V732" i="1" s="1"/>
  <c r="U732" i="1" a="1"/>
  <c r="U732" i="1" s="1"/>
  <c r="T732" i="1"/>
  <c r="S732" i="1" a="1"/>
  <c r="S732" i="1" s="1"/>
  <c r="R732" i="1" a="1"/>
  <c r="R732" i="1"/>
  <c r="Q732" i="1"/>
  <c r="M732" i="1" a="1"/>
  <c r="M732" i="1" s="1"/>
  <c r="B732" i="1" s="1" a="1"/>
  <c r="B732" i="1" s="1"/>
  <c r="L732" i="1" a="1"/>
  <c r="L732" i="1"/>
  <c r="K732" i="1" a="1"/>
  <c r="K732" i="1"/>
  <c r="J732" i="1" a="1"/>
  <c r="J732" i="1" s="1"/>
  <c r="I732" i="1" a="1"/>
  <c r="I732" i="1" s="1"/>
  <c r="H732" i="1" a="1"/>
  <c r="H732" i="1"/>
  <c r="G732" i="1" a="1"/>
  <c r="G732" i="1" s="1"/>
  <c r="C732" i="1" a="1"/>
  <c r="C732" i="1" s="1"/>
  <c r="Y731" i="1" a="1"/>
  <c r="Y731" i="1"/>
  <c r="V731" i="1" a="1"/>
  <c r="V731" i="1"/>
  <c r="U731" i="1" a="1"/>
  <c r="U731" i="1" s="1"/>
  <c r="T731" i="1"/>
  <c r="S731" i="1" a="1"/>
  <c r="S731" i="1"/>
  <c r="R731" i="1" a="1"/>
  <c r="R731" i="1" s="1"/>
  <c r="Q731" i="1"/>
  <c r="M731" i="1" a="1"/>
  <c r="M731" i="1"/>
  <c r="B731" i="1" s="1" a="1"/>
  <c r="B731" i="1" s="1"/>
  <c r="L731" i="1" a="1"/>
  <c r="L731" i="1" s="1"/>
  <c r="K731" i="1" a="1"/>
  <c r="K731" i="1"/>
  <c r="J731" i="1" a="1"/>
  <c r="J731" i="1"/>
  <c r="I731" i="1" a="1"/>
  <c r="I731" i="1"/>
  <c r="H731" i="1" a="1"/>
  <c r="H731" i="1" s="1"/>
  <c r="G731" i="1" a="1"/>
  <c r="G731" i="1" s="1"/>
  <c r="C731" i="1" a="1"/>
  <c r="C731" i="1" s="1"/>
  <c r="Y730" i="1" a="1"/>
  <c r="Y730" i="1"/>
  <c r="V730" i="1" a="1"/>
  <c r="V730" i="1" s="1"/>
  <c r="U730" i="1" a="1"/>
  <c r="U730" i="1" s="1"/>
  <c r="T730" i="1"/>
  <c r="S730" i="1" a="1"/>
  <c r="S730" i="1"/>
  <c r="Q730" i="1"/>
  <c r="M730" i="1" a="1"/>
  <c r="M730" i="1" s="1"/>
  <c r="B730" i="1" s="1" a="1"/>
  <c r="B730" i="1" s="1"/>
  <c r="L730" i="1" a="1"/>
  <c r="L730" i="1"/>
  <c r="K730" i="1" a="1"/>
  <c r="K730" i="1" s="1"/>
  <c r="J730" i="1" a="1"/>
  <c r="J730" i="1" s="1"/>
  <c r="I730" i="1" a="1"/>
  <c r="I730" i="1"/>
  <c r="H730" i="1" a="1"/>
  <c r="H730" i="1"/>
  <c r="G730" i="1" a="1"/>
  <c r="G730" i="1"/>
  <c r="C730" i="1" a="1"/>
  <c r="C730" i="1"/>
  <c r="Y729" i="1" a="1"/>
  <c r="Y729" i="1" s="1"/>
  <c r="V729" i="1" a="1"/>
  <c r="V729" i="1"/>
  <c r="U729" i="1" a="1"/>
  <c r="U729" i="1"/>
  <c r="T729" i="1"/>
  <c r="S729" i="1" a="1"/>
  <c r="S729" i="1"/>
  <c r="Q729" i="1"/>
  <c r="M729" i="1" a="1"/>
  <c r="M729" i="1"/>
  <c r="B729" i="1" s="1" a="1"/>
  <c r="B729" i="1" s="1"/>
  <c r="L729" i="1" a="1"/>
  <c r="L729" i="1" s="1"/>
  <c r="K729" i="1" a="1"/>
  <c r="K729" i="1"/>
  <c r="J729" i="1" a="1"/>
  <c r="J729" i="1"/>
  <c r="I729" i="1" a="1"/>
  <c r="I729" i="1" s="1"/>
  <c r="H729" i="1" a="1"/>
  <c r="H729" i="1" s="1"/>
  <c r="G729" i="1" a="1"/>
  <c r="G729" i="1" s="1"/>
  <c r="E729" i="1" a="1"/>
  <c r="E729" i="1" s="1"/>
  <c r="Y728" i="1" a="1"/>
  <c r="Y728" i="1"/>
  <c r="V728" i="1" a="1"/>
  <c r="V728" i="1" s="1"/>
  <c r="U728" i="1" a="1"/>
  <c r="U728" i="1" s="1"/>
  <c r="T728" i="1"/>
  <c r="S728" i="1" a="1"/>
  <c r="S728" i="1" s="1"/>
  <c r="R728" i="1" a="1"/>
  <c r="R728" i="1" s="1"/>
  <c r="Q728" i="1"/>
  <c r="M728" i="1" a="1"/>
  <c r="M728" i="1"/>
  <c r="B728" i="1" s="1" a="1"/>
  <c r="B728" i="1" s="1"/>
  <c r="L728" i="1" a="1"/>
  <c r="L728" i="1"/>
  <c r="K728" i="1" a="1"/>
  <c r="K728" i="1"/>
  <c r="J728" i="1" a="1"/>
  <c r="J728" i="1" s="1"/>
  <c r="I728" i="1" a="1"/>
  <c r="I728" i="1" s="1"/>
  <c r="H728" i="1" a="1"/>
  <c r="H728" i="1"/>
  <c r="G728" i="1" a="1"/>
  <c r="G728" i="1" s="1"/>
  <c r="E728" i="1" a="1"/>
  <c r="E728" i="1"/>
  <c r="Y727" i="1" a="1"/>
  <c r="Y727" i="1"/>
  <c r="V727" i="1" a="1"/>
  <c r="V727" i="1"/>
  <c r="U727" i="1" a="1"/>
  <c r="U727" i="1"/>
  <c r="T727" i="1"/>
  <c r="S727" i="1" a="1"/>
  <c r="S727" i="1"/>
  <c r="R727" i="1" a="1"/>
  <c r="R727" i="1" s="1"/>
  <c r="Q727" i="1"/>
  <c r="M727" i="1" a="1"/>
  <c r="M727" i="1" s="1"/>
  <c r="B727" i="1" s="1" a="1"/>
  <c r="B727" i="1" s="1"/>
  <c r="L727" i="1" a="1"/>
  <c r="L727" i="1" s="1"/>
  <c r="K727" i="1" a="1"/>
  <c r="K727" i="1"/>
  <c r="J727" i="1" a="1"/>
  <c r="J727" i="1"/>
  <c r="I727" i="1" a="1"/>
  <c r="I727" i="1" s="1"/>
  <c r="H727" i="1" a="1"/>
  <c r="H727" i="1" s="1"/>
  <c r="G727" i="1" a="1"/>
  <c r="G727" i="1" s="1"/>
  <c r="C727" i="1" a="1"/>
  <c r="C727" i="1" s="1"/>
  <c r="Y726" i="1" a="1"/>
  <c r="Y726" i="1"/>
  <c r="V726" i="1" a="1"/>
  <c r="V726" i="1" s="1"/>
  <c r="U726" i="1" a="1"/>
  <c r="U726" i="1" s="1"/>
  <c r="T726" i="1"/>
  <c r="S726" i="1" a="1"/>
  <c r="S726" i="1"/>
  <c r="Q726" i="1"/>
  <c r="M726" i="1" a="1"/>
  <c r="M726" i="1" s="1"/>
  <c r="B726" i="1" s="1" a="1"/>
  <c r="B726" i="1" s="1"/>
  <c r="L726" i="1" a="1"/>
  <c r="L726" i="1"/>
  <c r="K726" i="1" a="1"/>
  <c r="K726" i="1" s="1"/>
  <c r="J726" i="1" a="1"/>
  <c r="J726" i="1" s="1"/>
  <c r="I726" i="1" a="1"/>
  <c r="I726" i="1"/>
  <c r="H726" i="1" a="1"/>
  <c r="H726" i="1"/>
  <c r="G726" i="1" a="1"/>
  <c r="G726" i="1"/>
  <c r="E726" i="1" a="1"/>
  <c r="E726" i="1" s="1"/>
  <c r="Y725" i="1" a="1"/>
  <c r="Y725" i="1" s="1"/>
  <c r="V725" i="1" a="1"/>
  <c r="V725" i="1"/>
  <c r="U725" i="1" a="1"/>
  <c r="U725" i="1"/>
  <c r="T725" i="1"/>
  <c r="S725" i="1" a="1"/>
  <c r="S725" i="1"/>
  <c r="Q725" i="1"/>
  <c r="M725" i="1" a="1"/>
  <c r="M725" i="1"/>
  <c r="B725" i="1" s="1" a="1"/>
  <c r="B725" i="1" s="1"/>
  <c r="L725" i="1" a="1"/>
  <c r="L725" i="1" s="1"/>
  <c r="K725" i="1" a="1"/>
  <c r="K725" i="1" s="1"/>
  <c r="J725" i="1" a="1"/>
  <c r="J725" i="1"/>
  <c r="I725" i="1" a="1"/>
  <c r="I725" i="1" s="1"/>
  <c r="H725" i="1" a="1"/>
  <c r="H725" i="1" s="1"/>
  <c r="G725" i="1" a="1"/>
  <c r="G725" i="1" s="1"/>
  <c r="E725" i="1" a="1"/>
  <c r="E725" i="1" s="1"/>
  <c r="C725" i="1" a="1"/>
  <c r="C725" i="1" s="1"/>
  <c r="Y724" i="1" a="1"/>
  <c r="Y724" i="1" s="1"/>
  <c r="E724" i="1" s="1" a="1"/>
  <c r="V724" i="1" a="1"/>
  <c r="V724" i="1" s="1"/>
  <c r="U724" i="1" a="1"/>
  <c r="U724" i="1" s="1"/>
  <c r="T724" i="1"/>
  <c r="S724" i="1" a="1"/>
  <c r="S724" i="1"/>
  <c r="Q724" i="1"/>
  <c r="M724" i="1" a="1"/>
  <c r="M724" i="1"/>
  <c r="B724" i="1" s="1" a="1"/>
  <c r="B724" i="1" s="1"/>
  <c r="L724" i="1" a="1"/>
  <c r="L724" i="1"/>
  <c r="K724" i="1" a="1"/>
  <c r="K724" i="1"/>
  <c r="J724" i="1" a="1"/>
  <c r="J724" i="1" s="1"/>
  <c r="I724" i="1" a="1"/>
  <c r="I724" i="1" s="1"/>
  <c r="H724" i="1" a="1"/>
  <c r="H724" i="1"/>
  <c r="G724" i="1" a="1"/>
  <c r="G724" i="1" s="1"/>
  <c r="E724" i="1"/>
  <c r="Y723" i="1" a="1"/>
  <c r="Y723" i="1" s="1"/>
  <c r="V723" i="1" a="1"/>
  <c r="V723" i="1"/>
  <c r="U723" i="1" a="1"/>
  <c r="U723" i="1"/>
  <c r="T723" i="1"/>
  <c r="S723" i="1" a="1"/>
  <c r="S723" i="1"/>
  <c r="Q723" i="1"/>
  <c r="M723" i="1" a="1"/>
  <c r="M723" i="1" s="1"/>
  <c r="B723" i="1" s="1" a="1"/>
  <c r="B723" i="1" s="1"/>
  <c r="L723" i="1" a="1"/>
  <c r="L723" i="1" s="1"/>
  <c r="K723" i="1" a="1"/>
  <c r="K723" i="1"/>
  <c r="J723" i="1" a="1"/>
  <c r="J723" i="1"/>
  <c r="I723" i="1" a="1"/>
  <c r="I723" i="1"/>
  <c r="H723" i="1" a="1"/>
  <c r="H723" i="1" s="1"/>
  <c r="G723" i="1" a="1"/>
  <c r="G723" i="1" s="1"/>
  <c r="C723" i="1" a="1"/>
  <c r="C723" i="1" s="1"/>
  <c r="Y722" i="1" a="1"/>
  <c r="Y722" i="1" s="1"/>
  <c r="E722" i="1" s="1" a="1"/>
  <c r="E722" i="1" s="1"/>
  <c r="V722" i="1" a="1"/>
  <c r="V722" i="1" s="1"/>
  <c r="U722" i="1" a="1"/>
  <c r="U722" i="1" s="1"/>
  <c r="T722" i="1"/>
  <c r="S722" i="1" a="1"/>
  <c r="S722" i="1"/>
  <c r="Q722" i="1"/>
  <c r="M722" i="1" a="1"/>
  <c r="M722" i="1" s="1"/>
  <c r="B722" i="1" s="1" a="1"/>
  <c r="B722" i="1" s="1"/>
  <c r="L722" i="1" a="1"/>
  <c r="L722" i="1"/>
  <c r="K722" i="1" a="1"/>
  <c r="K722" i="1"/>
  <c r="J722" i="1" a="1"/>
  <c r="J722" i="1" s="1"/>
  <c r="I722" i="1" a="1"/>
  <c r="I722" i="1"/>
  <c r="H722" i="1" a="1"/>
  <c r="H722" i="1"/>
  <c r="G722" i="1" a="1"/>
  <c r="G722" i="1"/>
  <c r="Y721" i="1" a="1"/>
  <c r="Y721" i="1"/>
  <c r="E721" i="1" s="1" a="1"/>
  <c r="E721" i="1" s="1"/>
  <c r="V721" i="1" a="1"/>
  <c r="V721" i="1"/>
  <c r="U721" i="1" a="1"/>
  <c r="U721" i="1" s="1"/>
  <c r="T721" i="1"/>
  <c r="S721" i="1" a="1"/>
  <c r="S721" i="1"/>
  <c r="C721" i="1" s="1" a="1"/>
  <c r="R721" i="1" a="1"/>
  <c r="R721" i="1"/>
  <c r="Q721" i="1"/>
  <c r="M721" i="1" a="1"/>
  <c r="M721" i="1" s="1"/>
  <c r="B721" i="1" s="1" a="1"/>
  <c r="B721" i="1" s="1"/>
  <c r="L721" i="1" a="1"/>
  <c r="L721" i="1" s="1"/>
  <c r="K721" i="1" a="1"/>
  <c r="K721" i="1"/>
  <c r="J721" i="1" a="1"/>
  <c r="J721" i="1"/>
  <c r="I721" i="1" a="1"/>
  <c r="I721" i="1"/>
  <c r="H721" i="1" a="1"/>
  <c r="H721" i="1" s="1"/>
  <c r="G721" i="1" a="1"/>
  <c r="G721" i="1" s="1"/>
  <c r="C721" i="1"/>
  <c r="Y720" i="1" a="1"/>
  <c r="Y720" i="1"/>
  <c r="V720" i="1" a="1"/>
  <c r="V720" i="1" s="1"/>
  <c r="U720" i="1" a="1"/>
  <c r="U720" i="1" s="1"/>
  <c r="T720" i="1"/>
  <c r="S720" i="1" a="1"/>
  <c r="S720" i="1"/>
  <c r="Q720" i="1"/>
  <c r="M720" i="1" a="1"/>
  <c r="M720" i="1" s="1"/>
  <c r="B720" i="1" s="1" a="1"/>
  <c r="B720" i="1" s="1"/>
  <c r="L720" i="1" a="1"/>
  <c r="L720" i="1" s="1"/>
  <c r="K720" i="1" a="1"/>
  <c r="K720" i="1"/>
  <c r="J720" i="1" a="1"/>
  <c r="J720" i="1" s="1"/>
  <c r="I720" i="1" a="1"/>
  <c r="I720" i="1" s="1"/>
  <c r="H720" i="1" a="1"/>
  <c r="H720" i="1"/>
  <c r="G720" i="1" a="1"/>
  <c r="G720" i="1"/>
  <c r="Y719" i="1" a="1"/>
  <c r="Y719" i="1"/>
  <c r="E719" i="1" s="1" a="1"/>
  <c r="E719" i="1" s="1"/>
  <c r="V719" i="1" a="1"/>
  <c r="V719" i="1" s="1"/>
  <c r="U719" i="1" a="1"/>
  <c r="U719" i="1" s="1"/>
  <c r="T719" i="1"/>
  <c r="S719" i="1" a="1"/>
  <c r="S719" i="1" s="1"/>
  <c r="Q719" i="1"/>
  <c r="M719" i="1" a="1"/>
  <c r="M719" i="1" s="1"/>
  <c r="B719" i="1" s="1" a="1"/>
  <c r="B719" i="1" s="1"/>
  <c r="L719" i="1" a="1"/>
  <c r="L719" i="1" s="1"/>
  <c r="K719" i="1" a="1"/>
  <c r="K719" i="1"/>
  <c r="J719" i="1" a="1"/>
  <c r="J719" i="1" s="1"/>
  <c r="I719" i="1" a="1"/>
  <c r="I719" i="1" s="1"/>
  <c r="H719" i="1" a="1"/>
  <c r="H719" i="1" s="1"/>
  <c r="G719" i="1" a="1"/>
  <c r="G719" i="1" s="1"/>
  <c r="C719" i="1" a="1"/>
  <c r="C719" i="1" s="1"/>
  <c r="Y718" i="1" a="1"/>
  <c r="Y718" i="1" s="1"/>
  <c r="V718" i="1" a="1"/>
  <c r="V718" i="1"/>
  <c r="U718" i="1" a="1"/>
  <c r="U718" i="1" s="1"/>
  <c r="T718" i="1"/>
  <c r="S718" i="1" a="1"/>
  <c r="S718" i="1"/>
  <c r="Q718" i="1"/>
  <c r="M718" i="1" a="1"/>
  <c r="M718" i="1" s="1"/>
  <c r="L718" i="1" a="1"/>
  <c r="L718" i="1" s="1"/>
  <c r="K718" i="1" a="1"/>
  <c r="K718" i="1" s="1"/>
  <c r="J718" i="1" a="1"/>
  <c r="J718" i="1"/>
  <c r="I718" i="1" a="1"/>
  <c r="I718" i="1"/>
  <c r="H718" i="1" a="1"/>
  <c r="H718" i="1" s="1"/>
  <c r="G718" i="1" a="1"/>
  <c r="G718" i="1" s="1"/>
  <c r="E718" i="1" a="1"/>
  <c r="E718" i="1" s="1"/>
  <c r="C718" i="1" a="1"/>
  <c r="C718" i="1" s="1"/>
  <c r="B718" i="1" a="1"/>
  <c r="B718" i="1" s="1"/>
  <c r="Y717" i="1" a="1"/>
  <c r="Y717" i="1" s="1"/>
  <c r="V717" i="1" a="1"/>
  <c r="V717" i="1" s="1"/>
  <c r="U717" i="1" a="1"/>
  <c r="U717" i="1" s="1"/>
  <c r="T717" i="1"/>
  <c r="S717" i="1" a="1"/>
  <c r="S717" i="1"/>
  <c r="Q717" i="1"/>
  <c r="M717" i="1" a="1"/>
  <c r="M717" i="1" s="1"/>
  <c r="B717" i="1" s="1" a="1"/>
  <c r="B717" i="1" s="1"/>
  <c r="L717" i="1" a="1"/>
  <c r="L717" i="1" s="1"/>
  <c r="K717" i="1" a="1"/>
  <c r="K717" i="1"/>
  <c r="J717" i="1" a="1"/>
  <c r="J717" i="1" s="1"/>
  <c r="I717" i="1" a="1"/>
  <c r="I717" i="1" s="1"/>
  <c r="H717" i="1" a="1"/>
  <c r="H717" i="1"/>
  <c r="G717" i="1" a="1"/>
  <c r="G717" i="1" s="1"/>
  <c r="Y716" i="1" a="1"/>
  <c r="Y716" i="1" s="1"/>
  <c r="V716" i="1" a="1"/>
  <c r="V716" i="1" s="1"/>
  <c r="U716" i="1" a="1"/>
  <c r="U716" i="1"/>
  <c r="T716" i="1"/>
  <c r="S716" i="1" a="1"/>
  <c r="S716" i="1"/>
  <c r="Q716" i="1"/>
  <c r="M716" i="1" a="1"/>
  <c r="M716" i="1" s="1"/>
  <c r="B716" i="1" s="1" a="1"/>
  <c r="B716" i="1" s="1"/>
  <c r="L716" i="1" a="1"/>
  <c r="L716" i="1" s="1"/>
  <c r="K716" i="1" a="1"/>
  <c r="K716" i="1" s="1"/>
  <c r="J716" i="1" a="1"/>
  <c r="J716" i="1" s="1"/>
  <c r="I716" i="1" a="1"/>
  <c r="I716" i="1"/>
  <c r="H716" i="1" a="1"/>
  <c r="H716" i="1" s="1"/>
  <c r="G716" i="1" a="1"/>
  <c r="G716" i="1" s="1"/>
  <c r="E716" i="1" a="1"/>
  <c r="E716" i="1" s="1"/>
  <c r="C716" i="1" a="1"/>
  <c r="C716" i="1" s="1"/>
  <c r="Y715" i="1" a="1"/>
  <c r="Y715" i="1"/>
  <c r="V715" i="1" a="1"/>
  <c r="V715" i="1" s="1"/>
  <c r="U715" i="1" a="1"/>
  <c r="U715" i="1" s="1"/>
  <c r="T715" i="1"/>
  <c r="S715" i="1" a="1"/>
  <c r="S715" i="1"/>
  <c r="Q715" i="1"/>
  <c r="M715" i="1" a="1"/>
  <c r="M715" i="1" s="1"/>
  <c r="B715" i="1" s="1" a="1"/>
  <c r="B715" i="1" s="1"/>
  <c r="L715" i="1" a="1"/>
  <c r="L715" i="1" s="1"/>
  <c r="K715" i="1" a="1"/>
  <c r="K715" i="1"/>
  <c r="J715" i="1" a="1"/>
  <c r="J715" i="1" s="1"/>
  <c r="I715" i="1" a="1"/>
  <c r="I715" i="1" s="1"/>
  <c r="H715" i="1" a="1"/>
  <c r="H715" i="1"/>
  <c r="G715" i="1" a="1"/>
  <c r="G715" i="1" s="1"/>
  <c r="E715" i="1" a="1"/>
  <c r="E715" i="1" s="1"/>
  <c r="Y714" i="1" a="1"/>
  <c r="Y714" i="1" s="1"/>
  <c r="V714" i="1" a="1"/>
  <c r="V714" i="1" s="1"/>
  <c r="U714" i="1" a="1"/>
  <c r="U714" i="1" s="1"/>
  <c r="T714" i="1"/>
  <c r="S714" i="1" a="1"/>
  <c r="S714" i="1"/>
  <c r="Q714" i="1"/>
  <c r="M714" i="1" a="1"/>
  <c r="M714" i="1" s="1"/>
  <c r="B714" i="1" s="1" a="1"/>
  <c r="B714" i="1" s="1"/>
  <c r="L714" i="1" a="1"/>
  <c r="L714" i="1" s="1"/>
  <c r="K714" i="1" a="1"/>
  <c r="K714" i="1" s="1"/>
  <c r="J714" i="1" a="1"/>
  <c r="J714" i="1" s="1"/>
  <c r="I714" i="1" a="1"/>
  <c r="I714" i="1"/>
  <c r="H714" i="1" a="1"/>
  <c r="H714" i="1" s="1"/>
  <c r="G714" i="1" a="1"/>
  <c r="G714" i="1" s="1"/>
  <c r="E714" i="1" a="1"/>
  <c r="E714" i="1" s="1"/>
  <c r="C714" i="1" a="1"/>
  <c r="C714" i="1" s="1"/>
  <c r="Y713" i="1" a="1"/>
  <c r="Y713" i="1"/>
  <c r="V713" i="1" a="1"/>
  <c r="V713" i="1" s="1"/>
  <c r="U713" i="1" a="1"/>
  <c r="U713" i="1" s="1"/>
  <c r="T713" i="1"/>
  <c r="S713" i="1" a="1"/>
  <c r="S713" i="1"/>
  <c r="Q713" i="1"/>
  <c r="M713" i="1" a="1"/>
  <c r="M713" i="1" s="1"/>
  <c r="B713" i="1" s="1" a="1"/>
  <c r="B713" i="1" s="1"/>
  <c r="L713" i="1" a="1"/>
  <c r="L713" i="1" s="1"/>
  <c r="K713" i="1" a="1"/>
  <c r="K713" i="1" s="1"/>
  <c r="J713" i="1" a="1"/>
  <c r="J713" i="1" s="1"/>
  <c r="I713" i="1" a="1"/>
  <c r="I713" i="1" s="1"/>
  <c r="H713" i="1" a="1"/>
  <c r="H713" i="1"/>
  <c r="G713" i="1" a="1"/>
  <c r="G713" i="1" s="1"/>
  <c r="E713" i="1" a="1"/>
  <c r="E713" i="1" s="1"/>
  <c r="Y712" i="1" a="1"/>
  <c r="Y712" i="1" s="1"/>
  <c r="V712" i="1" a="1"/>
  <c r="V712" i="1" s="1"/>
  <c r="U712" i="1" a="1"/>
  <c r="U712" i="1"/>
  <c r="T712" i="1"/>
  <c r="S712" i="1" a="1"/>
  <c r="S712" i="1"/>
  <c r="Q712" i="1"/>
  <c r="M712" i="1" a="1"/>
  <c r="M712" i="1" s="1"/>
  <c r="B712" i="1" s="1" a="1"/>
  <c r="B712" i="1" s="1"/>
  <c r="L712" i="1" a="1"/>
  <c r="L712" i="1" s="1"/>
  <c r="K712" i="1" a="1"/>
  <c r="K712" i="1" s="1"/>
  <c r="J712" i="1" a="1"/>
  <c r="J712" i="1" s="1"/>
  <c r="I712" i="1" a="1"/>
  <c r="I712" i="1"/>
  <c r="H712" i="1" a="1"/>
  <c r="H712" i="1" s="1"/>
  <c r="G712" i="1" a="1"/>
  <c r="G712" i="1" s="1"/>
  <c r="E712" i="1" a="1"/>
  <c r="E712" i="1" s="1"/>
  <c r="C712" i="1" a="1"/>
  <c r="C712" i="1" s="1"/>
  <c r="Y711" i="1" a="1"/>
  <c r="Y711" i="1"/>
  <c r="V711" i="1" a="1"/>
  <c r="V711" i="1" s="1"/>
  <c r="U711" i="1" a="1"/>
  <c r="U711" i="1" s="1"/>
  <c r="T711" i="1"/>
  <c r="S711" i="1" a="1"/>
  <c r="S711" i="1"/>
  <c r="Q711" i="1"/>
  <c r="M711" i="1" a="1"/>
  <c r="M711" i="1" s="1"/>
  <c r="B711" i="1" s="1" a="1"/>
  <c r="B711" i="1" s="1"/>
  <c r="L711" i="1" a="1"/>
  <c r="L711" i="1" s="1"/>
  <c r="K711" i="1" a="1"/>
  <c r="K711" i="1"/>
  <c r="J711" i="1" a="1"/>
  <c r="J711" i="1" s="1"/>
  <c r="I711" i="1" a="1"/>
  <c r="I711" i="1" s="1"/>
  <c r="H711" i="1" a="1"/>
  <c r="H711" i="1"/>
  <c r="G711" i="1" a="1"/>
  <c r="G711" i="1" s="1"/>
  <c r="E711" i="1" a="1"/>
  <c r="E711" i="1" s="1"/>
  <c r="Y710" i="1" a="1"/>
  <c r="Y710" i="1" s="1"/>
  <c r="V710" i="1" a="1"/>
  <c r="V710" i="1" s="1"/>
  <c r="U710" i="1" a="1"/>
  <c r="U710" i="1"/>
  <c r="T710" i="1"/>
  <c r="S710" i="1" a="1"/>
  <c r="S710" i="1"/>
  <c r="Q710" i="1"/>
  <c r="M710" i="1" a="1"/>
  <c r="M710" i="1" s="1"/>
  <c r="B710" i="1" s="1" a="1"/>
  <c r="B710" i="1" s="1"/>
  <c r="L710" i="1" a="1"/>
  <c r="L710" i="1" s="1"/>
  <c r="K710" i="1" a="1"/>
  <c r="K710" i="1" s="1"/>
  <c r="J710" i="1" a="1"/>
  <c r="J710" i="1" s="1"/>
  <c r="I710" i="1" a="1"/>
  <c r="I710" i="1"/>
  <c r="H710" i="1" a="1"/>
  <c r="H710" i="1" s="1"/>
  <c r="G710" i="1" a="1"/>
  <c r="G710" i="1" s="1"/>
  <c r="E710" i="1" a="1"/>
  <c r="E710" i="1" s="1"/>
  <c r="C710" i="1" a="1"/>
  <c r="C710" i="1" s="1"/>
  <c r="Y709" i="1" a="1"/>
  <c r="Y709" i="1" s="1"/>
  <c r="V709" i="1" a="1"/>
  <c r="V709" i="1" s="1"/>
  <c r="U709" i="1" a="1"/>
  <c r="U709" i="1" s="1"/>
  <c r="T709" i="1"/>
  <c r="S709" i="1" a="1"/>
  <c r="S709" i="1"/>
  <c r="Q709" i="1"/>
  <c r="M709" i="1" a="1"/>
  <c r="M709" i="1" s="1"/>
  <c r="B709" i="1" s="1" a="1"/>
  <c r="B709" i="1" s="1"/>
  <c r="L709" i="1" a="1"/>
  <c r="L709" i="1" s="1"/>
  <c r="K709" i="1" a="1"/>
  <c r="K709" i="1"/>
  <c r="J709" i="1" a="1"/>
  <c r="J709" i="1" s="1"/>
  <c r="I709" i="1" a="1"/>
  <c r="I709" i="1" s="1"/>
  <c r="H709" i="1" a="1"/>
  <c r="H709" i="1"/>
  <c r="G709" i="1" a="1"/>
  <c r="G709" i="1" s="1"/>
  <c r="Y708" i="1" a="1"/>
  <c r="Y708" i="1" s="1"/>
  <c r="V708" i="1" a="1"/>
  <c r="V708" i="1" s="1"/>
  <c r="U708" i="1" a="1"/>
  <c r="U708" i="1" s="1"/>
  <c r="T708" i="1"/>
  <c r="S708" i="1" a="1"/>
  <c r="S708" i="1"/>
  <c r="Q708" i="1"/>
  <c r="M708" i="1" a="1"/>
  <c r="M708" i="1" s="1"/>
  <c r="B708" i="1" s="1" a="1"/>
  <c r="B708" i="1" s="1"/>
  <c r="L708" i="1" a="1"/>
  <c r="L708" i="1" s="1"/>
  <c r="K708" i="1" a="1"/>
  <c r="K708" i="1" s="1"/>
  <c r="J708" i="1" a="1"/>
  <c r="J708" i="1" s="1"/>
  <c r="I708" i="1" a="1"/>
  <c r="I708" i="1"/>
  <c r="H708" i="1" a="1"/>
  <c r="H708" i="1" s="1"/>
  <c r="G708" i="1" a="1"/>
  <c r="G708" i="1" s="1"/>
  <c r="E708" i="1" a="1"/>
  <c r="E708" i="1" s="1"/>
  <c r="C708" i="1" a="1"/>
  <c r="C708" i="1" s="1"/>
  <c r="Y707" i="1" a="1"/>
  <c r="Y707" i="1" s="1"/>
  <c r="V707" i="1" a="1"/>
  <c r="V707" i="1" s="1"/>
  <c r="U707" i="1" a="1"/>
  <c r="U707" i="1" s="1"/>
  <c r="T707" i="1"/>
  <c r="S707" i="1" a="1"/>
  <c r="S707" i="1"/>
  <c r="Q707" i="1"/>
  <c r="M707" i="1" a="1"/>
  <c r="M707" i="1" s="1"/>
  <c r="B707" i="1" s="1" a="1"/>
  <c r="B707" i="1" s="1"/>
  <c r="L707" i="1" a="1"/>
  <c r="L707" i="1" s="1"/>
  <c r="K707" i="1" a="1"/>
  <c r="K707" i="1"/>
  <c r="J707" i="1" a="1"/>
  <c r="J707" i="1" s="1"/>
  <c r="I707" i="1" a="1"/>
  <c r="I707" i="1" s="1"/>
  <c r="H707" i="1" a="1"/>
  <c r="H707" i="1"/>
  <c r="G707" i="1" a="1"/>
  <c r="G707" i="1" s="1"/>
  <c r="Y706" i="1" a="1"/>
  <c r="Y706" i="1" s="1"/>
  <c r="V706" i="1" a="1"/>
  <c r="V706" i="1" s="1"/>
  <c r="U706" i="1" a="1"/>
  <c r="U706" i="1"/>
  <c r="T706" i="1"/>
  <c r="S706" i="1" a="1"/>
  <c r="S706" i="1"/>
  <c r="Q706" i="1"/>
  <c r="M706" i="1" a="1"/>
  <c r="M706" i="1" s="1"/>
  <c r="B706" i="1" s="1" a="1"/>
  <c r="B706" i="1" s="1"/>
  <c r="L706" i="1" a="1"/>
  <c r="L706" i="1" s="1"/>
  <c r="K706" i="1" a="1"/>
  <c r="K706" i="1" s="1"/>
  <c r="J706" i="1" a="1"/>
  <c r="J706" i="1" s="1"/>
  <c r="I706" i="1" a="1"/>
  <c r="I706" i="1"/>
  <c r="H706" i="1" a="1"/>
  <c r="H706" i="1" s="1"/>
  <c r="G706" i="1" a="1"/>
  <c r="G706" i="1" s="1"/>
  <c r="E706" i="1" a="1"/>
  <c r="E706" i="1" s="1"/>
  <c r="C706" i="1" a="1"/>
  <c r="C706" i="1" s="1"/>
  <c r="Y705" i="1" a="1"/>
  <c r="Y705" i="1"/>
  <c r="V705" i="1" a="1"/>
  <c r="V705" i="1" s="1"/>
  <c r="U705" i="1" a="1"/>
  <c r="U705" i="1" s="1"/>
  <c r="T705" i="1"/>
  <c r="S705" i="1" a="1"/>
  <c r="S705" i="1"/>
  <c r="Q705" i="1"/>
  <c r="M705" i="1" a="1"/>
  <c r="M705" i="1" s="1"/>
  <c r="B705" i="1" s="1" a="1"/>
  <c r="B705" i="1" s="1"/>
  <c r="L705" i="1" a="1"/>
  <c r="L705" i="1" s="1"/>
  <c r="K705" i="1" a="1"/>
  <c r="K705" i="1" s="1"/>
  <c r="J705" i="1" a="1"/>
  <c r="J705" i="1" s="1"/>
  <c r="I705" i="1" a="1"/>
  <c r="I705" i="1" s="1"/>
  <c r="H705" i="1" a="1"/>
  <c r="H705" i="1"/>
  <c r="G705" i="1" a="1"/>
  <c r="G705" i="1" s="1"/>
  <c r="Y704" i="1" a="1"/>
  <c r="Y704" i="1" s="1"/>
  <c r="V704" i="1" a="1"/>
  <c r="V704" i="1" s="1"/>
  <c r="U704" i="1" a="1"/>
  <c r="U704" i="1"/>
  <c r="T704" i="1"/>
  <c r="S704" i="1" a="1"/>
  <c r="S704" i="1"/>
  <c r="Q704" i="1"/>
  <c r="M704" i="1" a="1"/>
  <c r="M704" i="1" s="1"/>
  <c r="B704" i="1" s="1" a="1"/>
  <c r="B704" i="1" s="1"/>
  <c r="L704" i="1" a="1"/>
  <c r="L704" i="1" s="1"/>
  <c r="K704" i="1" a="1"/>
  <c r="K704" i="1" s="1"/>
  <c r="J704" i="1" a="1"/>
  <c r="J704" i="1" s="1"/>
  <c r="I704" i="1" a="1"/>
  <c r="I704" i="1"/>
  <c r="H704" i="1" a="1"/>
  <c r="H704" i="1" s="1"/>
  <c r="G704" i="1" a="1"/>
  <c r="G704" i="1" s="1"/>
  <c r="E704" i="1" a="1"/>
  <c r="E704" i="1" s="1"/>
  <c r="C704" i="1" a="1"/>
  <c r="C704" i="1" s="1"/>
  <c r="Y703" i="1" a="1"/>
  <c r="Y703" i="1"/>
  <c r="V703" i="1" a="1"/>
  <c r="V703" i="1" s="1"/>
  <c r="U703" i="1" a="1"/>
  <c r="U703" i="1" s="1"/>
  <c r="T703" i="1"/>
  <c r="S703" i="1" a="1"/>
  <c r="S703" i="1"/>
  <c r="Q703" i="1"/>
  <c r="M703" i="1" a="1"/>
  <c r="M703" i="1" s="1"/>
  <c r="B703" i="1" s="1" a="1"/>
  <c r="B703" i="1" s="1"/>
  <c r="L703" i="1" a="1"/>
  <c r="L703" i="1" s="1"/>
  <c r="K703" i="1" a="1"/>
  <c r="K703" i="1" s="1"/>
  <c r="J703" i="1" a="1"/>
  <c r="J703" i="1" s="1"/>
  <c r="I703" i="1" a="1"/>
  <c r="I703" i="1" s="1"/>
  <c r="H703" i="1" a="1"/>
  <c r="H703" i="1"/>
  <c r="G703" i="1" a="1"/>
  <c r="G703" i="1" s="1"/>
  <c r="Y702" i="1" a="1"/>
  <c r="Y702" i="1" s="1"/>
  <c r="V702" i="1" a="1"/>
  <c r="V702" i="1" s="1"/>
  <c r="U702" i="1" a="1"/>
  <c r="U702" i="1"/>
  <c r="T702" i="1"/>
  <c r="S702" i="1" a="1"/>
  <c r="S702" i="1"/>
  <c r="Q702" i="1"/>
  <c r="M702" i="1" a="1"/>
  <c r="M702" i="1" s="1"/>
  <c r="B702" i="1" s="1" a="1"/>
  <c r="B702" i="1" s="1"/>
  <c r="L702" i="1" a="1"/>
  <c r="L702" i="1" s="1"/>
  <c r="K702" i="1" a="1"/>
  <c r="K702" i="1" s="1"/>
  <c r="J702" i="1" a="1"/>
  <c r="J702" i="1" s="1"/>
  <c r="I702" i="1" a="1"/>
  <c r="I702" i="1"/>
  <c r="H702" i="1" a="1"/>
  <c r="H702" i="1" s="1"/>
  <c r="G702" i="1" a="1"/>
  <c r="G702" i="1" s="1"/>
  <c r="E702" i="1" a="1"/>
  <c r="E702" i="1" s="1"/>
  <c r="C702" i="1" a="1"/>
  <c r="C702" i="1" s="1"/>
  <c r="Y701" i="1" a="1"/>
  <c r="Y701" i="1" s="1"/>
  <c r="V701" i="1" a="1"/>
  <c r="V701" i="1" s="1"/>
  <c r="U701" i="1" a="1"/>
  <c r="U701" i="1" s="1"/>
  <c r="T701" i="1"/>
  <c r="S701" i="1" a="1"/>
  <c r="S701" i="1"/>
  <c r="Q701" i="1"/>
  <c r="M701" i="1" a="1"/>
  <c r="M701" i="1" s="1"/>
  <c r="B701" i="1" s="1" a="1"/>
  <c r="B701" i="1" s="1"/>
  <c r="L701" i="1" a="1"/>
  <c r="L701" i="1" s="1"/>
  <c r="K701" i="1" a="1"/>
  <c r="K701" i="1"/>
  <c r="J701" i="1" a="1"/>
  <c r="J701" i="1" s="1"/>
  <c r="I701" i="1" a="1"/>
  <c r="I701" i="1" s="1"/>
  <c r="H701" i="1" a="1"/>
  <c r="H701" i="1"/>
  <c r="G701" i="1" a="1"/>
  <c r="G701" i="1" s="1"/>
  <c r="Y700" i="1" a="1"/>
  <c r="Y700" i="1" s="1"/>
  <c r="V700" i="1" a="1"/>
  <c r="V700" i="1" s="1"/>
  <c r="U700" i="1" a="1"/>
  <c r="U700" i="1" s="1"/>
  <c r="T700" i="1"/>
  <c r="S700" i="1" a="1"/>
  <c r="S700" i="1"/>
  <c r="Q700" i="1"/>
  <c r="M700" i="1" a="1"/>
  <c r="M700" i="1" s="1"/>
  <c r="B700" i="1" s="1" a="1"/>
  <c r="B700" i="1" s="1"/>
  <c r="L700" i="1" a="1"/>
  <c r="L700" i="1" s="1"/>
  <c r="K700" i="1" a="1"/>
  <c r="K700" i="1" s="1"/>
  <c r="J700" i="1" a="1"/>
  <c r="J700" i="1" s="1"/>
  <c r="I700" i="1" a="1"/>
  <c r="I700" i="1"/>
  <c r="H700" i="1" a="1"/>
  <c r="H700" i="1" s="1"/>
  <c r="G700" i="1" a="1"/>
  <c r="G700" i="1" s="1"/>
  <c r="E700" i="1" a="1"/>
  <c r="E700" i="1" s="1"/>
  <c r="C700" i="1" a="1"/>
  <c r="C700" i="1" s="1"/>
  <c r="Y699" i="1" a="1"/>
  <c r="Y699" i="1"/>
  <c r="V699" i="1" a="1"/>
  <c r="V699" i="1" s="1"/>
  <c r="U699" i="1" a="1"/>
  <c r="U699" i="1" s="1"/>
  <c r="T699" i="1"/>
  <c r="S699" i="1" a="1"/>
  <c r="S699" i="1"/>
  <c r="Q699" i="1"/>
  <c r="M699" i="1" a="1"/>
  <c r="M699" i="1" s="1"/>
  <c r="B699" i="1" s="1" a="1"/>
  <c r="B699" i="1" s="1"/>
  <c r="L699" i="1" a="1"/>
  <c r="L699" i="1" s="1"/>
  <c r="K699" i="1" a="1"/>
  <c r="K699" i="1"/>
  <c r="J699" i="1" a="1"/>
  <c r="J699" i="1" s="1"/>
  <c r="I699" i="1" a="1"/>
  <c r="I699" i="1" s="1"/>
  <c r="H699" i="1" a="1"/>
  <c r="H699" i="1"/>
  <c r="G699" i="1" a="1"/>
  <c r="G699" i="1" s="1"/>
  <c r="E699" i="1" a="1"/>
  <c r="E699" i="1" s="1"/>
  <c r="Y698" i="1" a="1"/>
  <c r="Y698" i="1" s="1"/>
  <c r="V698" i="1" a="1"/>
  <c r="V698" i="1" s="1"/>
  <c r="U698" i="1" a="1"/>
  <c r="U698" i="1"/>
  <c r="T698" i="1"/>
  <c r="S698" i="1" a="1"/>
  <c r="S698" i="1"/>
  <c r="Q698" i="1"/>
  <c r="M698" i="1" a="1"/>
  <c r="M698" i="1" s="1"/>
  <c r="B698" i="1" s="1" a="1"/>
  <c r="B698" i="1" s="1"/>
  <c r="L698" i="1" a="1"/>
  <c r="L698" i="1" s="1"/>
  <c r="K698" i="1" a="1"/>
  <c r="K698" i="1" s="1"/>
  <c r="J698" i="1" a="1"/>
  <c r="J698" i="1" s="1"/>
  <c r="I698" i="1" a="1"/>
  <c r="I698" i="1"/>
  <c r="H698" i="1" a="1"/>
  <c r="H698" i="1" s="1"/>
  <c r="G698" i="1" a="1"/>
  <c r="G698" i="1" s="1"/>
  <c r="E698" i="1" a="1"/>
  <c r="E698" i="1" s="1"/>
  <c r="C698" i="1" a="1"/>
  <c r="C698" i="1" s="1"/>
  <c r="Y697" i="1" a="1"/>
  <c r="Y697" i="1"/>
  <c r="V697" i="1" a="1"/>
  <c r="V697" i="1" s="1"/>
  <c r="U697" i="1" a="1"/>
  <c r="U697" i="1" s="1"/>
  <c r="T697" i="1"/>
  <c r="S697" i="1" a="1"/>
  <c r="S697" i="1"/>
  <c r="Q697" i="1"/>
  <c r="M697" i="1" a="1"/>
  <c r="M697" i="1" s="1"/>
  <c r="B697" i="1" s="1" a="1"/>
  <c r="B697" i="1" s="1"/>
  <c r="L697" i="1" a="1"/>
  <c r="L697" i="1" s="1"/>
  <c r="K697" i="1" a="1"/>
  <c r="K697" i="1" s="1"/>
  <c r="J697" i="1" a="1"/>
  <c r="J697" i="1" s="1"/>
  <c r="I697" i="1" a="1"/>
  <c r="I697" i="1" s="1"/>
  <c r="H697" i="1" a="1"/>
  <c r="H697" i="1"/>
  <c r="G697" i="1" a="1"/>
  <c r="G697" i="1" s="1"/>
  <c r="E697" i="1" a="1"/>
  <c r="E697" i="1" s="1"/>
  <c r="Y696" i="1" a="1"/>
  <c r="Y696" i="1" s="1"/>
  <c r="V696" i="1" a="1"/>
  <c r="V696" i="1" s="1"/>
  <c r="U696" i="1" a="1"/>
  <c r="U696" i="1" s="1"/>
  <c r="T696" i="1"/>
  <c r="S696" i="1" a="1"/>
  <c r="S696" i="1"/>
  <c r="Q696" i="1"/>
  <c r="M696" i="1" a="1"/>
  <c r="M696" i="1" s="1"/>
  <c r="B696" i="1" s="1" a="1"/>
  <c r="B696" i="1" s="1"/>
  <c r="L696" i="1" a="1"/>
  <c r="L696" i="1" s="1"/>
  <c r="K696" i="1" a="1"/>
  <c r="K696" i="1" s="1"/>
  <c r="J696" i="1" a="1"/>
  <c r="J696" i="1" s="1"/>
  <c r="I696" i="1" a="1"/>
  <c r="I696" i="1"/>
  <c r="H696" i="1" a="1"/>
  <c r="H696" i="1" s="1"/>
  <c r="G696" i="1" a="1"/>
  <c r="G696" i="1" s="1"/>
  <c r="E696" i="1" a="1"/>
  <c r="E696" i="1" s="1"/>
  <c r="C696" i="1" a="1"/>
  <c r="C696" i="1" s="1"/>
  <c r="Y695" i="1" a="1"/>
  <c r="Y695" i="1"/>
  <c r="V695" i="1" a="1"/>
  <c r="V695" i="1" s="1"/>
  <c r="U695" i="1" a="1"/>
  <c r="U695" i="1" s="1"/>
  <c r="T695" i="1"/>
  <c r="S695" i="1" a="1"/>
  <c r="S695" i="1"/>
  <c r="Q695" i="1"/>
  <c r="M695" i="1" a="1"/>
  <c r="M695" i="1" s="1"/>
  <c r="B695" i="1" s="1" a="1"/>
  <c r="B695" i="1" s="1"/>
  <c r="L695" i="1" a="1"/>
  <c r="L695" i="1" s="1"/>
  <c r="K695" i="1" a="1"/>
  <c r="K695" i="1"/>
  <c r="J695" i="1" a="1"/>
  <c r="J695" i="1" s="1"/>
  <c r="I695" i="1" a="1"/>
  <c r="I695" i="1" s="1"/>
  <c r="H695" i="1" a="1"/>
  <c r="H695" i="1"/>
  <c r="G695" i="1" a="1"/>
  <c r="G695" i="1" s="1"/>
  <c r="E695" i="1" a="1"/>
  <c r="E695" i="1" s="1"/>
  <c r="Y694" i="1" a="1"/>
  <c r="Y694" i="1" s="1"/>
  <c r="V694" i="1" a="1"/>
  <c r="V694" i="1" s="1"/>
  <c r="U694" i="1" a="1"/>
  <c r="U694" i="1"/>
  <c r="T694" i="1"/>
  <c r="S694" i="1" a="1"/>
  <c r="S694" i="1"/>
  <c r="Q694" i="1"/>
  <c r="M694" i="1" a="1"/>
  <c r="M694" i="1" s="1"/>
  <c r="B694" i="1" s="1" a="1"/>
  <c r="B694" i="1" s="1"/>
  <c r="L694" i="1" a="1"/>
  <c r="L694" i="1" s="1"/>
  <c r="K694" i="1" a="1"/>
  <c r="K694" i="1" s="1"/>
  <c r="J694" i="1" a="1"/>
  <c r="J694" i="1" s="1"/>
  <c r="I694" i="1" a="1"/>
  <c r="I694" i="1"/>
  <c r="H694" i="1" a="1"/>
  <c r="H694" i="1" s="1"/>
  <c r="G694" i="1" a="1"/>
  <c r="G694" i="1" s="1"/>
  <c r="E694" i="1" a="1"/>
  <c r="E694" i="1" s="1"/>
  <c r="C694" i="1" a="1"/>
  <c r="C694" i="1" s="1"/>
  <c r="Y693" i="1" a="1"/>
  <c r="Y693" i="1" s="1"/>
  <c r="V693" i="1" a="1"/>
  <c r="V693" i="1" s="1"/>
  <c r="U693" i="1" a="1"/>
  <c r="U693" i="1" s="1"/>
  <c r="T693" i="1"/>
  <c r="S693" i="1" a="1"/>
  <c r="S693" i="1"/>
  <c r="Q693" i="1"/>
  <c r="M693" i="1" a="1"/>
  <c r="M693" i="1" s="1"/>
  <c r="B693" i="1" s="1" a="1"/>
  <c r="B693" i="1" s="1"/>
  <c r="L693" i="1" a="1"/>
  <c r="L693" i="1" s="1"/>
  <c r="K693" i="1" a="1"/>
  <c r="K693" i="1"/>
  <c r="J693" i="1" a="1"/>
  <c r="J693" i="1" s="1"/>
  <c r="I693" i="1" a="1"/>
  <c r="I693" i="1" s="1"/>
  <c r="H693" i="1" a="1"/>
  <c r="H693" i="1"/>
  <c r="G693" i="1" a="1"/>
  <c r="G693" i="1" s="1"/>
  <c r="Y692" i="1" a="1"/>
  <c r="Y692" i="1" s="1"/>
  <c r="V692" i="1" a="1"/>
  <c r="V692" i="1"/>
  <c r="U692" i="1" a="1"/>
  <c r="U692" i="1" s="1"/>
  <c r="T692" i="1"/>
  <c r="S692" i="1" a="1"/>
  <c r="S692" i="1"/>
  <c r="Q692" i="1"/>
  <c r="M692" i="1" a="1"/>
  <c r="M692" i="1" s="1"/>
  <c r="B692" i="1" s="1" a="1"/>
  <c r="B692" i="1" s="1"/>
  <c r="L692" i="1" a="1"/>
  <c r="L692" i="1" s="1"/>
  <c r="K692" i="1" a="1"/>
  <c r="K692" i="1" s="1"/>
  <c r="J692" i="1" a="1"/>
  <c r="J692" i="1" s="1"/>
  <c r="I692" i="1" a="1"/>
  <c r="I692" i="1"/>
  <c r="H692" i="1" a="1"/>
  <c r="H692" i="1" s="1"/>
  <c r="G692" i="1" a="1"/>
  <c r="G692" i="1" s="1"/>
  <c r="E692" i="1" a="1"/>
  <c r="E692" i="1" s="1"/>
  <c r="C692" i="1" a="1"/>
  <c r="C692" i="1" s="1"/>
  <c r="Y691" i="1" a="1"/>
  <c r="Y691" i="1"/>
  <c r="V691" i="1" a="1"/>
  <c r="V691" i="1" s="1"/>
  <c r="U691" i="1" a="1"/>
  <c r="U691" i="1" s="1"/>
  <c r="T691" i="1"/>
  <c r="S691" i="1" a="1"/>
  <c r="S691" i="1"/>
  <c r="Q691" i="1"/>
  <c r="M691" i="1" a="1"/>
  <c r="M691" i="1" s="1"/>
  <c r="B691" i="1" s="1" a="1"/>
  <c r="B691" i="1" s="1"/>
  <c r="L691" i="1" a="1"/>
  <c r="L691" i="1" s="1"/>
  <c r="K691" i="1" a="1"/>
  <c r="K691" i="1" s="1"/>
  <c r="J691" i="1" a="1"/>
  <c r="J691" i="1" s="1"/>
  <c r="I691" i="1" a="1"/>
  <c r="I691" i="1" s="1"/>
  <c r="H691" i="1" a="1"/>
  <c r="H691" i="1"/>
  <c r="G691" i="1" a="1"/>
  <c r="G691" i="1" s="1"/>
  <c r="Y690" i="1" a="1"/>
  <c r="Y690" i="1" s="1"/>
  <c r="V690" i="1" a="1"/>
  <c r="V690" i="1" s="1"/>
  <c r="U690" i="1" a="1"/>
  <c r="U690" i="1"/>
  <c r="T690" i="1"/>
  <c r="S690" i="1" a="1"/>
  <c r="S690" i="1"/>
  <c r="Q690" i="1"/>
  <c r="M690" i="1" a="1"/>
  <c r="M690" i="1" s="1"/>
  <c r="B690" i="1" s="1" a="1"/>
  <c r="B690" i="1" s="1"/>
  <c r="L690" i="1" a="1"/>
  <c r="L690" i="1" s="1"/>
  <c r="K690" i="1" a="1"/>
  <c r="K690" i="1" s="1"/>
  <c r="J690" i="1" a="1"/>
  <c r="J690" i="1" s="1"/>
  <c r="I690" i="1" a="1"/>
  <c r="I690" i="1"/>
  <c r="H690" i="1" a="1"/>
  <c r="H690" i="1" s="1"/>
  <c r="G690" i="1" a="1"/>
  <c r="G690" i="1" s="1"/>
  <c r="E690" i="1" a="1"/>
  <c r="E690" i="1" s="1"/>
  <c r="C690" i="1" a="1"/>
  <c r="C690" i="1" s="1"/>
  <c r="Y689" i="1" a="1"/>
  <c r="Y689" i="1" s="1"/>
  <c r="V689" i="1" a="1"/>
  <c r="V689" i="1" s="1"/>
  <c r="U689" i="1" a="1"/>
  <c r="U689" i="1" s="1"/>
  <c r="T689" i="1"/>
  <c r="S689" i="1" a="1"/>
  <c r="S689" i="1"/>
  <c r="Q689" i="1"/>
  <c r="M689" i="1" a="1"/>
  <c r="M689" i="1" s="1"/>
  <c r="B689" i="1" s="1" a="1"/>
  <c r="B689" i="1" s="1"/>
  <c r="L689" i="1" a="1"/>
  <c r="L689" i="1" s="1"/>
  <c r="K689" i="1" a="1"/>
  <c r="K689" i="1"/>
  <c r="J689" i="1" a="1"/>
  <c r="J689" i="1" s="1"/>
  <c r="I689" i="1" a="1"/>
  <c r="I689" i="1" s="1"/>
  <c r="H689" i="1" a="1"/>
  <c r="H689" i="1"/>
  <c r="G689" i="1" a="1"/>
  <c r="G689" i="1" s="1"/>
  <c r="Y688" i="1" a="1"/>
  <c r="Y688" i="1" s="1"/>
  <c r="V688" i="1" a="1"/>
  <c r="V688" i="1"/>
  <c r="U688" i="1" a="1"/>
  <c r="U688" i="1"/>
  <c r="T688" i="1"/>
  <c r="S688" i="1" a="1"/>
  <c r="S688" i="1"/>
  <c r="Q688" i="1"/>
  <c r="M688" i="1" a="1"/>
  <c r="M688" i="1" s="1"/>
  <c r="B688" i="1" s="1" a="1"/>
  <c r="B688" i="1" s="1"/>
  <c r="L688" i="1" a="1"/>
  <c r="L688" i="1" s="1"/>
  <c r="K688" i="1" a="1"/>
  <c r="K688" i="1" s="1"/>
  <c r="J688" i="1" a="1"/>
  <c r="J688" i="1" s="1"/>
  <c r="I688" i="1" a="1"/>
  <c r="I688" i="1"/>
  <c r="H688" i="1" a="1"/>
  <c r="H688" i="1" s="1"/>
  <c r="G688" i="1" a="1"/>
  <c r="G688" i="1" s="1"/>
  <c r="E688" i="1" a="1"/>
  <c r="E688" i="1" s="1"/>
  <c r="C688" i="1" a="1"/>
  <c r="C688" i="1" s="1"/>
  <c r="Y687" i="1" a="1"/>
  <c r="Y687" i="1"/>
  <c r="V687" i="1" a="1"/>
  <c r="V687" i="1" s="1"/>
  <c r="U687" i="1" a="1"/>
  <c r="U687" i="1" s="1"/>
  <c r="T687" i="1"/>
  <c r="S687" i="1" a="1"/>
  <c r="S687" i="1"/>
  <c r="Q687" i="1"/>
  <c r="M687" i="1" a="1"/>
  <c r="M687" i="1" s="1"/>
  <c r="B687" i="1" s="1" a="1"/>
  <c r="B687" i="1" s="1"/>
  <c r="L687" i="1" a="1"/>
  <c r="L687" i="1" s="1"/>
  <c r="K687" i="1" a="1"/>
  <c r="K687" i="1" s="1"/>
  <c r="J687" i="1" a="1"/>
  <c r="J687" i="1" s="1"/>
  <c r="I687" i="1" a="1"/>
  <c r="I687" i="1" s="1"/>
  <c r="H687" i="1" a="1"/>
  <c r="H687" i="1"/>
  <c r="G687" i="1" a="1"/>
  <c r="G687" i="1" s="1"/>
  <c r="E687" i="1" a="1"/>
  <c r="E687" i="1" s="1"/>
  <c r="Y686" i="1" a="1"/>
  <c r="Y686" i="1" s="1"/>
  <c r="V686" i="1" a="1"/>
  <c r="V686" i="1" s="1"/>
  <c r="U686" i="1" a="1"/>
  <c r="U686" i="1" s="1"/>
  <c r="T686" i="1"/>
  <c r="S686" i="1" a="1"/>
  <c r="S686" i="1"/>
  <c r="Q686" i="1"/>
  <c r="M686" i="1" a="1"/>
  <c r="M686" i="1" s="1"/>
  <c r="B686" i="1" s="1" a="1"/>
  <c r="B686" i="1" s="1"/>
  <c r="L686" i="1" a="1"/>
  <c r="L686" i="1" s="1"/>
  <c r="K686" i="1" a="1"/>
  <c r="K686" i="1" s="1"/>
  <c r="J686" i="1" a="1"/>
  <c r="J686" i="1" s="1"/>
  <c r="I686" i="1" a="1"/>
  <c r="I686" i="1"/>
  <c r="H686" i="1" a="1"/>
  <c r="H686" i="1" s="1"/>
  <c r="G686" i="1" a="1"/>
  <c r="G686" i="1" s="1"/>
  <c r="E686" i="1" a="1"/>
  <c r="E686" i="1" s="1"/>
  <c r="C686" i="1" a="1"/>
  <c r="C686" i="1" s="1"/>
  <c r="Y685" i="1" a="1"/>
  <c r="Y685" i="1"/>
  <c r="E685" i="1" s="1" a="1"/>
  <c r="E685" i="1" s="1"/>
  <c r="V685" i="1" a="1"/>
  <c r="V685" i="1" s="1"/>
  <c r="U685" i="1" a="1"/>
  <c r="U685" i="1" s="1"/>
  <c r="T685" i="1"/>
  <c r="S685" i="1" a="1"/>
  <c r="S685" i="1"/>
  <c r="R685" i="1" s="1" a="1"/>
  <c r="R685" i="1" s="1"/>
  <c r="Q685" i="1"/>
  <c r="M685" i="1" a="1"/>
  <c r="M685" i="1" s="1"/>
  <c r="B685" i="1" s="1" a="1"/>
  <c r="B685" i="1" s="1"/>
  <c r="L685" i="1" a="1"/>
  <c r="L685" i="1" s="1"/>
  <c r="K685" i="1" a="1"/>
  <c r="K685" i="1"/>
  <c r="J685" i="1" a="1"/>
  <c r="J685" i="1" s="1"/>
  <c r="I685" i="1" a="1"/>
  <c r="I685" i="1" s="1"/>
  <c r="H685" i="1" a="1"/>
  <c r="H685" i="1"/>
  <c r="G685" i="1" a="1"/>
  <c r="G685" i="1" s="1"/>
  <c r="C685" i="1" a="1"/>
  <c r="C685" i="1" s="1"/>
  <c r="Y684" i="1" a="1"/>
  <c r="Y684" i="1" s="1"/>
  <c r="V684" i="1" a="1"/>
  <c r="V684" i="1"/>
  <c r="U684" i="1" a="1"/>
  <c r="U684" i="1" s="1"/>
  <c r="T684" i="1"/>
  <c r="S684" i="1" a="1"/>
  <c r="S684" i="1"/>
  <c r="Q684" i="1"/>
  <c r="M684" i="1" a="1"/>
  <c r="M684" i="1"/>
  <c r="B684" i="1" s="1" a="1"/>
  <c r="B684" i="1" s="1"/>
  <c r="L684" i="1" a="1"/>
  <c r="L684" i="1" s="1"/>
  <c r="K684" i="1" a="1"/>
  <c r="K684" i="1" s="1"/>
  <c r="J684" i="1" a="1"/>
  <c r="J684" i="1" s="1"/>
  <c r="I684" i="1" a="1"/>
  <c r="I684" i="1"/>
  <c r="H684" i="1" a="1"/>
  <c r="H684" i="1" s="1"/>
  <c r="G684" i="1" a="1"/>
  <c r="G684" i="1" s="1"/>
  <c r="E684" i="1" a="1"/>
  <c r="E684" i="1" s="1"/>
  <c r="C684" i="1" a="1"/>
  <c r="C684" i="1" s="1"/>
  <c r="Y683" i="1" a="1"/>
  <c r="Y683" i="1" s="1"/>
  <c r="V683" i="1" a="1"/>
  <c r="V683" i="1" s="1"/>
  <c r="U683" i="1" a="1"/>
  <c r="U683" i="1" s="1"/>
  <c r="T683" i="1"/>
  <c r="S683" i="1" a="1"/>
  <c r="S683" i="1" s="1"/>
  <c r="R683" i="1" a="1"/>
  <c r="R683" i="1" s="1"/>
  <c r="Q683" i="1"/>
  <c r="M683" i="1" a="1"/>
  <c r="M683" i="1" s="1"/>
  <c r="L683" i="1" a="1"/>
  <c r="L683" i="1" s="1"/>
  <c r="K683" i="1" a="1"/>
  <c r="K683" i="1"/>
  <c r="J683" i="1" a="1"/>
  <c r="J683" i="1" s="1"/>
  <c r="I683" i="1" a="1"/>
  <c r="I683" i="1" s="1"/>
  <c r="H683" i="1" a="1"/>
  <c r="H683" i="1" s="1"/>
  <c r="G683" i="1" a="1"/>
  <c r="G683" i="1" s="1"/>
  <c r="B683" i="1" a="1"/>
  <c r="B683" i="1" s="1"/>
  <c r="Y682" i="1" a="1"/>
  <c r="Y682" i="1" s="1"/>
  <c r="V682" i="1" a="1"/>
  <c r="V682" i="1" s="1"/>
  <c r="U682" i="1" a="1"/>
  <c r="U682" i="1"/>
  <c r="T682" i="1"/>
  <c r="S682" i="1" a="1"/>
  <c r="S682" i="1"/>
  <c r="Q682" i="1"/>
  <c r="M682" i="1" a="1"/>
  <c r="M682" i="1" s="1"/>
  <c r="B682" i="1" s="1" a="1"/>
  <c r="L682" i="1" a="1"/>
  <c r="L682" i="1" s="1"/>
  <c r="K682" i="1" a="1"/>
  <c r="K682" i="1" s="1"/>
  <c r="J682" i="1" a="1"/>
  <c r="J682" i="1" s="1"/>
  <c r="I682" i="1" a="1"/>
  <c r="I682" i="1"/>
  <c r="H682" i="1" a="1"/>
  <c r="H682" i="1" s="1"/>
  <c r="G682" i="1" a="1"/>
  <c r="G682" i="1" s="1"/>
  <c r="E682" i="1" a="1"/>
  <c r="E682" i="1" s="1"/>
  <c r="B682" i="1"/>
  <c r="Y681" i="1" a="1"/>
  <c r="Y681" i="1"/>
  <c r="V681" i="1" a="1"/>
  <c r="V681" i="1" s="1"/>
  <c r="U681" i="1" a="1"/>
  <c r="U681" i="1" s="1"/>
  <c r="T681" i="1"/>
  <c r="S681" i="1" a="1"/>
  <c r="S681" i="1" s="1"/>
  <c r="Q681" i="1"/>
  <c r="M681" i="1" a="1"/>
  <c r="M681" i="1" s="1"/>
  <c r="B681" i="1" s="1" a="1"/>
  <c r="B681" i="1" s="1"/>
  <c r="L681" i="1" a="1"/>
  <c r="L681" i="1" s="1"/>
  <c r="K681" i="1" a="1"/>
  <c r="K681" i="1"/>
  <c r="J681" i="1" a="1"/>
  <c r="J681" i="1" s="1"/>
  <c r="I681" i="1" a="1"/>
  <c r="I681" i="1" s="1"/>
  <c r="H681" i="1" a="1"/>
  <c r="H681" i="1"/>
  <c r="G681" i="1" a="1"/>
  <c r="G681" i="1" s="1"/>
  <c r="E681" i="1" a="1"/>
  <c r="E681" i="1" s="1"/>
  <c r="Y680" i="1" a="1"/>
  <c r="Y680" i="1" s="1"/>
  <c r="V680" i="1" a="1"/>
  <c r="V680" i="1"/>
  <c r="U680" i="1" a="1"/>
  <c r="U680" i="1" s="1"/>
  <c r="T680" i="1"/>
  <c r="S680" i="1" a="1"/>
  <c r="S680" i="1"/>
  <c r="Q680" i="1"/>
  <c r="M680" i="1" a="1"/>
  <c r="M680" i="1"/>
  <c r="B680" i="1" s="1" a="1"/>
  <c r="B680" i="1" s="1"/>
  <c r="L680" i="1" a="1"/>
  <c r="L680" i="1" s="1"/>
  <c r="K680" i="1" a="1"/>
  <c r="K680" i="1" s="1"/>
  <c r="J680" i="1" a="1"/>
  <c r="J680" i="1" s="1"/>
  <c r="I680" i="1" a="1"/>
  <c r="I680" i="1"/>
  <c r="H680" i="1" a="1"/>
  <c r="H680" i="1" s="1"/>
  <c r="G680" i="1" a="1"/>
  <c r="G680" i="1" s="1"/>
  <c r="E680" i="1" a="1"/>
  <c r="E680" i="1" s="1"/>
  <c r="Y679" i="1" a="1"/>
  <c r="Y679" i="1"/>
  <c r="E679" i="1" s="1" a="1"/>
  <c r="E679" i="1" s="1"/>
  <c r="V679" i="1" a="1"/>
  <c r="V679" i="1" s="1"/>
  <c r="U679" i="1" a="1"/>
  <c r="U679" i="1" s="1"/>
  <c r="T679" i="1"/>
  <c r="S679" i="1" a="1"/>
  <c r="S679" i="1"/>
  <c r="R679" i="1" a="1"/>
  <c r="R679" i="1"/>
  <c r="Q679" i="1"/>
  <c r="M679" i="1" a="1"/>
  <c r="M679" i="1" s="1"/>
  <c r="L679" i="1" a="1"/>
  <c r="L679" i="1" s="1"/>
  <c r="K679" i="1" a="1"/>
  <c r="K679" i="1"/>
  <c r="J679" i="1" a="1"/>
  <c r="J679" i="1" s="1"/>
  <c r="I679" i="1" a="1"/>
  <c r="I679" i="1" s="1"/>
  <c r="H679" i="1" a="1"/>
  <c r="H679" i="1"/>
  <c r="G679" i="1" a="1"/>
  <c r="G679" i="1" s="1"/>
  <c r="C679" i="1" a="1"/>
  <c r="C679" i="1"/>
  <c r="B679" i="1" a="1"/>
  <c r="B679" i="1" s="1"/>
  <c r="Y678" i="1" a="1"/>
  <c r="Y678" i="1" s="1"/>
  <c r="V678" i="1" a="1"/>
  <c r="V678" i="1" s="1"/>
  <c r="U678" i="1" a="1"/>
  <c r="U678" i="1" s="1"/>
  <c r="T678" i="1"/>
  <c r="S678" i="1" a="1"/>
  <c r="S678" i="1"/>
  <c r="Q678" i="1"/>
  <c r="M678" i="1" a="1"/>
  <c r="M678" i="1" s="1"/>
  <c r="B678" i="1" s="1" a="1"/>
  <c r="B678" i="1" s="1"/>
  <c r="L678" i="1" a="1"/>
  <c r="L678" i="1" s="1"/>
  <c r="K678" i="1" a="1"/>
  <c r="K678" i="1" s="1"/>
  <c r="J678" i="1" a="1"/>
  <c r="J678" i="1" s="1"/>
  <c r="I678" i="1" a="1"/>
  <c r="I678" i="1"/>
  <c r="H678" i="1" a="1"/>
  <c r="H678" i="1" s="1"/>
  <c r="G678" i="1" a="1"/>
  <c r="G678" i="1" s="1"/>
  <c r="E678" i="1" a="1"/>
  <c r="E678" i="1" s="1"/>
  <c r="Y677" i="1" a="1"/>
  <c r="Y677" i="1"/>
  <c r="E677" i="1" s="1" a="1"/>
  <c r="E677" i="1" s="1"/>
  <c r="V677" i="1" a="1"/>
  <c r="V677" i="1" s="1"/>
  <c r="U677" i="1" a="1"/>
  <c r="U677" i="1" s="1"/>
  <c r="T677" i="1"/>
  <c r="S677" i="1" a="1"/>
  <c r="S677" i="1" s="1"/>
  <c r="R677" i="1" a="1"/>
  <c r="R677" i="1" s="1"/>
  <c r="Q677" i="1"/>
  <c r="M677" i="1" a="1"/>
  <c r="M677" i="1" s="1"/>
  <c r="B677" i="1" s="1" a="1"/>
  <c r="B677" i="1" s="1"/>
  <c r="L677" i="1" a="1"/>
  <c r="L677" i="1" s="1"/>
  <c r="K677" i="1" a="1"/>
  <c r="K677" i="1"/>
  <c r="J677" i="1" a="1"/>
  <c r="J677" i="1" s="1"/>
  <c r="I677" i="1" a="1"/>
  <c r="I677" i="1" s="1"/>
  <c r="H677" i="1" a="1"/>
  <c r="H677" i="1"/>
  <c r="G677" i="1" a="1"/>
  <c r="G677" i="1" s="1"/>
  <c r="C677" i="1" a="1"/>
  <c r="C677" i="1" s="1"/>
  <c r="Y676" i="1" a="1"/>
  <c r="Y676" i="1" s="1"/>
  <c r="V676" i="1" a="1"/>
  <c r="V676" i="1"/>
  <c r="U676" i="1" a="1"/>
  <c r="U676" i="1" s="1"/>
  <c r="T676" i="1"/>
  <c r="S676" i="1" a="1"/>
  <c r="S676" i="1"/>
  <c r="Q676" i="1"/>
  <c r="M676" i="1" a="1"/>
  <c r="M676" i="1"/>
  <c r="B676" i="1" s="1" a="1"/>
  <c r="L676" i="1" a="1"/>
  <c r="L676" i="1" s="1"/>
  <c r="K676" i="1" a="1"/>
  <c r="K676" i="1" s="1"/>
  <c r="J676" i="1" a="1"/>
  <c r="J676" i="1" s="1"/>
  <c r="I676" i="1" a="1"/>
  <c r="I676" i="1"/>
  <c r="H676" i="1" a="1"/>
  <c r="H676" i="1" s="1"/>
  <c r="G676" i="1" a="1"/>
  <c r="G676" i="1" s="1"/>
  <c r="E676" i="1" a="1"/>
  <c r="E676" i="1" s="1"/>
  <c r="C676" i="1" a="1"/>
  <c r="C676" i="1" s="1"/>
  <c r="B676" i="1"/>
  <c r="Y675" i="1" a="1"/>
  <c r="Y675" i="1" s="1"/>
  <c r="V675" i="1" a="1"/>
  <c r="V675" i="1" s="1"/>
  <c r="U675" i="1" a="1"/>
  <c r="U675" i="1" s="1"/>
  <c r="T675" i="1"/>
  <c r="S675" i="1" a="1"/>
  <c r="S675" i="1" s="1"/>
  <c r="Q675" i="1"/>
  <c r="M675" i="1" a="1"/>
  <c r="M675" i="1" s="1"/>
  <c r="L675" i="1" a="1"/>
  <c r="L675" i="1" s="1"/>
  <c r="K675" i="1" a="1"/>
  <c r="K675" i="1"/>
  <c r="J675" i="1" a="1"/>
  <c r="J675" i="1" s="1"/>
  <c r="I675" i="1" a="1"/>
  <c r="I675" i="1" s="1"/>
  <c r="H675" i="1" a="1"/>
  <c r="H675" i="1" s="1"/>
  <c r="G675" i="1" a="1"/>
  <c r="G675" i="1" s="1"/>
  <c r="B675" i="1" a="1"/>
  <c r="B675" i="1" s="1"/>
  <c r="Y674" i="1" a="1"/>
  <c r="Y674" i="1" s="1"/>
  <c r="V674" i="1" a="1"/>
  <c r="V674" i="1" s="1"/>
  <c r="U674" i="1" a="1"/>
  <c r="U674" i="1" s="1"/>
  <c r="T674" i="1"/>
  <c r="S674" i="1" a="1"/>
  <c r="S674" i="1"/>
  <c r="Q674" i="1"/>
  <c r="M674" i="1" a="1"/>
  <c r="M674" i="1" s="1"/>
  <c r="B674" i="1" s="1" a="1"/>
  <c r="B674" i="1" s="1"/>
  <c r="L674" i="1" a="1"/>
  <c r="L674" i="1" s="1"/>
  <c r="K674" i="1" a="1"/>
  <c r="K674" i="1" s="1"/>
  <c r="J674" i="1" a="1"/>
  <c r="J674" i="1" s="1"/>
  <c r="I674" i="1" a="1"/>
  <c r="I674" i="1"/>
  <c r="H674" i="1" a="1"/>
  <c r="H674" i="1" s="1"/>
  <c r="G674" i="1" a="1"/>
  <c r="G674" i="1" s="1"/>
  <c r="E674" i="1" a="1"/>
  <c r="E674" i="1" s="1"/>
  <c r="Y673" i="1" a="1"/>
  <c r="Y673" i="1"/>
  <c r="V673" i="1" a="1"/>
  <c r="V673" i="1" s="1"/>
  <c r="U673" i="1" a="1"/>
  <c r="U673" i="1" s="1"/>
  <c r="T673" i="1"/>
  <c r="S673" i="1" a="1"/>
  <c r="S673" i="1" s="1"/>
  <c r="Q673" i="1"/>
  <c r="M673" i="1" a="1"/>
  <c r="M673" i="1" s="1"/>
  <c r="B673" i="1" s="1" a="1"/>
  <c r="B673" i="1" s="1"/>
  <c r="L673" i="1" a="1"/>
  <c r="L673" i="1" s="1"/>
  <c r="K673" i="1" a="1"/>
  <c r="K673" i="1"/>
  <c r="J673" i="1" a="1"/>
  <c r="J673" i="1" s="1"/>
  <c r="I673" i="1" a="1"/>
  <c r="I673" i="1" s="1"/>
  <c r="H673" i="1" a="1"/>
  <c r="H673" i="1"/>
  <c r="G673" i="1" a="1"/>
  <c r="G673" i="1" s="1"/>
  <c r="E673" i="1" a="1"/>
  <c r="E673" i="1" s="1"/>
  <c r="Y672" i="1" a="1"/>
  <c r="Y672" i="1" s="1"/>
  <c r="V672" i="1" a="1"/>
  <c r="V672" i="1" s="1"/>
  <c r="U672" i="1" a="1"/>
  <c r="U672" i="1" s="1"/>
  <c r="T672" i="1"/>
  <c r="S672" i="1" a="1"/>
  <c r="S672" i="1"/>
  <c r="Q672" i="1"/>
  <c r="M672" i="1" a="1"/>
  <c r="M672" i="1"/>
  <c r="B672" i="1" s="1" a="1"/>
  <c r="B672" i="1" s="1"/>
  <c r="L672" i="1" a="1"/>
  <c r="L672" i="1" s="1"/>
  <c r="K672" i="1" a="1"/>
  <c r="K672" i="1" s="1"/>
  <c r="J672" i="1" a="1"/>
  <c r="J672" i="1" s="1"/>
  <c r="I672" i="1" a="1"/>
  <c r="I672" i="1"/>
  <c r="H672" i="1" a="1"/>
  <c r="H672" i="1" s="1"/>
  <c r="G672" i="1" a="1"/>
  <c r="G672" i="1" s="1"/>
  <c r="E672" i="1" a="1"/>
  <c r="E672" i="1" s="1"/>
  <c r="Y671" i="1" a="1"/>
  <c r="Y671" i="1"/>
  <c r="V671" i="1" a="1"/>
  <c r="V671" i="1" s="1"/>
  <c r="U671" i="1" a="1"/>
  <c r="U671" i="1" s="1"/>
  <c r="T671" i="1"/>
  <c r="S671" i="1" a="1"/>
  <c r="S671" i="1"/>
  <c r="R671" i="1" s="1" a="1"/>
  <c r="R671" i="1" s="1"/>
  <c r="Q671" i="1"/>
  <c r="M671" i="1" a="1"/>
  <c r="M671" i="1" s="1"/>
  <c r="L671" i="1" a="1"/>
  <c r="L671" i="1" s="1"/>
  <c r="K671" i="1" a="1"/>
  <c r="K671" i="1"/>
  <c r="J671" i="1" a="1"/>
  <c r="J671" i="1" s="1"/>
  <c r="I671" i="1" a="1"/>
  <c r="I671" i="1" s="1"/>
  <c r="H671" i="1" a="1"/>
  <c r="H671" i="1" s="1"/>
  <c r="G671" i="1" a="1"/>
  <c r="G671" i="1" s="1"/>
  <c r="C671" i="1" a="1"/>
  <c r="C671" i="1" s="1"/>
  <c r="B671" i="1" a="1"/>
  <c r="B671" i="1" s="1"/>
  <c r="Y670" i="1" a="1"/>
  <c r="Y670" i="1" s="1"/>
  <c r="V670" i="1" a="1"/>
  <c r="V670" i="1" s="1"/>
  <c r="U670" i="1" a="1"/>
  <c r="U670" i="1" s="1"/>
  <c r="T670" i="1"/>
  <c r="S670" i="1" a="1"/>
  <c r="S670" i="1"/>
  <c r="Q670" i="1"/>
  <c r="M670" i="1" a="1"/>
  <c r="M670" i="1" s="1"/>
  <c r="B670" i="1" s="1" a="1"/>
  <c r="B670" i="1" s="1"/>
  <c r="L670" i="1" a="1"/>
  <c r="L670" i="1" s="1"/>
  <c r="K670" i="1" a="1"/>
  <c r="K670" i="1" s="1"/>
  <c r="J670" i="1" a="1"/>
  <c r="J670" i="1" s="1"/>
  <c r="I670" i="1" a="1"/>
  <c r="I670" i="1"/>
  <c r="H670" i="1" a="1"/>
  <c r="H670" i="1" s="1"/>
  <c r="G670" i="1" a="1"/>
  <c r="G670" i="1" s="1"/>
  <c r="E670" i="1" a="1"/>
  <c r="E670" i="1" s="1"/>
  <c r="C670" i="1" a="1"/>
  <c r="C670" i="1" s="1"/>
  <c r="Y669" i="1" a="1"/>
  <c r="Y669" i="1"/>
  <c r="E669" i="1" s="1" a="1"/>
  <c r="E669" i="1" s="1"/>
  <c r="V669" i="1" a="1"/>
  <c r="V669" i="1" s="1"/>
  <c r="U669" i="1" a="1"/>
  <c r="U669" i="1" s="1"/>
  <c r="T669" i="1"/>
  <c r="S669" i="1" a="1"/>
  <c r="S669" i="1" s="1"/>
  <c r="R669" i="1" a="1"/>
  <c r="R669" i="1" s="1"/>
  <c r="Q669" i="1"/>
  <c r="M669" i="1" a="1"/>
  <c r="M669" i="1" s="1"/>
  <c r="B669" i="1" s="1" a="1"/>
  <c r="B669" i="1" s="1"/>
  <c r="L669" i="1" a="1"/>
  <c r="L669" i="1" s="1"/>
  <c r="K669" i="1" a="1"/>
  <c r="K669" i="1"/>
  <c r="J669" i="1" a="1"/>
  <c r="J669" i="1" s="1"/>
  <c r="I669" i="1" a="1"/>
  <c r="I669" i="1" s="1"/>
  <c r="H669" i="1" a="1"/>
  <c r="H669" i="1"/>
  <c r="G669" i="1" a="1"/>
  <c r="G669" i="1" s="1"/>
  <c r="C669" i="1" a="1"/>
  <c r="C669" i="1" s="1"/>
  <c r="Y668" i="1" a="1"/>
  <c r="Y668" i="1" s="1"/>
  <c r="V668" i="1" a="1"/>
  <c r="V668" i="1"/>
  <c r="U668" i="1" a="1"/>
  <c r="U668" i="1" s="1"/>
  <c r="T668" i="1"/>
  <c r="S668" i="1" a="1"/>
  <c r="S668" i="1"/>
  <c r="Q668" i="1"/>
  <c r="M668" i="1" a="1"/>
  <c r="M668" i="1" s="1"/>
  <c r="B668" i="1" s="1" a="1"/>
  <c r="B668" i="1" s="1"/>
  <c r="L668" i="1" a="1"/>
  <c r="L668" i="1" s="1"/>
  <c r="K668" i="1" a="1"/>
  <c r="K668" i="1" s="1"/>
  <c r="J668" i="1" a="1"/>
  <c r="J668" i="1" s="1"/>
  <c r="I668" i="1" a="1"/>
  <c r="I668" i="1"/>
  <c r="H668" i="1" a="1"/>
  <c r="H668" i="1" s="1"/>
  <c r="G668" i="1" a="1"/>
  <c r="G668" i="1" s="1"/>
  <c r="E668" i="1" a="1"/>
  <c r="E668" i="1" s="1"/>
  <c r="Y667" i="1" a="1"/>
  <c r="Y667" i="1" s="1"/>
  <c r="V667" i="1" a="1"/>
  <c r="V667" i="1" s="1"/>
  <c r="U667" i="1" a="1"/>
  <c r="U667" i="1" s="1"/>
  <c r="T667" i="1"/>
  <c r="S667" i="1" a="1"/>
  <c r="S667" i="1" s="1"/>
  <c r="C667" i="1" s="1" a="1"/>
  <c r="C667" i="1" s="1"/>
  <c r="Q667" i="1"/>
  <c r="M667" i="1" a="1"/>
  <c r="M667" i="1" s="1"/>
  <c r="L667" i="1" a="1"/>
  <c r="L667" i="1" s="1"/>
  <c r="K667" i="1" a="1"/>
  <c r="K667" i="1"/>
  <c r="J667" i="1" a="1"/>
  <c r="J667" i="1" s="1"/>
  <c r="I667" i="1" a="1"/>
  <c r="I667" i="1" s="1"/>
  <c r="H667" i="1" a="1"/>
  <c r="H667" i="1" s="1"/>
  <c r="G667" i="1" a="1"/>
  <c r="G667" i="1" s="1"/>
  <c r="B667" i="1" a="1"/>
  <c r="B667" i="1" s="1"/>
  <c r="Y666" i="1" a="1"/>
  <c r="Y666" i="1" s="1"/>
  <c r="V666" i="1" a="1"/>
  <c r="V666" i="1" s="1"/>
  <c r="U666" i="1" a="1"/>
  <c r="U666" i="1" s="1"/>
  <c r="T666" i="1"/>
  <c r="S666" i="1" a="1"/>
  <c r="S666" i="1"/>
  <c r="Q666" i="1"/>
  <c r="M666" i="1" a="1"/>
  <c r="M666" i="1" s="1"/>
  <c r="B666" i="1" s="1" a="1"/>
  <c r="B666" i="1" s="1"/>
  <c r="L666" i="1" a="1"/>
  <c r="L666" i="1" s="1"/>
  <c r="K666" i="1" a="1"/>
  <c r="K666" i="1" s="1"/>
  <c r="J666" i="1" a="1"/>
  <c r="J666" i="1" s="1"/>
  <c r="I666" i="1" a="1"/>
  <c r="I666" i="1"/>
  <c r="H666" i="1" a="1"/>
  <c r="H666" i="1" s="1"/>
  <c r="G666" i="1" a="1"/>
  <c r="G666" i="1" s="1"/>
  <c r="E666" i="1" a="1"/>
  <c r="E666" i="1"/>
  <c r="Y665" i="1" a="1"/>
  <c r="Y665" i="1"/>
  <c r="V665" i="1" a="1"/>
  <c r="V665" i="1" s="1"/>
  <c r="U665" i="1" a="1"/>
  <c r="U665" i="1" s="1"/>
  <c r="T665" i="1"/>
  <c r="S665" i="1" a="1"/>
  <c r="S665" i="1" s="1"/>
  <c r="Q665" i="1"/>
  <c r="M665" i="1" a="1"/>
  <c r="M665" i="1" s="1"/>
  <c r="L665" i="1" a="1"/>
  <c r="L665" i="1" s="1"/>
  <c r="K665" i="1" a="1"/>
  <c r="K665" i="1" s="1"/>
  <c r="J665" i="1" a="1"/>
  <c r="J665" i="1" s="1"/>
  <c r="I665" i="1" a="1"/>
  <c r="I665" i="1" s="1"/>
  <c r="H665" i="1" a="1"/>
  <c r="H665" i="1"/>
  <c r="G665" i="1" a="1"/>
  <c r="G665" i="1" s="1"/>
  <c r="E665" i="1" a="1"/>
  <c r="E665" i="1" s="1"/>
  <c r="C665" i="1" a="1"/>
  <c r="C665" i="1" s="1"/>
  <c r="B665" i="1" a="1"/>
  <c r="B665" i="1" s="1"/>
  <c r="Y664" i="1" a="1"/>
  <c r="Y664" i="1" s="1"/>
  <c r="V664" i="1" a="1"/>
  <c r="V664" i="1" s="1"/>
  <c r="U664" i="1" a="1"/>
  <c r="U664" i="1" s="1"/>
  <c r="T664" i="1"/>
  <c r="S664" i="1" a="1"/>
  <c r="S664" i="1"/>
  <c r="Q664" i="1"/>
  <c r="M664" i="1" a="1"/>
  <c r="M664" i="1"/>
  <c r="B664" i="1" s="1" a="1"/>
  <c r="B664" i="1" s="1"/>
  <c r="L664" i="1" a="1"/>
  <c r="L664" i="1" s="1"/>
  <c r="K664" i="1" a="1"/>
  <c r="K664" i="1" s="1"/>
  <c r="J664" i="1" a="1"/>
  <c r="J664" i="1" s="1"/>
  <c r="I664" i="1" a="1"/>
  <c r="I664" i="1"/>
  <c r="H664" i="1" a="1"/>
  <c r="H664" i="1" s="1"/>
  <c r="G664" i="1" a="1"/>
  <c r="G664" i="1" s="1"/>
  <c r="E664" i="1" a="1"/>
  <c r="E664" i="1" s="1"/>
  <c r="Y663" i="1" a="1"/>
  <c r="Y663" i="1"/>
  <c r="V663" i="1" a="1"/>
  <c r="V663" i="1" s="1"/>
  <c r="U663" i="1" a="1"/>
  <c r="U663" i="1" s="1"/>
  <c r="T663" i="1"/>
  <c r="S663" i="1" a="1"/>
  <c r="S663" i="1"/>
  <c r="R663" i="1" s="1" a="1"/>
  <c r="R663" i="1" s="1"/>
  <c r="Q663" i="1"/>
  <c r="M663" i="1" a="1"/>
  <c r="M663" i="1" s="1"/>
  <c r="L663" i="1" a="1"/>
  <c r="L663" i="1" s="1"/>
  <c r="K663" i="1" a="1"/>
  <c r="K663" i="1"/>
  <c r="J663" i="1" a="1"/>
  <c r="J663" i="1" s="1"/>
  <c r="I663" i="1" a="1"/>
  <c r="I663" i="1" s="1"/>
  <c r="H663" i="1" a="1"/>
  <c r="H663" i="1" s="1"/>
  <c r="G663" i="1" a="1"/>
  <c r="G663" i="1" s="1"/>
  <c r="C663" i="1" a="1"/>
  <c r="C663" i="1" s="1"/>
  <c r="B663" i="1" a="1"/>
  <c r="B663" i="1" s="1"/>
  <c r="Y662" i="1" a="1"/>
  <c r="Y662" i="1" s="1"/>
  <c r="V662" i="1" a="1"/>
  <c r="V662" i="1" s="1"/>
  <c r="U662" i="1" a="1"/>
  <c r="U662" i="1"/>
  <c r="T662" i="1"/>
  <c r="S662" i="1" a="1"/>
  <c r="S662" i="1"/>
  <c r="Q662" i="1"/>
  <c r="M662" i="1" a="1"/>
  <c r="M662" i="1" s="1"/>
  <c r="B662" i="1" s="1" a="1"/>
  <c r="B662" i="1" s="1"/>
  <c r="L662" i="1" a="1"/>
  <c r="L662" i="1" s="1"/>
  <c r="K662" i="1" a="1"/>
  <c r="K662" i="1" s="1"/>
  <c r="J662" i="1" a="1"/>
  <c r="J662" i="1" s="1"/>
  <c r="I662" i="1" a="1"/>
  <c r="I662" i="1"/>
  <c r="H662" i="1" a="1"/>
  <c r="H662" i="1" s="1"/>
  <c r="G662" i="1" a="1"/>
  <c r="G662" i="1" s="1"/>
  <c r="E662" i="1" a="1"/>
  <c r="E662" i="1" s="1"/>
  <c r="C662" i="1" a="1"/>
  <c r="C662" i="1" s="1"/>
  <c r="Y661" i="1" a="1"/>
  <c r="Y661" i="1"/>
  <c r="V661" i="1" a="1"/>
  <c r="V661" i="1" s="1"/>
  <c r="U661" i="1" a="1"/>
  <c r="U661" i="1" s="1"/>
  <c r="T661" i="1"/>
  <c r="S661" i="1" a="1"/>
  <c r="S661" i="1" s="1"/>
  <c r="R661" i="1" a="1"/>
  <c r="R661" i="1" s="1"/>
  <c r="Q661" i="1"/>
  <c r="M661" i="1" a="1"/>
  <c r="M661" i="1" s="1"/>
  <c r="B661" i="1" s="1" a="1"/>
  <c r="B661" i="1" s="1"/>
  <c r="L661" i="1" a="1"/>
  <c r="L661" i="1" s="1"/>
  <c r="K661" i="1" a="1"/>
  <c r="K661" i="1" s="1"/>
  <c r="J661" i="1" a="1"/>
  <c r="J661" i="1" s="1"/>
  <c r="I661" i="1" a="1"/>
  <c r="I661" i="1"/>
  <c r="H661" i="1" a="1"/>
  <c r="H661" i="1"/>
  <c r="G661" i="1" a="1"/>
  <c r="G661" i="1" s="1"/>
  <c r="E661" i="1" a="1"/>
  <c r="E661" i="1" s="1"/>
  <c r="C661" i="1" a="1"/>
  <c r="C661" i="1"/>
  <c r="Y660" i="1" a="1"/>
  <c r="Y660" i="1" s="1"/>
  <c r="V660" i="1" a="1"/>
  <c r="V660" i="1" s="1"/>
  <c r="U660" i="1" a="1"/>
  <c r="U660" i="1" s="1"/>
  <c r="T660" i="1"/>
  <c r="S660" i="1" a="1"/>
  <c r="S660" i="1"/>
  <c r="Q660" i="1"/>
  <c r="M660" i="1" a="1"/>
  <c r="M660" i="1"/>
  <c r="L660" i="1" a="1"/>
  <c r="L660" i="1" s="1"/>
  <c r="K660" i="1" a="1"/>
  <c r="K660" i="1" s="1"/>
  <c r="J660" i="1" a="1"/>
  <c r="J660" i="1"/>
  <c r="I660" i="1" a="1"/>
  <c r="I660" i="1" s="1"/>
  <c r="H660" i="1" a="1"/>
  <c r="H660" i="1" s="1"/>
  <c r="G660" i="1" a="1"/>
  <c r="G660" i="1"/>
  <c r="B660" i="1" a="1"/>
  <c r="B660" i="1" s="1"/>
  <c r="Y659" i="1" a="1"/>
  <c r="Y659" i="1"/>
  <c r="V659" i="1" a="1"/>
  <c r="V659" i="1" s="1"/>
  <c r="U659" i="1" a="1"/>
  <c r="U659" i="1" s="1"/>
  <c r="T659" i="1"/>
  <c r="S659" i="1" a="1"/>
  <c r="S659" i="1"/>
  <c r="Q659" i="1"/>
  <c r="M659" i="1" a="1"/>
  <c r="M659" i="1"/>
  <c r="L659" i="1" a="1"/>
  <c r="L659" i="1"/>
  <c r="K659" i="1" a="1"/>
  <c r="K659" i="1" s="1"/>
  <c r="J659" i="1" a="1"/>
  <c r="J659" i="1" s="1"/>
  <c r="I659" i="1" a="1"/>
  <c r="I659" i="1" s="1"/>
  <c r="H659" i="1" a="1"/>
  <c r="H659" i="1" s="1"/>
  <c r="G659" i="1" a="1"/>
  <c r="G659" i="1" s="1"/>
  <c r="B659" i="1" a="1"/>
  <c r="B659" i="1" s="1"/>
  <c r="Y658" i="1" a="1"/>
  <c r="Y658" i="1"/>
  <c r="V658" i="1" a="1"/>
  <c r="V658" i="1" s="1"/>
  <c r="U658" i="1" a="1"/>
  <c r="U658" i="1" s="1"/>
  <c r="T658" i="1"/>
  <c r="S658" i="1" a="1"/>
  <c r="S658" i="1"/>
  <c r="C658" i="1" s="1" a="1"/>
  <c r="C658" i="1" s="1"/>
  <c r="R658" i="1" a="1"/>
  <c r="R658" i="1" s="1"/>
  <c r="Q658" i="1"/>
  <c r="M658" i="1" a="1"/>
  <c r="M658" i="1" s="1"/>
  <c r="L658" i="1" a="1"/>
  <c r="L658" i="1" s="1"/>
  <c r="K658" i="1" a="1"/>
  <c r="K658" i="1"/>
  <c r="J658" i="1" a="1"/>
  <c r="J658" i="1" s="1"/>
  <c r="I658" i="1" a="1"/>
  <c r="I658" i="1"/>
  <c r="H658" i="1" a="1"/>
  <c r="H658" i="1" s="1"/>
  <c r="G658" i="1" a="1"/>
  <c r="G658" i="1" s="1"/>
  <c r="E658" i="1" a="1"/>
  <c r="E658" i="1" s="1"/>
  <c r="B658" i="1" a="1"/>
  <c r="B658" i="1" s="1"/>
  <c r="Y657" i="1" a="1"/>
  <c r="Y657" i="1"/>
  <c r="E657" i="1" s="1" a="1"/>
  <c r="E657" i="1" s="1"/>
  <c r="V657" i="1" a="1"/>
  <c r="V657" i="1" s="1"/>
  <c r="U657" i="1" a="1"/>
  <c r="U657" i="1" s="1"/>
  <c r="T657" i="1"/>
  <c r="S657" i="1" a="1"/>
  <c r="S657" i="1" s="1"/>
  <c r="C657" i="1" s="1" a="1"/>
  <c r="R657" i="1" a="1"/>
  <c r="R657" i="1" s="1"/>
  <c r="Q657" i="1"/>
  <c r="M657" i="1" a="1"/>
  <c r="M657" i="1" s="1"/>
  <c r="B657" i="1" s="1" a="1"/>
  <c r="B657" i="1" s="1"/>
  <c r="L657" i="1" a="1"/>
  <c r="L657" i="1"/>
  <c r="K657" i="1" a="1"/>
  <c r="K657" i="1"/>
  <c r="J657" i="1" a="1"/>
  <c r="J657" i="1" s="1"/>
  <c r="I657" i="1" a="1"/>
  <c r="I657" i="1"/>
  <c r="H657" i="1" a="1"/>
  <c r="H657" i="1" s="1"/>
  <c r="G657" i="1" a="1"/>
  <c r="G657" i="1" s="1"/>
  <c r="C657" i="1"/>
  <c r="Y656" i="1" a="1"/>
  <c r="Y656" i="1"/>
  <c r="V656" i="1" a="1"/>
  <c r="V656" i="1" s="1"/>
  <c r="U656" i="1" a="1"/>
  <c r="U656" i="1" s="1"/>
  <c r="T656" i="1"/>
  <c r="S656" i="1" a="1"/>
  <c r="S656" i="1"/>
  <c r="Q656" i="1"/>
  <c r="M656" i="1" a="1"/>
  <c r="M656" i="1" s="1"/>
  <c r="B656" i="1" s="1" a="1"/>
  <c r="B656" i="1" s="1"/>
  <c r="L656" i="1" a="1"/>
  <c r="L656" i="1" s="1"/>
  <c r="K656" i="1" a="1"/>
  <c r="K656" i="1"/>
  <c r="J656" i="1" a="1"/>
  <c r="J656" i="1" s="1"/>
  <c r="I656" i="1" a="1"/>
  <c r="I656" i="1"/>
  <c r="H656" i="1" a="1"/>
  <c r="H656" i="1" s="1"/>
  <c r="G656" i="1" a="1"/>
  <c r="G656" i="1" s="1"/>
  <c r="E656" i="1" a="1"/>
  <c r="E656" i="1" s="1"/>
  <c r="Y655" i="1" a="1"/>
  <c r="Y655" i="1" s="1"/>
  <c r="V655" i="1" a="1"/>
  <c r="V655" i="1" s="1"/>
  <c r="U655" i="1" a="1"/>
  <c r="U655" i="1" s="1"/>
  <c r="T655" i="1"/>
  <c r="S655" i="1" a="1"/>
  <c r="S655" i="1"/>
  <c r="Q655" i="1"/>
  <c r="M655" i="1" a="1"/>
  <c r="M655" i="1" s="1"/>
  <c r="L655" i="1" a="1"/>
  <c r="L655" i="1" s="1"/>
  <c r="K655" i="1" a="1"/>
  <c r="K655" i="1"/>
  <c r="J655" i="1" a="1"/>
  <c r="J655" i="1" s="1"/>
  <c r="I655" i="1" a="1"/>
  <c r="I655" i="1"/>
  <c r="H655" i="1" a="1"/>
  <c r="H655" i="1"/>
  <c r="G655" i="1" a="1"/>
  <c r="G655" i="1"/>
  <c r="E655" i="1" a="1"/>
  <c r="E655" i="1" s="1"/>
  <c r="B655" i="1" a="1"/>
  <c r="B655" i="1" s="1"/>
  <c r="Y654" i="1" a="1"/>
  <c r="Y654" i="1" s="1"/>
  <c r="E654" i="1" s="1" a="1"/>
  <c r="V654" i="1" a="1"/>
  <c r="V654" i="1" s="1"/>
  <c r="U654" i="1" a="1"/>
  <c r="U654" i="1"/>
  <c r="T654" i="1"/>
  <c r="S654" i="1" a="1"/>
  <c r="S654" i="1"/>
  <c r="Q654" i="1"/>
  <c r="M654" i="1" a="1"/>
  <c r="M654" i="1"/>
  <c r="B654" i="1" s="1" a="1"/>
  <c r="B654" i="1" s="1"/>
  <c r="L654" i="1" a="1"/>
  <c r="L654" i="1" s="1"/>
  <c r="K654" i="1" a="1"/>
  <c r="K654" i="1"/>
  <c r="J654" i="1" a="1"/>
  <c r="J654" i="1"/>
  <c r="I654" i="1" a="1"/>
  <c r="I654" i="1" s="1"/>
  <c r="H654" i="1" a="1"/>
  <c r="H654" i="1" s="1"/>
  <c r="G654" i="1" a="1"/>
  <c r="G654" i="1"/>
  <c r="E654" i="1"/>
  <c r="Y653" i="1" a="1"/>
  <c r="Y653" i="1"/>
  <c r="V653" i="1" a="1"/>
  <c r="V653" i="1" s="1"/>
  <c r="U653" i="1" a="1"/>
  <c r="U653" i="1"/>
  <c r="T653" i="1"/>
  <c r="S653" i="1" a="1"/>
  <c r="S653" i="1"/>
  <c r="R653" i="1" s="1" a="1"/>
  <c r="R653" i="1"/>
  <c r="Q653" i="1"/>
  <c r="M653" i="1" a="1"/>
  <c r="M653" i="1"/>
  <c r="B653" i="1" s="1" a="1"/>
  <c r="B653" i="1" s="1"/>
  <c r="L653" i="1" a="1"/>
  <c r="L653" i="1"/>
  <c r="K653" i="1" a="1"/>
  <c r="K653" i="1" s="1"/>
  <c r="J653" i="1" a="1"/>
  <c r="J653" i="1" s="1"/>
  <c r="I653" i="1" a="1"/>
  <c r="I653" i="1" s="1"/>
  <c r="H653" i="1" a="1"/>
  <c r="H653" i="1" s="1"/>
  <c r="G653" i="1" a="1"/>
  <c r="G653" i="1" s="1"/>
  <c r="Y652" i="1" a="1"/>
  <c r="Y652" i="1" s="1"/>
  <c r="E652" i="1" s="1" a="1"/>
  <c r="E652" i="1" s="1"/>
  <c r="V652" i="1" a="1"/>
  <c r="V652" i="1" s="1"/>
  <c r="U652" i="1" a="1"/>
  <c r="U652" i="1" s="1"/>
  <c r="T652" i="1"/>
  <c r="S652" i="1" a="1"/>
  <c r="S652" i="1"/>
  <c r="Q652" i="1"/>
  <c r="M652" i="1" a="1"/>
  <c r="M652" i="1" s="1"/>
  <c r="L652" i="1" a="1"/>
  <c r="L652" i="1" s="1"/>
  <c r="K652" i="1" a="1"/>
  <c r="K652" i="1"/>
  <c r="J652" i="1" a="1"/>
  <c r="J652" i="1" s="1"/>
  <c r="I652" i="1" a="1"/>
  <c r="I652" i="1"/>
  <c r="H652" i="1" a="1"/>
  <c r="H652" i="1" s="1"/>
  <c r="G652" i="1" a="1"/>
  <c r="G652" i="1" s="1"/>
  <c r="B652" i="1" a="1"/>
  <c r="B652" i="1"/>
  <c r="Y651" i="1" a="1"/>
  <c r="Y651" i="1"/>
  <c r="E651" i="1" s="1" a="1"/>
  <c r="E651" i="1" s="1"/>
  <c r="V651" i="1" a="1"/>
  <c r="V651" i="1" s="1"/>
  <c r="U651" i="1" a="1"/>
  <c r="U651" i="1" s="1"/>
  <c r="T651" i="1"/>
  <c r="S651" i="1" a="1"/>
  <c r="S651" i="1" s="1"/>
  <c r="R651" i="1" s="1" a="1"/>
  <c r="R651" i="1" s="1"/>
  <c r="Q651" i="1"/>
  <c r="M651" i="1" a="1"/>
  <c r="M651" i="1" s="1"/>
  <c r="B651" i="1" s="1" a="1"/>
  <c r="B651" i="1" s="1"/>
  <c r="L651" i="1" a="1"/>
  <c r="L651" i="1"/>
  <c r="K651" i="1" a="1"/>
  <c r="K651" i="1" s="1"/>
  <c r="J651" i="1" a="1"/>
  <c r="J651" i="1" s="1"/>
  <c r="I651" i="1" a="1"/>
  <c r="I651" i="1"/>
  <c r="H651" i="1" a="1"/>
  <c r="H651" i="1"/>
  <c r="G651" i="1" a="1"/>
  <c r="G651" i="1"/>
  <c r="C651" i="1" a="1"/>
  <c r="C651" i="1" s="1"/>
  <c r="V650" i="1" a="1"/>
  <c r="V650" i="1"/>
  <c r="U650" i="1" a="1"/>
  <c r="U650" i="1" s="1"/>
  <c r="T650" i="1"/>
  <c r="S650" i="1" a="1"/>
  <c r="S650" i="1"/>
  <c r="Q650" i="1"/>
  <c r="M650" i="1" a="1"/>
  <c r="M650" i="1"/>
  <c r="B650" i="1" s="1" a="1"/>
  <c r="B650" i="1" s="1"/>
  <c r="L650" i="1" a="1"/>
  <c r="L650" i="1" s="1"/>
  <c r="K650" i="1" a="1"/>
  <c r="K650" i="1" s="1"/>
  <c r="J650" i="1" a="1"/>
  <c r="J650" i="1" s="1"/>
  <c r="I650" i="1" a="1"/>
  <c r="I650" i="1" s="1"/>
  <c r="H650" i="1" a="1"/>
  <c r="H650" i="1" s="1"/>
  <c r="G650" i="1" a="1"/>
  <c r="G650" i="1" s="1"/>
  <c r="C650" i="1" a="1"/>
  <c r="C650" i="1"/>
  <c r="Y649" i="1" a="1"/>
  <c r="Y649" i="1" s="1"/>
  <c r="E649" i="1" s="1" a="1"/>
  <c r="E649" i="1" s="1"/>
  <c r="V649" i="1" a="1"/>
  <c r="V649" i="1" s="1"/>
  <c r="U649" i="1" a="1"/>
  <c r="U649" i="1"/>
  <c r="T649" i="1"/>
  <c r="S649" i="1" a="1"/>
  <c r="S649" i="1" s="1"/>
  <c r="R649" i="1" a="1"/>
  <c r="R649" i="1" s="1"/>
  <c r="Q649" i="1"/>
  <c r="M649" i="1" a="1"/>
  <c r="M649" i="1"/>
  <c r="L649" i="1" a="1"/>
  <c r="L649" i="1"/>
  <c r="K649" i="1" a="1"/>
  <c r="K649" i="1" s="1"/>
  <c r="J649" i="1" a="1"/>
  <c r="J649" i="1" s="1"/>
  <c r="I649" i="1" a="1"/>
  <c r="I649" i="1" s="1"/>
  <c r="H649" i="1" a="1"/>
  <c r="H649" i="1" s="1"/>
  <c r="G649" i="1" a="1"/>
  <c r="G649" i="1"/>
  <c r="B649" i="1" a="1"/>
  <c r="B649" i="1" s="1"/>
  <c r="Y648" i="1" a="1"/>
  <c r="Y648" i="1" s="1"/>
  <c r="V648" i="1" a="1"/>
  <c r="V648" i="1" s="1"/>
  <c r="U648" i="1" a="1"/>
  <c r="U648" i="1" s="1"/>
  <c r="T648" i="1"/>
  <c r="S648" i="1" a="1"/>
  <c r="S648" i="1"/>
  <c r="Q648" i="1"/>
  <c r="M648" i="1" a="1"/>
  <c r="M648" i="1" s="1"/>
  <c r="B648" i="1" s="1" a="1"/>
  <c r="B648" i="1" s="1"/>
  <c r="L648" i="1" a="1"/>
  <c r="L648" i="1" s="1"/>
  <c r="K648" i="1" a="1"/>
  <c r="K648" i="1" s="1"/>
  <c r="J648" i="1" a="1"/>
  <c r="J648" i="1"/>
  <c r="I648" i="1" a="1"/>
  <c r="I648" i="1"/>
  <c r="H648" i="1" a="1"/>
  <c r="H648" i="1" s="1"/>
  <c r="G648" i="1" a="1"/>
  <c r="G648" i="1"/>
  <c r="E648" i="1" a="1"/>
  <c r="E648" i="1" s="1"/>
  <c r="Y647" i="1" a="1"/>
  <c r="Y647" i="1"/>
  <c r="V647" i="1" a="1"/>
  <c r="V647" i="1" s="1"/>
  <c r="U647" i="1" a="1"/>
  <c r="U647" i="1" s="1"/>
  <c r="T647" i="1"/>
  <c r="S647" i="1" a="1"/>
  <c r="S647" i="1" s="1"/>
  <c r="Q647" i="1"/>
  <c r="M647" i="1" a="1"/>
  <c r="M647" i="1" s="1"/>
  <c r="B647" i="1" s="1" a="1"/>
  <c r="B647" i="1" s="1"/>
  <c r="L647" i="1" a="1"/>
  <c r="L647" i="1"/>
  <c r="K647" i="1" a="1"/>
  <c r="K647" i="1" s="1"/>
  <c r="J647" i="1" a="1"/>
  <c r="J647" i="1" s="1"/>
  <c r="I647" i="1" a="1"/>
  <c r="I647" i="1"/>
  <c r="H647" i="1" a="1"/>
  <c r="H647" i="1" s="1"/>
  <c r="G647" i="1" a="1"/>
  <c r="G647" i="1"/>
  <c r="E647" i="1" a="1"/>
  <c r="E647" i="1" s="1"/>
  <c r="Y646" i="1" a="1"/>
  <c r="Y646" i="1"/>
  <c r="V646" i="1" a="1"/>
  <c r="V646" i="1"/>
  <c r="U646" i="1" a="1"/>
  <c r="U646" i="1" s="1"/>
  <c r="T646" i="1"/>
  <c r="S646" i="1" a="1"/>
  <c r="S646" i="1"/>
  <c r="R646" i="1" a="1"/>
  <c r="R646" i="1" s="1"/>
  <c r="Q646" i="1"/>
  <c r="M646" i="1" a="1"/>
  <c r="M646" i="1"/>
  <c r="B646" i="1" s="1" a="1"/>
  <c r="B646" i="1" s="1"/>
  <c r="L646" i="1" a="1"/>
  <c r="L646" i="1" s="1"/>
  <c r="K646" i="1" a="1"/>
  <c r="K646" i="1" s="1"/>
  <c r="J646" i="1" a="1"/>
  <c r="J646" i="1" s="1"/>
  <c r="I646" i="1" a="1"/>
  <c r="I646" i="1"/>
  <c r="H646" i="1" a="1"/>
  <c r="H646" i="1" s="1"/>
  <c r="G646" i="1" a="1"/>
  <c r="G646" i="1"/>
  <c r="C646" i="1" a="1"/>
  <c r="C646" i="1"/>
  <c r="Y645" i="1" a="1"/>
  <c r="Y645" i="1" s="1"/>
  <c r="E645" i="1" s="1" a="1"/>
  <c r="E645" i="1" s="1"/>
  <c r="V645" i="1" a="1"/>
  <c r="V645" i="1" s="1"/>
  <c r="U645" i="1" a="1"/>
  <c r="U645" i="1" s="1"/>
  <c r="T645" i="1"/>
  <c r="S645" i="1" a="1"/>
  <c r="S645" i="1" s="1"/>
  <c r="R645" i="1" a="1"/>
  <c r="R645" i="1" s="1"/>
  <c r="Q645" i="1"/>
  <c r="M645" i="1" a="1"/>
  <c r="M645" i="1"/>
  <c r="B645" i="1" s="1" a="1"/>
  <c r="B645" i="1" s="1"/>
  <c r="L645" i="1" a="1"/>
  <c r="L645" i="1"/>
  <c r="K645" i="1" a="1"/>
  <c r="K645" i="1"/>
  <c r="J645" i="1" a="1"/>
  <c r="J645" i="1" s="1"/>
  <c r="I645" i="1" a="1"/>
  <c r="I645" i="1" s="1"/>
  <c r="H645" i="1" a="1"/>
  <c r="H645" i="1" s="1"/>
  <c r="G645" i="1" a="1"/>
  <c r="G645" i="1" s="1"/>
  <c r="C645" i="1" a="1"/>
  <c r="C645" i="1"/>
  <c r="Y644" i="1" a="1"/>
  <c r="Y644" i="1" s="1"/>
  <c r="E644" i="1" s="1" a="1"/>
  <c r="V644" i="1" a="1"/>
  <c r="V644" i="1" s="1"/>
  <c r="U644" i="1" a="1"/>
  <c r="U644" i="1" s="1"/>
  <c r="T644" i="1"/>
  <c r="S644" i="1" a="1"/>
  <c r="S644" i="1"/>
  <c r="Q644" i="1"/>
  <c r="M644" i="1" a="1"/>
  <c r="M644" i="1" s="1"/>
  <c r="B644" i="1" s="1" a="1"/>
  <c r="B644" i="1" s="1"/>
  <c r="L644" i="1" a="1"/>
  <c r="L644" i="1" s="1"/>
  <c r="K644" i="1" a="1"/>
  <c r="K644" i="1"/>
  <c r="J644" i="1" a="1"/>
  <c r="J644" i="1"/>
  <c r="I644" i="1" a="1"/>
  <c r="I644" i="1"/>
  <c r="H644" i="1" a="1"/>
  <c r="H644" i="1" s="1"/>
  <c r="G644" i="1" a="1"/>
  <c r="G644" i="1" s="1"/>
  <c r="E644" i="1"/>
  <c r="C644" i="1" a="1"/>
  <c r="C644" i="1"/>
  <c r="Y643" i="1" a="1"/>
  <c r="Y643" i="1"/>
  <c r="V643" i="1" a="1"/>
  <c r="V643" i="1" s="1"/>
  <c r="U643" i="1" a="1"/>
  <c r="U643" i="1" s="1"/>
  <c r="T643" i="1"/>
  <c r="S643" i="1" a="1"/>
  <c r="S643" i="1"/>
  <c r="R643" i="1" s="1" a="1"/>
  <c r="R643" i="1"/>
  <c r="Q643" i="1"/>
  <c r="M643" i="1" a="1"/>
  <c r="M643" i="1"/>
  <c r="B643" i="1" s="1" a="1"/>
  <c r="B643" i="1" s="1"/>
  <c r="L643" i="1" a="1"/>
  <c r="L643" i="1" s="1"/>
  <c r="K643" i="1" a="1"/>
  <c r="K643" i="1" s="1"/>
  <c r="J643" i="1" a="1"/>
  <c r="J643" i="1" s="1"/>
  <c r="I643" i="1" a="1"/>
  <c r="I643" i="1"/>
  <c r="H643" i="1" a="1"/>
  <c r="H643" i="1" s="1"/>
  <c r="G643" i="1" a="1"/>
  <c r="G643" i="1"/>
  <c r="C643" i="1" a="1"/>
  <c r="C643" i="1" s="1"/>
  <c r="Y642" i="1" a="1"/>
  <c r="Y642" i="1"/>
  <c r="V642" i="1" a="1"/>
  <c r="V642" i="1" s="1"/>
  <c r="U642" i="1" a="1"/>
  <c r="U642" i="1" s="1"/>
  <c r="T642" i="1"/>
  <c r="S642" i="1" a="1"/>
  <c r="S642" i="1"/>
  <c r="R642" i="1" a="1"/>
  <c r="R642" i="1"/>
  <c r="Q642" i="1"/>
  <c r="M642" i="1" a="1"/>
  <c r="M642" i="1"/>
  <c r="B642" i="1" s="1" a="1"/>
  <c r="B642" i="1" s="1"/>
  <c r="L642" i="1" a="1"/>
  <c r="L642" i="1" s="1"/>
  <c r="K642" i="1" a="1"/>
  <c r="K642" i="1" s="1"/>
  <c r="J642" i="1" a="1"/>
  <c r="J642" i="1" s="1"/>
  <c r="I642" i="1" a="1"/>
  <c r="I642" i="1"/>
  <c r="H642" i="1" a="1"/>
  <c r="H642" i="1" s="1"/>
  <c r="G642" i="1" a="1"/>
  <c r="G642" i="1"/>
  <c r="E642" i="1" a="1"/>
  <c r="E642" i="1" s="1"/>
  <c r="C642" i="1" a="1"/>
  <c r="C642" i="1" s="1"/>
  <c r="Y641" i="1" a="1"/>
  <c r="Y641" i="1"/>
  <c r="V641" i="1" a="1"/>
  <c r="V641" i="1" s="1"/>
  <c r="U641" i="1" a="1"/>
  <c r="U641" i="1" s="1"/>
  <c r="T641" i="1"/>
  <c r="S641" i="1" a="1"/>
  <c r="S641" i="1" s="1"/>
  <c r="Q641" i="1"/>
  <c r="M641" i="1" a="1"/>
  <c r="M641" i="1"/>
  <c r="B641" i="1" s="1" a="1"/>
  <c r="B641" i="1" s="1"/>
  <c r="L641" i="1" a="1"/>
  <c r="L641" i="1"/>
  <c r="K641" i="1" a="1"/>
  <c r="K641" i="1"/>
  <c r="J641" i="1" a="1"/>
  <c r="J641" i="1" s="1"/>
  <c r="I641" i="1" a="1"/>
  <c r="I641" i="1" s="1"/>
  <c r="H641" i="1" a="1"/>
  <c r="H641" i="1" s="1"/>
  <c r="G641" i="1" a="1"/>
  <c r="G641" i="1" s="1"/>
  <c r="Y640" i="1" a="1"/>
  <c r="Y640" i="1" s="1"/>
  <c r="E640" i="1" s="1" a="1"/>
  <c r="E640" i="1" s="1"/>
  <c r="V640" i="1" a="1"/>
  <c r="V640" i="1" s="1"/>
  <c r="U640" i="1" a="1"/>
  <c r="U640" i="1" s="1"/>
  <c r="T640" i="1"/>
  <c r="S640" i="1" a="1"/>
  <c r="S640" i="1"/>
  <c r="C640" i="1" s="1" a="1"/>
  <c r="R640" i="1" a="1"/>
  <c r="R640" i="1" s="1"/>
  <c r="Q640" i="1"/>
  <c r="M640" i="1" a="1"/>
  <c r="M640" i="1" s="1"/>
  <c r="B640" i="1" s="1" a="1"/>
  <c r="B640" i="1" s="1"/>
  <c r="L640" i="1" a="1"/>
  <c r="L640" i="1" s="1"/>
  <c r="K640" i="1" a="1"/>
  <c r="K640" i="1"/>
  <c r="J640" i="1" a="1"/>
  <c r="J640" i="1"/>
  <c r="I640" i="1" a="1"/>
  <c r="I640" i="1"/>
  <c r="H640" i="1" a="1"/>
  <c r="H640" i="1" s="1"/>
  <c r="G640" i="1" a="1"/>
  <c r="G640" i="1" s="1"/>
  <c r="C640" i="1"/>
  <c r="Y639" i="1" a="1"/>
  <c r="Y639" i="1"/>
  <c r="E639" i="1" s="1" a="1"/>
  <c r="E639" i="1" s="1"/>
  <c r="V639" i="1" a="1"/>
  <c r="V639" i="1" s="1"/>
  <c r="U639" i="1" a="1"/>
  <c r="U639" i="1" s="1"/>
  <c r="T639" i="1"/>
  <c r="S639" i="1" a="1"/>
  <c r="S639" i="1"/>
  <c r="Q639" i="1"/>
  <c r="M639" i="1" a="1"/>
  <c r="M639" i="1" s="1"/>
  <c r="L639" i="1" a="1"/>
  <c r="L639" i="1" s="1"/>
  <c r="K639" i="1" a="1"/>
  <c r="K639" i="1" s="1"/>
  <c r="J639" i="1" a="1"/>
  <c r="J639" i="1" s="1"/>
  <c r="I639" i="1" a="1"/>
  <c r="I639" i="1" s="1"/>
  <c r="H639" i="1" a="1"/>
  <c r="H639" i="1"/>
  <c r="G639" i="1" a="1"/>
  <c r="G639" i="1"/>
  <c r="B639" i="1" a="1"/>
  <c r="B639" i="1" s="1"/>
  <c r="Y638" i="1" a="1"/>
  <c r="Y638" i="1"/>
  <c r="E638" i="1" s="1" a="1"/>
  <c r="V638" i="1" a="1"/>
  <c r="V638" i="1"/>
  <c r="U638" i="1" a="1"/>
  <c r="U638" i="1" s="1"/>
  <c r="T638" i="1"/>
  <c r="S638" i="1" a="1"/>
  <c r="S638" i="1"/>
  <c r="R638" i="1" a="1"/>
  <c r="R638" i="1" s="1"/>
  <c r="Q638" i="1"/>
  <c r="M638" i="1" a="1"/>
  <c r="M638" i="1"/>
  <c r="L638" i="1" a="1"/>
  <c r="L638" i="1" s="1"/>
  <c r="K638" i="1" a="1"/>
  <c r="K638" i="1" s="1"/>
  <c r="J638" i="1" a="1"/>
  <c r="J638" i="1" s="1"/>
  <c r="I638" i="1" a="1"/>
  <c r="I638" i="1" s="1"/>
  <c r="H638" i="1" a="1"/>
  <c r="H638" i="1" s="1"/>
  <c r="G638" i="1" a="1"/>
  <c r="G638" i="1"/>
  <c r="E638" i="1"/>
  <c r="C638" i="1" a="1"/>
  <c r="C638" i="1" s="1"/>
  <c r="B638" i="1" a="1"/>
  <c r="B638" i="1" s="1"/>
  <c r="Y637" i="1" a="1"/>
  <c r="Y637" i="1" s="1"/>
  <c r="E637" i="1" s="1" a="1"/>
  <c r="V637" i="1" a="1"/>
  <c r="V637" i="1" s="1"/>
  <c r="U637" i="1" a="1"/>
  <c r="U637" i="1" s="1"/>
  <c r="T637" i="1"/>
  <c r="S637" i="1" a="1"/>
  <c r="S637" i="1" s="1"/>
  <c r="Q637" i="1"/>
  <c r="M637" i="1" a="1"/>
  <c r="M637" i="1"/>
  <c r="B637" i="1" s="1" a="1"/>
  <c r="B637" i="1" s="1"/>
  <c r="L637" i="1" a="1"/>
  <c r="L637" i="1"/>
  <c r="K637" i="1" a="1"/>
  <c r="K637" i="1"/>
  <c r="J637" i="1" a="1"/>
  <c r="J637" i="1" s="1"/>
  <c r="I637" i="1" a="1"/>
  <c r="I637" i="1" s="1"/>
  <c r="H637" i="1" a="1"/>
  <c r="H637" i="1" s="1"/>
  <c r="G637" i="1" a="1"/>
  <c r="G637" i="1" s="1"/>
  <c r="E637" i="1"/>
  <c r="Y636" i="1" a="1"/>
  <c r="Y636" i="1" s="1"/>
  <c r="E636" i="1" s="1" a="1"/>
  <c r="E636" i="1" s="1"/>
  <c r="V636" i="1" a="1"/>
  <c r="V636" i="1" s="1"/>
  <c r="U636" i="1" a="1"/>
  <c r="U636" i="1" s="1"/>
  <c r="T636" i="1"/>
  <c r="S636" i="1" a="1"/>
  <c r="S636" i="1"/>
  <c r="C636" i="1" s="1" a="1"/>
  <c r="R636" i="1" a="1"/>
  <c r="R636" i="1" s="1"/>
  <c r="Q636" i="1"/>
  <c r="M636" i="1" a="1"/>
  <c r="M636" i="1" s="1"/>
  <c r="B636" i="1" s="1" a="1"/>
  <c r="B636" i="1" s="1"/>
  <c r="L636" i="1" a="1"/>
  <c r="L636" i="1" s="1"/>
  <c r="K636" i="1" a="1"/>
  <c r="K636" i="1"/>
  <c r="J636" i="1" a="1"/>
  <c r="J636" i="1"/>
  <c r="I636" i="1" a="1"/>
  <c r="I636" i="1"/>
  <c r="H636" i="1" a="1"/>
  <c r="H636" i="1" s="1"/>
  <c r="G636" i="1" a="1"/>
  <c r="G636" i="1"/>
  <c r="C636" i="1"/>
  <c r="Y635" i="1" a="1"/>
  <c r="Y635" i="1"/>
  <c r="V635" i="1" a="1"/>
  <c r="V635" i="1" s="1"/>
  <c r="U635" i="1" a="1"/>
  <c r="U635" i="1" s="1"/>
  <c r="T635" i="1"/>
  <c r="S635" i="1" a="1"/>
  <c r="S635" i="1" s="1"/>
  <c r="Q635" i="1"/>
  <c r="M635" i="1" a="1"/>
  <c r="M635" i="1" s="1"/>
  <c r="L635" i="1" a="1"/>
  <c r="L635" i="1"/>
  <c r="K635" i="1" a="1"/>
  <c r="K635" i="1"/>
  <c r="J635" i="1" a="1"/>
  <c r="J635" i="1" s="1"/>
  <c r="I635" i="1" a="1"/>
  <c r="I635" i="1"/>
  <c r="H635" i="1" a="1"/>
  <c r="H635" i="1"/>
  <c r="G635" i="1" a="1"/>
  <c r="G635" i="1" s="1"/>
  <c r="B635" i="1" a="1"/>
  <c r="B635" i="1" s="1"/>
  <c r="Y634" i="1" a="1"/>
  <c r="Y634" i="1"/>
  <c r="V634" i="1" a="1"/>
  <c r="V634" i="1"/>
  <c r="U634" i="1" a="1"/>
  <c r="U634" i="1" s="1"/>
  <c r="T634" i="1"/>
  <c r="S634" i="1" a="1"/>
  <c r="S634" i="1"/>
  <c r="R634" i="1" a="1"/>
  <c r="R634" i="1" s="1"/>
  <c r="Q634" i="1"/>
  <c r="M634" i="1" a="1"/>
  <c r="M634" i="1"/>
  <c r="L634" i="1" a="1"/>
  <c r="L634" i="1" s="1"/>
  <c r="K634" i="1" a="1"/>
  <c r="K634" i="1"/>
  <c r="J634" i="1" a="1"/>
  <c r="J634" i="1" s="1"/>
  <c r="I634" i="1" a="1"/>
  <c r="I634" i="1" s="1"/>
  <c r="H634" i="1" a="1"/>
  <c r="H634" i="1" s="1"/>
  <c r="G634" i="1" a="1"/>
  <c r="G634" i="1"/>
  <c r="C634" i="1" a="1"/>
  <c r="C634" i="1" s="1"/>
  <c r="B634" i="1" a="1"/>
  <c r="B634" i="1" s="1"/>
  <c r="V633" i="1" a="1"/>
  <c r="V633" i="1" s="1"/>
  <c r="U633" i="1" a="1"/>
  <c r="U633" i="1" s="1"/>
  <c r="T633" i="1"/>
  <c r="S633" i="1" a="1"/>
  <c r="S633" i="1" s="1"/>
  <c r="Q633" i="1"/>
  <c r="M633" i="1" a="1"/>
  <c r="M633" i="1"/>
  <c r="L633" i="1" a="1"/>
  <c r="L633" i="1" s="1"/>
  <c r="K633" i="1" a="1"/>
  <c r="K633" i="1"/>
  <c r="J633" i="1" a="1"/>
  <c r="J633" i="1" s="1"/>
  <c r="I633" i="1" a="1"/>
  <c r="I633" i="1" s="1"/>
  <c r="H633" i="1" a="1"/>
  <c r="H633" i="1" s="1"/>
  <c r="G633" i="1" a="1"/>
  <c r="G633" i="1"/>
  <c r="B633" i="1" a="1"/>
  <c r="B633" i="1" s="1"/>
  <c r="Y632" i="1" a="1"/>
  <c r="Y632" i="1" s="1"/>
  <c r="V632" i="1" a="1"/>
  <c r="V632" i="1" s="1"/>
  <c r="U632" i="1" a="1"/>
  <c r="U632" i="1" s="1"/>
  <c r="T632" i="1"/>
  <c r="S632" i="1" a="1"/>
  <c r="S632" i="1"/>
  <c r="Q632" i="1"/>
  <c r="M632" i="1" a="1"/>
  <c r="M632" i="1" s="1"/>
  <c r="B632" i="1" s="1" a="1"/>
  <c r="L632" i="1" a="1"/>
  <c r="L632" i="1" s="1"/>
  <c r="K632" i="1" a="1"/>
  <c r="K632" i="1"/>
  <c r="J632" i="1" a="1"/>
  <c r="J632" i="1"/>
  <c r="I632" i="1" a="1"/>
  <c r="I632" i="1"/>
  <c r="H632" i="1" a="1"/>
  <c r="H632" i="1" s="1"/>
  <c r="G632" i="1" a="1"/>
  <c r="G632" i="1" s="1"/>
  <c r="C632" i="1" a="1"/>
  <c r="C632" i="1"/>
  <c r="B632" i="1"/>
  <c r="Y631" i="1" a="1"/>
  <c r="Y631" i="1"/>
  <c r="V631" i="1" a="1"/>
  <c r="V631" i="1" s="1"/>
  <c r="U631" i="1" a="1"/>
  <c r="U631" i="1"/>
  <c r="T631" i="1"/>
  <c r="S631" i="1" a="1"/>
  <c r="S631" i="1"/>
  <c r="Q631" i="1"/>
  <c r="M631" i="1" a="1"/>
  <c r="M631" i="1" s="1"/>
  <c r="B631" i="1" s="1" a="1"/>
  <c r="B631" i="1" s="1"/>
  <c r="L631" i="1" a="1"/>
  <c r="L631" i="1" s="1"/>
  <c r="K631" i="1" a="1"/>
  <c r="K631" i="1" s="1"/>
  <c r="J631" i="1" a="1"/>
  <c r="J631" i="1" s="1"/>
  <c r="I631" i="1" a="1"/>
  <c r="I631" i="1"/>
  <c r="H631" i="1" a="1"/>
  <c r="H631" i="1" s="1"/>
  <c r="G631" i="1" a="1"/>
  <c r="G631" i="1" s="1"/>
  <c r="Y630" i="1" a="1"/>
  <c r="Y630" i="1"/>
  <c r="V630" i="1" a="1"/>
  <c r="V630" i="1"/>
  <c r="U630" i="1" a="1"/>
  <c r="U630" i="1" s="1"/>
  <c r="T630" i="1"/>
  <c r="S630" i="1" a="1"/>
  <c r="S630" i="1"/>
  <c r="R630" i="1" a="1"/>
  <c r="R630" i="1" s="1"/>
  <c r="Q630" i="1"/>
  <c r="M630" i="1" a="1"/>
  <c r="M630" i="1" s="1"/>
  <c r="L630" i="1" a="1"/>
  <c r="L630" i="1" s="1"/>
  <c r="K630" i="1" a="1"/>
  <c r="K630" i="1" s="1"/>
  <c r="J630" i="1" a="1"/>
  <c r="J630" i="1" s="1"/>
  <c r="I630" i="1" a="1"/>
  <c r="I630" i="1" s="1"/>
  <c r="H630" i="1" a="1"/>
  <c r="H630" i="1" s="1"/>
  <c r="G630" i="1" a="1"/>
  <c r="G630" i="1" s="1"/>
  <c r="C630" i="1" a="1"/>
  <c r="C630" i="1" s="1"/>
  <c r="B630" i="1" a="1"/>
  <c r="B630" i="1" s="1"/>
  <c r="Y629" i="1" a="1"/>
  <c r="Y629" i="1" s="1"/>
  <c r="V629" i="1" a="1"/>
  <c r="V629" i="1" s="1"/>
  <c r="U629" i="1" a="1"/>
  <c r="U629" i="1" s="1"/>
  <c r="T629" i="1"/>
  <c r="S629" i="1" a="1"/>
  <c r="S629" i="1" s="1"/>
  <c r="R629" i="1" a="1"/>
  <c r="R629" i="1" s="1"/>
  <c r="Q629" i="1"/>
  <c r="M629" i="1" a="1"/>
  <c r="M629" i="1" s="1"/>
  <c r="B629" i="1" s="1" a="1"/>
  <c r="B629" i="1" s="1"/>
  <c r="L629" i="1" a="1"/>
  <c r="L629" i="1"/>
  <c r="K629" i="1" a="1"/>
  <c r="K629" i="1"/>
  <c r="J629" i="1" a="1"/>
  <c r="J629" i="1" s="1"/>
  <c r="I629" i="1" a="1"/>
  <c r="I629" i="1" s="1"/>
  <c r="H629" i="1" a="1"/>
  <c r="H629" i="1"/>
  <c r="G629" i="1" a="1"/>
  <c r="G629" i="1" s="1"/>
  <c r="C629" i="1" a="1"/>
  <c r="C629" i="1" s="1"/>
  <c r="Y628" i="1" a="1"/>
  <c r="Y628" i="1" s="1"/>
  <c r="E628" i="1" s="1" a="1"/>
  <c r="E628" i="1" s="1"/>
  <c r="V628" i="1" a="1"/>
  <c r="V628" i="1" s="1"/>
  <c r="U628" i="1" a="1"/>
  <c r="U628" i="1"/>
  <c r="T628" i="1"/>
  <c r="S628" i="1" a="1"/>
  <c r="S628" i="1"/>
  <c r="R628" i="1" s="1" a="1"/>
  <c r="R628" i="1"/>
  <c r="Q628" i="1"/>
  <c r="M628" i="1" a="1"/>
  <c r="M628" i="1"/>
  <c r="B628" i="1" s="1" a="1"/>
  <c r="B628" i="1" s="1"/>
  <c r="L628" i="1" a="1"/>
  <c r="L628" i="1" s="1"/>
  <c r="K628" i="1" a="1"/>
  <c r="K628" i="1"/>
  <c r="J628" i="1" a="1"/>
  <c r="J628" i="1"/>
  <c r="I628" i="1" a="1"/>
  <c r="I628" i="1" s="1"/>
  <c r="H628" i="1" a="1"/>
  <c r="H628" i="1" s="1"/>
  <c r="G628" i="1" a="1"/>
  <c r="G628" i="1" s="1"/>
  <c r="C628" i="1" a="1"/>
  <c r="C628" i="1" s="1"/>
  <c r="Y627" i="1" a="1"/>
  <c r="Y627" i="1"/>
  <c r="V627" i="1" a="1"/>
  <c r="V627" i="1" s="1"/>
  <c r="U627" i="1" a="1"/>
  <c r="U627" i="1"/>
  <c r="T627" i="1"/>
  <c r="S627" i="1" a="1"/>
  <c r="S627" i="1"/>
  <c r="Q627" i="1"/>
  <c r="M627" i="1" a="1"/>
  <c r="M627" i="1" s="1"/>
  <c r="L627" i="1" a="1"/>
  <c r="L627" i="1" s="1"/>
  <c r="K627" i="1" a="1"/>
  <c r="K627" i="1" s="1"/>
  <c r="J627" i="1" a="1"/>
  <c r="J627" i="1" s="1"/>
  <c r="I627" i="1" a="1"/>
  <c r="I627" i="1"/>
  <c r="H627" i="1" a="1"/>
  <c r="H627" i="1"/>
  <c r="G627" i="1" a="1"/>
  <c r="G627" i="1"/>
  <c r="B627" i="1" a="1"/>
  <c r="B627" i="1" s="1"/>
  <c r="Y626" i="1" a="1"/>
  <c r="Y626" i="1"/>
  <c r="V626" i="1" a="1"/>
  <c r="V626" i="1" s="1"/>
  <c r="U626" i="1" a="1"/>
  <c r="U626" i="1" s="1"/>
  <c r="T626" i="1"/>
  <c r="S626" i="1" a="1"/>
  <c r="S626" i="1"/>
  <c r="R626" i="1" a="1"/>
  <c r="R626" i="1" s="1"/>
  <c r="Q626" i="1"/>
  <c r="M626" i="1" a="1"/>
  <c r="M626" i="1" s="1"/>
  <c r="B626" i="1" s="1" a="1"/>
  <c r="B626" i="1" s="1"/>
  <c r="L626" i="1" a="1"/>
  <c r="L626" i="1" s="1"/>
  <c r="K626" i="1" a="1"/>
  <c r="K626" i="1" s="1"/>
  <c r="J626" i="1" a="1"/>
  <c r="J626" i="1"/>
  <c r="I626" i="1" a="1"/>
  <c r="I626" i="1" s="1"/>
  <c r="H626" i="1" a="1"/>
  <c r="H626" i="1" s="1"/>
  <c r="G626" i="1" a="1"/>
  <c r="G626" i="1"/>
  <c r="C626" i="1" a="1"/>
  <c r="C626" i="1" s="1"/>
  <c r="V625" i="1" a="1"/>
  <c r="V625" i="1" s="1"/>
  <c r="U625" i="1" a="1"/>
  <c r="U625" i="1" s="1"/>
  <c r="T625" i="1"/>
  <c r="S625" i="1" a="1"/>
  <c r="S625" i="1" s="1"/>
  <c r="Q625" i="1"/>
  <c r="M625" i="1" a="1"/>
  <c r="M625" i="1" s="1"/>
  <c r="B625" i="1" s="1" a="1"/>
  <c r="B625" i="1" s="1"/>
  <c r="L625" i="1" a="1"/>
  <c r="L625" i="1"/>
  <c r="K625" i="1" a="1"/>
  <c r="K625" i="1"/>
  <c r="J625" i="1" a="1"/>
  <c r="J625" i="1" s="1"/>
  <c r="I625" i="1" a="1"/>
  <c r="I625" i="1" s="1"/>
  <c r="H625" i="1" a="1"/>
  <c r="H625" i="1" s="1"/>
  <c r="G625" i="1" a="1"/>
  <c r="G625" i="1" s="1"/>
  <c r="Y624" i="1" a="1"/>
  <c r="Y624" i="1"/>
  <c r="E624" i="1" s="1" a="1"/>
  <c r="E624" i="1" s="1"/>
  <c r="V624" i="1" a="1"/>
  <c r="V624" i="1"/>
  <c r="U624" i="1" a="1"/>
  <c r="U624" i="1" s="1"/>
  <c r="T624" i="1"/>
  <c r="S624" i="1" a="1"/>
  <c r="S624" i="1"/>
  <c r="Q624" i="1"/>
  <c r="M624" i="1" a="1"/>
  <c r="M624" i="1" s="1"/>
  <c r="B624" i="1" s="1" a="1"/>
  <c r="B624" i="1" s="1"/>
  <c r="L624" i="1" a="1"/>
  <c r="L624" i="1" s="1"/>
  <c r="K624" i="1" a="1"/>
  <c r="K624" i="1"/>
  <c r="J624" i="1" a="1"/>
  <c r="J624" i="1" s="1"/>
  <c r="I624" i="1" a="1"/>
  <c r="I624" i="1" s="1"/>
  <c r="H624" i="1" a="1"/>
  <c r="H624" i="1" s="1"/>
  <c r="G624" i="1" a="1"/>
  <c r="G624" i="1" s="1"/>
  <c r="Y623" i="1" a="1"/>
  <c r="Y623" i="1"/>
  <c r="V623" i="1" a="1"/>
  <c r="V623" i="1" s="1"/>
  <c r="U623" i="1" a="1"/>
  <c r="U623" i="1" s="1"/>
  <c r="T623" i="1"/>
  <c r="S623" i="1" a="1"/>
  <c r="S623" i="1"/>
  <c r="R623" i="1" s="1" a="1"/>
  <c r="R623" i="1"/>
  <c r="Q623" i="1"/>
  <c r="M623" i="1" a="1"/>
  <c r="M623" i="1" s="1"/>
  <c r="L623" i="1" a="1"/>
  <c r="L623" i="1" s="1"/>
  <c r="K623" i="1" a="1"/>
  <c r="K623" i="1"/>
  <c r="J623" i="1" a="1"/>
  <c r="J623" i="1" s="1"/>
  <c r="I623" i="1" a="1"/>
  <c r="I623" i="1"/>
  <c r="H623" i="1" a="1"/>
  <c r="H623" i="1"/>
  <c r="G623" i="1" a="1"/>
  <c r="G623" i="1"/>
  <c r="C623" i="1" a="1"/>
  <c r="C623" i="1" s="1"/>
  <c r="B623" i="1" a="1"/>
  <c r="B623" i="1" s="1"/>
  <c r="Y622" i="1" a="1"/>
  <c r="Y622" i="1" s="1"/>
  <c r="E622" i="1" s="1" a="1"/>
  <c r="V622" i="1" a="1"/>
  <c r="V622" i="1"/>
  <c r="U622" i="1" a="1"/>
  <c r="U622" i="1" s="1"/>
  <c r="T622" i="1"/>
  <c r="S622" i="1" a="1"/>
  <c r="S622" i="1"/>
  <c r="Q622" i="1"/>
  <c r="M622" i="1" a="1"/>
  <c r="M622" i="1"/>
  <c r="B622" i="1" s="1" a="1"/>
  <c r="B622" i="1" s="1"/>
  <c r="L622" i="1" a="1"/>
  <c r="L622" i="1" s="1"/>
  <c r="K622" i="1" a="1"/>
  <c r="K622" i="1" s="1"/>
  <c r="J622" i="1" a="1"/>
  <c r="J622" i="1"/>
  <c r="I622" i="1" a="1"/>
  <c r="I622" i="1" s="1"/>
  <c r="H622" i="1" a="1"/>
  <c r="H622" i="1" s="1"/>
  <c r="G622" i="1" a="1"/>
  <c r="G622" i="1"/>
  <c r="E622" i="1"/>
  <c r="Y621" i="1" a="1"/>
  <c r="Y621" i="1" s="1"/>
  <c r="E621" i="1" s="1" a="1"/>
  <c r="E621" i="1" s="1"/>
  <c r="V621" i="1" a="1"/>
  <c r="V621" i="1" s="1"/>
  <c r="U621" i="1" a="1"/>
  <c r="U621" i="1" s="1"/>
  <c r="T621" i="1"/>
  <c r="S621" i="1" a="1"/>
  <c r="S621" i="1"/>
  <c r="Q621" i="1"/>
  <c r="M621" i="1" a="1"/>
  <c r="M621" i="1"/>
  <c r="B621" i="1" s="1" a="1"/>
  <c r="B621" i="1" s="1"/>
  <c r="L621" i="1" a="1"/>
  <c r="L621" i="1"/>
  <c r="K621" i="1" a="1"/>
  <c r="K621" i="1" s="1"/>
  <c r="J621" i="1" a="1"/>
  <c r="J621" i="1" s="1"/>
  <c r="I621" i="1" a="1"/>
  <c r="I621" i="1" s="1"/>
  <c r="H621" i="1" a="1"/>
  <c r="H621" i="1" s="1"/>
  <c r="G621" i="1" a="1"/>
  <c r="G621" i="1"/>
  <c r="Y620" i="1" a="1"/>
  <c r="Y620" i="1"/>
  <c r="V620" i="1" a="1"/>
  <c r="V620" i="1" s="1"/>
  <c r="U620" i="1" a="1"/>
  <c r="U620" i="1" s="1"/>
  <c r="T620" i="1"/>
  <c r="S620" i="1" a="1"/>
  <c r="S620" i="1"/>
  <c r="Q620" i="1"/>
  <c r="M620" i="1" a="1"/>
  <c r="M620" i="1" s="1"/>
  <c r="B620" i="1" s="1" a="1"/>
  <c r="B620" i="1" s="1"/>
  <c r="L620" i="1" a="1"/>
  <c r="L620" i="1" s="1"/>
  <c r="K620" i="1" a="1"/>
  <c r="K620" i="1"/>
  <c r="J620" i="1" a="1"/>
  <c r="J620" i="1" s="1"/>
  <c r="I620" i="1" a="1"/>
  <c r="I620" i="1"/>
  <c r="H620" i="1" a="1"/>
  <c r="H620" i="1" s="1"/>
  <c r="G620" i="1" a="1"/>
  <c r="G620" i="1" s="1"/>
  <c r="Y619" i="1" a="1"/>
  <c r="Y619" i="1"/>
  <c r="E619" i="1" s="1" a="1"/>
  <c r="E619" i="1" s="1"/>
  <c r="V619" i="1" a="1"/>
  <c r="V619" i="1" s="1"/>
  <c r="U619" i="1" a="1"/>
  <c r="U619" i="1" s="1"/>
  <c r="T619" i="1"/>
  <c r="S619" i="1" a="1"/>
  <c r="S619" i="1"/>
  <c r="C619" i="1" s="1" a="1"/>
  <c r="C619" i="1" s="1"/>
  <c r="R619" i="1" a="1"/>
  <c r="R619" i="1" s="1"/>
  <c r="Q619" i="1"/>
  <c r="M619" i="1" a="1"/>
  <c r="M619" i="1" s="1"/>
  <c r="B619" i="1" s="1" a="1"/>
  <c r="B619" i="1" s="1"/>
  <c r="L619" i="1" a="1"/>
  <c r="L619" i="1"/>
  <c r="K619" i="1" a="1"/>
  <c r="K619" i="1"/>
  <c r="J619" i="1" a="1"/>
  <c r="J619" i="1" s="1"/>
  <c r="I619" i="1" a="1"/>
  <c r="I619" i="1"/>
  <c r="H619" i="1" a="1"/>
  <c r="H619" i="1"/>
  <c r="G619" i="1" a="1"/>
  <c r="G619" i="1" s="1"/>
  <c r="Y618" i="1" a="1"/>
  <c r="Y618" i="1" s="1"/>
  <c r="V618" i="1" a="1"/>
  <c r="V618" i="1"/>
  <c r="U618" i="1" a="1"/>
  <c r="U618" i="1" s="1"/>
  <c r="T618" i="1"/>
  <c r="S618" i="1" a="1"/>
  <c r="S618" i="1"/>
  <c r="Q618" i="1"/>
  <c r="M618" i="1" a="1"/>
  <c r="M618" i="1"/>
  <c r="B618" i="1" s="1" a="1"/>
  <c r="B618" i="1" s="1"/>
  <c r="L618" i="1" a="1"/>
  <c r="L618" i="1" s="1"/>
  <c r="K618" i="1" a="1"/>
  <c r="K618" i="1" s="1"/>
  <c r="J618" i="1" a="1"/>
  <c r="J618" i="1" s="1"/>
  <c r="I618" i="1" a="1"/>
  <c r="I618" i="1" s="1"/>
  <c r="H618" i="1" a="1"/>
  <c r="H618" i="1" s="1"/>
  <c r="G618" i="1" a="1"/>
  <c r="G618" i="1"/>
  <c r="C618" i="1" a="1"/>
  <c r="C618" i="1" s="1"/>
  <c r="Y617" i="1" a="1"/>
  <c r="Y617" i="1" s="1"/>
  <c r="E617" i="1" s="1" a="1"/>
  <c r="V617" i="1" a="1"/>
  <c r="V617" i="1" s="1"/>
  <c r="U617" i="1" a="1"/>
  <c r="U617" i="1" s="1"/>
  <c r="T617" i="1"/>
  <c r="S617" i="1" a="1"/>
  <c r="S617" i="1"/>
  <c r="Q617" i="1"/>
  <c r="M617" i="1" a="1"/>
  <c r="M617" i="1"/>
  <c r="L617" i="1" a="1"/>
  <c r="L617" i="1"/>
  <c r="K617" i="1" a="1"/>
  <c r="K617" i="1"/>
  <c r="J617" i="1" a="1"/>
  <c r="J617" i="1" s="1"/>
  <c r="I617" i="1" a="1"/>
  <c r="I617" i="1" s="1"/>
  <c r="H617" i="1" a="1"/>
  <c r="H617" i="1" s="1"/>
  <c r="G617" i="1" a="1"/>
  <c r="G617" i="1"/>
  <c r="E617" i="1"/>
  <c r="B617" i="1" a="1"/>
  <c r="B617" i="1" s="1"/>
  <c r="Y616" i="1" a="1"/>
  <c r="Y616" i="1" s="1"/>
  <c r="V616" i="1" a="1"/>
  <c r="V616" i="1" s="1"/>
  <c r="U616" i="1" a="1"/>
  <c r="U616" i="1" s="1"/>
  <c r="T616" i="1"/>
  <c r="S616" i="1" a="1"/>
  <c r="S616" i="1"/>
  <c r="Q616" i="1"/>
  <c r="M616" i="1" a="1"/>
  <c r="M616" i="1" s="1"/>
  <c r="L616" i="1" a="1"/>
  <c r="L616" i="1" s="1"/>
  <c r="K616" i="1" a="1"/>
  <c r="K616" i="1" s="1"/>
  <c r="J616" i="1" a="1"/>
  <c r="J616" i="1"/>
  <c r="I616" i="1" a="1"/>
  <c r="I616" i="1"/>
  <c r="H616" i="1" a="1"/>
  <c r="H616" i="1" s="1"/>
  <c r="G616" i="1" a="1"/>
  <c r="G616" i="1" s="1"/>
  <c r="E616" i="1" a="1"/>
  <c r="E616" i="1" s="1"/>
  <c r="B616" i="1" a="1"/>
  <c r="B616" i="1" s="1"/>
  <c r="Y615" i="1" a="1"/>
  <c r="Y615" i="1"/>
  <c r="V615" i="1" a="1"/>
  <c r="V615" i="1" s="1"/>
  <c r="U615" i="1" a="1"/>
  <c r="U615" i="1" s="1"/>
  <c r="T615" i="1"/>
  <c r="S615" i="1" a="1"/>
  <c r="S615" i="1" s="1"/>
  <c r="Q615" i="1"/>
  <c r="M615" i="1" a="1"/>
  <c r="M615" i="1" s="1"/>
  <c r="B615" i="1" s="1" a="1"/>
  <c r="B615" i="1" s="1"/>
  <c r="L615" i="1" a="1"/>
  <c r="L615" i="1"/>
  <c r="K615" i="1" a="1"/>
  <c r="K615" i="1" s="1"/>
  <c r="J615" i="1" a="1"/>
  <c r="J615" i="1" s="1"/>
  <c r="I615" i="1" a="1"/>
  <c r="I615" i="1"/>
  <c r="H615" i="1" a="1"/>
  <c r="H615" i="1" s="1"/>
  <c r="G615" i="1" a="1"/>
  <c r="G615" i="1"/>
  <c r="E615" i="1" a="1"/>
  <c r="E615" i="1" s="1"/>
  <c r="Y614" i="1" a="1"/>
  <c r="Y614" i="1"/>
  <c r="V614" i="1" a="1"/>
  <c r="V614" i="1"/>
  <c r="U614" i="1" a="1"/>
  <c r="U614" i="1"/>
  <c r="T614" i="1"/>
  <c r="S614" i="1" a="1"/>
  <c r="S614" i="1"/>
  <c r="R614" i="1" a="1"/>
  <c r="R614" i="1" s="1"/>
  <c r="Q614" i="1"/>
  <c r="M614" i="1" a="1"/>
  <c r="M614" i="1" s="1"/>
  <c r="L614" i="1" a="1"/>
  <c r="L614" i="1" s="1"/>
  <c r="K614" i="1" a="1"/>
  <c r="K614" i="1" s="1"/>
  <c r="J614" i="1" a="1"/>
  <c r="J614" i="1" s="1"/>
  <c r="I614" i="1" a="1"/>
  <c r="I614" i="1"/>
  <c r="H614" i="1" a="1"/>
  <c r="H614" i="1" s="1"/>
  <c r="G614" i="1" a="1"/>
  <c r="G614" i="1" s="1"/>
  <c r="C614" i="1" a="1"/>
  <c r="C614" i="1"/>
  <c r="B614" i="1" a="1"/>
  <c r="B614" i="1" s="1"/>
  <c r="Y613" i="1" a="1"/>
  <c r="Y613" i="1" s="1"/>
  <c r="V613" i="1" a="1"/>
  <c r="V613" i="1" s="1"/>
  <c r="U613" i="1" a="1"/>
  <c r="U613" i="1" s="1"/>
  <c r="T613" i="1"/>
  <c r="S613" i="1" a="1"/>
  <c r="S613" i="1" s="1"/>
  <c r="R613" i="1" a="1"/>
  <c r="R613" i="1" s="1"/>
  <c r="Q613" i="1"/>
  <c r="M613" i="1" a="1"/>
  <c r="M613" i="1" s="1"/>
  <c r="B613" i="1" s="1" a="1"/>
  <c r="B613" i="1" s="1"/>
  <c r="L613" i="1" a="1"/>
  <c r="L613" i="1" s="1"/>
  <c r="K613" i="1" a="1"/>
  <c r="K613" i="1"/>
  <c r="J613" i="1" a="1"/>
  <c r="J613" i="1" s="1"/>
  <c r="I613" i="1" a="1"/>
  <c r="I613" i="1"/>
  <c r="H613" i="1" a="1"/>
  <c r="H613" i="1"/>
  <c r="G613" i="1" a="1"/>
  <c r="G613" i="1" s="1"/>
  <c r="C613" i="1" a="1"/>
  <c r="C613" i="1" s="1"/>
  <c r="Y612" i="1" a="1"/>
  <c r="Y612" i="1" s="1"/>
  <c r="V612" i="1" a="1"/>
  <c r="V612" i="1" s="1"/>
  <c r="U612" i="1" a="1"/>
  <c r="U612" i="1" s="1"/>
  <c r="T612" i="1"/>
  <c r="S612" i="1" a="1"/>
  <c r="S612" i="1"/>
  <c r="Q612" i="1"/>
  <c r="M612" i="1" a="1"/>
  <c r="M612" i="1" s="1"/>
  <c r="B612" i="1" s="1" a="1"/>
  <c r="B612" i="1" s="1"/>
  <c r="L612" i="1" a="1"/>
  <c r="L612" i="1" s="1"/>
  <c r="K612" i="1" a="1"/>
  <c r="K612" i="1"/>
  <c r="J612" i="1" a="1"/>
  <c r="J612" i="1"/>
  <c r="I612" i="1" a="1"/>
  <c r="I612" i="1"/>
  <c r="H612" i="1" a="1"/>
  <c r="H612" i="1" s="1"/>
  <c r="G612" i="1" a="1"/>
  <c r="G612" i="1" s="1"/>
  <c r="E612" i="1" a="1"/>
  <c r="E612" i="1"/>
  <c r="Y611" i="1" a="1"/>
  <c r="Y611" i="1"/>
  <c r="V611" i="1" a="1"/>
  <c r="V611" i="1" s="1"/>
  <c r="U611" i="1" a="1"/>
  <c r="U611" i="1" s="1"/>
  <c r="T611" i="1"/>
  <c r="S611" i="1" a="1"/>
  <c r="S611" i="1"/>
  <c r="R611" i="1" s="1" a="1"/>
  <c r="R611" i="1"/>
  <c r="Q611" i="1"/>
  <c r="M611" i="1" a="1"/>
  <c r="M611" i="1"/>
  <c r="B611" i="1" s="1" a="1"/>
  <c r="B611" i="1" s="1"/>
  <c r="L611" i="1" a="1"/>
  <c r="L611" i="1" s="1"/>
  <c r="K611" i="1" a="1"/>
  <c r="K611" i="1" s="1"/>
  <c r="J611" i="1" a="1"/>
  <c r="J611" i="1" s="1"/>
  <c r="I611" i="1" a="1"/>
  <c r="I611" i="1"/>
  <c r="H611" i="1" a="1"/>
  <c r="H611" i="1"/>
  <c r="G611" i="1" a="1"/>
  <c r="G611" i="1"/>
  <c r="E611" i="1" a="1"/>
  <c r="E611" i="1" s="1"/>
  <c r="C611" i="1" a="1"/>
  <c r="C611" i="1" s="1"/>
  <c r="Y610" i="1" a="1"/>
  <c r="Y610" i="1"/>
  <c r="V610" i="1" a="1"/>
  <c r="V610" i="1"/>
  <c r="U610" i="1" a="1"/>
  <c r="U610" i="1" s="1"/>
  <c r="T610" i="1"/>
  <c r="S610" i="1" a="1"/>
  <c r="S610" i="1"/>
  <c r="R610" i="1" a="1"/>
  <c r="R610" i="1" s="1"/>
  <c r="Q610" i="1"/>
  <c r="M610" i="1" a="1"/>
  <c r="M610" i="1"/>
  <c r="B610" i="1" s="1" a="1"/>
  <c r="B610" i="1" s="1"/>
  <c r="L610" i="1" a="1"/>
  <c r="L610" i="1" s="1"/>
  <c r="K610" i="1" a="1"/>
  <c r="K610" i="1" s="1"/>
  <c r="J610" i="1" a="1"/>
  <c r="J610" i="1"/>
  <c r="I610" i="1" a="1"/>
  <c r="I610" i="1"/>
  <c r="H610" i="1" a="1"/>
  <c r="H610" i="1" s="1"/>
  <c r="G610" i="1" a="1"/>
  <c r="G610" i="1"/>
  <c r="E610" i="1" a="1"/>
  <c r="E610" i="1" s="1"/>
  <c r="C610" i="1" a="1"/>
  <c r="C610" i="1" s="1"/>
  <c r="Y609" i="1" a="1"/>
  <c r="Y609" i="1"/>
  <c r="V609" i="1" a="1"/>
  <c r="V609" i="1" s="1"/>
  <c r="U609" i="1" a="1"/>
  <c r="U609" i="1" s="1"/>
  <c r="T609" i="1"/>
  <c r="S609" i="1" a="1"/>
  <c r="S609" i="1" s="1"/>
  <c r="Q609" i="1"/>
  <c r="M609" i="1" a="1"/>
  <c r="M609" i="1" s="1"/>
  <c r="B609" i="1" s="1" a="1"/>
  <c r="B609" i="1" s="1"/>
  <c r="L609" i="1" a="1"/>
  <c r="L609" i="1"/>
  <c r="K609" i="1" a="1"/>
  <c r="K609" i="1"/>
  <c r="J609" i="1" a="1"/>
  <c r="J609" i="1" s="1"/>
  <c r="I609" i="1" a="1"/>
  <c r="I609" i="1"/>
  <c r="H609" i="1" a="1"/>
  <c r="H609" i="1" s="1"/>
  <c r="G609" i="1" a="1"/>
  <c r="G609" i="1" s="1"/>
  <c r="E609" i="1" a="1"/>
  <c r="E609" i="1" s="1"/>
  <c r="V608" i="1" a="1"/>
  <c r="V608" i="1"/>
  <c r="U608" i="1" a="1"/>
  <c r="U608" i="1" s="1"/>
  <c r="T608" i="1"/>
  <c r="S608" i="1" a="1"/>
  <c r="S608" i="1"/>
  <c r="Q608" i="1"/>
  <c r="M608" i="1" a="1"/>
  <c r="M608" i="1" s="1"/>
  <c r="B608" i="1" s="1" a="1"/>
  <c r="B608" i="1" s="1"/>
  <c r="L608" i="1" a="1"/>
  <c r="L608" i="1" s="1"/>
  <c r="K608" i="1" a="1"/>
  <c r="K608" i="1" s="1"/>
  <c r="J608" i="1" a="1"/>
  <c r="J608" i="1"/>
  <c r="I608" i="1" a="1"/>
  <c r="I608" i="1" s="1"/>
  <c r="H608" i="1" a="1"/>
  <c r="H608" i="1" s="1"/>
  <c r="G608" i="1" a="1"/>
  <c r="G608" i="1" s="1"/>
  <c r="C608" i="1" a="1"/>
  <c r="C608" i="1" s="1"/>
  <c r="Y607" i="1" a="1"/>
  <c r="Y607" i="1" s="1"/>
  <c r="E607" i="1" s="1" a="1"/>
  <c r="V607" i="1" a="1"/>
  <c r="V607" i="1" s="1"/>
  <c r="U607" i="1" a="1"/>
  <c r="U607" i="1" s="1"/>
  <c r="T607" i="1"/>
  <c r="S607" i="1" a="1"/>
  <c r="S607" i="1" s="1"/>
  <c r="Q607" i="1"/>
  <c r="M607" i="1" a="1"/>
  <c r="M607" i="1" s="1"/>
  <c r="B607" i="1" s="1" a="1"/>
  <c r="B607" i="1" s="1"/>
  <c r="L607" i="1" a="1"/>
  <c r="L607" i="1" s="1"/>
  <c r="K607" i="1" a="1"/>
  <c r="K607" i="1" s="1"/>
  <c r="J607" i="1" a="1"/>
  <c r="J607" i="1" s="1"/>
  <c r="I607" i="1" a="1"/>
  <c r="I607" i="1"/>
  <c r="H607" i="1" a="1"/>
  <c r="H607" i="1" s="1"/>
  <c r="G607" i="1" a="1"/>
  <c r="G607" i="1" s="1"/>
  <c r="E607" i="1"/>
  <c r="Y606" i="1" a="1"/>
  <c r="Y606" i="1" s="1"/>
  <c r="E606" i="1" s="1" a="1"/>
  <c r="E606" i="1" s="1"/>
  <c r="V606" i="1" a="1"/>
  <c r="V606" i="1" s="1"/>
  <c r="U606" i="1" a="1"/>
  <c r="U606" i="1" s="1"/>
  <c r="T606" i="1"/>
  <c r="S606" i="1" a="1"/>
  <c r="S606" i="1"/>
  <c r="Q606" i="1"/>
  <c r="M606" i="1" a="1"/>
  <c r="M606" i="1" s="1"/>
  <c r="L606" i="1" a="1"/>
  <c r="L606" i="1" s="1"/>
  <c r="K606" i="1" a="1"/>
  <c r="K606" i="1" s="1"/>
  <c r="J606" i="1" a="1"/>
  <c r="J606" i="1"/>
  <c r="I606" i="1" a="1"/>
  <c r="I606" i="1" s="1"/>
  <c r="H606" i="1" a="1"/>
  <c r="H606" i="1" s="1"/>
  <c r="G606" i="1" a="1"/>
  <c r="G606" i="1" s="1"/>
  <c r="C606" i="1" a="1"/>
  <c r="C606" i="1" s="1"/>
  <c r="B606" i="1" a="1"/>
  <c r="B606" i="1" s="1"/>
  <c r="Y605" i="1" a="1"/>
  <c r="Y605" i="1" s="1"/>
  <c r="V605" i="1" a="1"/>
  <c r="V605" i="1" s="1"/>
  <c r="U605" i="1" a="1"/>
  <c r="U605" i="1" s="1"/>
  <c r="T605" i="1"/>
  <c r="S605" i="1" a="1"/>
  <c r="S605" i="1"/>
  <c r="Q605" i="1"/>
  <c r="M605" i="1" a="1"/>
  <c r="M605" i="1"/>
  <c r="B605" i="1" s="1" a="1"/>
  <c r="B605" i="1" s="1"/>
  <c r="L605" i="1" a="1"/>
  <c r="L605" i="1" s="1"/>
  <c r="K605" i="1" a="1"/>
  <c r="K605" i="1" s="1"/>
  <c r="J605" i="1" a="1"/>
  <c r="J605" i="1" s="1"/>
  <c r="I605" i="1" a="1"/>
  <c r="I605" i="1"/>
  <c r="H605" i="1" a="1"/>
  <c r="H605" i="1"/>
  <c r="G605" i="1" a="1"/>
  <c r="G605" i="1" s="1"/>
  <c r="E605" i="1" a="1"/>
  <c r="E605" i="1" s="1"/>
  <c r="Y604" i="1" a="1"/>
  <c r="Y604" i="1" s="1"/>
  <c r="V604" i="1" a="1"/>
  <c r="V604" i="1"/>
  <c r="U604" i="1" a="1"/>
  <c r="U604" i="1" s="1"/>
  <c r="T604" i="1"/>
  <c r="S604" i="1" a="1"/>
  <c r="S604" i="1"/>
  <c r="R604" i="1" a="1"/>
  <c r="R604" i="1" s="1"/>
  <c r="Q604" i="1"/>
  <c r="M604" i="1" a="1"/>
  <c r="M604" i="1" s="1"/>
  <c r="B604" i="1" s="1" a="1"/>
  <c r="B604" i="1" s="1"/>
  <c r="L604" i="1" a="1"/>
  <c r="L604" i="1" s="1"/>
  <c r="K604" i="1" a="1"/>
  <c r="K604" i="1"/>
  <c r="J604" i="1" a="1"/>
  <c r="J604" i="1"/>
  <c r="I604" i="1" a="1"/>
  <c r="I604" i="1" s="1"/>
  <c r="H604" i="1" a="1"/>
  <c r="H604" i="1" s="1"/>
  <c r="G604" i="1" a="1"/>
  <c r="G604" i="1" s="1"/>
  <c r="E604" i="1" a="1"/>
  <c r="E604" i="1" s="1"/>
  <c r="C604" i="1" a="1"/>
  <c r="C604" i="1" s="1"/>
  <c r="Y603" i="1" a="1"/>
  <c r="Y603" i="1" s="1"/>
  <c r="V603" i="1" a="1"/>
  <c r="V603" i="1" s="1"/>
  <c r="U603" i="1" a="1"/>
  <c r="U603" i="1" s="1"/>
  <c r="T603" i="1"/>
  <c r="S603" i="1" a="1"/>
  <c r="S603" i="1" s="1"/>
  <c r="Q603" i="1"/>
  <c r="M603" i="1" a="1"/>
  <c r="M603" i="1"/>
  <c r="L603" i="1" a="1"/>
  <c r="L603" i="1"/>
  <c r="K603" i="1" a="1"/>
  <c r="K603" i="1" s="1"/>
  <c r="J603" i="1" a="1"/>
  <c r="J603" i="1" s="1"/>
  <c r="I603" i="1" a="1"/>
  <c r="I603" i="1"/>
  <c r="H603" i="1" a="1"/>
  <c r="H603" i="1"/>
  <c r="G603" i="1" a="1"/>
  <c r="G603" i="1" s="1"/>
  <c r="B603" i="1" a="1"/>
  <c r="B603" i="1" s="1"/>
  <c r="Y602" i="1" a="1"/>
  <c r="Y602" i="1"/>
  <c r="V602" i="1" a="1"/>
  <c r="V602" i="1" s="1"/>
  <c r="U602" i="1" a="1"/>
  <c r="U602" i="1" s="1"/>
  <c r="T602" i="1"/>
  <c r="S602" i="1" a="1"/>
  <c r="S602" i="1"/>
  <c r="C602" i="1" s="1" a="1"/>
  <c r="R602" i="1" a="1"/>
  <c r="R602" i="1" s="1"/>
  <c r="Q602" i="1"/>
  <c r="M602" i="1" a="1"/>
  <c r="M602" i="1" s="1"/>
  <c r="L602" i="1" a="1"/>
  <c r="L602" i="1" s="1"/>
  <c r="K602" i="1" a="1"/>
  <c r="K602" i="1" s="1"/>
  <c r="J602" i="1" a="1"/>
  <c r="J602" i="1" s="1"/>
  <c r="I602" i="1" a="1"/>
  <c r="I602" i="1" s="1"/>
  <c r="H602" i="1" a="1"/>
  <c r="H602" i="1" s="1"/>
  <c r="G602" i="1" a="1"/>
  <c r="G602" i="1" s="1"/>
  <c r="C602" i="1"/>
  <c r="B602" i="1" a="1"/>
  <c r="B602" i="1" s="1"/>
  <c r="Y601" i="1" a="1"/>
  <c r="Y601" i="1" s="1"/>
  <c r="V601" i="1" a="1"/>
  <c r="V601" i="1" s="1"/>
  <c r="U601" i="1" a="1"/>
  <c r="U601" i="1" s="1"/>
  <c r="T601" i="1"/>
  <c r="S601" i="1" a="1"/>
  <c r="S601" i="1" s="1"/>
  <c r="Q601" i="1"/>
  <c r="M601" i="1" a="1"/>
  <c r="M601" i="1"/>
  <c r="B601" i="1" s="1" a="1"/>
  <c r="B601" i="1" s="1"/>
  <c r="L601" i="1" a="1"/>
  <c r="L601" i="1" s="1"/>
  <c r="K601" i="1" a="1"/>
  <c r="K601" i="1" s="1"/>
  <c r="J601" i="1" a="1"/>
  <c r="J601" i="1" s="1"/>
  <c r="I601" i="1" a="1"/>
  <c r="I601" i="1"/>
  <c r="H601" i="1" a="1"/>
  <c r="H601" i="1"/>
  <c r="G601" i="1" a="1"/>
  <c r="G601" i="1" s="1"/>
  <c r="E601" i="1" a="1"/>
  <c r="E601" i="1"/>
  <c r="C601" i="1" a="1"/>
  <c r="C601" i="1" s="1"/>
  <c r="Y600" i="1" a="1"/>
  <c r="Y600" i="1" s="1"/>
  <c r="V600" i="1" a="1"/>
  <c r="V600" i="1"/>
  <c r="U600" i="1" a="1"/>
  <c r="U600" i="1" s="1"/>
  <c r="T600" i="1"/>
  <c r="S600" i="1" a="1"/>
  <c r="S600" i="1"/>
  <c r="R600" i="1" a="1"/>
  <c r="R600" i="1" s="1"/>
  <c r="Q600" i="1"/>
  <c r="M600" i="1" a="1"/>
  <c r="M600" i="1" s="1"/>
  <c r="B600" i="1" s="1" a="1"/>
  <c r="B600" i="1" s="1"/>
  <c r="L600" i="1" a="1"/>
  <c r="L600" i="1" s="1"/>
  <c r="K600" i="1" a="1"/>
  <c r="K600" i="1" s="1"/>
  <c r="J600" i="1" a="1"/>
  <c r="J600" i="1"/>
  <c r="I600" i="1" a="1"/>
  <c r="I600" i="1" s="1"/>
  <c r="H600" i="1" a="1"/>
  <c r="H600" i="1" s="1"/>
  <c r="G600" i="1" a="1"/>
  <c r="G600" i="1" s="1"/>
  <c r="E600" i="1" a="1"/>
  <c r="E600" i="1" s="1"/>
  <c r="C600" i="1" a="1"/>
  <c r="C600" i="1" s="1"/>
  <c r="Y599" i="1" a="1"/>
  <c r="Y599" i="1" s="1"/>
  <c r="E599" i="1" s="1" a="1"/>
  <c r="V599" i="1" a="1"/>
  <c r="V599" i="1" s="1"/>
  <c r="U599" i="1" a="1"/>
  <c r="U599" i="1" s="1"/>
  <c r="T599" i="1"/>
  <c r="S599" i="1" a="1"/>
  <c r="S599" i="1" s="1"/>
  <c r="Q599" i="1"/>
  <c r="M599" i="1" a="1"/>
  <c r="M599" i="1" s="1"/>
  <c r="B599" i="1" s="1" a="1"/>
  <c r="B599" i="1" s="1"/>
  <c r="L599" i="1" a="1"/>
  <c r="L599" i="1" s="1"/>
  <c r="K599" i="1" a="1"/>
  <c r="K599" i="1" s="1"/>
  <c r="J599" i="1" a="1"/>
  <c r="J599" i="1" s="1"/>
  <c r="I599" i="1" a="1"/>
  <c r="I599" i="1"/>
  <c r="H599" i="1" a="1"/>
  <c r="H599" i="1" s="1"/>
  <c r="G599" i="1" a="1"/>
  <c r="G599" i="1" s="1"/>
  <c r="E599" i="1"/>
  <c r="Y598" i="1" a="1"/>
  <c r="Y598" i="1" s="1"/>
  <c r="E598" i="1" s="1" a="1"/>
  <c r="E598" i="1" s="1"/>
  <c r="V598" i="1" a="1"/>
  <c r="V598" i="1" s="1"/>
  <c r="U598" i="1" a="1"/>
  <c r="U598" i="1" s="1"/>
  <c r="T598" i="1"/>
  <c r="S598" i="1" a="1"/>
  <c r="S598" i="1"/>
  <c r="Q598" i="1"/>
  <c r="M598" i="1" a="1"/>
  <c r="M598" i="1" s="1"/>
  <c r="L598" i="1" a="1"/>
  <c r="L598" i="1" s="1"/>
  <c r="K598" i="1" a="1"/>
  <c r="K598" i="1" s="1"/>
  <c r="J598" i="1" a="1"/>
  <c r="J598" i="1"/>
  <c r="I598" i="1" a="1"/>
  <c r="I598" i="1" s="1"/>
  <c r="H598" i="1" a="1"/>
  <c r="H598" i="1" s="1"/>
  <c r="G598" i="1" a="1"/>
  <c r="G598" i="1" s="1"/>
  <c r="C598" i="1" a="1"/>
  <c r="C598" i="1" s="1"/>
  <c r="B598" i="1" a="1"/>
  <c r="B598" i="1" s="1"/>
  <c r="Y597" i="1" a="1"/>
  <c r="Y597" i="1" s="1"/>
  <c r="V597" i="1" a="1"/>
  <c r="V597" i="1" s="1"/>
  <c r="U597" i="1" a="1"/>
  <c r="U597" i="1" s="1"/>
  <c r="T597" i="1"/>
  <c r="S597" i="1" a="1"/>
  <c r="S597" i="1"/>
  <c r="Q597" i="1"/>
  <c r="M597" i="1" a="1"/>
  <c r="M597" i="1"/>
  <c r="B597" i="1" s="1" a="1"/>
  <c r="B597" i="1" s="1"/>
  <c r="L597" i="1" a="1"/>
  <c r="L597" i="1" s="1"/>
  <c r="K597" i="1" a="1"/>
  <c r="K597" i="1" s="1"/>
  <c r="J597" i="1" a="1"/>
  <c r="J597" i="1" s="1"/>
  <c r="I597" i="1" a="1"/>
  <c r="I597" i="1"/>
  <c r="H597" i="1" a="1"/>
  <c r="H597" i="1"/>
  <c r="G597" i="1" a="1"/>
  <c r="G597" i="1" s="1"/>
  <c r="E597" i="1" a="1"/>
  <c r="E597" i="1" s="1"/>
  <c r="Y596" i="1" a="1"/>
  <c r="Y596" i="1" s="1"/>
  <c r="V596" i="1" a="1"/>
  <c r="V596" i="1"/>
  <c r="U596" i="1" a="1"/>
  <c r="U596" i="1" s="1"/>
  <c r="T596" i="1"/>
  <c r="S596" i="1" a="1"/>
  <c r="S596" i="1"/>
  <c r="R596" i="1" a="1"/>
  <c r="R596" i="1" s="1"/>
  <c r="Q596" i="1"/>
  <c r="M596" i="1" a="1"/>
  <c r="M596" i="1" s="1"/>
  <c r="B596" i="1" s="1" a="1"/>
  <c r="B596" i="1" s="1"/>
  <c r="L596" i="1" a="1"/>
  <c r="L596" i="1" s="1"/>
  <c r="K596" i="1" a="1"/>
  <c r="K596" i="1"/>
  <c r="J596" i="1" a="1"/>
  <c r="J596" i="1"/>
  <c r="I596" i="1" a="1"/>
  <c r="I596" i="1" s="1"/>
  <c r="H596" i="1" a="1"/>
  <c r="H596" i="1" s="1"/>
  <c r="G596" i="1" a="1"/>
  <c r="G596" i="1" s="1"/>
  <c r="E596" i="1" a="1"/>
  <c r="E596" i="1" s="1"/>
  <c r="C596" i="1" a="1"/>
  <c r="C596" i="1" s="1"/>
  <c r="Y595" i="1" a="1"/>
  <c r="Y595" i="1" s="1"/>
  <c r="V595" i="1" a="1"/>
  <c r="V595" i="1" s="1"/>
  <c r="U595" i="1" a="1"/>
  <c r="U595" i="1" s="1"/>
  <c r="T595" i="1"/>
  <c r="S595" i="1" a="1"/>
  <c r="S595" i="1" s="1"/>
  <c r="Q595" i="1"/>
  <c r="M595" i="1" a="1"/>
  <c r="M595" i="1"/>
  <c r="L595" i="1" a="1"/>
  <c r="L595" i="1"/>
  <c r="K595" i="1" a="1"/>
  <c r="K595" i="1" s="1"/>
  <c r="J595" i="1" a="1"/>
  <c r="J595" i="1" s="1"/>
  <c r="I595" i="1" a="1"/>
  <c r="I595" i="1"/>
  <c r="H595" i="1" a="1"/>
  <c r="H595" i="1"/>
  <c r="G595" i="1" a="1"/>
  <c r="G595" i="1" s="1"/>
  <c r="B595" i="1" a="1"/>
  <c r="B595" i="1" s="1"/>
  <c r="Y594" i="1" a="1"/>
  <c r="Y594" i="1"/>
  <c r="E594" i="1" s="1" a="1"/>
  <c r="E594" i="1" s="1"/>
  <c r="V594" i="1" a="1"/>
  <c r="V594" i="1" s="1"/>
  <c r="U594" i="1" a="1"/>
  <c r="U594" i="1" s="1"/>
  <c r="T594" i="1"/>
  <c r="S594" i="1" a="1"/>
  <c r="S594" i="1"/>
  <c r="R594" i="1" a="1"/>
  <c r="R594" i="1" s="1"/>
  <c r="Q594" i="1"/>
  <c r="M594" i="1" a="1"/>
  <c r="M594" i="1" s="1"/>
  <c r="L594" i="1" a="1"/>
  <c r="L594" i="1" s="1"/>
  <c r="K594" i="1" a="1"/>
  <c r="K594" i="1"/>
  <c r="J594" i="1" a="1"/>
  <c r="J594" i="1"/>
  <c r="I594" i="1" a="1"/>
  <c r="I594" i="1" s="1"/>
  <c r="H594" i="1" a="1"/>
  <c r="H594" i="1" s="1"/>
  <c r="G594" i="1" a="1"/>
  <c r="G594" i="1" s="1"/>
  <c r="C594" i="1" a="1"/>
  <c r="C594" i="1" s="1"/>
  <c r="B594" i="1" a="1"/>
  <c r="B594" i="1" s="1"/>
  <c r="Y593" i="1" a="1"/>
  <c r="Y593" i="1" s="1"/>
  <c r="V593" i="1" a="1"/>
  <c r="V593" i="1" s="1"/>
  <c r="U593" i="1" a="1"/>
  <c r="U593" i="1"/>
  <c r="T593" i="1"/>
  <c r="S593" i="1" a="1"/>
  <c r="S593" i="1" s="1"/>
  <c r="Q593" i="1"/>
  <c r="M593" i="1" a="1"/>
  <c r="M593" i="1"/>
  <c r="B593" i="1" s="1" a="1"/>
  <c r="B593" i="1" s="1"/>
  <c r="L593" i="1" a="1"/>
  <c r="L593" i="1"/>
  <c r="K593" i="1" a="1"/>
  <c r="K593" i="1" s="1"/>
  <c r="J593" i="1" a="1"/>
  <c r="J593" i="1" s="1"/>
  <c r="I593" i="1" a="1"/>
  <c r="I593" i="1"/>
  <c r="H593" i="1" a="1"/>
  <c r="H593" i="1"/>
  <c r="G593" i="1" a="1"/>
  <c r="G593" i="1" s="1"/>
  <c r="E593" i="1" a="1"/>
  <c r="E593" i="1" s="1"/>
  <c r="Y592" i="1" a="1"/>
  <c r="Y592" i="1" s="1"/>
  <c r="V592" i="1" a="1"/>
  <c r="V592" i="1"/>
  <c r="U592" i="1" a="1"/>
  <c r="U592" i="1" s="1"/>
  <c r="T592" i="1"/>
  <c r="S592" i="1" a="1"/>
  <c r="S592" i="1"/>
  <c r="R592" i="1" a="1"/>
  <c r="R592" i="1" s="1"/>
  <c r="Q592" i="1"/>
  <c r="M592" i="1" a="1"/>
  <c r="M592" i="1" s="1"/>
  <c r="B592" i="1" s="1" a="1"/>
  <c r="B592" i="1" s="1"/>
  <c r="L592" i="1" a="1"/>
  <c r="L592" i="1" s="1"/>
  <c r="K592" i="1" a="1"/>
  <c r="K592" i="1"/>
  <c r="J592" i="1" a="1"/>
  <c r="J592" i="1"/>
  <c r="I592" i="1" a="1"/>
  <c r="I592" i="1" s="1"/>
  <c r="H592" i="1" a="1"/>
  <c r="H592" i="1" s="1"/>
  <c r="G592" i="1" a="1"/>
  <c r="G592" i="1" s="1"/>
  <c r="C592" i="1" a="1"/>
  <c r="C592" i="1" s="1"/>
  <c r="Y591" i="1" a="1"/>
  <c r="Y591" i="1" s="1"/>
  <c r="E591" i="1" s="1" a="1"/>
  <c r="E591" i="1" s="1"/>
  <c r="V591" i="1" a="1"/>
  <c r="V591" i="1" s="1"/>
  <c r="U591" i="1" a="1"/>
  <c r="U591" i="1" s="1"/>
  <c r="T591" i="1"/>
  <c r="S591" i="1" a="1"/>
  <c r="S591" i="1" s="1"/>
  <c r="Q591" i="1"/>
  <c r="M591" i="1" a="1"/>
  <c r="M591" i="1"/>
  <c r="B591" i="1" s="1" a="1"/>
  <c r="B591" i="1" s="1"/>
  <c r="L591" i="1" a="1"/>
  <c r="L591" i="1"/>
  <c r="K591" i="1" a="1"/>
  <c r="K591" i="1" s="1"/>
  <c r="J591" i="1" a="1"/>
  <c r="J591" i="1" s="1"/>
  <c r="I591" i="1" a="1"/>
  <c r="I591" i="1"/>
  <c r="H591" i="1" a="1"/>
  <c r="H591" i="1"/>
  <c r="G591" i="1" a="1"/>
  <c r="G591" i="1" s="1"/>
  <c r="V590" i="1" a="1"/>
  <c r="V590" i="1" s="1"/>
  <c r="U590" i="1" a="1"/>
  <c r="U590" i="1" s="1"/>
  <c r="T590" i="1"/>
  <c r="S590" i="1" a="1"/>
  <c r="S590" i="1"/>
  <c r="Q590" i="1"/>
  <c r="M590" i="1" a="1"/>
  <c r="M590" i="1" s="1"/>
  <c r="L590" i="1" a="1"/>
  <c r="L590" i="1" s="1"/>
  <c r="K590" i="1" a="1"/>
  <c r="K590" i="1"/>
  <c r="J590" i="1" a="1"/>
  <c r="J590" i="1"/>
  <c r="I590" i="1" a="1"/>
  <c r="I590" i="1" s="1"/>
  <c r="H590" i="1" a="1"/>
  <c r="H590" i="1" s="1"/>
  <c r="G590" i="1" a="1"/>
  <c r="G590" i="1" s="1"/>
  <c r="C590" i="1" a="1"/>
  <c r="C590" i="1" s="1"/>
  <c r="B590" i="1" a="1"/>
  <c r="B590" i="1" s="1"/>
  <c r="Y589" i="1" a="1"/>
  <c r="Y589" i="1" s="1"/>
  <c r="V589" i="1" a="1"/>
  <c r="V589" i="1" s="1"/>
  <c r="U589" i="1" a="1"/>
  <c r="U589" i="1"/>
  <c r="T589" i="1"/>
  <c r="S589" i="1" a="1"/>
  <c r="S589" i="1" s="1"/>
  <c r="Q589" i="1"/>
  <c r="M589" i="1" a="1"/>
  <c r="M589" i="1"/>
  <c r="B589" i="1" s="1" a="1"/>
  <c r="B589" i="1" s="1"/>
  <c r="L589" i="1" a="1"/>
  <c r="L589" i="1"/>
  <c r="K589" i="1" a="1"/>
  <c r="K589" i="1" s="1"/>
  <c r="J589" i="1" a="1"/>
  <c r="J589" i="1" s="1"/>
  <c r="I589" i="1" a="1"/>
  <c r="I589" i="1"/>
  <c r="H589" i="1" a="1"/>
  <c r="H589" i="1"/>
  <c r="G589" i="1" a="1"/>
  <c r="G589" i="1" s="1"/>
  <c r="E589" i="1" a="1"/>
  <c r="E589" i="1" s="1"/>
  <c r="Y588" i="1" a="1"/>
  <c r="Y588" i="1" s="1"/>
  <c r="E588" i="1" s="1" a="1"/>
  <c r="E588" i="1" s="1"/>
  <c r="V588" i="1" a="1"/>
  <c r="V588" i="1"/>
  <c r="U588" i="1" a="1"/>
  <c r="U588" i="1" s="1"/>
  <c r="T588" i="1"/>
  <c r="S588" i="1" a="1"/>
  <c r="S588" i="1"/>
  <c r="R588" i="1" a="1"/>
  <c r="R588" i="1" s="1"/>
  <c r="Q588" i="1"/>
  <c r="M588" i="1" a="1"/>
  <c r="M588" i="1" s="1"/>
  <c r="L588" i="1" a="1"/>
  <c r="L588" i="1" s="1"/>
  <c r="K588" i="1" a="1"/>
  <c r="K588" i="1"/>
  <c r="J588" i="1" a="1"/>
  <c r="J588" i="1"/>
  <c r="I588" i="1" a="1"/>
  <c r="I588" i="1" s="1"/>
  <c r="H588" i="1" a="1"/>
  <c r="H588" i="1" s="1"/>
  <c r="G588" i="1" a="1"/>
  <c r="G588" i="1" s="1"/>
  <c r="C588" i="1" a="1"/>
  <c r="C588" i="1" s="1"/>
  <c r="B588" i="1" a="1"/>
  <c r="B588" i="1" s="1"/>
  <c r="Y587" i="1" a="1"/>
  <c r="Y587" i="1" s="1"/>
  <c r="E587" i="1" s="1" a="1"/>
  <c r="V587" i="1" a="1"/>
  <c r="V587" i="1" s="1"/>
  <c r="U587" i="1" a="1"/>
  <c r="U587" i="1"/>
  <c r="T587" i="1"/>
  <c r="S587" i="1" a="1"/>
  <c r="S587" i="1" s="1"/>
  <c r="Q587" i="1"/>
  <c r="M587" i="1" a="1"/>
  <c r="M587" i="1" s="1"/>
  <c r="L587" i="1" a="1"/>
  <c r="L587" i="1" s="1"/>
  <c r="K587" i="1" a="1"/>
  <c r="K587" i="1" s="1"/>
  <c r="J587" i="1" a="1"/>
  <c r="J587" i="1" s="1"/>
  <c r="I587" i="1" a="1"/>
  <c r="I587" i="1"/>
  <c r="H587" i="1" a="1"/>
  <c r="H587" i="1" s="1"/>
  <c r="G587" i="1" a="1"/>
  <c r="G587" i="1" s="1"/>
  <c r="E587" i="1"/>
  <c r="B587" i="1" a="1"/>
  <c r="B587" i="1" s="1"/>
  <c r="Y586" i="1" a="1"/>
  <c r="Y586" i="1"/>
  <c r="V586" i="1" a="1"/>
  <c r="V586" i="1" s="1"/>
  <c r="U586" i="1" a="1"/>
  <c r="U586" i="1" s="1"/>
  <c r="T586" i="1"/>
  <c r="S586" i="1" a="1"/>
  <c r="S586" i="1"/>
  <c r="R586" i="1" a="1"/>
  <c r="R586" i="1" s="1"/>
  <c r="Q586" i="1"/>
  <c r="M586" i="1" a="1"/>
  <c r="M586" i="1" s="1"/>
  <c r="B586" i="1" s="1" a="1"/>
  <c r="B586" i="1" s="1"/>
  <c r="L586" i="1" a="1"/>
  <c r="L586" i="1" s="1"/>
  <c r="K586" i="1" a="1"/>
  <c r="K586" i="1"/>
  <c r="J586" i="1" a="1"/>
  <c r="J586" i="1"/>
  <c r="I586" i="1" a="1"/>
  <c r="I586" i="1" s="1"/>
  <c r="H586" i="1" a="1"/>
  <c r="H586" i="1" s="1"/>
  <c r="G586" i="1" a="1"/>
  <c r="G586" i="1" s="1"/>
  <c r="C586" i="1" a="1"/>
  <c r="C586" i="1"/>
  <c r="Y585" i="1" a="1"/>
  <c r="Y585" i="1" s="1"/>
  <c r="V585" i="1" a="1"/>
  <c r="V585" i="1" s="1"/>
  <c r="U585" i="1" a="1"/>
  <c r="U585" i="1"/>
  <c r="T585" i="1"/>
  <c r="S585" i="1" a="1"/>
  <c r="S585" i="1"/>
  <c r="Q585" i="1"/>
  <c r="M585" i="1" a="1"/>
  <c r="M585" i="1" s="1"/>
  <c r="L585" i="1" a="1"/>
  <c r="L585" i="1"/>
  <c r="K585" i="1" a="1"/>
  <c r="K585" i="1" s="1"/>
  <c r="J585" i="1" a="1"/>
  <c r="J585" i="1" s="1"/>
  <c r="I585" i="1" a="1"/>
  <c r="I585" i="1"/>
  <c r="H585" i="1" a="1"/>
  <c r="H585" i="1" s="1"/>
  <c r="G585" i="1" a="1"/>
  <c r="G585" i="1" s="1"/>
  <c r="E585" i="1" a="1"/>
  <c r="E585" i="1" s="1"/>
  <c r="B585" i="1" a="1"/>
  <c r="B585" i="1" s="1"/>
  <c r="Y584" i="1" a="1"/>
  <c r="Y584" i="1" s="1"/>
  <c r="V584" i="1" a="1"/>
  <c r="V584" i="1" s="1"/>
  <c r="U584" i="1" a="1"/>
  <c r="U584" i="1" s="1"/>
  <c r="T584" i="1"/>
  <c r="S584" i="1" a="1"/>
  <c r="S584" i="1"/>
  <c r="R584" i="1" a="1"/>
  <c r="R584" i="1" s="1"/>
  <c r="Q584" i="1"/>
  <c r="M584" i="1" a="1"/>
  <c r="M584" i="1" s="1"/>
  <c r="B584" i="1" s="1" a="1"/>
  <c r="B584" i="1" s="1"/>
  <c r="L584" i="1" a="1"/>
  <c r="L584" i="1" s="1"/>
  <c r="K584" i="1" a="1"/>
  <c r="K584" i="1" s="1"/>
  <c r="J584" i="1" a="1"/>
  <c r="J584" i="1" s="1"/>
  <c r="I584" i="1" a="1"/>
  <c r="I584" i="1" s="1"/>
  <c r="H584" i="1" a="1"/>
  <c r="H584" i="1" s="1"/>
  <c r="G584" i="1" a="1"/>
  <c r="G584" i="1" s="1"/>
  <c r="C584" i="1" a="1"/>
  <c r="C584" i="1" s="1"/>
  <c r="Y583" i="1" a="1"/>
  <c r="Y583" i="1" s="1"/>
  <c r="V583" i="1" a="1"/>
  <c r="V583" i="1" s="1"/>
  <c r="U583" i="1" a="1"/>
  <c r="U583" i="1"/>
  <c r="T583" i="1"/>
  <c r="S583" i="1" a="1"/>
  <c r="S583" i="1" s="1"/>
  <c r="Q583" i="1"/>
  <c r="M583" i="1" a="1"/>
  <c r="M583" i="1" s="1"/>
  <c r="B583" i="1" s="1" a="1"/>
  <c r="B583" i="1" s="1"/>
  <c r="L583" i="1" a="1"/>
  <c r="L583" i="1" s="1"/>
  <c r="K583" i="1" a="1"/>
  <c r="K583" i="1" s="1"/>
  <c r="J583" i="1" a="1"/>
  <c r="J583" i="1" s="1"/>
  <c r="I583" i="1" a="1"/>
  <c r="I583" i="1"/>
  <c r="H583" i="1" a="1"/>
  <c r="H583" i="1" s="1"/>
  <c r="G583" i="1" a="1"/>
  <c r="G583" i="1" s="1"/>
  <c r="E583" i="1" a="1"/>
  <c r="E583" i="1" s="1"/>
  <c r="C583" i="1" a="1"/>
  <c r="C583" i="1" s="1"/>
  <c r="Y582" i="1" a="1"/>
  <c r="Y582" i="1" s="1"/>
  <c r="E582" i="1" s="1" a="1"/>
  <c r="E582" i="1" s="1"/>
  <c r="V582" i="1" a="1"/>
  <c r="V582" i="1" s="1"/>
  <c r="U582" i="1" a="1"/>
  <c r="U582" i="1" s="1"/>
  <c r="T582" i="1"/>
  <c r="S582" i="1" a="1"/>
  <c r="S582" i="1"/>
  <c r="R582" i="1" a="1"/>
  <c r="R582" i="1" s="1"/>
  <c r="Q582" i="1"/>
  <c r="M582" i="1" a="1"/>
  <c r="M582" i="1" s="1"/>
  <c r="L582" i="1" a="1"/>
  <c r="L582" i="1" s="1"/>
  <c r="K582" i="1" a="1"/>
  <c r="K582" i="1"/>
  <c r="J582" i="1" a="1"/>
  <c r="J582" i="1"/>
  <c r="I582" i="1" a="1"/>
  <c r="I582" i="1" s="1"/>
  <c r="H582" i="1" a="1"/>
  <c r="H582" i="1" s="1"/>
  <c r="G582" i="1" a="1"/>
  <c r="G582" i="1" s="1"/>
  <c r="C582" i="1" a="1"/>
  <c r="C582" i="1"/>
  <c r="B582" i="1" a="1"/>
  <c r="B582" i="1" s="1"/>
  <c r="Y581" i="1" a="1"/>
  <c r="Y581" i="1" s="1"/>
  <c r="V581" i="1" a="1"/>
  <c r="V581" i="1" s="1"/>
  <c r="U581" i="1" a="1"/>
  <c r="U581" i="1"/>
  <c r="T581" i="1"/>
  <c r="S581" i="1" a="1"/>
  <c r="S581" i="1"/>
  <c r="Q581" i="1"/>
  <c r="M581" i="1" a="1"/>
  <c r="M581" i="1" s="1"/>
  <c r="B581" i="1" s="1" a="1"/>
  <c r="B581" i="1" s="1"/>
  <c r="L581" i="1" a="1"/>
  <c r="L581" i="1"/>
  <c r="K581" i="1" a="1"/>
  <c r="K581" i="1" s="1"/>
  <c r="J581" i="1" a="1"/>
  <c r="J581" i="1" s="1"/>
  <c r="I581" i="1" a="1"/>
  <c r="I581" i="1"/>
  <c r="H581" i="1" a="1"/>
  <c r="H581" i="1" s="1"/>
  <c r="G581" i="1" a="1"/>
  <c r="G581" i="1" s="1"/>
  <c r="E581" i="1" a="1"/>
  <c r="E581" i="1" s="1"/>
  <c r="Y580" i="1" a="1"/>
  <c r="Y580" i="1"/>
  <c r="V580" i="1" a="1"/>
  <c r="V580" i="1" s="1"/>
  <c r="U580" i="1" a="1"/>
  <c r="U580" i="1"/>
  <c r="T580" i="1"/>
  <c r="S580" i="1" a="1"/>
  <c r="S580" i="1"/>
  <c r="R580" i="1" s="1" a="1"/>
  <c r="R580" i="1"/>
  <c r="Q580" i="1"/>
  <c r="M580" i="1" a="1"/>
  <c r="M580" i="1" s="1"/>
  <c r="B580" i="1" s="1" a="1"/>
  <c r="B580" i="1" s="1"/>
  <c r="L580" i="1" a="1"/>
  <c r="L580" i="1" s="1"/>
  <c r="K580" i="1" a="1"/>
  <c r="K580" i="1"/>
  <c r="J580" i="1" a="1"/>
  <c r="J580" i="1"/>
  <c r="I580" i="1" a="1"/>
  <c r="I580" i="1"/>
  <c r="H580" i="1" a="1"/>
  <c r="H580" i="1" s="1"/>
  <c r="G580" i="1" a="1"/>
  <c r="G580" i="1" s="1"/>
  <c r="E580" i="1" a="1"/>
  <c r="E580" i="1" s="1"/>
  <c r="V579" i="1" a="1"/>
  <c r="V579" i="1" s="1"/>
  <c r="U579" i="1" a="1"/>
  <c r="U579" i="1"/>
  <c r="T579" i="1"/>
  <c r="S579" i="1" a="1"/>
  <c r="S579" i="1" s="1"/>
  <c r="R579" i="1" s="1" a="1"/>
  <c r="R579" i="1" s="1"/>
  <c r="Q579" i="1"/>
  <c r="M579" i="1" a="1"/>
  <c r="M579" i="1" s="1"/>
  <c r="B579" i="1" s="1" a="1"/>
  <c r="B579" i="1" s="1"/>
  <c r="L579" i="1" a="1"/>
  <c r="L579" i="1" s="1"/>
  <c r="K579" i="1" a="1"/>
  <c r="K579" i="1" s="1"/>
  <c r="J579" i="1" a="1"/>
  <c r="J579" i="1" s="1"/>
  <c r="I579" i="1" a="1"/>
  <c r="I579" i="1"/>
  <c r="H579" i="1" a="1"/>
  <c r="H579" i="1"/>
  <c r="G579" i="1" a="1"/>
  <c r="G579" i="1"/>
  <c r="Y578" i="1" a="1"/>
  <c r="Y578" i="1"/>
  <c r="E578" i="1" s="1" a="1"/>
  <c r="V578" i="1" a="1"/>
  <c r="V578" i="1"/>
  <c r="U578" i="1" a="1"/>
  <c r="U578" i="1" s="1"/>
  <c r="T578" i="1"/>
  <c r="S578" i="1" a="1"/>
  <c r="S578" i="1"/>
  <c r="C578" i="1" s="1" a="1"/>
  <c r="R578" i="1" a="1"/>
  <c r="R578" i="1" s="1"/>
  <c r="Q578" i="1"/>
  <c r="M578" i="1" a="1"/>
  <c r="M578" i="1" s="1"/>
  <c r="B578" i="1" s="1" a="1"/>
  <c r="B578" i="1" s="1"/>
  <c r="L578" i="1" a="1"/>
  <c r="L578" i="1" s="1"/>
  <c r="K578" i="1" a="1"/>
  <c r="K578" i="1"/>
  <c r="J578" i="1" a="1"/>
  <c r="J578" i="1" s="1"/>
  <c r="I578" i="1" a="1"/>
  <c r="I578" i="1" s="1"/>
  <c r="H578" i="1" a="1"/>
  <c r="H578" i="1" s="1"/>
  <c r="G578" i="1" a="1"/>
  <c r="G578" i="1" s="1"/>
  <c r="E578" i="1"/>
  <c r="C578" i="1"/>
  <c r="Y577" i="1" a="1"/>
  <c r="Y577" i="1" s="1"/>
  <c r="E577" i="1" s="1" a="1"/>
  <c r="E577" i="1" s="1"/>
  <c r="V577" i="1" a="1"/>
  <c r="V577" i="1" s="1"/>
  <c r="U577" i="1" a="1"/>
  <c r="U577" i="1" s="1"/>
  <c r="T577" i="1"/>
  <c r="S577" i="1" a="1"/>
  <c r="S577" i="1" s="1"/>
  <c r="R577" i="1" s="1" a="1"/>
  <c r="R577" i="1" s="1"/>
  <c r="Q577" i="1"/>
  <c r="M577" i="1" a="1"/>
  <c r="M577" i="1" s="1"/>
  <c r="B577" i="1" s="1" a="1"/>
  <c r="B577" i="1" s="1"/>
  <c r="L577" i="1" a="1"/>
  <c r="L577" i="1" s="1"/>
  <c r="K577" i="1" a="1"/>
  <c r="K577" i="1"/>
  <c r="J577" i="1" a="1"/>
  <c r="J577" i="1" s="1"/>
  <c r="I577" i="1" a="1"/>
  <c r="I577" i="1" s="1"/>
  <c r="H577" i="1" a="1"/>
  <c r="H577" i="1" s="1"/>
  <c r="G577" i="1" a="1"/>
  <c r="G577" i="1"/>
  <c r="Y576" i="1" a="1"/>
  <c r="Y576" i="1" s="1"/>
  <c r="E576" i="1" s="1" a="1"/>
  <c r="E576" i="1" s="1"/>
  <c r="V576" i="1" a="1"/>
  <c r="V576" i="1"/>
  <c r="U576" i="1" a="1"/>
  <c r="U576" i="1"/>
  <c r="T576" i="1"/>
  <c r="S576" i="1" a="1"/>
  <c r="S576" i="1"/>
  <c r="R576" i="1" s="1" a="1"/>
  <c r="R576" i="1"/>
  <c r="Q576" i="1"/>
  <c r="M576" i="1" a="1"/>
  <c r="M576" i="1" s="1"/>
  <c r="B576" i="1" s="1" a="1"/>
  <c r="B576" i="1" s="1"/>
  <c r="L576" i="1" a="1"/>
  <c r="L576" i="1" s="1"/>
  <c r="K576" i="1" a="1"/>
  <c r="K576" i="1"/>
  <c r="J576" i="1" a="1"/>
  <c r="J576" i="1"/>
  <c r="I576" i="1" a="1"/>
  <c r="I576" i="1"/>
  <c r="H576" i="1" a="1"/>
  <c r="H576" i="1" s="1"/>
  <c r="G576" i="1" a="1"/>
  <c r="G576" i="1" s="1"/>
  <c r="C576" i="1" a="1"/>
  <c r="C576" i="1"/>
  <c r="Y575" i="1" a="1"/>
  <c r="Y575" i="1"/>
  <c r="V575" i="1" a="1"/>
  <c r="V575" i="1" s="1"/>
  <c r="U575" i="1" a="1"/>
  <c r="U575" i="1" s="1"/>
  <c r="T575" i="1"/>
  <c r="S575" i="1" a="1"/>
  <c r="S575" i="1"/>
  <c r="R575" i="1" s="1" a="1"/>
  <c r="R575" i="1" s="1"/>
  <c r="Q575" i="1"/>
  <c r="M575" i="1" a="1"/>
  <c r="M575" i="1"/>
  <c r="B575" i="1" s="1" a="1"/>
  <c r="B575" i="1" s="1"/>
  <c r="L575" i="1" a="1"/>
  <c r="L575" i="1"/>
  <c r="K575" i="1" a="1"/>
  <c r="K575" i="1" s="1"/>
  <c r="J575" i="1" a="1"/>
  <c r="J575" i="1" s="1"/>
  <c r="I575" i="1" a="1"/>
  <c r="I575" i="1"/>
  <c r="H575" i="1" a="1"/>
  <c r="H575" i="1" s="1"/>
  <c r="G575" i="1" a="1"/>
  <c r="G575" i="1" s="1"/>
  <c r="E575" i="1" a="1"/>
  <c r="E575" i="1" s="1"/>
  <c r="Y574" i="1" a="1"/>
  <c r="Y574" i="1"/>
  <c r="V574" i="1" a="1"/>
  <c r="V574" i="1"/>
  <c r="U574" i="1" a="1"/>
  <c r="U574" i="1" s="1"/>
  <c r="T574" i="1"/>
  <c r="S574" i="1" a="1"/>
  <c r="S574" i="1"/>
  <c r="Q574" i="1"/>
  <c r="M574" i="1" a="1"/>
  <c r="M574" i="1" s="1"/>
  <c r="B574" i="1" s="1" a="1"/>
  <c r="B574" i="1" s="1"/>
  <c r="L574" i="1" a="1"/>
  <c r="L574" i="1"/>
  <c r="K574" i="1" a="1"/>
  <c r="K574" i="1"/>
  <c r="J574" i="1" a="1"/>
  <c r="J574" i="1"/>
  <c r="I574" i="1" a="1"/>
  <c r="I574" i="1" s="1"/>
  <c r="H574" i="1" a="1"/>
  <c r="H574" i="1" s="1"/>
  <c r="G574" i="1" a="1"/>
  <c r="G574" i="1" s="1"/>
  <c r="E574" i="1" a="1"/>
  <c r="E574" i="1" s="1"/>
  <c r="Y573" i="1" a="1"/>
  <c r="Y573" i="1" s="1"/>
  <c r="V573" i="1" a="1"/>
  <c r="V573" i="1" s="1"/>
  <c r="U573" i="1" a="1"/>
  <c r="U573" i="1" s="1"/>
  <c r="T573" i="1"/>
  <c r="S573" i="1" a="1"/>
  <c r="S573" i="1"/>
  <c r="Q573" i="1"/>
  <c r="M573" i="1" a="1"/>
  <c r="M573" i="1"/>
  <c r="B573" i="1" s="1" a="1"/>
  <c r="B573" i="1" s="1"/>
  <c r="L573" i="1" a="1"/>
  <c r="L573" i="1"/>
  <c r="K573" i="1" a="1"/>
  <c r="K573" i="1" s="1"/>
  <c r="J573" i="1" a="1"/>
  <c r="J573" i="1" s="1"/>
  <c r="I573" i="1" a="1"/>
  <c r="I573" i="1" s="1"/>
  <c r="H573" i="1" a="1"/>
  <c r="H573" i="1"/>
  <c r="G573" i="1" a="1"/>
  <c r="G573" i="1" s="1"/>
  <c r="E573" i="1" a="1"/>
  <c r="E573" i="1" s="1"/>
  <c r="Y572" i="1" a="1"/>
  <c r="Y572" i="1" s="1"/>
  <c r="V572" i="1" a="1"/>
  <c r="V572" i="1" s="1"/>
  <c r="U572" i="1" a="1"/>
  <c r="U572" i="1" s="1"/>
  <c r="T572" i="1"/>
  <c r="S572" i="1" a="1"/>
  <c r="S572" i="1"/>
  <c r="Q572" i="1"/>
  <c r="M572" i="1" a="1"/>
  <c r="M572" i="1" s="1"/>
  <c r="L572" i="1" a="1"/>
  <c r="L572" i="1"/>
  <c r="K572" i="1" a="1"/>
  <c r="K572" i="1"/>
  <c r="J572" i="1" a="1"/>
  <c r="J572" i="1"/>
  <c r="I572" i="1" a="1"/>
  <c r="I572" i="1" s="1"/>
  <c r="H572" i="1" a="1"/>
  <c r="H572" i="1"/>
  <c r="G572" i="1" a="1"/>
  <c r="G572" i="1" s="1"/>
  <c r="E572" i="1" a="1"/>
  <c r="E572" i="1" s="1"/>
  <c r="C572" i="1" a="1"/>
  <c r="C572" i="1" s="1"/>
  <c r="B572" i="1" a="1"/>
  <c r="B572" i="1" s="1"/>
  <c r="Y571" i="1" a="1"/>
  <c r="Y571" i="1" s="1"/>
  <c r="V571" i="1" a="1"/>
  <c r="V571" i="1"/>
  <c r="U571" i="1" a="1"/>
  <c r="U571" i="1" s="1"/>
  <c r="T571" i="1"/>
  <c r="S571" i="1" a="1"/>
  <c r="S571" i="1" s="1"/>
  <c r="Q571" i="1"/>
  <c r="M571" i="1" a="1"/>
  <c r="M571" i="1" s="1"/>
  <c r="B571" i="1" s="1" a="1"/>
  <c r="B571" i="1" s="1"/>
  <c r="L571" i="1" a="1"/>
  <c r="L571" i="1"/>
  <c r="K571" i="1" a="1"/>
  <c r="K571" i="1" s="1"/>
  <c r="J571" i="1" a="1"/>
  <c r="J571" i="1" s="1"/>
  <c r="I571" i="1" a="1"/>
  <c r="I571" i="1" s="1"/>
  <c r="H571" i="1" a="1"/>
  <c r="H571" i="1"/>
  <c r="G571" i="1" a="1"/>
  <c r="G571" i="1" s="1"/>
  <c r="Y570" i="1" a="1"/>
  <c r="Y570" i="1"/>
  <c r="V570" i="1" a="1"/>
  <c r="V570" i="1"/>
  <c r="U570" i="1" a="1"/>
  <c r="U570" i="1" s="1"/>
  <c r="T570" i="1"/>
  <c r="S570" i="1" a="1"/>
  <c r="S570" i="1"/>
  <c r="Q570" i="1"/>
  <c r="M570" i="1" a="1"/>
  <c r="M570" i="1" s="1"/>
  <c r="B570" i="1" s="1" a="1"/>
  <c r="B570" i="1" s="1"/>
  <c r="L570" i="1" a="1"/>
  <c r="L570" i="1"/>
  <c r="K570" i="1" a="1"/>
  <c r="K570" i="1"/>
  <c r="J570" i="1" a="1"/>
  <c r="J570" i="1"/>
  <c r="I570" i="1" a="1"/>
  <c r="I570" i="1" s="1"/>
  <c r="H570" i="1" a="1"/>
  <c r="H570" i="1" s="1"/>
  <c r="G570" i="1" a="1"/>
  <c r="G570" i="1" s="1"/>
  <c r="Y569" i="1" a="1"/>
  <c r="Y569" i="1" s="1"/>
  <c r="V569" i="1" a="1"/>
  <c r="V569" i="1" s="1"/>
  <c r="U569" i="1" a="1"/>
  <c r="U569" i="1" s="1"/>
  <c r="T569" i="1"/>
  <c r="S569" i="1" a="1"/>
  <c r="S569" i="1" s="1"/>
  <c r="Q569" i="1"/>
  <c r="M569" i="1" a="1"/>
  <c r="M569" i="1" s="1"/>
  <c r="B569" i="1" s="1" a="1"/>
  <c r="B569" i="1" s="1"/>
  <c r="L569" i="1" a="1"/>
  <c r="L569" i="1"/>
  <c r="K569" i="1" a="1"/>
  <c r="K569" i="1" s="1"/>
  <c r="J569" i="1" a="1"/>
  <c r="J569" i="1" s="1"/>
  <c r="I569" i="1" a="1"/>
  <c r="I569" i="1"/>
  <c r="H569" i="1" a="1"/>
  <c r="H569" i="1" s="1"/>
  <c r="G569" i="1" a="1"/>
  <c r="G569" i="1" s="1"/>
  <c r="E569" i="1" a="1"/>
  <c r="E569" i="1" s="1"/>
  <c r="Y568" i="1" a="1"/>
  <c r="Y568" i="1"/>
  <c r="V568" i="1" a="1"/>
  <c r="V568" i="1" s="1"/>
  <c r="U568" i="1" a="1"/>
  <c r="U568" i="1" s="1"/>
  <c r="T568" i="1"/>
  <c r="S568" i="1" a="1"/>
  <c r="S568" i="1"/>
  <c r="R568" i="1" s="1" a="1"/>
  <c r="R568" i="1"/>
  <c r="Q568" i="1"/>
  <c r="M568" i="1" a="1"/>
  <c r="M568" i="1" s="1"/>
  <c r="B568" i="1" s="1" a="1"/>
  <c r="B568" i="1" s="1"/>
  <c r="L568" i="1" a="1"/>
  <c r="L568" i="1" s="1"/>
  <c r="K568" i="1" a="1"/>
  <c r="K568" i="1" s="1"/>
  <c r="J568" i="1" a="1"/>
  <c r="J568" i="1" s="1"/>
  <c r="I568" i="1" a="1"/>
  <c r="I568" i="1" s="1"/>
  <c r="H568" i="1" a="1"/>
  <c r="H568" i="1"/>
  <c r="G568" i="1" a="1"/>
  <c r="G568" i="1"/>
  <c r="C568" i="1" a="1"/>
  <c r="C568" i="1" s="1"/>
  <c r="Y567" i="1" a="1"/>
  <c r="Y567" i="1" s="1"/>
  <c r="V567" i="1" a="1"/>
  <c r="V567" i="1" s="1"/>
  <c r="U567" i="1" a="1"/>
  <c r="U567" i="1" s="1"/>
  <c r="T567" i="1"/>
  <c r="S567" i="1" a="1"/>
  <c r="S567" i="1"/>
  <c r="R567" i="1" s="1" a="1"/>
  <c r="R567" i="1" s="1"/>
  <c r="Q567" i="1"/>
  <c r="M567" i="1" a="1"/>
  <c r="M567" i="1"/>
  <c r="B567" i="1" s="1" a="1"/>
  <c r="B567" i="1" s="1"/>
  <c r="L567" i="1" a="1"/>
  <c r="L567" i="1" s="1"/>
  <c r="K567" i="1" a="1"/>
  <c r="K567" i="1" s="1"/>
  <c r="J567" i="1" a="1"/>
  <c r="J567" i="1"/>
  <c r="I567" i="1" a="1"/>
  <c r="I567" i="1"/>
  <c r="H567" i="1" a="1"/>
  <c r="H567" i="1"/>
  <c r="G567" i="1" a="1"/>
  <c r="G567" i="1" s="1"/>
  <c r="E567" i="1" a="1"/>
  <c r="E567" i="1" s="1"/>
  <c r="Y566" i="1" a="1"/>
  <c r="Y566" i="1" s="1"/>
  <c r="V566" i="1" a="1"/>
  <c r="V566" i="1" s="1"/>
  <c r="U566" i="1" a="1"/>
  <c r="U566" i="1" s="1"/>
  <c r="T566" i="1"/>
  <c r="S566" i="1" a="1"/>
  <c r="S566" i="1"/>
  <c r="Q566" i="1"/>
  <c r="M566" i="1" a="1"/>
  <c r="M566" i="1" s="1"/>
  <c r="B566" i="1" s="1" a="1"/>
  <c r="B566" i="1" s="1"/>
  <c r="L566" i="1" a="1"/>
  <c r="L566" i="1" s="1"/>
  <c r="K566" i="1" a="1"/>
  <c r="K566" i="1"/>
  <c r="J566" i="1" a="1"/>
  <c r="J566" i="1" s="1"/>
  <c r="I566" i="1" a="1"/>
  <c r="I566" i="1" s="1"/>
  <c r="H566" i="1" a="1"/>
  <c r="H566" i="1"/>
  <c r="G566" i="1" a="1"/>
  <c r="G566" i="1" s="1"/>
  <c r="Y565" i="1" a="1"/>
  <c r="Y565" i="1" s="1"/>
  <c r="V565" i="1" a="1"/>
  <c r="V565" i="1" s="1"/>
  <c r="U565" i="1" a="1"/>
  <c r="U565" i="1"/>
  <c r="T565" i="1"/>
  <c r="S565" i="1" a="1"/>
  <c r="S565" i="1"/>
  <c r="R565" i="1" s="1" a="1"/>
  <c r="R565" i="1"/>
  <c r="Q565" i="1"/>
  <c r="M565" i="1" a="1"/>
  <c r="M565" i="1" s="1"/>
  <c r="B565" i="1" s="1" a="1"/>
  <c r="B565" i="1" s="1"/>
  <c r="L565" i="1" a="1"/>
  <c r="L565" i="1" s="1"/>
  <c r="K565" i="1" a="1"/>
  <c r="K565" i="1" s="1"/>
  <c r="J565" i="1" a="1"/>
  <c r="J565" i="1"/>
  <c r="I565" i="1" a="1"/>
  <c r="I565" i="1" s="1"/>
  <c r="H565" i="1" a="1"/>
  <c r="H565" i="1"/>
  <c r="G565" i="1" a="1"/>
  <c r="G565" i="1" s="1"/>
  <c r="Y564" i="1" a="1"/>
  <c r="Y564" i="1"/>
  <c r="V564" i="1" a="1"/>
  <c r="V564" i="1"/>
  <c r="U564" i="1" a="1"/>
  <c r="U564" i="1" s="1"/>
  <c r="T564" i="1"/>
  <c r="S564" i="1" a="1"/>
  <c r="S564" i="1" s="1"/>
  <c r="R564" i="1" a="1"/>
  <c r="R564" i="1" s="1"/>
  <c r="Q564" i="1"/>
  <c r="M564" i="1" a="1"/>
  <c r="M564" i="1" s="1"/>
  <c r="L564" i="1" a="1"/>
  <c r="L564" i="1" s="1"/>
  <c r="K564" i="1" a="1"/>
  <c r="K564" i="1" s="1"/>
  <c r="J564" i="1" a="1"/>
  <c r="J564" i="1"/>
  <c r="I564" i="1" a="1"/>
  <c r="I564" i="1" s="1"/>
  <c r="H564" i="1" a="1"/>
  <c r="H564" i="1" s="1"/>
  <c r="G564" i="1" a="1"/>
  <c r="G564" i="1"/>
  <c r="C564" i="1" a="1"/>
  <c r="C564" i="1" s="1"/>
  <c r="B564" i="1" a="1"/>
  <c r="B564" i="1" s="1"/>
  <c r="Y563" i="1" a="1"/>
  <c r="Y563" i="1" s="1"/>
  <c r="V563" i="1" a="1"/>
  <c r="V563" i="1" s="1"/>
  <c r="U563" i="1" a="1"/>
  <c r="U563" i="1" s="1"/>
  <c r="T563" i="1"/>
  <c r="S563" i="1" a="1"/>
  <c r="S563" i="1" s="1"/>
  <c r="R563" i="1" s="1" a="1"/>
  <c r="R563" i="1"/>
  <c r="Q563" i="1"/>
  <c r="M563" i="1" a="1"/>
  <c r="M563" i="1" s="1"/>
  <c r="B563" i="1" s="1" a="1"/>
  <c r="B563" i="1" s="1"/>
  <c r="L563" i="1" a="1"/>
  <c r="L563" i="1" s="1"/>
  <c r="K563" i="1" a="1"/>
  <c r="K563" i="1" s="1"/>
  <c r="J563" i="1" a="1"/>
  <c r="J563" i="1"/>
  <c r="I563" i="1" a="1"/>
  <c r="I563" i="1"/>
  <c r="H563" i="1" a="1"/>
  <c r="H563" i="1"/>
  <c r="G563" i="1" a="1"/>
  <c r="G563" i="1" s="1"/>
  <c r="E563" i="1" a="1"/>
  <c r="E563" i="1"/>
  <c r="C563" i="1" a="1"/>
  <c r="C563" i="1" s="1"/>
  <c r="Y562" i="1" a="1"/>
  <c r="Y562" i="1"/>
  <c r="V562" i="1" a="1"/>
  <c r="V562" i="1" s="1"/>
  <c r="U562" i="1" a="1"/>
  <c r="U562" i="1" s="1"/>
  <c r="T562" i="1"/>
  <c r="S562" i="1" a="1"/>
  <c r="S562" i="1"/>
  <c r="Q562" i="1"/>
  <c r="M562" i="1" a="1"/>
  <c r="M562" i="1" s="1"/>
  <c r="B562" i="1" s="1" a="1"/>
  <c r="B562" i="1" s="1"/>
  <c r="L562" i="1" a="1"/>
  <c r="L562" i="1"/>
  <c r="K562" i="1" a="1"/>
  <c r="K562" i="1"/>
  <c r="J562" i="1" a="1"/>
  <c r="J562" i="1"/>
  <c r="I562" i="1" a="1"/>
  <c r="I562" i="1" s="1"/>
  <c r="H562" i="1" a="1"/>
  <c r="H562" i="1" s="1"/>
  <c r="G562" i="1" a="1"/>
  <c r="G562" i="1" s="1"/>
  <c r="E562" i="1" a="1"/>
  <c r="E562" i="1" s="1"/>
  <c r="Y561" i="1" a="1"/>
  <c r="Y561" i="1" s="1"/>
  <c r="V561" i="1" a="1"/>
  <c r="V561" i="1"/>
  <c r="U561" i="1" a="1"/>
  <c r="U561" i="1" s="1"/>
  <c r="T561" i="1"/>
  <c r="S561" i="1" a="1"/>
  <c r="S561" i="1"/>
  <c r="Q561" i="1"/>
  <c r="M561" i="1" a="1"/>
  <c r="M561" i="1" s="1"/>
  <c r="B561" i="1" s="1" a="1"/>
  <c r="B561" i="1" s="1"/>
  <c r="L561" i="1" a="1"/>
  <c r="L561" i="1"/>
  <c r="K561" i="1" a="1"/>
  <c r="K561" i="1" s="1"/>
  <c r="J561" i="1" a="1"/>
  <c r="J561" i="1" s="1"/>
  <c r="I561" i="1" a="1"/>
  <c r="I561" i="1" s="1"/>
  <c r="H561" i="1" a="1"/>
  <c r="H561" i="1" s="1"/>
  <c r="G561" i="1" a="1"/>
  <c r="G561" i="1" s="1"/>
  <c r="E561" i="1" a="1"/>
  <c r="E561" i="1"/>
  <c r="Y560" i="1" a="1"/>
  <c r="Y560" i="1" s="1"/>
  <c r="V560" i="1" a="1"/>
  <c r="V560" i="1"/>
  <c r="U560" i="1" a="1"/>
  <c r="U560" i="1" s="1"/>
  <c r="T560" i="1"/>
  <c r="S560" i="1" a="1"/>
  <c r="S560" i="1" s="1"/>
  <c r="R560" i="1" a="1"/>
  <c r="R560" i="1" s="1"/>
  <c r="Q560" i="1"/>
  <c r="M560" i="1" a="1"/>
  <c r="M560" i="1" s="1"/>
  <c r="L560" i="1" a="1"/>
  <c r="L560" i="1" s="1"/>
  <c r="K560" i="1" a="1"/>
  <c r="K560" i="1" s="1"/>
  <c r="J560" i="1" a="1"/>
  <c r="J560" i="1" s="1"/>
  <c r="I560" i="1" a="1"/>
  <c r="I560" i="1" s="1"/>
  <c r="H560" i="1" a="1"/>
  <c r="H560" i="1"/>
  <c r="G560" i="1" a="1"/>
  <c r="G560" i="1"/>
  <c r="B560" i="1" a="1"/>
  <c r="B560" i="1" s="1"/>
  <c r="Y559" i="1" a="1"/>
  <c r="Y559" i="1" s="1"/>
  <c r="V559" i="1" a="1"/>
  <c r="V559" i="1"/>
  <c r="U559" i="1" a="1"/>
  <c r="U559" i="1"/>
  <c r="T559" i="1"/>
  <c r="S559" i="1" a="1"/>
  <c r="S559" i="1" s="1"/>
  <c r="R559" i="1" s="1" a="1"/>
  <c r="R559" i="1"/>
  <c r="Q559" i="1"/>
  <c r="M559" i="1" a="1"/>
  <c r="M559" i="1"/>
  <c r="B559" i="1" s="1" a="1"/>
  <c r="B559" i="1" s="1"/>
  <c r="L559" i="1" a="1"/>
  <c r="L559" i="1" s="1"/>
  <c r="K559" i="1" a="1"/>
  <c r="K559" i="1" s="1"/>
  <c r="J559" i="1" a="1"/>
  <c r="J559" i="1"/>
  <c r="I559" i="1" a="1"/>
  <c r="I559" i="1"/>
  <c r="H559" i="1" a="1"/>
  <c r="H559" i="1"/>
  <c r="G559" i="1" a="1"/>
  <c r="G559" i="1" s="1"/>
  <c r="C559" i="1" a="1"/>
  <c r="C559" i="1" s="1"/>
  <c r="Y558" i="1" a="1"/>
  <c r="Y558" i="1"/>
  <c r="V558" i="1" a="1"/>
  <c r="V558" i="1"/>
  <c r="U558" i="1" a="1"/>
  <c r="U558" i="1" s="1"/>
  <c r="T558" i="1"/>
  <c r="S558" i="1" a="1"/>
  <c r="S558" i="1"/>
  <c r="Q558" i="1"/>
  <c r="M558" i="1" a="1"/>
  <c r="M558" i="1" s="1"/>
  <c r="B558" i="1" s="1" a="1"/>
  <c r="L558" i="1" a="1"/>
  <c r="L558" i="1"/>
  <c r="K558" i="1" a="1"/>
  <c r="K558" i="1"/>
  <c r="J558" i="1" a="1"/>
  <c r="J558" i="1"/>
  <c r="I558" i="1" a="1"/>
  <c r="I558" i="1" s="1"/>
  <c r="H558" i="1" a="1"/>
  <c r="H558" i="1"/>
  <c r="G558" i="1" a="1"/>
  <c r="G558" i="1" s="1"/>
  <c r="E558" i="1" a="1"/>
  <c r="E558" i="1" s="1"/>
  <c r="C558" i="1" a="1"/>
  <c r="C558" i="1" s="1"/>
  <c r="B558" i="1"/>
  <c r="Y557" i="1" a="1"/>
  <c r="Y557" i="1" s="1"/>
  <c r="V557" i="1" a="1"/>
  <c r="V557" i="1" s="1"/>
  <c r="U557" i="1" a="1"/>
  <c r="U557" i="1"/>
  <c r="T557" i="1"/>
  <c r="S557" i="1" a="1"/>
  <c r="S557" i="1"/>
  <c r="Q557" i="1"/>
  <c r="M557" i="1" a="1"/>
  <c r="M557" i="1"/>
  <c r="B557" i="1" s="1" a="1"/>
  <c r="B557" i="1" s="1"/>
  <c r="L557" i="1" a="1"/>
  <c r="L557" i="1"/>
  <c r="K557" i="1" a="1"/>
  <c r="K557" i="1" s="1"/>
  <c r="J557" i="1" a="1"/>
  <c r="J557" i="1" s="1"/>
  <c r="I557" i="1" a="1"/>
  <c r="I557" i="1" s="1"/>
  <c r="H557" i="1" a="1"/>
  <c r="H557" i="1"/>
  <c r="G557" i="1" a="1"/>
  <c r="G557" i="1" s="1"/>
  <c r="E557" i="1" a="1"/>
  <c r="E557" i="1"/>
  <c r="C557" i="1" a="1"/>
  <c r="C557" i="1" s="1"/>
  <c r="Y556" i="1" a="1"/>
  <c r="Y556" i="1" s="1"/>
  <c r="V556" i="1" a="1"/>
  <c r="V556" i="1" s="1"/>
  <c r="U556" i="1" a="1"/>
  <c r="U556" i="1" s="1"/>
  <c r="T556" i="1"/>
  <c r="S556" i="1" a="1"/>
  <c r="S556" i="1" s="1"/>
  <c r="R556" i="1" a="1"/>
  <c r="R556" i="1" s="1"/>
  <c r="Q556" i="1"/>
  <c r="M556" i="1" a="1"/>
  <c r="M556" i="1" s="1"/>
  <c r="L556" i="1" a="1"/>
  <c r="L556" i="1"/>
  <c r="K556" i="1" a="1"/>
  <c r="K556" i="1" s="1"/>
  <c r="J556" i="1" a="1"/>
  <c r="J556" i="1" s="1"/>
  <c r="I556" i="1" a="1"/>
  <c r="I556" i="1" s="1"/>
  <c r="H556" i="1" a="1"/>
  <c r="H556" i="1"/>
  <c r="G556" i="1" a="1"/>
  <c r="G556" i="1"/>
  <c r="C556" i="1" a="1"/>
  <c r="C556" i="1" s="1"/>
  <c r="B556" i="1" a="1"/>
  <c r="B556" i="1" s="1"/>
  <c r="Y555" i="1" a="1"/>
  <c r="Y555" i="1" s="1"/>
  <c r="V555" i="1" a="1"/>
  <c r="V555" i="1"/>
  <c r="U555" i="1" a="1"/>
  <c r="U555" i="1" s="1"/>
  <c r="T555" i="1"/>
  <c r="S555" i="1" a="1"/>
  <c r="S555" i="1" s="1"/>
  <c r="R555" i="1" s="1" a="1"/>
  <c r="R555" i="1"/>
  <c r="Q555" i="1"/>
  <c r="M555" i="1" a="1"/>
  <c r="M555" i="1" s="1"/>
  <c r="B555" i="1" s="1" a="1"/>
  <c r="B555" i="1" s="1"/>
  <c r="L555" i="1" a="1"/>
  <c r="L555" i="1"/>
  <c r="K555" i="1" a="1"/>
  <c r="K555" i="1" s="1"/>
  <c r="J555" i="1" a="1"/>
  <c r="J555" i="1"/>
  <c r="I555" i="1" a="1"/>
  <c r="I555" i="1"/>
  <c r="H555" i="1" a="1"/>
  <c r="H555" i="1"/>
  <c r="G555" i="1" a="1"/>
  <c r="G555" i="1" s="1"/>
  <c r="E555" i="1" a="1"/>
  <c r="E555" i="1" s="1"/>
  <c r="C555" i="1" a="1"/>
  <c r="C555" i="1" s="1"/>
  <c r="Y554" i="1" a="1"/>
  <c r="Y554" i="1"/>
  <c r="E554" i="1" s="1" a="1"/>
  <c r="E554" i="1" s="1"/>
  <c r="V554" i="1" a="1"/>
  <c r="V554" i="1"/>
  <c r="U554" i="1" a="1"/>
  <c r="U554" i="1" s="1"/>
  <c r="T554" i="1"/>
  <c r="S554" i="1" a="1"/>
  <c r="S554" i="1"/>
  <c r="Q554" i="1"/>
  <c r="M554" i="1" a="1"/>
  <c r="M554" i="1" s="1"/>
  <c r="B554" i="1" s="1" a="1"/>
  <c r="B554" i="1" s="1"/>
  <c r="L554" i="1" a="1"/>
  <c r="L554" i="1"/>
  <c r="K554" i="1" a="1"/>
  <c r="K554" i="1" s="1"/>
  <c r="J554" i="1" a="1"/>
  <c r="J554" i="1"/>
  <c r="I554" i="1" a="1"/>
  <c r="I554" i="1" s="1"/>
  <c r="H554" i="1" a="1"/>
  <c r="H554" i="1" s="1"/>
  <c r="G554" i="1" a="1"/>
  <c r="G554" i="1" s="1"/>
  <c r="Y553" i="1" a="1"/>
  <c r="Y553" i="1" s="1"/>
  <c r="V553" i="1" a="1"/>
  <c r="V553" i="1" s="1"/>
  <c r="U553" i="1" a="1"/>
  <c r="U553" i="1" s="1"/>
  <c r="T553" i="1"/>
  <c r="S553" i="1" a="1"/>
  <c r="S553" i="1"/>
  <c r="Q553" i="1"/>
  <c r="M553" i="1" a="1"/>
  <c r="M553" i="1"/>
  <c r="B553" i="1" s="1" a="1"/>
  <c r="B553" i="1" s="1"/>
  <c r="L553" i="1" a="1"/>
  <c r="L553" i="1"/>
  <c r="K553" i="1" a="1"/>
  <c r="K553" i="1" s="1"/>
  <c r="J553" i="1" a="1"/>
  <c r="J553" i="1" s="1"/>
  <c r="I553" i="1" a="1"/>
  <c r="I553" i="1" s="1"/>
  <c r="H553" i="1" a="1"/>
  <c r="H553" i="1" s="1"/>
  <c r="G553" i="1" a="1"/>
  <c r="G553" i="1" s="1"/>
  <c r="E553" i="1" a="1"/>
  <c r="E553" i="1"/>
  <c r="Y552" i="1" a="1"/>
  <c r="Y552" i="1" s="1"/>
  <c r="V552" i="1" a="1"/>
  <c r="V552" i="1" s="1"/>
  <c r="U552" i="1" a="1"/>
  <c r="U552" i="1" s="1"/>
  <c r="T552" i="1"/>
  <c r="S552" i="1" a="1"/>
  <c r="S552" i="1"/>
  <c r="R552" i="1" a="1"/>
  <c r="R552" i="1" s="1"/>
  <c r="Q552" i="1"/>
  <c r="M552" i="1" a="1"/>
  <c r="M552" i="1" s="1"/>
  <c r="L552" i="1" a="1"/>
  <c r="L552" i="1" s="1"/>
  <c r="K552" i="1" a="1"/>
  <c r="K552" i="1"/>
  <c r="J552" i="1" a="1"/>
  <c r="J552" i="1" s="1"/>
  <c r="I552" i="1" a="1"/>
  <c r="I552" i="1" s="1"/>
  <c r="H552" i="1" a="1"/>
  <c r="H552" i="1"/>
  <c r="G552" i="1" a="1"/>
  <c r="G552" i="1"/>
  <c r="C552" i="1" a="1"/>
  <c r="C552" i="1" s="1"/>
  <c r="B552" i="1" a="1"/>
  <c r="B552" i="1"/>
  <c r="Y551" i="1" a="1"/>
  <c r="Y551" i="1" s="1"/>
  <c r="V551" i="1" a="1"/>
  <c r="V551" i="1"/>
  <c r="U551" i="1" a="1"/>
  <c r="U551" i="1"/>
  <c r="T551" i="1"/>
  <c r="S551" i="1" a="1"/>
  <c r="S551" i="1"/>
  <c r="Q551" i="1"/>
  <c r="M551" i="1" a="1"/>
  <c r="M551" i="1" s="1"/>
  <c r="B551" i="1" s="1" a="1"/>
  <c r="B551" i="1" s="1"/>
  <c r="L551" i="1" a="1"/>
  <c r="L551" i="1" s="1"/>
  <c r="K551" i="1" a="1"/>
  <c r="K551" i="1" s="1"/>
  <c r="J551" i="1" a="1"/>
  <c r="J551" i="1"/>
  <c r="I551" i="1" a="1"/>
  <c r="I551" i="1"/>
  <c r="H551" i="1" a="1"/>
  <c r="H551" i="1"/>
  <c r="G551" i="1" a="1"/>
  <c r="G551" i="1" s="1"/>
  <c r="Y550" i="1" a="1"/>
  <c r="Y550" i="1"/>
  <c r="V550" i="1" a="1"/>
  <c r="V550" i="1"/>
  <c r="U550" i="1" a="1"/>
  <c r="U550" i="1" s="1"/>
  <c r="T550" i="1"/>
  <c r="S550" i="1" a="1"/>
  <c r="S550" i="1"/>
  <c r="Q550" i="1"/>
  <c r="M550" i="1" a="1"/>
  <c r="M550" i="1" s="1"/>
  <c r="B550" i="1" s="1" a="1"/>
  <c r="B550" i="1" s="1"/>
  <c r="L550" i="1" a="1"/>
  <c r="L550" i="1"/>
  <c r="K550" i="1" a="1"/>
  <c r="K550" i="1"/>
  <c r="J550" i="1" a="1"/>
  <c r="J550" i="1"/>
  <c r="I550" i="1" a="1"/>
  <c r="I550" i="1" s="1"/>
  <c r="H550" i="1" a="1"/>
  <c r="H550" i="1" s="1"/>
  <c r="G550" i="1" a="1"/>
  <c r="G550" i="1" s="1"/>
  <c r="E550" i="1" a="1"/>
  <c r="E550" i="1" s="1"/>
  <c r="Y549" i="1" a="1"/>
  <c r="Y549" i="1" s="1"/>
  <c r="V549" i="1" a="1"/>
  <c r="V549" i="1" s="1"/>
  <c r="U549" i="1" a="1"/>
  <c r="U549" i="1" s="1"/>
  <c r="T549" i="1"/>
  <c r="S549" i="1" a="1"/>
  <c r="S549" i="1"/>
  <c r="Q549" i="1"/>
  <c r="M549" i="1" a="1"/>
  <c r="M549" i="1"/>
  <c r="L549" i="1" a="1"/>
  <c r="L549" i="1"/>
  <c r="K549" i="1" a="1"/>
  <c r="K549" i="1" s="1"/>
  <c r="J549" i="1" a="1"/>
  <c r="J549" i="1"/>
  <c r="I549" i="1" a="1"/>
  <c r="I549" i="1" s="1"/>
  <c r="H549" i="1" a="1"/>
  <c r="H549" i="1" s="1"/>
  <c r="G549" i="1" a="1"/>
  <c r="G549" i="1" s="1"/>
  <c r="E549" i="1" a="1"/>
  <c r="E549" i="1" s="1"/>
  <c r="B549" i="1" a="1"/>
  <c r="B549" i="1" s="1"/>
  <c r="Y548" i="1" a="1"/>
  <c r="Y548" i="1"/>
  <c r="V548" i="1" a="1"/>
  <c r="V548" i="1" s="1"/>
  <c r="U548" i="1" a="1"/>
  <c r="U548" i="1" s="1"/>
  <c r="T548" i="1"/>
  <c r="S548" i="1" a="1"/>
  <c r="S548" i="1" s="1"/>
  <c r="Q548" i="1"/>
  <c r="M548" i="1" a="1"/>
  <c r="M548" i="1" s="1"/>
  <c r="L548" i="1" a="1"/>
  <c r="L548" i="1" s="1"/>
  <c r="K548" i="1" a="1"/>
  <c r="K548" i="1" s="1"/>
  <c r="J548" i="1" a="1"/>
  <c r="J548" i="1"/>
  <c r="I548" i="1" a="1"/>
  <c r="I548" i="1" s="1"/>
  <c r="H548" i="1" a="1"/>
  <c r="H548" i="1"/>
  <c r="G548" i="1" a="1"/>
  <c r="G548" i="1"/>
  <c r="E548" i="1" a="1"/>
  <c r="E548" i="1" s="1"/>
  <c r="B548" i="1" a="1"/>
  <c r="B548" i="1" s="1"/>
  <c r="Y547" i="1" a="1"/>
  <c r="Y547" i="1" s="1"/>
  <c r="V547" i="1" a="1"/>
  <c r="V547" i="1" s="1"/>
  <c r="U547" i="1" a="1"/>
  <c r="U547" i="1" s="1"/>
  <c r="T547" i="1"/>
  <c r="S547" i="1" a="1"/>
  <c r="S547" i="1" s="1"/>
  <c r="R547" i="1" s="1" a="1"/>
  <c r="R547" i="1"/>
  <c r="Q547" i="1"/>
  <c r="M547" i="1" a="1"/>
  <c r="M547" i="1" s="1"/>
  <c r="B547" i="1" s="1" a="1"/>
  <c r="B547" i="1" s="1"/>
  <c r="L547" i="1" a="1"/>
  <c r="L547" i="1" s="1"/>
  <c r="K547" i="1" a="1"/>
  <c r="K547" i="1" s="1"/>
  <c r="J547" i="1" a="1"/>
  <c r="J547" i="1"/>
  <c r="I547" i="1" a="1"/>
  <c r="I547" i="1"/>
  <c r="H547" i="1" a="1"/>
  <c r="H547" i="1"/>
  <c r="G547" i="1" a="1"/>
  <c r="G547" i="1" s="1"/>
  <c r="E547" i="1" a="1"/>
  <c r="E547" i="1"/>
  <c r="C547" i="1" a="1"/>
  <c r="C547" i="1" s="1"/>
  <c r="Y546" i="1" a="1"/>
  <c r="Y546" i="1"/>
  <c r="E546" i="1" s="1" a="1"/>
  <c r="E546" i="1" s="1"/>
  <c r="V546" i="1" a="1"/>
  <c r="V546" i="1" s="1"/>
  <c r="U546" i="1" a="1"/>
  <c r="U546" i="1" s="1"/>
  <c r="T546" i="1"/>
  <c r="S546" i="1" a="1"/>
  <c r="S546" i="1"/>
  <c r="Q546" i="1"/>
  <c r="M546" i="1" a="1"/>
  <c r="M546" i="1" s="1"/>
  <c r="B546" i="1" s="1" a="1"/>
  <c r="B546" i="1" s="1"/>
  <c r="L546" i="1" a="1"/>
  <c r="L546" i="1"/>
  <c r="K546" i="1" a="1"/>
  <c r="K546" i="1"/>
  <c r="J546" i="1" a="1"/>
  <c r="J546" i="1"/>
  <c r="I546" i="1" a="1"/>
  <c r="I546" i="1" s="1"/>
  <c r="H546" i="1" a="1"/>
  <c r="H546" i="1" s="1"/>
  <c r="G546" i="1" a="1"/>
  <c r="G546" i="1" s="1"/>
  <c r="Y545" i="1" a="1"/>
  <c r="Y545" i="1" s="1"/>
  <c r="V545" i="1" a="1"/>
  <c r="V545" i="1" s="1"/>
  <c r="U545" i="1" a="1"/>
  <c r="U545" i="1" s="1"/>
  <c r="T545" i="1"/>
  <c r="S545" i="1" a="1"/>
  <c r="S545" i="1"/>
  <c r="Q545" i="1"/>
  <c r="M545" i="1" a="1"/>
  <c r="M545" i="1"/>
  <c r="B545" i="1" s="1" a="1"/>
  <c r="B545" i="1" s="1"/>
  <c r="L545" i="1" a="1"/>
  <c r="L545" i="1"/>
  <c r="K545" i="1" a="1"/>
  <c r="K545" i="1" s="1"/>
  <c r="J545" i="1" a="1"/>
  <c r="J545" i="1" s="1"/>
  <c r="I545" i="1" a="1"/>
  <c r="I545" i="1" s="1"/>
  <c r="H545" i="1" a="1"/>
  <c r="H545" i="1" s="1"/>
  <c r="G545" i="1" a="1"/>
  <c r="G545" i="1" s="1"/>
  <c r="E545" i="1" a="1"/>
  <c r="E545" i="1"/>
  <c r="Y544" i="1" a="1"/>
  <c r="Y544" i="1" s="1"/>
  <c r="V544" i="1" a="1"/>
  <c r="V544" i="1"/>
  <c r="U544" i="1" a="1"/>
  <c r="U544" i="1" s="1"/>
  <c r="T544" i="1"/>
  <c r="S544" i="1" a="1"/>
  <c r="S544" i="1" s="1"/>
  <c r="R544" i="1" a="1"/>
  <c r="R544" i="1" s="1"/>
  <c r="Q544" i="1"/>
  <c r="M544" i="1" a="1"/>
  <c r="M544" i="1" s="1"/>
  <c r="B544" i="1" s="1" a="1"/>
  <c r="B544" i="1" s="1"/>
  <c r="L544" i="1" a="1"/>
  <c r="L544" i="1" s="1"/>
  <c r="K544" i="1" a="1"/>
  <c r="K544" i="1" s="1"/>
  <c r="J544" i="1" a="1"/>
  <c r="J544" i="1" s="1"/>
  <c r="I544" i="1" a="1"/>
  <c r="I544" i="1" s="1"/>
  <c r="H544" i="1" a="1"/>
  <c r="H544" i="1"/>
  <c r="G544" i="1" a="1"/>
  <c r="G544" i="1"/>
  <c r="C544" i="1" a="1"/>
  <c r="C544" i="1" s="1"/>
  <c r="Y543" i="1" a="1"/>
  <c r="Y543" i="1" s="1"/>
  <c r="E543" i="1" s="1" a="1"/>
  <c r="E543" i="1" s="1"/>
  <c r="V543" i="1" a="1"/>
  <c r="V543" i="1"/>
  <c r="U543" i="1" a="1"/>
  <c r="U543" i="1" s="1"/>
  <c r="T543" i="1"/>
  <c r="S543" i="1" a="1"/>
  <c r="S543" i="1" s="1"/>
  <c r="Q543" i="1"/>
  <c r="M543" i="1" a="1"/>
  <c r="M543" i="1"/>
  <c r="B543" i="1" s="1" a="1"/>
  <c r="B543" i="1" s="1"/>
  <c r="L543" i="1" a="1"/>
  <c r="L543" i="1" s="1"/>
  <c r="K543" i="1" a="1"/>
  <c r="K543" i="1" s="1"/>
  <c r="J543" i="1" a="1"/>
  <c r="J543" i="1"/>
  <c r="I543" i="1" a="1"/>
  <c r="I543" i="1"/>
  <c r="H543" i="1" a="1"/>
  <c r="H543" i="1"/>
  <c r="G543" i="1" a="1"/>
  <c r="G543" i="1" s="1"/>
  <c r="Y542" i="1" a="1"/>
  <c r="Y542" i="1"/>
  <c r="V542" i="1" a="1"/>
  <c r="V542" i="1"/>
  <c r="U542" i="1" a="1"/>
  <c r="U542" i="1" s="1"/>
  <c r="T542" i="1"/>
  <c r="S542" i="1" a="1"/>
  <c r="S542" i="1"/>
  <c r="R542" i="1" s="1" a="1"/>
  <c r="R542" i="1"/>
  <c r="Q542" i="1"/>
  <c r="M542" i="1" a="1"/>
  <c r="M542" i="1" s="1"/>
  <c r="B542" i="1" s="1" a="1"/>
  <c r="B542" i="1" s="1"/>
  <c r="L542" i="1" a="1"/>
  <c r="L542" i="1"/>
  <c r="K542" i="1" a="1"/>
  <c r="K542" i="1"/>
  <c r="J542" i="1" a="1"/>
  <c r="J542" i="1"/>
  <c r="I542" i="1" a="1"/>
  <c r="I542" i="1" s="1"/>
  <c r="H542" i="1" a="1"/>
  <c r="H542" i="1" s="1"/>
  <c r="G542" i="1" a="1"/>
  <c r="G542" i="1" s="1"/>
  <c r="C542" i="1" a="1"/>
  <c r="C542" i="1"/>
  <c r="Y541" i="1" a="1"/>
  <c r="Y541" i="1" s="1"/>
  <c r="V541" i="1" a="1"/>
  <c r="V541" i="1"/>
  <c r="U541" i="1" a="1"/>
  <c r="U541" i="1"/>
  <c r="T541" i="1"/>
  <c r="S541" i="1" a="1"/>
  <c r="S541" i="1"/>
  <c r="R541" i="1" s="1" a="1"/>
  <c r="R541" i="1" s="1"/>
  <c r="Q541" i="1"/>
  <c r="M541" i="1" a="1"/>
  <c r="M541" i="1"/>
  <c r="L541" i="1" a="1"/>
  <c r="L541" i="1"/>
  <c r="K541" i="1" a="1"/>
  <c r="K541" i="1" s="1"/>
  <c r="J541" i="1" a="1"/>
  <c r="J541" i="1" s="1"/>
  <c r="I541" i="1" a="1"/>
  <c r="I541" i="1"/>
  <c r="H541" i="1" a="1"/>
  <c r="H541" i="1"/>
  <c r="G541" i="1" a="1"/>
  <c r="G541" i="1" s="1"/>
  <c r="E541" i="1" a="1"/>
  <c r="E541" i="1"/>
  <c r="C541" i="1" a="1"/>
  <c r="C541" i="1" s="1"/>
  <c r="B541" i="1" a="1"/>
  <c r="B541" i="1" s="1"/>
  <c r="Y540" i="1" a="1"/>
  <c r="Y540" i="1" s="1"/>
  <c r="V540" i="1" a="1"/>
  <c r="V540" i="1" s="1"/>
  <c r="U540" i="1" a="1"/>
  <c r="U540" i="1" s="1"/>
  <c r="T540" i="1"/>
  <c r="S540" i="1" a="1"/>
  <c r="S540" i="1" s="1"/>
  <c r="R540" i="1" s="1" a="1"/>
  <c r="R540" i="1" s="1"/>
  <c r="Q540" i="1"/>
  <c r="M540" i="1" a="1"/>
  <c r="M540" i="1" s="1"/>
  <c r="L540" i="1" a="1"/>
  <c r="L540" i="1"/>
  <c r="K540" i="1" a="1"/>
  <c r="K540" i="1" s="1"/>
  <c r="J540" i="1" a="1"/>
  <c r="J540" i="1" s="1"/>
  <c r="I540" i="1" a="1"/>
  <c r="I540" i="1" s="1"/>
  <c r="H540" i="1" a="1"/>
  <c r="H540" i="1"/>
  <c r="G540" i="1" a="1"/>
  <c r="G540" i="1"/>
  <c r="B540" i="1" a="1"/>
  <c r="B540" i="1" s="1"/>
  <c r="Y539" i="1" a="1"/>
  <c r="Y539" i="1" s="1"/>
  <c r="E539" i="1" s="1" a="1"/>
  <c r="E539" i="1" s="1"/>
  <c r="V539" i="1" a="1"/>
  <c r="V539" i="1"/>
  <c r="U539" i="1" a="1"/>
  <c r="U539" i="1" s="1"/>
  <c r="T539" i="1"/>
  <c r="S539" i="1" a="1"/>
  <c r="S539" i="1" s="1"/>
  <c r="R539" i="1" s="1" a="1"/>
  <c r="R539" i="1"/>
  <c r="Q539" i="1"/>
  <c r="M539" i="1" a="1"/>
  <c r="M539" i="1" s="1"/>
  <c r="B539" i="1" s="1" a="1"/>
  <c r="B539" i="1" s="1"/>
  <c r="L539" i="1" a="1"/>
  <c r="L539" i="1" s="1"/>
  <c r="K539" i="1" a="1"/>
  <c r="K539" i="1" s="1"/>
  <c r="J539" i="1" a="1"/>
  <c r="J539" i="1"/>
  <c r="I539" i="1" a="1"/>
  <c r="I539" i="1"/>
  <c r="H539" i="1" a="1"/>
  <c r="H539" i="1" s="1"/>
  <c r="G539" i="1" a="1"/>
  <c r="G539" i="1" s="1"/>
  <c r="C539" i="1" a="1"/>
  <c r="C539" i="1" s="1"/>
  <c r="Y538" i="1" a="1"/>
  <c r="Y538" i="1"/>
  <c r="V538" i="1" a="1"/>
  <c r="V538" i="1"/>
  <c r="U538" i="1" a="1"/>
  <c r="U538" i="1" s="1"/>
  <c r="T538" i="1"/>
  <c r="S538" i="1" a="1"/>
  <c r="S538" i="1"/>
  <c r="Q538" i="1"/>
  <c r="M538" i="1" a="1"/>
  <c r="M538" i="1" s="1"/>
  <c r="L538" i="1" a="1"/>
  <c r="L538" i="1" s="1"/>
  <c r="K538" i="1" a="1"/>
  <c r="K538" i="1"/>
  <c r="J538" i="1" a="1"/>
  <c r="J538" i="1"/>
  <c r="I538" i="1" a="1"/>
  <c r="I538" i="1" s="1"/>
  <c r="H538" i="1" a="1"/>
  <c r="H538" i="1"/>
  <c r="G538" i="1" a="1"/>
  <c r="G538" i="1"/>
  <c r="B538" i="1" a="1"/>
  <c r="B538" i="1" s="1"/>
  <c r="Y537" i="1" a="1"/>
  <c r="Y537" i="1" s="1"/>
  <c r="V537" i="1" a="1"/>
  <c r="V537" i="1" s="1"/>
  <c r="U537" i="1" a="1"/>
  <c r="U537" i="1" s="1"/>
  <c r="T537" i="1"/>
  <c r="S537" i="1" a="1"/>
  <c r="S537" i="1"/>
  <c r="C537" i="1" s="1" a="1"/>
  <c r="C537" i="1" s="1"/>
  <c r="Q537" i="1"/>
  <c r="M537" i="1" a="1"/>
  <c r="M537" i="1"/>
  <c r="B537" i="1" s="1" a="1"/>
  <c r="B537" i="1" s="1"/>
  <c r="L537" i="1" a="1"/>
  <c r="L537" i="1" s="1"/>
  <c r="K537" i="1" a="1"/>
  <c r="K537" i="1" s="1"/>
  <c r="J537" i="1" a="1"/>
  <c r="J537" i="1" s="1"/>
  <c r="I537" i="1" a="1"/>
  <c r="I537" i="1" s="1"/>
  <c r="H537" i="1" a="1"/>
  <c r="H537" i="1"/>
  <c r="G537" i="1" a="1"/>
  <c r="G537" i="1" s="1"/>
  <c r="E537" i="1" a="1"/>
  <c r="E537" i="1"/>
  <c r="Y536" i="1" a="1"/>
  <c r="Y536" i="1" s="1"/>
  <c r="V536" i="1" a="1"/>
  <c r="V536" i="1" s="1"/>
  <c r="U536" i="1" a="1"/>
  <c r="U536" i="1" s="1"/>
  <c r="T536" i="1"/>
  <c r="S536" i="1" a="1"/>
  <c r="S536" i="1" s="1"/>
  <c r="Q536" i="1"/>
  <c r="M536" i="1" a="1"/>
  <c r="M536" i="1" s="1"/>
  <c r="L536" i="1" a="1"/>
  <c r="L536" i="1"/>
  <c r="K536" i="1" a="1"/>
  <c r="K536" i="1"/>
  <c r="J536" i="1" a="1"/>
  <c r="J536" i="1" s="1"/>
  <c r="I536" i="1" a="1"/>
  <c r="I536" i="1" s="1"/>
  <c r="H536" i="1" a="1"/>
  <c r="H536" i="1"/>
  <c r="G536" i="1" a="1"/>
  <c r="G536" i="1"/>
  <c r="B536" i="1" a="1"/>
  <c r="B536" i="1" s="1"/>
  <c r="Y535" i="1" a="1"/>
  <c r="Y535" i="1" s="1"/>
  <c r="E535" i="1" s="1" a="1"/>
  <c r="E535" i="1" s="1"/>
  <c r="V535" i="1" a="1"/>
  <c r="V535" i="1"/>
  <c r="U535" i="1" a="1"/>
  <c r="U535" i="1" s="1"/>
  <c r="T535" i="1"/>
  <c r="S535" i="1" a="1"/>
  <c r="S535" i="1" s="1"/>
  <c r="Q535" i="1"/>
  <c r="M535" i="1" a="1"/>
  <c r="M535" i="1" s="1"/>
  <c r="L535" i="1" a="1"/>
  <c r="L535" i="1"/>
  <c r="K535" i="1" a="1"/>
  <c r="K535" i="1" s="1"/>
  <c r="J535" i="1" a="1"/>
  <c r="J535" i="1" s="1"/>
  <c r="I535" i="1" a="1"/>
  <c r="I535" i="1"/>
  <c r="H535" i="1" a="1"/>
  <c r="H535" i="1"/>
  <c r="G535" i="1" a="1"/>
  <c r="G535" i="1" s="1"/>
  <c r="B535" i="1" a="1"/>
  <c r="B535" i="1" s="1"/>
  <c r="Y534" i="1" a="1"/>
  <c r="Y534" i="1" s="1"/>
  <c r="V534" i="1" a="1"/>
  <c r="V534" i="1"/>
  <c r="U534" i="1" a="1"/>
  <c r="U534" i="1" s="1"/>
  <c r="T534" i="1"/>
  <c r="S534" i="1" a="1"/>
  <c r="S534" i="1" s="1"/>
  <c r="R534" i="1" a="1"/>
  <c r="R534" i="1" s="1"/>
  <c r="Q534" i="1"/>
  <c r="M534" i="1" a="1"/>
  <c r="M534" i="1" s="1"/>
  <c r="L534" i="1" a="1"/>
  <c r="L534" i="1"/>
  <c r="K534" i="1" a="1"/>
  <c r="K534" i="1" s="1"/>
  <c r="J534" i="1" a="1"/>
  <c r="J534" i="1"/>
  <c r="I534" i="1" a="1"/>
  <c r="I534" i="1" s="1"/>
  <c r="H534" i="1" a="1"/>
  <c r="H534" i="1" s="1"/>
  <c r="G534" i="1" a="1"/>
  <c r="G534" i="1" s="1"/>
  <c r="E534" i="1" a="1"/>
  <c r="E534" i="1" s="1"/>
  <c r="B534" i="1" a="1"/>
  <c r="B534" i="1"/>
  <c r="Y533" i="1" a="1"/>
  <c r="Y533" i="1" s="1"/>
  <c r="V533" i="1" a="1"/>
  <c r="V533" i="1" s="1"/>
  <c r="U533" i="1" a="1"/>
  <c r="U533" i="1" s="1"/>
  <c r="T533" i="1"/>
  <c r="S533" i="1" a="1"/>
  <c r="S533" i="1" s="1"/>
  <c r="Q533" i="1"/>
  <c r="M533" i="1" a="1"/>
  <c r="M533" i="1"/>
  <c r="L533" i="1" a="1"/>
  <c r="L533" i="1"/>
  <c r="K533" i="1" a="1"/>
  <c r="K533" i="1" s="1"/>
  <c r="J533" i="1" a="1"/>
  <c r="J533" i="1" s="1"/>
  <c r="I533" i="1" a="1"/>
  <c r="I533" i="1" s="1"/>
  <c r="H533" i="1" a="1"/>
  <c r="H533" i="1" s="1"/>
  <c r="G533" i="1" a="1"/>
  <c r="G533" i="1" s="1"/>
  <c r="E533" i="1" a="1"/>
  <c r="E533" i="1"/>
  <c r="B533" i="1" a="1"/>
  <c r="B533" i="1" s="1"/>
  <c r="Y532" i="1" a="1"/>
  <c r="Y532" i="1" s="1"/>
  <c r="V532" i="1" a="1"/>
  <c r="V532" i="1" s="1"/>
  <c r="U532" i="1" a="1"/>
  <c r="U532" i="1" s="1"/>
  <c r="T532" i="1"/>
  <c r="S532" i="1" a="1"/>
  <c r="S532" i="1"/>
  <c r="Q532" i="1"/>
  <c r="M532" i="1" a="1"/>
  <c r="M532" i="1" s="1"/>
  <c r="L532" i="1" a="1"/>
  <c r="L532" i="1" s="1"/>
  <c r="K532" i="1" a="1"/>
  <c r="K532" i="1" s="1"/>
  <c r="J532" i="1" a="1"/>
  <c r="J532" i="1" s="1"/>
  <c r="I532" i="1" a="1"/>
  <c r="I532" i="1" s="1"/>
  <c r="H532" i="1" a="1"/>
  <c r="H532" i="1"/>
  <c r="G532" i="1" a="1"/>
  <c r="G532" i="1"/>
  <c r="B532" i="1" a="1"/>
  <c r="B532" i="1" s="1"/>
  <c r="Y531" i="1" a="1"/>
  <c r="Y531" i="1" s="1"/>
  <c r="V531" i="1" a="1"/>
  <c r="V531" i="1"/>
  <c r="U531" i="1" a="1"/>
  <c r="U531" i="1"/>
  <c r="T531" i="1"/>
  <c r="S531" i="1" a="1"/>
  <c r="S531" i="1" s="1"/>
  <c r="Q531" i="1"/>
  <c r="M531" i="1" a="1"/>
  <c r="M531" i="1" s="1"/>
  <c r="B531" i="1" s="1" a="1"/>
  <c r="B531" i="1" s="1"/>
  <c r="L531" i="1" a="1"/>
  <c r="L531" i="1" s="1"/>
  <c r="K531" i="1" a="1"/>
  <c r="K531" i="1" s="1"/>
  <c r="J531" i="1" a="1"/>
  <c r="J531" i="1"/>
  <c r="I531" i="1" a="1"/>
  <c r="I531" i="1"/>
  <c r="H531" i="1" a="1"/>
  <c r="H531" i="1"/>
  <c r="G531" i="1" a="1"/>
  <c r="G531" i="1" s="1"/>
  <c r="E531" i="1" a="1"/>
  <c r="E531" i="1" s="1"/>
  <c r="Y530" i="1" a="1"/>
  <c r="Y530" i="1"/>
  <c r="V530" i="1" a="1"/>
  <c r="V530" i="1"/>
  <c r="U530" i="1" a="1"/>
  <c r="U530" i="1" s="1"/>
  <c r="T530" i="1"/>
  <c r="S530" i="1" a="1"/>
  <c r="S530" i="1"/>
  <c r="Q530" i="1"/>
  <c r="M530" i="1" a="1"/>
  <c r="M530" i="1" s="1"/>
  <c r="B530" i="1" s="1" a="1"/>
  <c r="B530" i="1" s="1"/>
  <c r="L530" i="1" a="1"/>
  <c r="L530" i="1"/>
  <c r="K530" i="1" a="1"/>
  <c r="K530" i="1"/>
  <c r="J530" i="1" a="1"/>
  <c r="J530" i="1"/>
  <c r="I530" i="1" a="1"/>
  <c r="I530" i="1" s="1"/>
  <c r="H530" i="1" a="1"/>
  <c r="H530" i="1" s="1"/>
  <c r="G530" i="1" a="1"/>
  <c r="G530" i="1" s="1"/>
  <c r="Y529" i="1" a="1"/>
  <c r="Y529" i="1" s="1"/>
  <c r="E529" i="1" s="1" a="1"/>
  <c r="E529" i="1" s="1"/>
  <c r="V529" i="1" a="1"/>
  <c r="V529" i="1" s="1"/>
  <c r="U529" i="1" a="1"/>
  <c r="U529" i="1" s="1"/>
  <c r="T529" i="1"/>
  <c r="S529" i="1" a="1"/>
  <c r="S529" i="1"/>
  <c r="Q529" i="1"/>
  <c r="M529" i="1" a="1"/>
  <c r="M529" i="1" s="1"/>
  <c r="B529" i="1" s="1" a="1"/>
  <c r="B529" i="1" s="1"/>
  <c r="L529" i="1" a="1"/>
  <c r="L529" i="1"/>
  <c r="K529" i="1" a="1"/>
  <c r="K529" i="1" s="1"/>
  <c r="J529" i="1" a="1"/>
  <c r="J529" i="1"/>
  <c r="I529" i="1" a="1"/>
  <c r="I529" i="1"/>
  <c r="H529" i="1" a="1"/>
  <c r="H529" i="1" s="1"/>
  <c r="G529" i="1" a="1"/>
  <c r="G529" i="1" s="1"/>
  <c r="Y528" i="1" a="1"/>
  <c r="Y528" i="1"/>
  <c r="V528" i="1" a="1"/>
  <c r="V528" i="1"/>
  <c r="U528" i="1" a="1"/>
  <c r="U528" i="1" s="1"/>
  <c r="T528" i="1"/>
  <c r="S528" i="1" a="1"/>
  <c r="S528" i="1" s="1"/>
  <c r="Q528" i="1"/>
  <c r="M528" i="1" a="1"/>
  <c r="M528" i="1" s="1"/>
  <c r="L528" i="1" a="1"/>
  <c r="L528" i="1" s="1"/>
  <c r="K528" i="1" a="1"/>
  <c r="K528" i="1" s="1"/>
  <c r="J528" i="1" a="1"/>
  <c r="J528" i="1" s="1"/>
  <c r="I528" i="1" a="1"/>
  <c r="I528" i="1" s="1"/>
  <c r="H528" i="1" a="1"/>
  <c r="H528" i="1"/>
  <c r="G528" i="1" a="1"/>
  <c r="G528" i="1"/>
  <c r="E528" i="1" a="1"/>
  <c r="E528" i="1" s="1"/>
  <c r="B528" i="1" a="1"/>
  <c r="B528" i="1" s="1"/>
  <c r="Y527" i="1" a="1"/>
  <c r="Y527" i="1" s="1"/>
  <c r="V527" i="1" a="1"/>
  <c r="V527" i="1" s="1"/>
  <c r="U527" i="1" a="1"/>
  <c r="U527" i="1" s="1"/>
  <c r="T527" i="1"/>
  <c r="S527" i="1" a="1"/>
  <c r="S527" i="1" s="1"/>
  <c r="R527" i="1" s="1" a="1"/>
  <c r="R527" i="1"/>
  <c r="Q527" i="1"/>
  <c r="M527" i="1" a="1"/>
  <c r="M527" i="1" s="1"/>
  <c r="B527" i="1" s="1" a="1"/>
  <c r="B527" i="1" s="1"/>
  <c r="L527" i="1" a="1"/>
  <c r="L527" i="1" s="1"/>
  <c r="K527" i="1" a="1"/>
  <c r="K527" i="1" s="1"/>
  <c r="J527" i="1" a="1"/>
  <c r="J527" i="1"/>
  <c r="I527" i="1" a="1"/>
  <c r="I527" i="1" s="1"/>
  <c r="H527" i="1" a="1"/>
  <c r="H527" i="1" s="1"/>
  <c r="G527" i="1" a="1"/>
  <c r="G527" i="1" s="1"/>
  <c r="E527" i="1" a="1"/>
  <c r="E527" i="1" s="1"/>
  <c r="C527" i="1" a="1"/>
  <c r="C527" i="1" s="1"/>
  <c r="Y526" i="1" a="1"/>
  <c r="Y526" i="1"/>
  <c r="V526" i="1" a="1"/>
  <c r="V526" i="1" s="1"/>
  <c r="U526" i="1" a="1"/>
  <c r="U526" i="1" s="1"/>
  <c r="T526" i="1"/>
  <c r="S526" i="1" a="1"/>
  <c r="S526" i="1"/>
  <c r="R526" i="1" s="1" a="1"/>
  <c r="R526" i="1"/>
  <c r="Q526" i="1"/>
  <c r="M526" i="1" a="1"/>
  <c r="M526" i="1" s="1"/>
  <c r="B526" i="1" s="1" a="1"/>
  <c r="B526" i="1" s="1"/>
  <c r="L526" i="1" a="1"/>
  <c r="L526" i="1"/>
  <c r="K526" i="1" a="1"/>
  <c r="K526" i="1"/>
  <c r="J526" i="1" a="1"/>
  <c r="J526" i="1"/>
  <c r="I526" i="1" a="1"/>
  <c r="I526" i="1" s="1"/>
  <c r="H526" i="1" a="1"/>
  <c r="H526" i="1" s="1"/>
  <c r="G526" i="1" a="1"/>
  <c r="G526" i="1" s="1"/>
  <c r="C526" i="1" a="1"/>
  <c r="C526" i="1"/>
  <c r="Y525" i="1" a="1"/>
  <c r="Y525" i="1" s="1"/>
  <c r="V525" i="1" a="1"/>
  <c r="V525" i="1"/>
  <c r="U525" i="1" a="1"/>
  <c r="U525" i="1" s="1"/>
  <c r="T525" i="1"/>
  <c r="S525" i="1" a="1"/>
  <c r="S525" i="1"/>
  <c r="R525" i="1" s="1" a="1"/>
  <c r="R525" i="1" s="1"/>
  <c r="Q525" i="1"/>
  <c r="M525" i="1" a="1"/>
  <c r="M525" i="1"/>
  <c r="B525" i="1" s="1" a="1"/>
  <c r="B525" i="1" s="1"/>
  <c r="L525" i="1" a="1"/>
  <c r="L525" i="1" s="1"/>
  <c r="K525" i="1" a="1"/>
  <c r="K525" i="1" s="1"/>
  <c r="J525" i="1" a="1"/>
  <c r="J525" i="1" s="1"/>
  <c r="I525" i="1" a="1"/>
  <c r="I525" i="1"/>
  <c r="H525" i="1" a="1"/>
  <c r="H525" i="1"/>
  <c r="G525" i="1" a="1"/>
  <c r="G525" i="1" s="1"/>
  <c r="E525" i="1" a="1"/>
  <c r="E525" i="1" s="1"/>
  <c r="C525" i="1" a="1"/>
  <c r="C525" i="1" s="1"/>
  <c r="Y524" i="1" a="1"/>
  <c r="Y524" i="1"/>
  <c r="V524" i="1" a="1"/>
  <c r="V524" i="1"/>
  <c r="U524" i="1" a="1"/>
  <c r="U524" i="1" s="1"/>
  <c r="T524" i="1"/>
  <c r="S524" i="1" a="1"/>
  <c r="S524" i="1" s="1"/>
  <c r="R524" i="1" a="1"/>
  <c r="R524" i="1" s="1"/>
  <c r="Q524" i="1"/>
  <c r="M524" i="1" a="1"/>
  <c r="M524" i="1" s="1"/>
  <c r="B524" i="1" s="1" a="1"/>
  <c r="B524" i="1" s="1"/>
  <c r="L524" i="1" a="1"/>
  <c r="L524" i="1" s="1"/>
  <c r="K524" i="1" a="1"/>
  <c r="K524" i="1" s="1"/>
  <c r="J524" i="1" a="1"/>
  <c r="J524" i="1"/>
  <c r="I524" i="1" a="1"/>
  <c r="I524" i="1" s="1"/>
  <c r="H524" i="1" a="1"/>
  <c r="H524" i="1"/>
  <c r="G524" i="1" a="1"/>
  <c r="G524" i="1" s="1"/>
  <c r="C524" i="1" a="1"/>
  <c r="C524" i="1"/>
  <c r="Y523" i="1" a="1"/>
  <c r="Y523" i="1" s="1"/>
  <c r="V523" i="1" a="1"/>
  <c r="V523" i="1" s="1"/>
  <c r="U523" i="1" a="1"/>
  <c r="U523" i="1" s="1"/>
  <c r="T523" i="1"/>
  <c r="S523" i="1" a="1"/>
  <c r="S523" i="1" s="1"/>
  <c r="Q523" i="1"/>
  <c r="M523" i="1" a="1"/>
  <c r="M523" i="1" s="1"/>
  <c r="B523" i="1" s="1" a="1"/>
  <c r="B523" i="1" s="1"/>
  <c r="L523" i="1" a="1"/>
  <c r="L523" i="1" s="1"/>
  <c r="K523" i="1" a="1"/>
  <c r="K523" i="1" s="1"/>
  <c r="J523" i="1" a="1"/>
  <c r="J523" i="1"/>
  <c r="I523" i="1" a="1"/>
  <c r="I523" i="1"/>
  <c r="H523" i="1" a="1"/>
  <c r="H523" i="1"/>
  <c r="G523" i="1" a="1"/>
  <c r="G523" i="1" s="1"/>
  <c r="E523" i="1" a="1"/>
  <c r="E523" i="1"/>
  <c r="Y522" i="1" a="1"/>
  <c r="Y522" i="1"/>
  <c r="V522" i="1" a="1"/>
  <c r="V522" i="1" s="1"/>
  <c r="U522" i="1" a="1"/>
  <c r="U522" i="1" s="1"/>
  <c r="T522" i="1"/>
  <c r="S522" i="1" a="1"/>
  <c r="S522" i="1" s="1"/>
  <c r="Q522" i="1"/>
  <c r="M522" i="1" a="1"/>
  <c r="M522" i="1" s="1"/>
  <c r="L522" i="1" a="1"/>
  <c r="L522" i="1"/>
  <c r="K522" i="1" a="1"/>
  <c r="K522" i="1"/>
  <c r="J522" i="1" a="1"/>
  <c r="J522" i="1"/>
  <c r="I522" i="1" a="1"/>
  <c r="I522" i="1" s="1"/>
  <c r="H522" i="1" a="1"/>
  <c r="H522" i="1" s="1"/>
  <c r="G522" i="1" a="1"/>
  <c r="G522" i="1" s="1"/>
  <c r="E522" i="1" a="1"/>
  <c r="E522" i="1" s="1"/>
  <c r="B522" i="1" a="1"/>
  <c r="B522" i="1" s="1"/>
  <c r="Y521" i="1" a="1"/>
  <c r="Y521" i="1" s="1"/>
  <c r="V521" i="1" a="1"/>
  <c r="V521" i="1"/>
  <c r="U521" i="1" a="1"/>
  <c r="U521" i="1" s="1"/>
  <c r="T521" i="1"/>
  <c r="S521" i="1" a="1"/>
  <c r="S521" i="1" s="1"/>
  <c r="R521" i="1" s="1" a="1"/>
  <c r="R521" i="1" s="1"/>
  <c r="Q521" i="1"/>
  <c r="M521" i="1" a="1"/>
  <c r="M521" i="1" s="1"/>
  <c r="B521" i="1" s="1" a="1"/>
  <c r="B521" i="1" s="1"/>
  <c r="L521" i="1" a="1"/>
  <c r="L521" i="1"/>
  <c r="K521" i="1" a="1"/>
  <c r="K521" i="1" s="1"/>
  <c r="J521" i="1" a="1"/>
  <c r="J521" i="1" s="1"/>
  <c r="I521" i="1" a="1"/>
  <c r="I521" i="1"/>
  <c r="H521" i="1" a="1"/>
  <c r="H521" i="1" s="1"/>
  <c r="G521" i="1" a="1"/>
  <c r="G521" i="1" s="1"/>
  <c r="E521" i="1" a="1"/>
  <c r="E521" i="1"/>
  <c r="C521" i="1" a="1"/>
  <c r="C521" i="1" s="1"/>
  <c r="Y520" i="1" a="1"/>
  <c r="Y520" i="1"/>
  <c r="V520" i="1" a="1"/>
  <c r="V520" i="1"/>
  <c r="U520" i="1" a="1"/>
  <c r="U520" i="1" s="1"/>
  <c r="T520" i="1"/>
  <c r="S520" i="1" a="1"/>
  <c r="S520" i="1"/>
  <c r="Q520" i="1"/>
  <c r="M520" i="1" a="1"/>
  <c r="M520" i="1" s="1"/>
  <c r="L520" i="1" a="1"/>
  <c r="L520" i="1"/>
  <c r="K520" i="1" a="1"/>
  <c r="K520" i="1" s="1"/>
  <c r="J520" i="1" a="1"/>
  <c r="J520" i="1"/>
  <c r="I520" i="1" a="1"/>
  <c r="I520" i="1" s="1"/>
  <c r="H520" i="1" a="1"/>
  <c r="H520" i="1" s="1"/>
  <c r="G520" i="1" a="1"/>
  <c r="G520" i="1"/>
  <c r="C520" i="1" a="1"/>
  <c r="C520" i="1" s="1"/>
  <c r="B520" i="1" a="1"/>
  <c r="B520" i="1" s="1"/>
  <c r="Y519" i="1" a="1"/>
  <c r="Y519" i="1" s="1"/>
  <c r="V519" i="1" a="1"/>
  <c r="V519" i="1" s="1"/>
  <c r="U519" i="1" a="1"/>
  <c r="U519" i="1" s="1"/>
  <c r="T519" i="1"/>
  <c r="S519" i="1" a="1"/>
  <c r="S519" i="1"/>
  <c r="Q519" i="1"/>
  <c r="M519" i="1" a="1"/>
  <c r="M519" i="1"/>
  <c r="L519" i="1" a="1"/>
  <c r="L519" i="1"/>
  <c r="K519" i="1" a="1"/>
  <c r="K519" i="1" s="1"/>
  <c r="J519" i="1" a="1"/>
  <c r="J519" i="1" s="1"/>
  <c r="I519" i="1" a="1"/>
  <c r="I519" i="1" s="1"/>
  <c r="H519" i="1" a="1"/>
  <c r="H519" i="1" s="1"/>
  <c r="G519" i="1" a="1"/>
  <c r="G519" i="1" s="1"/>
  <c r="E519" i="1" a="1"/>
  <c r="E519" i="1"/>
  <c r="C519" i="1" a="1"/>
  <c r="C519" i="1" s="1"/>
  <c r="B519" i="1" a="1"/>
  <c r="B519" i="1" s="1"/>
  <c r="Y518" i="1" a="1"/>
  <c r="Y518" i="1" s="1"/>
  <c r="E518" i="1" s="1" a="1"/>
  <c r="E518" i="1" s="1"/>
  <c r="V518" i="1" a="1"/>
  <c r="V518" i="1" s="1"/>
  <c r="U518" i="1" a="1"/>
  <c r="U518" i="1" s="1"/>
  <c r="T518" i="1"/>
  <c r="S518" i="1" a="1"/>
  <c r="S518" i="1" s="1"/>
  <c r="Q518" i="1"/>
  <c r="M518" i="1" a="1"/>
  <c r="M518" i="1" s="1"/>
  <c r="L518" i="1" a="1"/>
  <c r="L518" i="1"/>
  <c r="K518" i="1" a="1"/>
  <c r="K518" i="1"/>
  <c r="J518" i="1" a="1"/>
  <c r="J518" i="1" s="1"/>
  <c r="I518" i="1" a="1"/>
  <c r="I518" i="1" s="1"/>
  <c r="H518" i="1" a="1"/>
  <c r="H518" i="1"/>
  <c r="G518" i="1" a="1"/>
  <c r="G518" i="1"/>
  <c r="B518" i="1" a="1"/>
  <c r="B518" i="1"/>
  <c r="Y517" i="1" a="1"/>
  <c r="Y517" i="1" s="1"/>
  <c r="V517" i="1" a="1"/>
  <c r="V517" i="1"/>
  <c r="U517" i="1" a="1"/>
  <c r="U517" i="1"/>
  <c r="T517" i="1"/>
  <c r="S517" i="1" a="1"/>
  <c r="S517" i="1"/>
  <c r="R517" i="1" s="1" a="1"/>
  <c r="R517" i="1" s="1"/>
  <c r="Q517" i="1"/>
  <c r="M517" i="1" a="1"/>
  <c r="M517" i="1" s="1"/>
  <c r="B517" i="1" s="1" a="1"/>
  <c r="B517" i="1" s="1"/>
  <c r="L517" i="1" a="1"/>
  <c r="L517" i="1" s="1"/>
  <c r="K517" i="1" a="1"/>
  <c r="K517" i="1" s="1"/>
  <c r="J517" i="1" a="1"/>
  <c r="J517" i="1"/>
  <c r="I517" i="1" a="1"/>
  <c r="I517" i="1"/>
  <c r="H517" i="1" a="1"/>
  <c r="H517" i="1"/>
  <c r="G517" i="1" a="1"/>
  <c r="G517" i="1" s="1"/>
  <c r="E517" i="1" a="1"/>
  <c r="E517" i="1" s="1"/>
  <c r="C517" i="1" a="1"/>
  <c r="C517" i="1" s="1"/>
  <c r="Y516" i="1" a="1"/>
  <c r="Y516" i="1" s="1"/>
  <c r="E516" i="1" s="1" a="1"/>
  <c r="E516" i="1" s="1"/>
  <c r="V516" i="1" a="1"/>
  <c r="V516" i="1"/>
  <c r="U516" i="1" a="1"/>
  <c r="U516" i="1" s="1"/>
  <c r="T516" i="1"/>
  <c r="S516" i="1" a="1"/>
  <c r="S516" i="1" s="1"/>
  <c r="R516" i="1" s="1" a="1"/>
  <c r="R516" i="1" s="1"/>
  <c r="Q516" i="1"/>
  <c r="M516" i="1" a="1"/>
  <c r="M516" i="1" s="1"/>
  <c r="B516" i="1" s="1" a="1"/>
  <c r="B516" i="1" s="1"/>
  <c r="L516" i="1" a="1"/>
  <c r="L516" i="1"/>
  <c r="K516" i="1" a="1"/>
  <c r="K516" i="1" s="1"/>
  <c r="J516" i="1" a="1"/>
  <c r="J516" i="1" s="1"/>
  <c r="I516" i="1" a="1"/>
  <c r="I516" i="1" s="1"/>
  <c r="H516" i="1" a="1"/>
  <c r="H516" i="1" s="1"/>
  <c r="G516" i="1" a="1"/>
  <c r="G516" i="1" s="1"/>
  <c r="Y515" i="1" a="1"/>
  <c r="Y515" i="1" s="1"/>
  <c r="V515" i="1" a="1"/>
  <c r="V515" i="1" s="1"/>
  <c r="U515" i="1" a="1"/>
  <c r="U515" i="1" s="1"/>
  <c r="T515" i="1"/>
  <c r="S515" i="1" a="1"/>
  <c r="S515" i="1"/>
  <c r="Q515" i="1"/>
  <c r="M515" i="1" a="1"/>
  <c r="M515" i="1"/>
  <c r="B515" i="1" s="1" a="1"/>
  <c r="B515" i="1" s="1"/>
  <c r="L515" i="1" a="1"/>
  <c r="L515" i="1"/>
  <c r="K515" i="1" a="1"/>
  <c r="K515" i="1" s="1"/>
  <c r="J515" i="1" a="1"/>
  <c r="J515" i="1"/>
  <c r="I515" i="1" a="1"/>
  <c r="I515" i="1" s="1"/>
  <c r="H515" i="1" a="1"/>
  <c r="H515" i="1" s="1"/>
  <c r="G515" i="1" a="1"/>
  <c r="G515" i="1" s="1"/>
  <c r="Y514" i="1" a="1"/>
  <c r="Y514" i="1"/>
  <c r="V514" i="1" a="1"/>
  <c r="V514" i="1" s="1"/>
  <c r="U514" i="1" a="1"/>
  <c r="U514" i="1" s="1"/>
  <c r="T514" i="1"/>
  <c r="S514" i="1" a="1"/>
  <c r="S514" i="1" s="1"/>
  <c r="Q514" i="1"/>
  <c r="M514" i="1" a="1"/>
  <c r="M514" i="1" s="1"/>
  <c r="L514" i="1" a="1"/>
  <c r="L514" i="1" s="1"/>
  <c r="K514" i="1" a="1"/>
  <c r="K514" i="1"/>
  <c r="J514" i="1" a="1"/>
  <c r="J514" i="1" s="1"/>
  <c r="I514" i="1" a="1"/>
  <c r="I514" i="1" s="1"/>
  <c r="H514" i="1" a="1"/>
  <c r="H514" i="1"/>
  <c r="G514" i="1" a="1"/>
  <c r="G514" i="1"/>
  <c r="C514" i="1" a="1"/>
  <c r="C514" i="1" s="1"/>
  <c r="B514" i="1" a="1"/>
  <c r="B514" i="1" s="1"/>
  <c r="Y513" i="1" a="1"/>
  <c r="Y513" i="1" s="1"/>
  <c r="V513" i="1" a="1"/>
  <c r="V513" i="1" s="1"/>
  <c r="U513" i="1" a="1"/>
  <c r="U513" i="1"/>
  <c r="T513" i="1"/>
  <c r="S513" i="1" a="1"/>
  <c r="S513" i="1" s="1"/>
  <c r="Q513" i="1"/>
  <c r="M513" i="1" a="1"/>
  <c r="M513" i="1" s="1"/>
  <c r="B513" i="1" s="1" a="1"/>
  <c r="B513" i="1" s="1"/>
  <c r="L513" i="1" a="1"/>
  <c r="L513" i="1" s="1"/>
  <c r="K513" i="1" a="1"/>
  <c r="K513" i="1" s="1"/>
  <c r="J513" i="1" a="1"/>
  <c r="J513" i="1" s="1"/>
  <c r="I513" i="1" a="1"/>
  <c r="I513" i="1"/>
  <c r="H513" i="1" a="1"/>
  <c r="H513" i="1"/>
  <c r="G513" i="1" a="1"/>
  <c r="G513" i="1" s="1"/>
  <c r="E513" i="1" a="1"/>
  <c r="E513" i="1" s="1"/>
  <c r="Y512" i="1" a="1"/>
  <c r="Y512" i="1" s="1"/>
  <c r="V512" i="1" a="1"/>
  <c r="V512" i="1" s="1"/>
  <c r="U512" i="1" a="1"/>
  <c r="U512" i="1" s="1"/>
  <c r="T512" i="1"/>
  <c r="S512" i="1" a="1"/>
  <c r="S512" i="1"/>
  <c r="Q512" i="1"/>
  <c r="M512" i="1" a="1"/>
  <c r="M512" i="1" s="1"/>
  <c r="B512" i="1" s="1" a="1"/>
  <c r="B512" i="1" s="1"/>
  <c r="L512" i="1" a="1"/>
  <c r="L512" i="1"/>
  <c r="K512" i="1" a="1"/>
  <c r="K512" i="1"/>
  <c r="J512" i="1" a="1"/>
  <c r="J512" i="1" s="1"/>
  <c r="I512" i="1" a="1"/>
  <c r="I512" i="1" s="1"/>
  <c r="H512" i="1" a="1"/>
  <c r="H512" i="1" s="1"/>
  <c r="G512" i="1" a="1"/>
  <c r="G512" i="1" s="1"/>
  <c r="E512" i="1" a="1"/>
  <c r="E512" i="1" s="1"/>
  <c r="Y511" i="1" a="1"/>
  <c r="Y511" i="1" s="1"/>
  <c r="V511" i="1" a="1"/>
  <c r="V511" i="1"/>
  <c r="U511" i="1" a="1"/>
  <c r="U511" i="1" s="1"/>
  <c r="T511" i="1"/>
  <c r="S511" i="1" a="1"/>
  <c r="S511" i="1"/>
  <c r="Q511" i="1"/>
  <c r="M511" i="1" a="1"/>
  <c r="M511" i="1"/>
  <c r="B511" i="1" s="1" a="1"/>
  <c r="B511" i="1" s="1"/>
  <c r="L511" i="1" a="1"/>
  <c r="L511" i="1"/>
  <c r="K511" i="1" a="1"/>
  <c r="K511" i="1" s="1"/>
  <c r="J511" i="1" a="1"/>
  <c r="J511" i="1"/>
  <c r="I511" i="1" a="1"/>
  <c r="I511" i="1"/>
  <c r="H511" i="1" a="1"/>
  <c r="H511" i="1" s="1"/>
  <c r="G511" i="1" a="1"/>
  <c r="G511" i="1" s="1"/>
  <c r="E511" i="1" a="1"/>
  <c r="E511" i="1" s="1"/>
  <c r="Y510" i="1" a="1"/>
  <c r="Y510" i="1" s="1"/>
  <c r="V510" i="1" a="1"/>
  <c r="V510" i="1"/>
  <c r="U510" i="1" a="1"/>
  <c r="U510" i="1" s="1"/>
  <c r="T510" i="1"/>
  <c r="S510" i="1" a="1"/>
  <c r="S510" i="1" s="1"/>
  <c r="R510" i="1" a="1"/>
  <c r="R510" i="1"/>
  <c r="Q510" i="1"/>
  <c r="M510" i="1" a="1"/>
  <c r="M510" i="1" s="1"/>
  <c r="B510" i="1" s="1" a="1"/>
  <c r="B510" i="1" s="1"/>
  <c r="L510" i="1" a="1"/>
  <c r="L510" i="1" s="1"/>
  <c r="K510" i="1" a="1"/>
  <c r="K510" i="1" s="1"/>
  <c r="J510" i="1" a="1"/>
  <c r="J510" i="1" s="1"/>
  <c r="I510" i="1" a="1"/>
  <c r="I510" i="1" s="1"/>
  <c r="H510" i="1" a="1"/>
  <c r="H510" i="1" s="1"/>
  <c r="G510" i="1" a="1"/>
  <c r="G510" i="1"/>
  <c r="C510" i="1" a="1"/>
  <c r="C510" i="1" s="1"/>
  <c r="Y509" i="1" a="1"/>
  <c r="Y509" i="1" s="1"/>
  <c r="V509" i="1" a="1"/>
  <c r="V509" i="1" s="1"/>
  <c r="U509" i="1" a="1"/>
  <c r="U509" i="1" s="1"/>
  <c r="T509" i="1"/>
  <c r="S509" i="1" a="1"/>
  <c r="S509" i="1" s="1"/>
  <c r="R509" i="1" s="1" a="1"/>
  <c r="R509" i="1"/>
  <c r="Q509" i="1"/>
  <c r="M509" i="1" a="1"/>
  <c r="M509" i="1" s="1"/>
  <c r="B509" i="1" s="1" a="1"/>
  <c r="B509" i="1" s="1"/>
  <c r="L509" i="1" a="1"/>
  <c r="L509" i="1" s="1"/>
  <c r="K509" i="1" a="1"/>
  <c r="K509" i="1" s="1"/>
  <c r="J509" i="1" a="1"/>
  <c r="J509" i="1"/>
  <c r="I509" i="1" a="1"/>
  <c r="I509" i="1" s="1"/>
  <c r="H509" i="1" a="1"/>
  <c r="H509" i="1" s="1"/>
  <c r="G509" i="1" a="1"/>
  <c r="G509" i="1" s="1"/>
  <c r="C509" i="1" a="1"/>
  <c r="C509" i="1" s="1"/>
  <c r="Y508" i="1" a="1"/>
  <c r="Y508" i="1"/>
  <c r="V508" i="1" a="1"/>
  <c r="V508" i="1"/>
  <c r="U508" i="1" a="1"/>
  <c r="U508" i="1" s="1"/>
  <c r="T508" i="1"/>
  <c r="S508" i="1" a="1"/>
  <c r="S508" i="1"/>
  <c r="Q508" i="1"/>
  <c r="M508" i="1" a="1"/>
  <c r="M508" i="1" s="1"/>
  <c r="B508" i="1" s="1" a="1"/>
  <c r="B508" i="1" s="1"/>
  <c r="L508" i="1" a="1"/>
  <c r="L508" i="1"/>
  <c r="K508" i="1" a="1"/>
  <c r="K508" i="1"/>
  <c r="J508" i="1" a="1"/>
  <c r="J508" i="1"/>
  <c r="I508" i="1" a="1"/>
  <c r="I508" i="1" s="1"/>
  <c r="H508" i="1" a="1"/>
  <c r="H508" i="1"/>
  <c r="G508" i="1" a="1"/>
  <c r="G508" i="1" s="1"/>
  <c r="E508" i="1" a="1"/>
  <c r="E508" i="1" s="1"/>
  <c r="Y507" i="1" a="1"/>
  <c r="Y507" i="1" s="1"/>
  <c r="V507" i="1" a="1"/>
  <c r="V507" i="1"/>
  <c r="U507" i="1" a="1"/>
  <c r="U507" i="1" s="1"/>
  <c r="T507" i="1"/>
  <c r="S507" i="1" a="1"/>
  <c r="S507" i="1"/>
  <c r="R507" i="1" s="1" a="1"/>
  <c r="R507" i="1" s="1"/>
  <c r="Q507" i="1"/>
  <c r="M507" i="1" a="1"/>
  <c r="M507" i="1"/>
  <c r="B507" i="1" s="1" a="1"/>
  <c r="B507" i="1" s="1"/>
  <c r="L507" i="1" a="1"/>
  <c r="L507" i="1"/>
  <c r="K507" i="1" a="1"/>
  <c r="K507" i="1" s="1"/>
  <c r="J507" i="1" a="1"/>
  <c r="J507" i="1" s="1"/>
  <c r="I507" i="1" a="1"/>
  <c r="I507" i="1" s="1"/>
  <c r="H507" i="1" a="1"/>
  <c r="H507" i="1"/>
  <c r="G507" i="1" a="1"/>
  <c r="G507" i="1" s="1"/>
  <c r="E507" i="1" a="1"/>
  <c r="E507" i="1"/>
  <c r="Y506" i="1" a="1"/>
  <c r="Y506" i="1"/>
  <c r="V506" i="1" a="1"/>
  <c r="V506" i="1"/>
  <c r="U506" i="1" a="1"/>
  <c r="U506" i="1" s="1"/>
  <c r="T506" i="1"/>
  <c r="S506" i="1" a="1"/>
  <c r="S506" i="1" s="1"/>
  <c r="R506" i="1" a="1"/>
  <c r="R506" i="1" s="1"/>
  <c r="Q506" i="1"/>
  <c r="M506" i="1" a="1"/>
  <c r="M506" i="1" s="1"/>
  <c r="L506" i="1" a="1"/>
  <c r="L506" i="1"/>
  <c r="K506" i="1" a="1"/>
  <c r="K506" i="1" s="1"/>
  <c r="J506" i="1" a="1"/>
  <c r="J506" i="1"/>
  <c r="I506" i="1" a="1"/>
  <c r="I506" i="1" s="1"/>
  <c r="H506" i="1" a="1"/>
  <c r="H506" i="1" s="1"/>
  <c r="G506" i="1" a="1"/>
  <c r="G506" i="1"/>
  <c r="C506" i="1" a="1"/>
  <c r="C506" i="1" s="1"/>
  <c r="B506" i="1" a="1"/>
  <c r="B506" i="1" s="1"/>
  <c r="Y505" i="1" a="1"/>
  <c r="Y505" i="1" s="1"/>
  <c r="E505" i="1" s="1" a="1"/>
  <c r="E505" i="1" s="1"/>
  <c r="V505" i="1" a="1"/>
  <c r="V505" i="1" s="1"/>
  <c r="U505" i="1" a="1"/>
  <c r="U505" i="1" s="1"/>
  <c r="T505" i="1"/>
  <c r="S505" i="1" a="1"/>
  <c r="S505" i="1" s="1"/>
  <c r="R505" i="1" s="1" a="1"/>
  <c r="R505" i="1"/>
  <c r="Q505" i="1"/>
  <c r="M505" i="1" a="1"/>
  <c r="M505" i="1" s="1"/>
  <c r="L505" i="1" a="1"/>
  <c r="L505" i="1" s="1"/>
  <c r="K505" i="1" a="1"/>
  <c r="K505" i="1" s="1"/>
  <c r="J505" i="1" a="1"/>
  <c r="J505" i="1"/>
  <c r="I505" i="1" a="1"/>
  <c r="I505" i="1"/>
  <c r="H505" i="1" a="1"/>
  <c r="H505" i="1" s="1"/>
  <c r="G505" i="1" a="1"/>
  <c r="G505" i="1" s="1"/>
  <c r="C505" i="1" a="1"/>
  <c r="C505" i="1" s="1"/>
  <c r="B505" i="1" a="1"/>
  <c r="B505" i="1" s="1"/>
  <c r="Y504" i="1" a="1"/>
  <c r="Y504" i="1"/>
  <c r="V504" i="1" a="1"/>
  <c r="V504" i="1"/>
  <c r="U504" i="1" a="1"/>
  <c r="U504" i="1" s="1"/>
  <c r="T504" i="1"/>
  <c r="S504" i="1" a="1"/>
  <c r="S504" i="1" s="1"/>
  <c r="Q504" i="1"/>
  <c r="M504" i="1" a="1"/>
  <c r="M504" i="1" s="1"/>
  <c r="L504" i="1" a="1"/>
  <c r="L504" i="1"/>
  <c r="K504" i="1" a="1"/>
  <c r="K504" i="1"/>
  <c r="J504" i="1" a="1"/>
  <c r="J504" i="1"/>
  <c r="I504" i="1" a="1"/>
  <c r="I504" i="1" s="1"/>
  <c r="H504" i="1" a="1"/>
  <c r="H504" i="1"/>
  <c r="G504" i="1" a="1"/>
  <c r="G504" i="1" s="1"/>
  <c r="E504" i="1" a="1"/>
  <c r="E504" i="1" s="1"/>
  <c r="B504" i="1" a="1"/>
  <c r="B504" i="1" s="1"/>
  <c r="Y503" i="1" a="1"/>
  <c r="Y503" i="1" s="1"/>
  <c r="V503" i="1" a="1"/>
  <c r="V503" i="1"/>
  <c r="U503" i="1" a="1"/>
  <c r="U503" i="1"/>
  <c r="T503" i="1"/>
  <c r="S503" i="1" a="1"/>
  <c r="S503" i="1" s="1"/>
  <c r="Q503" i="1"/>
  <c r="M503" i="1" a="1"/>
  <c r="M503" i="1"/>
  <c r="B503" i="1" s="1" a="1"/>
  <c r="B503" i="1" s="1"/>
  <c r="L503" i="1" a="1"/>
  <c r="L503" i="1"/>
  <c r="K503" i="1" a="1"/>
  <c r="K503" i="1" s="1"/>
  <c r="J503" i="1" a="1"/>
  <c r="J503" i="1" s="1"/>
  <c r="I503" i="1" a="1"/>
  <c r="I503" i="1"/>
  <c r="H503" i="1" a="1"/>
  <c r="H503" i="1"/>
  <c r="G503" i="1" a="1"/>
  <c r="G503" i="1" s="1"/>
  <c r="E503" i="1" a="1"/>
  <c r="E503" i="1"/>
  <c r="Y502" i="1" a="1"/>
  <c r="Y502" i="1" s="1"/>
  <c r="V502" i="1" a="1"/>
  <c r="V502" i="1" s="1"/>
  <c r="U502" i="1" a="1"/>
  <c r="U502" i="1" s="1"/>
  <c r="T502" i="1"/>
  <c r="S502" i="1" a="1"/>
  <c r="S502" i="1" s="1"/>
  <c r="C502" i="1" s="1" a="1"/>
  <c r="C502" i="1" s="1"/>
  <c r="Q502" i="1"/>
  <c r="M502" i="1" a="1"/>
  <c r="M502" i="1" s="1"/>
  <c r="L502" i="1" a="1"/>
  <c r="L502" i="1" s="1"/>
  <c r="K502" i="1" a="1"/>
  <c r="K502" i="1" s="1"/>
  <c r="J502" i="1" a="1"/>
  <c r="J502" i="1" s="1"/>
  <c r="I502" i="1" a="1"/>
  <c r="I502" i="1" s="1"/>
  <c r="H502" i="1" a="1"/>
  <c r="H502" i="1" s="1"/>
  <c r="G502" i="1" a="1"/>
  <c r="G502" i="1" s="1"/>
  <c r="B502" i="1" a="1"/>
  <c r="B502" i="1" s="1"/>
  <c r="Y501" i="1" a="1"/>
  <c r="Y501" i="1" s="1"/>
  <c r="V501" i="1" a="1"/>
  <c r="V501" i="1"/>
  <c r="U501" i="1" a="1"/>
  <c r="U501" i="1" s="1"/>
  <c r="T501" i="1"/>
  <c r="S501" i="1" a="1"/>
  <c r="S501" i="1" s="1"/>
  <c r="Q501" i="1"/>
  <c r="M501" i="1" a="1"/>
  <c r="M501" i="1"/>
  <c r="L501" i="1" a="1"/>
  <c r="L501" i="1"/>
  <c r="K501" i="1" a="1"/>
  <c r="K501" i="1" s="1"/>
  <c r="J501" i="1" a="1"/>
  <c r="J501" i="1"/>
  <c r="I501" i="1" a="1"/>
  <c r="I501" i="1"/>
  <c r="H501" i="1" a="1"/>
  <c r="H501" i="1"/>
  <c r="G501" i="1" a="1"/>
  <c r="G501" i="1" s="1"/>
  <c r="E501" i="1" a="1"/>
  <c r="E501" i="1" s="1"/>
  <c r="B501" i="1" a="1"/>
  <c r="B501" i="1" s="1"/>
  <c r="Y500" i="1" a="1"/>
  <c r="Y500" i="1" s="1"/>
  <c r="V500" i="1" a="1"/>
  <c r="V500" i="1"/>
  <c r="U500" i="1" a="1"/>
  <c r="U500" i="1" s="1"/>
  <c r="T500" i="1"/>
  <c r="S500" i="1" a="1"/>
  <c r="S500" i="1" s="1"/>
  <c r="Q500" i="1"/>
  <c r="M500" i="1" a="1"/>
  <c r="M500" i="1" s="1"/>
  <c r="B500" i="1" s="1" a="1"/>
  <c r="L500" i="1" a="1"/>
  <c r="L500" i="1"/>
  <c r="K500" i="1" a="1"/>
  <c r="K500" i="1" s="1"/>
  <c r="J500" i="1" a="1"/>
  <c r="J500" i="1" s="1"/>
  <c r="I500" i="1" a="1"/>
  <c r="I500" i="1" s="1"/>
  <c r="H500" i="1" a="1"/>
  <c r="H500" i="1" s="1"/>
  <c r="G500" i="1" a="1"/>
  <c r="G500" i="1"/>
  <c r="B500" i="1"/>
  <c r="Y499" i="1" a="1"/>
  <c r="Y499" i="1" s="1"/>
  <c r="V499" i="1" a="1"/>
  <c r="V499" i="1" s="1"/>
  <c r="U499" i="1" a="1"/>
  <c r="U499" i="1" s="1"/>
  <c r="T499" i="1"/>
  <c r="S499" i="1" a="1"/>
  <c r="S499" i="1"/>
  <c r="Q499" i="1"/>
  <c r="M499" i="1" a="1"/>
  <c r="M499" i="1"/>
  <c r="L499" i="1" a="1"/>
  <c r="L499" i="1"/>
  <c r="K499" i="1" a="1"/>
  <c r="K499" i="1" s="1"/>
  <c r="J499" i="1" a="1"/>
  <c r="J499" i="1"/>
  <c r="I499" i="1" a="1"/>
  <c r="I499" i="1" s="1"/>
  <c r="H499" i="1" a="1"/>
  <c r="H499" i="1" s="1"/>
  <c r="G499" i="1" a="1"/>
  <c r="G499" i="1" s="1"/>
  <c r="C499" i="1" a="1"/>
  <c r="C499" i="1" s="1"/>
  <c r="B499" i="1" a="1"/>
  <c r="B499" i="1" s="1"/>
  <c r="Y498" i="1" a="1"/>
  <c r="Y498" i="1" s="1"/>
  <c r="V498" i="1" a="1"/>
  <c r="V498" i="1" s="1"/>
  <c r="U498" i="1" a="1"/>
  <c r="U498" i="1" s="1"/>
  <c r="T498" i="1"/>
  <c r="S498" i="1" a="1"/>
  <c r="S498" i="1" s="1"/>
  <c r="R498" i="1" a="1"/>
  <c r="R498" i="1" s="1"/>
  <c r="Q498" i="1"/>
  <c r="M498" i="1" a="1"/>
  <c r="M498" i="1" s="1"/>
  <c r="L498" i="1" a="1"/>
  <c r="L498" i="1" s="1"/>
  <c r="K498" i="1" a="1"/>
  <c r="K498" i="1" s="1"/>
  <c r="J498" i="1" a="1"/>
  <c r="J498" i="1" s="1"/>
  <c r="I498" i="1" a="1"/>
  <c r="I498" i="1" s="1"/>
  <c r="H498" i="1" a="1"/>
  <c r="H498" i="1"/>
  <c r="G498" i="1" a="1"/>
  <c r="G498" i="1"/>
  <c r="E498" i="1" a="1"/>
  <c r="E498" i="1" s="1"/>
  <c r="B498" i="1" a="1"/>
  <c r="B498" i="1" s="1"/>
  <c r="Y497" i="1" a="1"/>
  <c r="Y497" i="1" s="1"/>
  <c r="V497" i="1" a="1"/>
  <c r="V497" i="1" s="1"/>
  <c r="U497" i="1" a="1"/>
  <c r="U497" i="1" s="1"/>
  <c r="T497" i="1"/>
  <c r="S497" i="1" a="1"/>
  <c r="S497" i="1"/>
  <c r="Q497" i="1"/>
  <c r="M497" i="1" a="1"/>
  <c r="M497" i="1" s="1"/>
  <c r="B497" i="1" s="1" a="1"/>
  <c r="B497" i="1" s="1"/>
  <c r="L497" i="1" a="1"/>
  <c r="L497" i="1"/>
  <c r="K497" i="1" a="1"/>
  <c r="K497" i="1" s="1"/>
  <c r="J497" i="1" a="1"/>
  <c r="J497" i="1"/>
  <c r="I497" i="1" a="1"/>
  <c r="I497" i="1"/>
  <c r="H497" i="1" a="1"/>
  <c r="H497" i="1"/>
  <c r="G497" i="1" a="1"/>
  <c r="G497" i="1" s="1"/>
  <c r="E497" i="1" a="1"/>
  <c r="E497" i="1"/>
  <c r="Y496" i="1" a="1"/>
  <c r="Y496" i="1" s="1"/>
  <c r="V496" i="1" a="1"/>
  <c r="V496" i="1" s="1"/>
  <c r="U496" i="1" a="1"/>
  <c r="U496" i="1" s="1"/>
  <c r="T496" i="1"/>
  <c r="S496" i="1" a="1"/>
  <c r="S496" i="1"/>
  <c r="C496" i="1" s="1" a="1"/>
  <c r="R496" i="1" a="1"/>
  <c r="R496" i="1" s="1"/>
  <c r="Q496" i="1"/>
  <c r="M496" i="1" a="1"/>
  <c r="M496" i="1" s="1"/>
  <c r="L496" i="1" a="1"/>
  <c r="L496" i="1"/>
  <c r="K496" i="1" a="1"/>
  <c r="K496" i="1"/>
  <c r="J496" i="1" a="1"/>
  <c r="J496" i="1" s="1"/>
  <c r="I496" i="1" a="1"/>
  <c r="I496" i="1" s="1"/>
  <c r="H496" i="1" a="1"/>
  <c r="H496" i="1" s="1"/>
  <c r="G496" i="1" a="1"/>
  <c r="G496" i="1"/>
  <c r="E496" i="1" a="1"/>
  <c r="E496" i="1" s="1"/>
  <c r="C496" i="1"/>
  <c r="B496" i="1" a="1"/>
  <c r="B496" i="1" s="1"/>
  <c r="Y495" i="1" a="1"/>
  <c r="Y495" i="1" s="1"/>
  <c r="V495" i="1" a="1"/>
  <c r="V495" i="1"/>
  <c r="U495" i="1" a="1"/>
  <c r="U495" i="1" s="1"/>
  <c r="T495" i="1"/>
  <c r="S495" i="1" a="1"/>
  <c r="S495" i="1" s="1"/>
  <c r="Q495" i="1"/>
  <c r="M495" i="1" a="1"/>
  <c r="M495" i="1"/>
  <c r="B495" i="1" s="1" a="1"/>
  <c r="B495" i="1" s="1"/>
  <c r="L495" i="1" a="1"/>
  <c r="L495" i="1"/>
  <c r="K495" i="1" a="1"/>
  <c r="K495" i="1" s="1"/>
  <c r="J495" i="1" a="1"/>
  <c r="J495" i="1" s="1"/>
  <c r="I495" i="1" a="1"/>
  <c r="I495" i="1"/>
  <c r="H495" i="1" a="1"/>
  <c r="H495" i="1" s="1"/>
  <c r="G495" i="1" a="1"/>
  <c r="G495" i="1" s="1"/>
  <c r="E495" i="1" a="1"/>
  <c r="E495" i="1" s="1"/>
  <c r="Y494" i="1" a="1"/>
  <c r="Y494" i="1" s="1"/>
  <c r="E494" i="1" s="1" a="1"/>
  <c r="E494" i="1" s="1"/>
  <c r="V494" i="1" a="1"/>
  <c r="V494" i="1" s="1"/>
  <c r="U494" i="1" a="1"/>
  <c r="U494" i="1" s="1"/>
  <c r="T494" i="1"/>
  <c r="S494" i="1" a="1"/>
  <c r="S494" i="1" s="1"/>
  <c r="Q494" i="1"/>
  <c r="M494" i="1" a="1"/>
  <c r="M494" i="1" s="1"/>
  <c r="B494" i="1" s="1" a="1"/>
  <c r="B494" i="1" s="1"/>
  <c r="L494" i="1" a="1"/>
  <c r="L494" i="1" s="1"/>
  <c r="K494" i="1" a="1"/>
  <c r="K494" i="1"/>
  <c r="J494" i="1" a="1"/>
  <c r="J494" i="1" s="1"/>
  <c r="I494" i="1" a="1"/>
  <c r="I494" i="1" s="1"/>
  <c r="H494" i="1" a="1"/>
  <c r="H494" i="1" s="1"/>
  <c r="G494" i="1" a="1"/>
  <c r="G494" i="1"/>
  <c r="Y493" i="1" a="1"/>
  <c r="Y493" i="1" s="1"/>
  <c r="E493" i="1" s="1" a="1"/>
  <c r="V493" i="1" a="1"/>
  <c r="V493" i="1"/>
  <c r="U493" i="1" a="1"/>
  <c r="U493" i="1" s="1"/>
  <c r="T493" i="1"/>
  <c r="S493" i="1" a="1"/>
  <c r="S493" i="1"/>
  <c r="R493" i="1" s="1" a="1"/>
  <c r="R493" i="1"/>
  <c r="Q493" i="1"/>
  <c r="M493" i="1" a="1"/>
  <c r="M493" i="1"/>
  <c r="B493" i="1" s="1" a="1"/>
  <c r="B493" i="1" s="1"/>
  <c r="L493" i="1" a="1"/>
  <c r="L493" i="1" s="1"/>
  <c r="K493" i="1" a="1"/>
  <c r="K493" i="1" s="1"/>
  <c r="J493" i="1" a="1"/>
  <c r="J493" i="1"/>
  <c r="I493" i="1" a="1"/>
  <c r="I493" i="1" s="1"/>
  <c r="H493" i="1" a="1"/>
  <c r="H493" i="1" s="1"/>
  <c r="G493" i="1" a="1"/>
  <c r="G493" i="1" s="1"/>
  <c r="E493" i="1"/>
  <c r="C493" i="1" a="1"/>
  <c r="C493" i="1" s="1"/>
  <c r="Y492" i="1" a="1"/>
  <c r="Y492" i="1" s="1"/>
  <c r="E492" i="1" s="1" a="1"/>
  <c r="E492" i="1" s="1"/>
  <c r="V492" i="1" a="1"/>
  <c r="V492" i="1"/>
  <c r="U492" i="1" a="1"/>
  <c r="U492" i="1" s="1"/>
  <c r="T492" i="1"/>
  <c r="S492" i="1" a="1"/>
  <c r="S492" i="1"/>
  <c r="R492" i="1" a="1"/>
  <c r="R492" i="1" s="1"/>
  <c r="Q492" i="1"/>
  <c r="M492" i="1" a="1"/>
  <c r="M492" i="1" s="1"/>
  <c r="B492" i="1" s="1" a="1"/>
  <c r="B492" i="1" s="1"/>
  <c r="L492" i="1" a="1"/>
  <c r="L492" i="1"/>
  <c r="K492" i="1" a="1"/>
  <c r="K492" i="1"/>
  <c r="J492" i="1" a="1"/>
  <c r="J492" i="1" s="1"/>
  <c r="I492" i="1" a="1"/>
  <c r="I492" i="1" s="1"/>
  <c r="H492" i="1" a="1"/>
  <c r="H492" i="1"/>
  <c r="G492" i="1" a="1"/>
  <c r="G492" i="1" s="1"/>
  <c r="C492" i="1" a="1"/>
  <c r="C492" i="1"/>
  <c r="Y491" i="1" a="1"/>
  <c r="Y491" i="1" s="1"/>
  <c r="V491" i="1" a="1"/>
  <c r="V491" i="1"/>
  <c r="U491" i="1" a="1"/>
  <c r="U491" i="1" s="1"/>
  <c r="T491" i="1"/>
  <c r="S491" i="1" a="1"/>
  <c r="S491" i="1"/>
  <c r="Q491" i="1"/>
  <c r="M491" i="1" a="1"/>
  <c r="M491" i="1" s="1"/>
  <c r="B491" i="1" s="1" a="1"/>
  <c r="B491" i="1" s="1"/>
  <c r="L491" i="1" a="1"/>
  <c r="L491" i="1"/>
  <c r="K491" i="1" a="1"/>
  <c r="K491" i="1" s="1"/>
  <c r="J491" i="1" a="1"/>
  <c r="J491" i="1"/>
  <c r="I491" i="1" a="1"/>
  <c r="I491" i="1" s="1"/>
  <c r="H491" i="1" a="1"/>
  <c r="H491" i="1"/>
  <c r="G491" i="1" a="1"/>
  <c r="G491" i="1" s="1"/>
  <c r="E491" i="1" a="1"/>
  <c r="E491" i="1"/>
  <c r="Y490" i="1" a="1"/>
  <c r="Y490" i="1" s="1"/>
  <c r="V490" i="1" a="1"/>
  <c r="V490" i="1" s="1"/>
  <c r="U490" i="1" a="1"/>
  <c r="U490" i="1" s="1"/>
  <c r="T490" i="1"/>
  <c r="S490" i="1" a="1"/>
  <c r="S490" i="1" s="1"/>
  <c r="R490" i="1" a="1"/>
  <c r="R490" i="1"/>
  <c r="Q490" i="1"/>
  <c r="M490" i="1" a="1"/>
  <c r="M490" i="1" s="1"/>
  <c r="L490" i="1" a="1"/>
  <c r="L490" i="1"/>
  <c r="K490" i="1" a="1"/>
  <c r="K490" i="1" s="1"/>
  <c r="J490" i="1" a="1"/>
  <c r="J490" i="1"/>
  <c r="I490" i="1" a="1"/>
  <c r="I490" i="1" s="1"/>
  <c r="H490" i="1" a="1"/>
  <c r="H490" i="1" s="1"/>
  <c r="G490" i="1" a="1"/>
  <c r="G490" i="1"/>
  <c r="C490" i="1" a="1"/>
  <c r="C490" i="1"/>
  <c r="B490" i="1" a="1"/>
  <c r="B490" i="1" s="1"/>
  <c r="Y489" i="1" a="1"/>
  <c r="Y489" i="1" s="1"/>
  <c r="V489" i="1" a="1"/>
  <c r="V489" i="1" s="1"/>
  <c r="U489" i="1" a="1"/>
  <c r="U489" i="1" s="1"/>
  <c r="T489" i="1"/>
  <c r="S489" i="1" a="1"/>
  <c r="S489" i="1" s="1"/>
  <c r="Q489" i="1"/>
  <c r="M489" i="1" a="1"/>
  <c r="M489" i="1" s="1"/>
  <c r="L489" i="1" a="1"/>
  <c r="L489" i="1"/>
  <c r="K489" i="1" a="1"/>
  <c r="K489" i="1" s="1"/>
  <c r="J489" i="1" a="1"/>
  <c r="J489" i="1"/>
  <c r="I489" i="1" a="1"/>
  <c r="I489" i="1" s="1"/>
  <c r="H489" i="1" a="1"/>
  <c r="H489" i="1"/>
  <c r="G489" i="1" a="1"/>
  <c r="G489" i="1" s="1"/>
  <c r="E489" i="1" a="1"/>
  <c r="E489" i="1" s="1"/>
  <c r="B489" i="1" a="1"/>
  <c r="B489" i="1" s="1"/>
  <c r="Y488" i="1" a="1"/>
  <c r="Y488" i="1"/>
  <c r="V488" i="1" a="1"/>
  <c r="V488" i="1" s="1"/>
  <c r="U488" i="1" a="1"/>
  <c r="U488" i="1" s="1"/>
  <c r="T488" i="1"/>
  <c r="S488" i="1" a="1"/>
  <c r="S488" i="1" s="1"/>
  <c r="Q488" i="1"/>
  <c r="M488" i="1" a="1"/>
  <c r="M488" i="1" s="1"/>
  <c r="B488" i="1" s="1" a="1"/>
  <c r="B488" i="1" s="1"/>
  <c r="L488" i="1" a="1"/>
  <c r="L488" i="1"/>
  <c r="K488" i="1" a="1"/>
  <c r="K488" i="1"/>
  <c r="J488" i="1" a="1"/>
  <c r="J488" i="1"/>
  <c r="I488" i="1" a="1"/>
  <c r="I488" i="1" s="1"/>
  <c r="H488" i="1" a="1"/>
  <c r="H488" i="1" s="1"/>
  <c r="G488" i="1" a="1"/>
  <c r="G488" i="1" s="1"/>
  <c r="C488" i="1" a="1"/>
  <c r="C488" i="1" s="1"/>
  <c r="Y487" i="1" a="1"/>
  <c r="Y487" i="1" s="1"/>
  <c r="V487" i="1" a="1"/>
  <c r="V487" i="1" s="1"/>
  <c r="U487" i="1" a="1"/>
  <c r="U487" i="1" s="1"/>
  <c r="T487" i="1"/>
  <c r="S487" i="1" a="1"/>
  <c r="S487" i="1" s="1"/>
  <c r="Q487" i="1"/>
  <c r="M487" i="1" a="1"/>
  <c r="M487" i="1" s="1"/>
  <c r="B487" i="1" s="1" a="1"/>
  <c r="B487" i="1" s="1"/>
  <c r="L487" i="1" a="1"/>
  <c r="L487" i="1" s="1"/>
  <c r="K487" i="1" a="1"/>
  <c r="K487" i="1" s="1"/>
  <c r="J487" i="1" a="1"/>
  <c r="J487" i="1" s="1"/>
  <c r="I487" i="1" a="1"/>
  <c r="I487" i="1"/>
  <c r="H487" i="1" a="1"/>
  <c r="H487" i="1" s="1"/>
  <c r="G487" i="1" a="1"/>
  <c r="G487" i="1" s="1"/>
  <c r="E487" i="1" a="1"/>
  <c r="E487" i="1"/>
  <c r="Y486" i="1" a="1"/>
  <c r="Y486" i="1" s="1"/>
  <c r="V486" i="1" a="1"/>
  <c r="V486" i="1" s="1"/>
  <c r="U486" i="1" a="1"/>
  <c r="U486" i="1" s="1"/>
  <c r="T486" i="1"/>
  <c r="S486" i="1" a="1"/>
  <c r="S486" i="1" s="1"/>
  <c r="Q486" i="1"/>
  <c r="M486" i="1" a="1"/>
  <c r="M486" i="1" s="1"/>
  <c r="B486" i="1" s="1" a="1"/>
  <c r="B486" i="1" s="1"/>
  <c r="L486" i="1" a="1"/>
  <c r="L486" i="1"/>
  <c r="K486" i="1" a="1"/>
  <c r="K486" i="1"/>
  <c r="J486" i="1" a="1"/>
  <c r="J486" i="1" s="1"/>
  <c r="I486" i="1" a="1"/>
  <c r="I486" i="1" s="1"/>
  <c r="H486" i="1" a="1"/>
  <c r="H486" i="1"/>
  <c r="G486" i="1" a="1"/>
  <c r="G486" i="1"/>
  <c r="Y485" i="1" a="1"/>
  <c r="Y485" i="1" s="1"/>
  <c r="V485" i="1" a="1"/>
  <c r="V485" i="1"/>
  <c r="U485" i="1" a="1"/>
  <c r="U485" i="1" s="1"/>
  <c r="T485" i="1"/>
  <c r="S485" i="1" a="1"/>
  <c r="S485" i="1"/>
  <c r="R485" i="1" s="1" a="1"/>
  <c r="R485" i="1"/>
  <c r="Q485" i="1"/>
  <c r="M485" i="1" a="1"/>
  <c r="M485" i="1" s="1"/>
  <c r="B485" i="1" s="1" a="1"/>
  <c r="B485" i="1" s="1"/>
  <c r="L485" i="1" a="1"/>
  <c r="L485" i="1" s="1"/>
  <c r="K485" i="1" a="1"/>
  <c r="K485" i="1" s="1"/>
  <c r="J485" i="1" a="1"/>
  <c r="J485" i="1"/>
  <c r="I485" i="1" a="1"/>
  <c r="I485" i="1"/>
  <c r="H485" i="1" a="1"/>
  <c r="H485" i="1" s="1"/>
  <c r="G485" i="1" a="1"/>
  <c r="G485" i="1" s="1"/>
  <c r="E485" i="1" a="1"/>
  <c r="E485" i="1" s="1"/>
  <c r="C485" i="1" a="1"/>
  <c r="C485" i="1" s="1"/>
  <c r="Y484" i="1" a="1"/>
  <c r="Y484" i="1"/>
  <c r="V484" i="1" a="1"/>
  <c r="V484" i="1"/>
  <c r="U484" i="1" a="1"/>
  <c r="U484" i="1" s="1"/>
  <c r="T484" i="1"/>
  <c r="S484" i="1" a="1"/>
  <c r="S484" i="1" s="1"/>
  <c r="Q484" i="1"/>
  <c r="M484" i="1" a="1"/>
  <c r="M484" i="1" s="1"/>
  <c r="B484" i="1" s="1" a="1"/>
  <c r="B484" i="1" s="1"/>
  <c r="L484" i="1" a="1"/>
  <c r="L484" i="1" s="1"/>
  <c r="K484" i="1" a="1"/>
  <c r="K484" i="1" s="1"/>
  <c r="J484" i="1" a="1"/>
  <c r="J484" i="1"/>
  <c r="I484" i="1" a="1"/>
  <c r="I484" i="1" s="1"/>
  <c r="H484" i="1" a="1"/>
  <c r="H484" i="1"/>
  <c r="G484" i="1" a="1"/>
  <c r="G484" i="1"/>
  <c r="Y483" i="1" a="1"/>
  <c r="Y483" i="1" s="1"/>
  <c r="V483" i="1" a="1"/>
  <c r="V483" i="1" s="1"/>
  <c r="U483" i="1" a="1"/>
  <c r="U483" i="1" s="1"/>
  <c r="T483" i="1"/>
  <c r="S483" i="1" a="1"/>
  <c r="S483" i="1" s="1"/>
  <c r="Q483" i="1"/>
  <c r="M483" i="1" a="1"/>
  <c r="M483" i="1"/>
  <c r="L483" i="1" a="1"/>
  <c r="L483" i="1"/>
  <c r="K483" i="1" a="1"/>
  <c r="K483" i="1" s="1"/>
  <c r="J483" i="1" a="1"/>
  <c r="J483" i="1" s="1"/>
  <c r="I483" i="1" a="1"/>
  <c r="I483" i="1" s="1"/>
  <c r="H483" i="1" a="1"/>
  <c r="H483" i="1" s="1"/>
  <c r="G483" i="1" a="1"/>
  <c r="G483" i="1" s="1"/>
  <c r="E483" i="1" a="1"/>
  <c r="E483" i="1" s="1"/>
  <c r="B483" i="1" a="1"/>
  <c r="B483" i="1" s="1"/>
  <c r="Y482" i="1" a="1"/>
  <c r="Y482" i="1" s="1"/>
  <c r="V482" i="1" a="1"/>
  <c r="V482" i="1" s="1"/>
  <c r="U482" i="1" a="1"/>
  <c r="U482" i="1" s="1"/>
  <c r="T482" i="1"/>
  <c r="S482" i="1" a="1"/>
  <c r="S482" i="1" s="1"/>
  <c r="Q482" i="1"/>
  <c r="M482" i="1" a="1"/>
  <c r="M482" i="1" s="1"/>
  <c r="L482" i="1" a="1"/>
  <c r="L482" i="1"/>
  <c r="K482" i="1" a="1"/>
  <c r="K482" i="1" s="1"/>
  <c r="J482" i="1" a="1"/>
  <c r="J482" i="1"/>
  <c r="I482" i="1" a="1"/>
  <c r="I482" i="1" s="1"/>
  <c r="H482" i="1" a="1"/>
  <c r="H482" i="1"/>
  <c r="G482" i="1" a="1"/>
  <c r="G482" i="1" s="1"/>
  <c r="B482" i="1" a="1"/>
  <c r="B482" i="1" s="1"/>
  <c r="Y481" i="1" a="1"/>
  <c r="Y481" i="1" s="1"/>
  <c r="V481" i="1" a="1"/>
  <c r="V481" i="1"/>
  <c r="U481" i="1" a="1"/>
  <c r="U481" i="1" s="1"/>
  <c r="T481" i="1"/>
  <c r="S481" i="1" a="1"/>
  <c r="S481" i="1" s="1"/>
  <c r="Q481" i="1"/>
  <c r="M481" i="1" a="1"/>
  <c r="M481" i="1" s="1"/>
  <c r="B481" i="1" s="1" a="1"/>
  <c r="B481" i="1" s="1"/>
  <c r="L481" i="1" a="1"/>
  <c r="L481" i="1" s="1"/>
  <c r="K481" i="1" a="1"/>
  <c r="K481" i="1" s="1"/>
  <c r="J481" i="1" a="1"/>
  <c r="J481" i="1" s="1"/>
  <c r="I481" i="1" a="1"/>
  <c r="I481" i="1" s="1"/>
  <c r="H481" i="1" a="1"/>
  <c r="H481" i="1"/>
  <c r="G481" i="1" a="1"/>
  <c r="G481" i="1" s="1"/>
  <c r="E481" i="1" a="1"/>
  <c r="E481" i="1" s="1"/>
  <c r="Y480" i="1" a="1"/>
  <c r="Y480" i="1"/>
  <c r="V480" i="1" a="1"/>
  <c r="V480" i="1" s="1"/>
  <c r="U480" i="1" a="1"/>
  <c r="U480" i="1" s="1"/>
  <c r="T480" i="1"/>
  <c r="S480" i="1" a="1"/>
  <c r="S480" i="1"/>
  <c r="Q480" i="1"/>
  <c r="M480" i="1" a="1"/>
  <c r="M480" i="1" s="1"/>
  <c r="B480" i="1" s="1" a="1"/>
  <c r="B480" i="1" s="1"/>
  <c r="L480" i="1" a="1"/>
  <c r="L480" i="1"/>
  <c r="K480" i="1" a="1"/>
  <c r="K480" i="1" s="1"/>
  <c r="J480" i="1" a="1"/>
  <c r="J480" i="1"/>
  <c r="I480" i="1" a="1"/>
  <c r="I480" i="1" s="1"/>
  <c r="H480" i="1" a="1"/>
  <c r="H480" i="1" s="1"/>
  <c r="G480" i="1" a="1"/>
  <c r="G480" i="1"/>
  <c r="Y479" i="1" a="1"/>
  <c r="Y479" i="1" s="1"/>
  <c r="V479" i="1" a="1"/>
  <c r="V479" i="1" s="1"/>
  <c r="U479" i="1" a="1"/>
  <c r="U479" i="1" s="1"/>
  <c r="T479" i="1"/>
  <c r="S479" i="1" a="1"/>
  <c r="S479" i="1" s="1"/>
  <c r="Q479" i="1"/>
  <c r="M479" i="1" a="1"/>
  <c r="M479" i="1" s="1"/>
  <c r="B479" i="1" s="1" a="1"/>
  <c r="B479" i="1" s="1"/>
  <c r="L479" i="1" a="1"/>
  <c r="L479" i="1"/>
  <c r="K479" i="1" a="1"/>
  <c r="K479" i="1" s="1"/>
  <c r="J479" i="1" a="1"/>
  <c r="J479" i="1"/>
  <c r="I479" i="1" a="1"/>
  <c r="I479" i="1"/>
  <c r="H479" i="1" a="1"/>
  <c r="H479" i="1" s="1"/>
  <c r="G479" i="1" a="1"/>
  <c r="G479" i="1" s="1"/>
  <c r="Y478" i="1" a="1"/>
  <c r="Y478" i="1" s="1"/>
  <c r="V478" i="1" a="1"/>
  <c r="V478" i="1"/>
  <c r="U478" i="1" a="1"/>
  <c r="U478" i="1" s="1"/>
  <c r="T478" i="1"/>
  <c r="S478" i="1" a="1"/>
  <c r="S478" i="1"/>
  <c r="Q478" i="1"/>
  <c r="M478" i="1" a="1"/>
  <c r="M478" i="1" s="1"/>
  <c r="L478" i="1" a="1"/>
  <c r="L478" i="1" s="1"/>
  <c r="K478" i="1" a="1"/>
  <c r="K478" i="1" s="1"/>
  <c r="J478" i="1" a="1"/>
  <c r="J478" i="1" s="1"/>
  <c r="I478" i="1" a="1"/>
  <c r="I478" i="1" s="1"/>
  <c r="H478" i="1" a="1"/>
  <c r="H478" i="1"/>
  <c r="G478" i="1" a="1"/>
  <c r="G478" i="1"/>
  <c r="B478" i="1" a="1"/>
  <c r="B478" i="1" s="1"/>
  <c r="Y477" i="1" a="1"/>
  <c r="Y477" i="1" s="1"/>
  <c r="V477" i="1" a="1"/>
  <c r="V477" i="1" s="1"/>
  <c r="U477" i="1" a="1"/>
  <c r="U477" i="1" s="1"/>
  <c r="T477" i="1"/>
  <c r="S477" i="1" a="1"/>
  <c r="S477" i="1"/>
  <c r="Q477" i="1"/>
  <c r="M477" i="1" a="1"/>
  <c r="M477" i="1" s="1"/>
  <c r="B477" i="1" s="1" a="1"/>
  <c r="B477" i="1" s="1"/>
  <c r="L477" i="1" a="1"/>
  <c r="L477" i="1" s="1"/>
  <c r="K477" i="1" a="1"/>
  <c r="K477" i="1" s="1"/>
  <c r="J477" i="1" a="1"/>
  <c r="J477" i="1" s="1"/>
  <c r="I477" i="1" a="1"/>
  <c r="I477" i="1"/>
  <c r="H477" i="1" a="1"/>
  <c r="H477" i="1" s="1"/>
  <c r="G477" i="1" a="1"/>
  <c r="G477" i="1" s="1"/>
  <c r="E477" i="1" a="1"/>
  <c r="E477" i="1" s="1"/>
  <c r="Y476" i="1" a="1"/>
  <c r="Y476" i="1"/>
  <c r="E476" i="1" s="1" a="1"/>
  <c r="E476" i="1" s="1"/>
  <c r="V476" i="1" a="1"/>
  <c r="V476" i="1" s="1"/>
  <c r="U476" i="1" a="1"/>
  <c r="U476" i="1" s="1"/>
  <c r="T476" i="1"/>
  <c r="S476" i="1" a="1"/>
  <c r="S476" i="1"/>
  <c r="R476" i="1" a="1"/>
  <c r="R476" i="1"/>
  <c r="Q476" i="1"/>
  <c r="M476" i="1" a="1"/>
  <c r="M476" i="1" s="1"/>
  <c r="B476" i="1" s="1" a="1"/>
  <c r="B476" i="1" s="1"/>
  <c r="L476" i="1" a="1"/>
  <c r="L476" i="1" s="1"/>
  <c r="K476" i="1" a="1"/>
  <c r="K476" i="1"/>
  <c r="J476" i="1" a="1"/>
  <c r="J476" i="1" s="1"/>
  <c r="I476" i="1" a="1"/>
  <c r="I476" i="1" s="1"/>
  <c r="H476" i="1" a="1"/>
  <c r="H476" i="1"/>
  <c r="G476" i="1" a="1"/>
  <c r="G476" i="1" s="1"/>
  <c r="C476" i="1" a="1"/>
  <c r="C476" i="1"/>
  <c r="Y475" i="1" a="1"/>
  <c r="Y475" i="1" s="1"/>
  <c r="V475" i="1" a="1"/>
  <c r="V475" i="1"/>
  <c r="U475" i="1" a="1"/>
  <c r="U475" i="1" s="1"/>
  <c r="T475" i="1"/>
  <c r="S475" i="1" a="1"/>
  <c r="S475" i="1"/>
  <c r="R475" i="1" s="1" a="1"/>
  <c r="R475" i="1" s="1"/>
  <c r="Q475" i="1"/>
  <c r="M475" i="1" a="1"/>
  <c r="M475" i="1" s="1"/>
  <c r="B475" i="1" s="1" a="1"/>
  <c r="B475" i="1" s="1"/>
  <c r="L475" i="1" a="1"/>
  <c r="L475" i="1" s="1"/>
  <c r="K475" i="1" a="1"/>
  <c r="K475" i="1" s="1"/>
  <c r="J475" i="1" a="1"/>
  <c r="J475" i="1" s="1"/>
  <c r="I475" i="1" a="1"/>
  <c r="I475" i="1"/>
  <c r="H475" i="1" a="1"/>
  <c r="H475" i="1"/>
  <c r="G475" i="1" a="1"/>
  <c r="G475" i="1" s="1"/>
  <c r="E475" i="1" a="1"/>
  <c r="E475" i="1" s="1"/>
  <c r="C475" i="1" a="1"/>
  <c r="C475" i="1" s="1"/>
  <c r="Y474" i="1" a="1"/>
  <c r="Y474" i="1"/>
  <c r="V474" i="1" a="1"/>
  <c r="V474" i="1" s="1"/>
  <c r="U474" i="1" a="1"/>
  <c r="U474" i="1" s="1"/>
  <c r="T474" i="1"/>
  <c r="S474" i="1" a="1"/>
  <c r="S474" i="1" s="1"/>
  <c r="R474" i="1" a="1"/>
  <c r="R474" i="1" s="1"/>
  <c r="Q474" i="1"/>
  <c r="M474" i="1" a="1"/>
  <c r="M474" i="1" s="1"/>
  <c r="B474" i="1" s="1" a="1"/>
  <c r="B474" i="1" s="1"/>
  <c r="L474" i="1" a="1"/>
  <c r="L474" i="1" s="1"/>
  <c r="K474" i="1" a="1"/>
  <c r="K474" i="1" s="1"/>
  <c r="J474" i="1" a="1"/>
  <c r="J474" i="1" s="1"/>
  <c r="I474" i="1" a="1"/>
  <c r="I474" i="1" s="1"/>
  <c r="H474" i="1" a="1"/>
  <c r="H474" i="1" s="1"/>
  <c r="G474" i="1" a="1"/>
  <c r="G474" i="1" s="1"/>
  <c r="E474" i="1" a="1"/>
  <c r="E474" i="1" s="1"/>
  <c r="C474" i="1" a="1"/>
  <c r="C474" i="1" s="1"/>
  <c r="Y473" i="1" a="1"/>
  <c r="Y473" i="1" s="1"/>
  <c r="V473" i="1" a="1"/>
  <c r="V473" i="1"/>
  <c r="U473" i="1" a="1"/>
  <c r="U473" i="1" s="1"/>
  <c r="T473" i="1"/>
  <c r="S473" i="1" a="1"/>
  <c r="S473" i="1" s="1"/>
  <c r="R473" i="1" s="1" a="1"/>
  <c r="R473" i="1" s="1"/>
  <c r="Q473" i="1"/>
  <c r="M473" i="1" a="1"/>
  <c r="M473" i="1" s="1"/>
  <c r="B473" i="1" s="1" a="1"/>
  <c r="B473" i="1" s="1"/>
  <c r="L473" i="1" a="1"/>
  <c r="L473" i="1" s="1"/>
  <c r="K473" i="1" a="1"/>
  <c r="K473" i="1" s="1"/>
  <c r="J473" i="1" a="1"/>
  <c r="J473" i="1"/>
  <c r="I473" i="1" a="1"/>
  <c r="I473" i="1"/>
  <c r="H473" i="1" a="1"/>
  <c r="H473" i="1" s="1"/>
  <c r="G473" i="1" a="1"/>
  <c r="G473" i="1" s="1"/>
  <c r="E473" i="1" a="1"/>
  <c r="E473" i="1" s="1"/>
  <c r="C473" i="1" a="1"/>
  <c r="C473" i="1" s="1"/>
  <c r="Y472" i="1" a="1"/>
  <c r="Y472" i="1"/>
  <c r="E472" i="1" s="1" a="1"/>
  <c r="E472" i="1" s="1"/>
  <c r="V472" i="1" a="1"/>
  <c r="V472" i="1" s="1"/>
  <c r="U472" i="1" a="1"/>
  <c r="U472" i="1" s="1"/>
  <c r="T472" i="1"/>
  <c r="S472" i="1" a="1"/>
  <c r="S472" i="1" s="1"/>
  <c r="Q472" i="1"/>
  <c r="M472" i="1" a="1"/>
  <c r="M472" i="1" s="1"/>
  <c r="L472" i="1" a="1"/>
  <c r="L472" i="1"/>
  <c r="K472" i="1" a="1"/>
  <c r="K472" i="1"/>
  <c r="J472" i="1" a="1"/>
  <c r="J472" i="1"/>
  <c r="I472" i="1" a="1"/>
  <c r="I472" i="1" s="1"/>
  <c r="H472" i="1" a="1"/>
  <c r="H472" i="1" s="1"/>
  <c r="G472" i="1" a="1"/>
  <c r="G472" i="1" s="1"/>
  <c r="B472" i="1" a="1"/>
  <c r="B472" i="1"/>
  <c r="Y471" i="1" a="1"/>
  <c r="Y471" i="1" s="1"/>
  <c r="V471" i="1" a="1"/>
  <c r="V471" i="1"/>
  <c r="U471" i="1" a="1"/>
  <c r="U471" i="1" s="1"/>
  <c r="T471" i="1"/>
  <c r="S471" i="1" a="1"/>
  <c r="S471" i="1" s="1"/>
  <c r="Q471" i="1"/>
  <c r="M471" i="1" a="1"/>
  <c r="M471" i="1"/>
  <c r="B471" i="1" s="1" a="1"/>
  <c r="B471" i="1" s="1"/>
  <c r="L471" i="1" a="1"/>
  <c r="L471" i="1" s="1"/>
  <c r="K471" i="1" a="1"/>
  <c r="K471" i="1" s="1"/>
  <c r="J471" i="1" a="1"/>
  <c r="J471" i="1" s="1"/>
  <c r="I471" i="1" a="1"/>
  <c r="I471" i="1" s="1"/>
  <c r="H471" i="1" a="1"/>
  <c r="H471" i="1"/>
  <c r="G471" i="1" a="1"/>
  <c r="G471" i="1" s="1"/>
  <c r="E471" i="1" a="1"/>
  <c r="E471" i="1"/>
  <c r="Y470" i="1" a="1"/>
  <c r="Y470" i="1" s="1"/>
  <c r="E470" i="1" s="1" a="1"/>
  <c r="E470" i="1" s="1"/>
  <c r="V470" i="1" a="1"/>
  <c r="V470" i="1" s="1"/>
  <c r="U470" i="1" a="1"/>
  <c r="U470" i="1" s="1"/>
  <c r="T470" i="1"/>
  <c r="S470" i="1" a="1"/>
  <c r="S470" i="1" s="1"/>
  <c r="Q470" i="1"/>
  <c r="M470" i="1" a="1"/>
  <c r="M470" i="1" s="1"/>
  <c r="B470" i="1" s="1" a="1"/>
  <c r="B470" i="1" s="1"/>
  <c r="L470" i="1" a="1"/>
  <c r="L470" i="1"/>
  <c r="K470" i="1" a="1"/>
  <c r="K470" i="1"/>
  <c r="J470" i="1" a="1"/>
  <c r="J470" i="1" s="1"/>
  <c r="I470" i="1" a="1"/>
  <c r="I470" i="1" s="1"/>
  <c r="H470" i="1" a="1"/>
  <c r="H470" i="1"/>
  <c r="G470" i="1" a="1"/>
  <c r="G470" i="1"/>
  <c r="Y469" i="1" a="1"/>
  <c r="Y469" i="1" s="1"/>
  <c r="V469" i="1" a="1"/>
  <c r="V469" i="1"/>
  <c r="U469" i="1" a="1"/>
  <c r="U469" i="1" s="1"/>
  <c r="T469" i="1"/>
  <c r="S469" i="1" a="1"/>
  <c r="S469" i="1" s="1"/>
  <c r="Q469" i="1"/>
  <c r="M469" i="1" a="1"/>
  <c r="M469" i="1" s="1"/>
  <c r="B469" i="1" s="1" a="1"/>
  <c r="B469" i="1" s="1"/>
  <c r="L469" i="1" a="1"/>
  <c r="L469" i="1"/>
  <c r="K469" i="1" a="1"/>
  <c r="K469" i="1" s="1"/>
  <c r="J469" i="1" a="1"/>
  <c r="J469" i="1" s="1"/>
  <c r="I469" i="1" a="1"/>
  <c r="I469" i="1"/>
  <c r="H469" i="1" a="1"/>
  <c r="H469" i="1" s="1"/>
  <c r="G469" i="1" a="1"/>
  <c r="G469" i="1" s="1"/>
  <c r="E469" i="1" a="1"/>
  <c r="E469" i="1" s="1"/>
  <c r="Y468" i="1" a="1"/>
  <c r="Y468" i="1" s="1"/>
  <c r="V468" i="1" a="1"/>
  <c r="V468" i="1"/>
  <c r="U468" i="1" a="1"/>
  <c r="U468" i="1" s="1"/>
  <c r="T468" i="1"/>
  <c r="S468" i="1" a="1"/>
  <c r="S468" i="1"/>
  <c r="Q468" i="1"/>
  <c r="M468" i="1" a="1"/>
  <c r="M468" i="1" s="1"/>
  <c r="B468" i="1" s="1" a="1"/>
  <c r="B468" i="1" s="1"/>
  <c r="L468" i="1" a="1"/>
  <c r="L468" i="1" s="1"/>
  <c r="K468" i="1" a="1"/>
  <c r="K468" i="1"/>
  <c r="J468" i="1" a="1"/>
  <c r="J468" i="1" s="1"/>
  <c r="I468" i="1" a="1"/>
  <c r="I468" i="1" s="1"/>
  <c r="H468" i="1" a="1"/>
  <c r="H468" i="1" s="1"/>
  <c r="G468" i="1" a="1"/>
  <c r="G468" i="1" s="1"/>
  <c r="C468" i="1" a="1"/>
  <c r="C468" i="1" s="1"/>
  <c r="Y467" i="1" a="1"/>
  <c r="Y467" i="1" s="1"/>
  <c r="E467" i="1" s="1" a="1"/>
  <c r="E467" i="1" s="1"/>
  <c r="V467" i="1" a="1"/>
  <c r="V467" i="1" s="1"/>
  <c r="U467" i="1" a="1"/>
  <c r="U467" i="1" s="1"/>
  <c r="T467" i="1"/>
  <c r="S467" i="1" a="1"/>
  <c r="S467" i="1" s="1"/>
  <c r="Q467" i="1"/>
  <c r="M467" i="1" a="1"/>
  <c r="M467" i="1"/>
  <c r="B467" i="1" s="1" a="1"/>
  <c r="B467" i="1" s="1"/>
  <c r="L467" i="1" a="1"/>
  <c r="L467" i="1"/>
  <c r="K467" i="1" a="1"/>
  <c r="K467" i="1" s="1"/>
  <c r="J467" i="1" a="1"/>
  <c r="J467" i="1" s="1"/>
  <c r="I467" i="1" a="1"/>
  <c r="I467" i="1" s="1"/>
  <c r="H467" i="1" a="1"/>
  <c r="H467" i="1" s="1"/>
  <c r="G467" i="1" a="1"/>
  <c r="G467" i="1" s="1"/>
  <c r="Y466" i="1" a="1"/>
  <c r="Y466" i="1" s="1"/>
  <c r="V466" i="1" a="1"/>
  <c r="V466" i="1" s="1"/>
  <c r="U466" i="1" a="1"/>
  <c r="U466" i="1" s="1"/>
  <c r="T466" i="1"/>
  <c r="S466" i="1" a="1"/>
  <c r="S466" i="1" s="1"/>
  <c r="Q466" i="1"/>
  <c r="M466" i="1" a="1"/>
  <c r="M466" i="1" s="1"/>
  <c r="L466" i="1" a="1"/>
  <c r="L466" i="1"/>
  <c r="K466" i="1" a="1"/>
  <c r="K466" i="1" s="1"/>
  <c r="J466" i="1" a="1"/>
  <c r="J466" i="1"/>
  <c r="I466" i="1" a="1"/>
  <c r="I466" i="1" s="1"/>
  <c r="H466" i="1" a="1"/>
  <c r="H466" i="1"/>
  <c r="G466" i="1" a="1"/>
  <c r="G466" i="1"/>
  <c r="B466" i="1" a="1"/>
  <c r="B466" i="1"/>
  <c r="Y465" i="1" a="1"/>
  <c r="Y465" i="1" s="1"/>
  <c r="E465" i="1" s="1" a="1"/>
  <c r="E465" i="1" s="1"/>
  <c r="V465" i="1" a="1"/>
  <c r="V465" i="1"/>
  <c r="U465" i="1" a="1"/>
  <c r="U465" i="1" s="1"/>
  <c r="T465" i="1"/>
  <c r="S465" i="1" a="1"/>
  <c r="S465" i="1"/>
  <c r="Q465" i="1"/>
  <c r="M465" i="1" a="1"/>
  <c r="M465" i="1" s="1"/>
  <c r="B465" i="1" s="1" a="1"/>
  <c r="B465" i="1" s="1"/>
  <c r="L465" i="1" a="1"/>
  <c r="L465" i="1" s="1"/>
  <c r="K465" i="1" a="1"/>
  <c r="K465" i="1"/>
  <c r="J465" i="1" a="1"/>
  <c r="J465" i="1"/>
  <c r="I465" i="1" a="1"/>
  <c r="I465" i="1" s="1"/>
  <c r="H465" i="1" a="1"/>
  <c r="H465" i="1" s="1"/>
  <c r="G465" i="1" a="1"/>
  <c r="G465" i="1" s="1"/>
  <c r="Y464" i="1" a="1"/>
  <c r="Y464" i="1" s="1"/>
  <c r="E464" i="1" s="1" a="1"/>
  <c r="V464" i="1" a="1"/>
  <c r="V464" i="1" s="1"/>
  <c r="U464" i="1" a="1"/>
  <c r="U464" i="1" s="1"/>
  <c r="T464" i="1"/>
  <c r="S464" i="1" a="1"/>
  <c r="S464" i="1"/>
  <c r="Q464" i="1"/>
  <c r="M464" i="1" a="1"/>
  <c r="M464" i="1"/>
  <c r="B464" i="1" s="1" a="1"/>
  <c r="B464" i="1" s="1"/>
  <c r="L464" i="1" a="1"/>
  <c r="L464" i="1" s="1"/>
  <c r="K464" i="1" a="1"/>
  <c r="K464" i="1" s="1"/>
  <c r="J464" i="1" a="1"/>
  <c r="J464" i="1" s="1"/>
  <c r="I464" i="1" a="1"/>
  <c r="I464" i="1" s="1"/>
  <c r="H464" i="1" a="1"/>
  <c r="H464" i="1" s="1"/>
  <c r="G464" i="1" a="1"/>
  <c r="G464" i="1" s="1"/>
  <c r="E464" i="1"/>
  <c r="Y463" i="1" a="1"/>
  <c r="Y463" i="1"/>
  <c r="V463" i="1" a="1"/>
  <c r="V463" i="1" s="1"/>
  <c r="U463" i="1" a="1"/>
  <c r="U463" i="1" s="1"/>
  <c r="T463" i="1"/>
  <c r="S463" i="1" a="1"/>
  <c r="S463" i="1" s="1"/>
  <c r="R463" i="1" a="1"/>
  <c r="R463" i="1" s="1"/>
  <c r="Q463" i="1"/>
  <c r="M463" i="1" a="1"/>
  <c r="M463" i="1" s="1"/>
  <c r="B463" i="1" s="1" a="1"/>
  <c r="B463" i="1" s="1"/>
  <c r="L463" i="1" a="1"/>
  <c r="L463" i="1" s="1"/>
  <c r="K463" i="1" a="1"/>
  <c r="K463" i="1" s="1"/>
  <c r="J463" i="1" a="1"/>
  <c r="J463" i="1" s="1"/>
  <c r="I463" i="1" a="1"/>
  <c r="I463" i="1" s="1"/>
  <c r="H463" i="1" a="1"/>
  <c r="H463" i="1"/>
  <c r="G463" i="1" a="1"/>
  <c r="G463" i="1" s="1"/>
  <c r="E463" i="1" a="1"/>
  <c r="E463" i="1" s="1"/>
  <c r="C463" i="1" a="1"/>
  <c r="C463" i="1" s="1"/>
  <c r="Y462" i="1" a="1"/>
  <c r="Y462" i="1" s="1"/>
  <c r="V462" i="1" a="1"/>
  <c r="V462" i="1" s="1"/>
  <c r="U462" i="1" a="1"/>
  <c r="U462" i="1" s="1"/>
  <c r="T462" i="1"/>
  <c r="S462" i="1" a="1"/>
  <c r="S462" i="1" s="1"/>
  <c r="Q462" i="1"/>
  <c r="M462" i="1" a="1"/>
  <c r="M462" i="1" s="1"/>
  <c r="B462" i="1" s="1" a="1"/>
  <c r="B462" i="1" s="1"/>
  <c r="L462" i="1" a="1"/>
  <c r="L462" i="1" s="1"/>
  <c r="K462" i="1" a="1"/>
  <c r="K462" i="1" s="1"/>
  <c r="J462" i="1" a="1"/>
  <c r="J462" i="1"/>
  <c r="I462" i="1" a="1"/>
  <c r="I462" i="1" s="1"/>
  <c r="H462" i="1" a="1"/>
  <c r="H462" i="1"/>
  <c r="G462" i="1" a="1"/>
  <c r="G462" i="1" s="1"/>
  <c r="C462" i="1" a="1"/>
  <c r="C462" i="1" s="1"/>
  <c r="Y461" i="1" a="1"/>
  <c r="Y461" i="1"/>
  <c r="V461" i="1" a="1"/>
  <c r="V461" i="1" s="1"/>
  <c r="U461" i="1" a="1"/>
  <c r="U461" i="1" s="1"/>
  <c r="T461" i="1"/>
  <c r="S461" i="1" a="1"/>
  <c r="S461" i="1" s="1"/>
  <c r="Q461" i="1"/>
  <c r="M461" i="1" a="1"/>
  <c r="M461" i="1" s="1"/>
  <c r="B461" i="1" s="1" a="1"/>
  <c r="B461" i="1" s="1"/>
  <c r="L461" i="1" a="1"/>
  <c r="L461" i="1"/>
  <c r="K461" i="1" a="1"/>
  <c r="K461" i="1" s="1"/>
  <c r="J461" i="1" a="1"/>
  <c r="J461" i="1"/>
  <c r="I461" i="1" a="1"/>
  <c r="I461" i="1" s="1"/>
  <c r="H461" i="1" a="1"/>
  <c r="H461" i="1" s="1"/>
  <c r="G461" i="1" a="1"/>
  <c r="G461" i="1" s="1"/>
  <c r="Y460" i="1" a="1"/>
  <c r="Y460" i="1" s="1"/>
  <c r="V460" i="1" a="1"/>
  <c r="V460" i="1" s="1"/>
  <c r="U460" i="1" a="1"/>
  <c r="U460" i="1" s="1"/>
  <c r="T460" i="1"/>
  <c r="S460" i="1" a="1"/>
  <c r="S460" i="1" s="1"/>
  <c r="Q460" i="1"/>
  <c r="M460" i="1" a="1"/>
  <c r="M460" i="1" s="1"/>
  <c r="B460" i="1" s="1" a="1"/>
  <c r="B460" i="1" s="1"/>
  <c r="L460" i="1" a="1"/>
  <c r="L460" i="1"/>
  <c r="K460" i="1" a="1"/>
  <c r="K460" i="1" s="1"/>
  <c r="J460" i="1" a="1"/>
  <c r="J460" i="1" s="1"/>
  <c r="I460" i="1" a="1"/>
  <c r="I460" i="1"/>
  <c r="H460" i="1" a="1"/>
  <c r="H460" i="1" s="1"/>
  <c r="G460" i="1" a="1"/>
  <c r="G460" i="1" s="1"/>
  <c r="E460" i="1" a="1"/>
  <c r="E460" i="1"/>
  <c r="Y459" i="1" a="1"/>
  <c r="Y459" i="1" s="1"/>
  <c r="V459" i="1" a="1"/>
  <c r="V459" i="1" s="1"/>
  <c r="U459" i="1" a="1"/>
  <c r="U459" i="1" s="1"/>
  <c r="T459" i="1"/>
  <c r="S459" i="1" a="1"/>
  <c r="S459" i="1" s="1"/>
  <c r="Q459" i="1"/>
  <c r="M459" i="1" a="1"/>
  <c r="M459" i="1" s="1"/>
  <c r="L459" i="1" a="1"/>
  <c r="L459" i="1" s="1"/>
  <c r="K459" i="1" a="1"/>
  <c r="K459" i="1" s="1"/>
  <c r="J459" i="1" a="1"/>
  <c r="J459" i="1" s="1"/>
  <c r="I459" i="1" a="1"/>
  <c r="I459" i="1" s="1"/>
  <c r="H459" i="1" a="1"/>
  <c r="H459" i="1"/>
  <c r="G459" i="1" a="1"/>
  <c r="G459" i="1"/>
  <c r="B459" i="1" a="1"/>
  <c r="B459" i="1" s="1"/>
  <c r="Y458" i="1" a="1"/>
  <c r="Y458" i="1" s="1"/>
  <c r="V458" i="1" a="1"/>
  <c r="V458" i="1"/>
  <c r="U458" i="1" a="1"/>
  <c r="U458" i="1" s="1"/>
  <c r="T458" i="1"/>
  <c r="S458" i="1" a="1"/>
  <c r="S458" i="1" s="1"/>
  <c r="R458" i="1" s="1" a="1"/>
  <c r="R458" i="1" s="1"/>
  <c r="Q458" i="1"/>
  <c r="M458" i="1" a="1"/>
  <c r="M458" i="1"/>
  <c r="B458" i="1" s="1" a="1"/>
  <c r="L458" i="1" a="1"/>
  <c r="L458" i="1" s="1"/>
  <c r="K458" i="1" a="1"/>
  <c r="K458" i="1" s="1"/>
  <c r="J458" i="1" a="1"/>
  <c r="J458" i="1" s="1"/>
  <c r="I458" i="1" a="1"/>
  <c r="I458" i="1"/>
  <c r="H458" i="1" a="1"/>
  <c r="H458" i="1" s="1"/>
  <c r="G458" i="1" a="1"/>
  <c r="G458" i="1" s="1"/>
  <c r="E458" i="1" a="1"/>
  <c r="E458" i="1" s="1"/>
  <c r="C458" i="1" a="1"/>
  <c r="C458" i="1" s="1"/>
  <c r="B458" i="1"/>
  <c r="Y457" i="1" a="1"/>
  <c r="Y457" i="1" s="1"/>
  <c r="E457" i="1" s="1" a="1"/>
  <c r="E457" i="1" s="1"/>
  <c r="V457" i="1" a="1"/>
  <c r="V457" i="1"/>
  <c r="U457" i="1" a="1"/>
  <c r="U457" i="1" s="1"/>
  <c r="T457" i="1"/>
  <c r="S457" i="1" a="1"/>
  <c r="S457" i="1"/>
  <c r="Q457" i="1"/>
  <c r="M457" i="1" a="1"/>
  <c r="M457" i="1" s="1"/>
  <c r="B457" i="1" s="1" a="1"/>
  <c r="B457" i="1" s="1"/>
  <c r="L457" i="1" a="1"/>
  <c r="L457" i="1" s="1"/>
  <c r="K457" i="1" a="1"/>
  <c r="K457" i="1"/>
  <c r="J457" i="1" a="1"/>
  <c r="J457" i="1" s="1"/>
  <c r="I457" i="1" a="1"/>
  <c r="I457" i="1" s="1"/>
  <c r="H457" i="1" a="1"/>
  <c r="H457" i="1" s="1"/>
  <c r="G457" i="1" a="1"/>
  <c r="G457" i="1" s="1"/>
  <c r="Y456" i="1" a="1"/>
  <c r="Y456" i="1" s="1"/>
  <c r="E456" i="1" s="1" a="1"/>
  <c r="E456" i="1" s="1"/>
  <c r="V456" i="1" a="1"/>
  <c r="V456" i="1" s="1"/>
  <c r="U456" i="1" a="1"/>
  <c r="U456" i="1" s="1"/>
  <c r="T456" i="1"/>
  <c r="S456" i="1" a="1"/>
  <c r="S456" i="1"/>
  <c r="Q456" i="1"/>
  <c r="M456" i="1" a="1"/>
  <c r="M456" i="1"/>
  <c r="B456" i="1" s="1" a="1"/>
  <c r="B456" i="1" s="1"/>
  <c r="L456" i="1" a="1"/>
  <c r="L456" i="1" s="1"/>
  <c r="K456" i="1" a="1"/>
  <c r="K456" i="1"/>
  <c r="J456" i="1" a="1"/>
  <c r="J456" i="1" s="1"/>
  <c r="I456" i="1" a="1"/>
  <c r="I456" i="1"/>
  <c r="H456" i="1" a="1"/>
  <c r="H456" i="1"/>
  <c r="G456" i="1" a="1"/>
  <c r="G456" i="1"/>
  <c r="Y455" i="1" a="1"/>
  <c r="Y455" i="1"/>
  <c r="V455" i="1" a="1"/>
  <c r="V455" i="1" s="1"/>
  <c r="U455" i="1" a="1"/>
  <c r="U455" i="1"/>
  <c r="T455" i="1"/>
  <c r="S455" i="1" a="1"/>
  <c r="S455" i="1" s="1"/>
  <c r="Q455" i="1"/>
  <c r="M455" i="1" a="1"/>
  <c r="M455" i="1"/>
  <c r="B455" i="1" s="1" a="1"/>
  <c r="B455" i="1" s="1"/>
  <c r="L455" i="1" a="1"/>
  <c r="L455" i="1" s="1"/>
  <c r="K455" i="1" a="1"/>
  <c r="K455" i="1"/>
  <c r="J455" i="1" a="1"/>
  <c r="J455" i="1"/>
  <c r="I455" i="1" a="1"/>
  <c r="I455" i="1"/>
  <c r="H455" i="1" a="1"/>
  <c r="H455" i="1" s="1"/>
  <c r="G455" i="1" a="1"/>
  <c r="G455" i="1"/>
  <c r="Y454" i="1" a="1"/>
  <c r="Y454" i="1"/>
  <c r="V454" i="1" a="1"/>
  <c r="V454" i="1" s="1"/>
  <c r="U454" i="1" a="1"/>
  <c r="U454" i="1" s="1"/>
  <c r="T454" i="1"/>
  <c r="S454" i="1" a="1"/>
  <c r="S454" i="1" s="1"/>
  <c r="C454" i="1" s="1" a="1"/>
  <c r="R454" i="1" a="1"/>
  <c r="R454" i="1" s="1"/>
  <c r="Q454" i="1"/>
  <c r="M454" i="1" a="1"/>
  <c r="M454" i="1"/>
  <c r="B454" i="1" s="1" a="1"/>
  <c r="B454" i="1" s="1"/>
  <c r="L454" i="1" a="1"/>
  <c r="L454" i="1"/>
  <c r="K454" i="1" a="1"/>
  <c r="K454" i="1"/>
  <c r="J454" i="1" a="1"/>
  <c r="J454" i="1" s="1"/>
  <c r="I454" i="1" a="1"/>
  <c r="I454" i="1"/>
  <c r="H454" i="1" a="1"/>
  <c r="H454" i="1" s="1"/>
  <c r="G454" i="1" a="1"/>
  <c r="G454" i="1"/>
  <c r="C454" i="1"/>
  <c r="Y453" i="1" a="1"/>
  <c r="Y453" i="1"/>
  <c r="E453" i="1" s="1" a="1"/>
  <c r="V453" i="1" a="1"/>
  <c r="V453" i="1" s="1"/>
  <c r="U453" i="1" a="1"/>
  <c r="U453" i="1" s="1"/>
  <c r="T453" i="1"/>
  <c r="S453" i="1" a="1"/>
  <c r="S453" i="1" s="1"/>
  <c r="R453" i="1" a="1"/>
  <c r="R453" i="1" s="1"/>
  <c r="Q453" i="1"/>
  <c r="M453" i="1" a="1"/>
  <c r="M453" i="1"/>
  <c r="L453" i="1" a="1"/>
  <c r="L453" i="1" s="1"/>
  <c r="K453" i="1" a="1"/>
  <c r="K453" i="1"/>
  <c r="J453" i="1" a="1"/>
  <c r="J453" i="1" s="1"/>
  <c r="I453" i="1" a="1"/>
  <c r="I453" i="1"/>
  <c r="H453" i="1" a="1"/>
  <c r="H453" i="1" s="1"/>
  <c r="G453" i="1" a="1"/>
  <c r="G453" i="1"/>
  <c r="E453" i="1"/>
  <c r="B453" i="1" a="1"/>
  <c r="B453" i="1" s="1"/>
  <c r="Y452" i="1" a="1"/>
  <c r="Y452" i="1"/>
  <c r="V452" i="1" a="1"/>
  <c r="V452" i="1" s="1"/>
  <c r="U452" i="1" a="1"/>
  <c r="U452" i="1" s="1"/>
  <c r="T452" i="1"/>
  <c r="S452" i="1" a="1"/>
  <c r="S452" i="1" s="1"/>
  <c r="C452" i="1" s="1" a="1"/>
  <c r="Q452" i="1"/>
  <c r="M452" i="1" a="1"/>
  <c r="M452" i="1"/>
  <c r="B452" i="1" s="1" a="1"/>
  <c r="B452" i="1" s="1"/>
  <c r="L452" i="1" a="1"/>
  <c r="L452" i="1" s="1"/>
  <c r="K452" i="1" a="1"/>
  <c r="K452" i="1"/>
  <c r="J452" i="1" a="1"/>
  <c r="J452" i="1" s="1"/>
  <c r="I452" i="1" a="1"/>
  <c r="I452" i="1"/>
  <c r="H452" i="1" a="1"/>
  <c r="H452" i="1"/>
  <c r="G452" i="1" a="1"/>
  <c r="G452" i="1"/>
  <c r="C452" i="1"/>
  <c r="Y451" i="1" a="1"/>
  <c r="Y451" i="1"/>
  <c r="V451" i="1" a="1"/>
  <c r="V451" i="1"/>
  <c r="U451" i="1" a="1"/>
  <c r="U451" i="1"/>
  <c r="T451" i="1"/>
  <c r="S451" i="1" a="1"/>
  <c r="S451" i="1" s="1"/>
  <c r="R451" i="1" s="1" a="1"/>
  <c r="R451" i="1" s="1"/>
  <c r="Q451" i="1"/>
  <c r="M451" i="1" a="1"/>
  <c r="M451" i="1"/>
  <c r="L451" i="1" a="1"/>
  <c r="L451" i="1" s="1"/>
  <c r="K451" i="1" a="1"/>
  <c r="K451" i="1"/>
  <c r="J451" i="1" a="1"/>
  <c r="J451" i="1"/>
  <c r="I451" i="1" a="1"/>
  <c r="I451" i="1"/>
  <c r="H451" i="1" a="1"/>
  <c r="H451" i="1" s="1"/>
  <c r="G451" i="1" a="1"/>
  <c r="G451" i="1"/>
  <c r="B451" i="1" a="1"/>
  <c r="B451" i="1" s="1"/>
  <c r="Y450" i="1" a="1"/>
  <c r="Y450" i="1"/>
  <c r="V450" i="1" a="1"/>
  <c r="V450" i="1" s="1"/>
  <c r="U450" i="1" a="1"/>
  <c r="U450" i="1"/>
  <c r="T450" i="1"/>
  <c r="S450" i="1" a="1"/>
  <c r="S450" i="1" s="1"/>
  <c r="Q450" i="1"/>
  <c r="M450" i="1" a="1"/>
  <c r="M450" i="1"/>
  <c r="B450" i="1" s="1" a="1"/>
  <c r="B450" i="1" s="1"/>
  <c r="L450" i="1" a="1"/>
  <c r="L450" i="1"/>
  <c r="K450" i="1" a="1"/>
  <c r="K450" i="1"/>
  <c r="J450" i="1" a="1"/>
  <c r="J450" i="1" s="1"/>
  <c r="I450" i="1" a="1"/>
  <c r="I450" i="1"/>
  <c r="H450" i="1" a="1"/>
  <c r="H450" i="1" s="1"/>
  <c r="G450" i="1" a="1"/>
  <c r="G450" i="1"/>
  <c r="Y449" i="1" a="1"/>
  <c r="Y449" i="1"/>
  <c r="E449" i="1" s="1" a="1"/>
  <c r="V449" i="1" a="1"/>
  <c r="V449" i="1" s="1"/>
  <c r="U449" i="1" a="1"/>
  <c r="U449" i="1" s="1"/>
  <c r="T449" i="1"/>
  <c r="S449" i="1" a="1"/>
  <c r="S449" i="1" s="1"/>
  <c r="R449" i="1" a="1"/>
  <c r="R449" i="1" s="1"/>
  <c r="Q449" i="1"/>
  <c r="M449" i="1" a="1"/>
  <c r="M449" i="1"/>
  <c r="B449" i="1" s="1" a="1"/>
  <c r="B449" i="1" s="1"/>
  <c r="L449" i="1" a="1"/>
  <c r="L449" i="1" s="1"/>
  <c r="K449" i="1" a="1"/>
  <c r="K449" i="1"/>
  <c r="J449" i="1" a="1"/>
  <c r="J449" i="1" s="1"/>
  <c r="I449" i="1" a="1"/>
  <c r="I449" i="1"/>
  <c r="H449" i="1" a="1"/>
  <c r="H449" i="1" s="1"/>
  <c r="G449" i="1" a="1"/>
  <c r="G449" i="1"/>
  <c r="E449" i="1"/>
  <c r="Y448" i="1" a="1"/>
  <c r="Y448" i="1"/>
  <c r="V448" i="1" a="1"/>
  <c r="V448" i="1" s="1"/>
  <c r="U448" i="1" a="1"/>
  <c r="U448" i="1"/>
  <c r="T448" i="1"/>
  <c r="S448" i="1" a="1"/>
  <c r="S448" i="1" s="1"/>
  <c r="C448" i="1" s="1" a="1"/>
  <c r="C448" i="1" s="1"/>
  <c r="R448" i="1" a="1"/>
  <c r="R448" i="1" s="1"/>
  <c r="Q448" i="1"/>
  <c r="M448" i="1" a="1"/>
  <c r="M448" i="1"/>
  <c r="B448" i="1" s="1" a="1"/>
  <c r="B448" i="1" s="1"/>
  <c r="L448" i="1" a="1"/>
  <c r="L448" i="1" s="1"/>
  <c r="K448" i="1" a="1"/>
  <c r="K448" i="1"/>
  <c r="J448" i="1" a="1"/>
  <c r="J448" i="1" s="1"/>
  <c r="I448" i="1" a="1"/>
  <c r="I448" i="1"/>
  <c r="H448" i="1" a="1"/>
  <c r="H448" i="1"/>
  <c r="G448" i="1" a="1"/>
  <c r="G448" i="1"/>
  <c r="Y447" i="1" a="1"/>
  <c r="Y447" i="1"/>
  <c r="E447" i="1" s="1" a="1"/>
  <c r="E447" i="1" s="1"/>
  <c r="V447" i="1" a="1"/>
  <c r="V447" i="1"/>
  <c r="U447" i="1" a="1"/>
  <c r="U447" i="1" s="1"/>
  <c r="T447" i="1"/>
  <c r="S447" i="1" a="1"/>
  <c r="S447" i="1"/>
  <c r="R447" i="1" a="1"/>
  <c r="R447" i="1" s="1"/>
  <c r="Q447" i="1"/>
  <c r="M447" i="1" a="1"/>
  <c r="M447" i="1"/>
  <c r="L447" i="1" a="1"/>
  <c r="L447" i="1" s="1"/>
  <c r="K447" i="1" a="1"/>
  <c r="K447" i="1"/>
  <c r="J447" i="1" a="1"/>
  <c r="J447" i="1" s="1"/>
  <c r="I447" i="1" a="1"/>
  <c r="I447" i="1"/>
  <c r="H447" i="1" a="1"/>
  <c r="H447" i="1" s="1"/>
  <c r="G447" i="1" a="1"/>
  <c r="G447" i="1"/>
  <c r="C447" i="1" a="1"/>
  <c r="C447" i="1"/>
  <c r="B447" i="1" a="1"/>
  <c r="B447" i="1" s="1"/>
  <c r="Y446" i="1" a="1"/>
  <c r="Y446" i="1"/>
  <c r="V446" i="1" a="1"/>
  <c r="V446" i="1" s="1"/>
  <c r="U446" i="1" a="1"/>
  <c r="U446" i="1" s="1"/>
  <c r="T446" i="1"/>
  <c r="S446" i="1" a="1"/>
  <c r="S446" i="1" s="1"/>
  <c r="Q446" i="1"/>
  <c r="M446" i="1" a="1"/>
  <c r="M446" i="1"/>
  <c r="B446" i="1" s="1" a="1"/>
  <c r="B446" i="1" s="1"/>
  <c r="L446" i="1" a="1"/>
  <c r="L446" i="1"/>
  <c r="K446" i="1" a="1"/>
  <c r="K446" i="1"/>
  <c r="J446" i="1" a="1"/>
  <c r="J446" i="1" s="1"/>
  <c r="I446" i="1" a="1"/>
  <c r="I446" i="1"/>
  <c r="H446" i="1" a="1"/>
  <c r="H446" i="1" s="1"/>
  <c r="G446" i="1" a="1"/>
  <c r="G446" i="1"/>
  <c r="Y445" i="1" a="1"/>
  <c r="Y445" i="1"/>
  <c r="V445" i="1" a="1"/>
  <c r="V445" i="1" s="1"/>
  <c r="U445" i="1" a="1"/>
  <c r="U445" i="1"/>
  <c r="T445" i="1"/>
  <c r="S445" i="1" a="1"/>
  <c r="S445" i="1"/>
  <c r="R445" i="1" a="1"/>
  <c r="R445" i="1"/>
  <c r="Q445" i="1"/>
  <c r="M445" i="1" a="1"/>
  <c r="M445" i="1"/>
  <c r="I445" i="1" a="1"/>
  <c r="I445" i="1"/>
  <c r="C445" i="1" a="1"/>
  <c r="C445" i="1"/>
  <c r="B445" i="1" a="1"/>
  <c r="B445" i="1" s="1"/>
  <c r="Y444" i="1" a="1"/>
  <c r="Y444" i="1" s="1"/>
  <c r="V444" i="1" a="1"/>
  <c r="V444" i="1" s="1"/>
  <c r="U444" i="1" a="1"/>
  <c r="U444" i="1" s="1"/>
  <c r="T444" i="1"/>
  <c r="S444" i="1" a="1"/>
  <c r="S444" i="1" s="1"/>
  <c r="R444" i="1" a="1"/>
  <c r="R444" i="1" s="1"/>
  <c r="Q444" i="1"/>
  <c r="M444" i="1" a="1"/>
  <c r="M444" i="1"/>
  <c r="B444" i="1" s="1" a="1"/>
  <c r="B444" i="1" s="1"/>
  <c r="Y443" i="1" a="1"/>
  <c r="Y443" i="1"/>
  <c r="K443" i="1" s="1" a="1"/>
  <c r="K443" i="1" s="1"/>
  <c r="V443" i="1" a="1"/>
  <c r="V443" i="1" s="1"/>
  <c r="U443" i="1" a="1"/>
  <c r="U443" i="1" s="1"/>
  <c r="T443" i="1"/>
  <c r="S443" i="1" a="1"/>
  <c r="S443" i="1" s="1"/>
  <c r="C443" i="1" s="1" a="1"/>
  <c r="R443" i="1" a="1"/>
  <c r="R443" i="1" s="1"/>
  <c r="Q443" i="1"/>
  <c r="M443" i="1" a="1"/>
  <c r="M443" i="1" s="1"/>
  <c r="B443" i="1" s="1" a="1"/>
  <c r="B443" i="1" s="1"/>
  <c r="I443" i="1" a="1"/>
  <c r="I443" i="1"/>
  <c r="E443" i="1" a="1"/>
  <c r="E443" i="1"/>
  <c r="C443" i="1"/>
  <c r="Y442" i="1" a="1"/>
  <c r="Y442" i="1" s="1"/>
  <c r="V442" i="1" a="1"/>
  <c r="V442" i="1" s="1"/>
  <c r="U442" i="1" a="1"/>
  <c r="U442" i="1"/>
  <c r="T442" i="1"/>
  <c r="S442" i="1" a="1"/>
  <c r="S442" i="1" s="1"/>
  <c r="Q442" i="1"/>
  <c r="M442" i="1" a="1"/>
  <c r="M442" i="1"/>
  <c r="B442" i="1" a="1"/>
  <c r="B442" i="1" s="1"/>
  <c r="Y441" i="1" a="1"/>
  <c r="Y441" i="1"/>
  <c r="K441" i="1" s="1" a="1"/>
  <c r="V441" i="1" a="1"/>
  <c r="V441" i="1" s="1"/>
  <c r="U441" i="1" a="1"/>
  <c r="U441" i="1"/>
  <c r="T441" i="1"/>
  <c r="S441" i="1" a="1"/>
  <c r="S441" i="1" s="1"/>
  <c r="Q441" i="1"/>
  <c r="M441" i="1" a="1"/>
  <c r="M441" i="1"/>
  <c r="B441" i="1" s="1" a="1"/>
  <c r="B441" i="1" s="1"/>
  <c r="K441" i="1"/>
  <c r="E441" i="1" a="1"/>
  <c r="E441" i="1" s="1"/>
  <c r="Y440" i="1" a="1"/>
  <c r="Y440" i="1" s="1"/>
  <c r="V440" i="1" a="1"/>
  <c r="V440" i="1" s="1"/>
  <c r="U440" i="1" a="1"/>
  <c r="U440" i="1"/>
  <c r="T440" i="1"/>
  <c r="S440" i="1" a="1"/>
  <c r="S440" i="1"/>
  <c r="I440" i="1" s="1" a="1"/>
  <c r="R440" i="1" a="1"/>
  <c r="R440" i="1" s="1"/>
  <c r="Q440" i="1"/>
  <c r="M440" i="1" a="1"/>
  <c r="M440" i="1"/>
  <c r="K440" i="1" a="1"/>
  <c r="K440" i="1" s="1"/>
  <c r="I440" i="1"/>
  <c r="B440" i="1" a="1"/>
  <c r="B440" i="1" s="1"/>
  <c r="Y439" i="1" a="1"/>
  <c r="Y439" i="1"/>
  <c r="V439" i="1" a="1"/>
  <c r="V439" i="1"/>
  <c r="U439" i="1" a="1"/>
  <c r="U439" i="1" s="1"/>
  <c r="T439" i="1"/>
  <c r="S439" i="1" a="1"/>
  <c r="S439" i="1" s="1"/>
  <c r="C439" i="1" s="1" a="1"/>
  <c r="Q439" i="1"/>
  <c r="M439" i="1" a="1"/>
  <c r="M439" i="1" s="1"/>
  <c r="B439" i="1" s="1" a="1"/>
  <c r="B439" i="1" s="1"/>
  <c r="I439" i="1" a="1"/>
  <c r="I439" i="1" s="1"/>
  <c r="C439" i="1"/>
  <c r="Y438" i="1" a="1"/>
  <c r="Y438" i="1"/>
  <c r="E438" i="1" s="1" a="1"/>
  <c r="E438" i="1" s="1"/>
  <c r="V438" i="1" a="1"/>
  <c r="V438" i="1" s="1"/>
  <c r="U438" i="1" a="1"/>
  <c r="U438" i="1"/>
  <c r="T438" i="1"/>
  <c r="S438" i="1" a="1"/>
  <c r="S438" i="1" s="1"/>
  <c r="Q438" i="1"/>
  <c r="M438" i="1" a="1"/>
  <c r="M438" i="1"/>
  <c r="K438" i="1" a="1"/>
  <c r="K438" i="1" s="1"/>
  <c r="B438" i="1" a="1"/>
  <c r="B438" i="1" s="1"/>
  <c r="Y437" i="1" a="1"/>
  <c r="Y437" i="1"/>
  <c r="E437" i="1" s="1" a="1"/>
  <c r="E437" i="1" s="1"/>
  <c r="V437" i="1" a="1"/>
  <c r="V437" i="1"/>
  <c r="U437" i="1" a="1"/>
  <c r="U437" i="1" s="1"/>
  <c r="T437" i="1"/>
  <c r="S437" i="1" a="1"/>
  <c r="S437" i="1" s="1"/>
  <c r="C437" i="1" s="1" a="1"/>
  <c r="C437" i="1" s="1"/>
  <c r="R437" i="1" a="1"/>
  <c r="R437" i="1" s="1"/>
  <c r="Q437" i="1"/>
  <c r="M437" i="1" a="1"/>
  <c r="M437" i="1"/>
  <c r="B437" i="1" s="1" a="1"/>
  <c r="B437" i="1" s="1"/>
  <c r="I437" i="1" a="1"/>
  <c r="I437" i="1" s="1"/>
  <c r="Y436" i="1" a="1"/>
  <c r="Y436" i="1"/>
  <c r="V436" i="1" a="1"/>
  <c r="V436" i="1" s="1"/>
  <c r="U436" i="1" a="1"/>
  <c r="U436" i="1"/>
  <c r="T436" i="1"/>
  <c r="S436" i="1" a="1"/>
  <c r="S436" i="1"/>
  <c r="I436" i="1" s="1" a="1"/>
  <c r="Q436" i="1"/>
  <c r="M436" i="1" a="1"/>
  <c r="M436" i="1"/>
  <c r="B436" i="1" s="1" a="1"/>
  <c r="B436" i="1" s="1"/>
  <c r="I436" i="1"/>
  <c r="C436" i="1" a="1"/>
  <c r="C436" i="1"/>
  <c r="Y435" i="1" a="1"/>
  <c r="Y435" i="1"/>
  <c r="K435" i="1" s="1" a="1"/>
  <c r="V435" i="1" a="1"/>
  <c r="V435" i="1"/>
  <c r="U435" i="1" a="1"/>
  <c r="U435" i="1" s="1"/>
  <c r="T435" i="1"/>
  <c r="S435" i="1" a="1"/>
  <c r="S435" i="1" s="1"/>
  <c r="C435" i="1" s="1" a="1"/>
  <c r="R435" i="1" a="1"/>
  <c r="R435" i="1"/>
  <c r="Q435" i="1"/>
  <c r="M435" i="1" a="1"/>
  <c r="M435" i="1"/>
  <c r="B435" i="1" s="1" a="1"/>
  <c r="K435" i="1"/>
  <c r="I435" i="1" a="1"/>
  <c r="I435" i="1" s="1"/>
  <c r="C435" i="1"/>
  <c r="B435" i="1"/>
  <c r="Y434" i="1" a="1"/>
  <c r="Y434" i="1"/>
  <c r="V434" i="1" a="1"/>
  <c r="V434" i="1" s="1"/>
  <c r="U434" i="1" a="1"/>
  <c r="U434" i="1"/>
  <c r="T434" i="1"/>
  <c r="S434" i="1" a="1"/>
  <c r="S434" i="1"/>
  <c r="Q434" i="1"/>
  <c r="M434" i="1" a="1"/>
  <c r="M434" i="1"/>
  <c r="B434" i="1" s="1" a="1"/>
  <c r="B434" i="1" s="1"/>
  <c r="Y433" i="1" a="1"/>
  <c r="Y433" i="1"/>
  <c r="V433" i="1" a="1"/>
  <c r="V433" i="1" s="1"/>
  <c r="U433" i="1" a="1"/>
  <c r="U433" i="1" s="1"/>
  <c r="T433" i="1"/>
  <c r="S433" i="1" a="1"/>
  <c r="S433" i="1" s="1"/>
  <c r="C433" i="1" s="1" a="1"/>
  <c r="R433" i="1" a="1"/>
  <c r="R433" i="1"/>
  <c r="Q433" i="1"/>
  <c r="M433" i="1" a="1"/>
  <c r="M433" i="1" s="1"/>
  <c r="B433" i="1" s="1" a="1"/>
  <c r="B433" i="1" s="1"/>
  <c r="I433" i="1" a="1"/>
  <c r="I433" i="1" s="1"/>
  <c r="C433" i="1"/>
  <c r="Y432" i="1" a="1"/>
  <c r="Y432" i="1"/>
  <c r="V432" i="1" a="1"/>
  <c r="V432" i="1" s="1"/>
  <c r="U432" i="1" a="1"/>
  <c r="U432" i="1" s="1"/>
  <c r="T432" i="1"/>
  <c r="S432" i="1" a="1"/>
  <c r="S432" i="1" s="1"/>
  <c r="Q432" i="1"/>
  <c r="M432" i="1" a="1"/>
  <c r="M432" i="1"/>
  <c r="C432" i="1" a="1"/>
  <c r="C432" i="1" s="1"/>
  <c r="B432" i="1" a="1"/>
  <c r="B432" i="1" s="1"/>
  <c r="Y431" i="1" a="1"/>
  <c r="Y431" i="1"/>
  <c r="K431" i="1" s="1" a="1"/>
  <c r="V431" i="1" a="1"/>
  <c r="V431" i="1"/>
  <c r="U431" i="1" a="1"/>
  <c r="U431" i="1" s="1"/>
  <c r="T431" i="1"/>
  <c r="S431" i="1" a="1"/>
  <c r="S431" i="1" s="1"/>
  <c r="Q431" i="1"/>
  <c r="M431" i="1" a="1"/>
  <c r="M431" i="1" s="1"/>
  <c r="B431" i="1" s="1" a="1"/>
  <c r="B431" i="1" s="1"/>
  <c r="K431" i="1"/>
  <c r="E431" i="1" a="1"/>
  <c r="E431" i="1" s="1"/>
  <c r="Y430" i="1" a="1"/>
  <c r="Y430" i="1" s="1"/>
  <c r="V430" i="1" a="1"/>
  <c r="V430" i="1" s="1"/>
  <c r="U430" i="1" a="1"/>
  <c r="U430" i="1" s="1"/>
  <c r="T430" i="1"/>
  <c r="S430" i="1" a="1"/>
  <c r="S430" i="1" s="1"/>
  <c r="I430" i="1" s="1" a="1"/>
  <c r="I430" i="1" s="1"/>
  <c r="Q430" i="1"/>
  <c r="M430" i="1" a="1"/>
  <c r="M430" i="1"/>
  <c r="B430" i="1" s="1" a="1"/>
  <c r="B430" i="1" s="1"/>
  <c r="C430" i="1" a="1"/>
  <c r="C430" i="1" s="1"/>
  <c r="Y429" i="1" a="1"/>
  <c r="Y429" i="1"/>
  <c r="K429" i="1" s="1" a="1"/>
  <c r="K429" i="1" s="1"/>
  <c r="V429" i="1" a="1"/>
  <c r="V429" i="1" s="1"/>
  <c r="U429" i="1" a="1"/>
  <c r="U429" i="1" s="1"/>
  <c r="T429" i="1"/>
  <c r="S429" i="1" a="1"/>
  <c r="S429" i="1" s="1"/>
  <c r="C429" i="1" s="1" a="1"/>
  <c r="R429" i="1" a="1"/>
  <c r="R429" i="1" s="1"/>
  <c r="Q429" i="1"/>
  <c r="M429" i="1" a="1"/>
  <c r="M429" i="1"/>
  <c r="B429" i="1" s="1" a="1"/>
  <c r="B429" i="1" s="1"/>
  <c r="I429" i="1" a="1"/>
  <c r="I429" i="1" s="1"/>
  <c r="C429" i="1"/>
  <c r="Y428" i="1" a="1"/>
  <c r="Y428" i="1" s="1"/>
  <c r="E428" i="1" s="1" a="1"/>
  <c r="V428" i="1" a="1"/>
  <c r="V428" i="1" s="1"/>
  <c r="U428" i="1" a="1"/>
  <c r="U428" i="1" s="1"/>
  <c r="T428" i="1"/>
  <c r="S428" i="1" a="1"/>
  <c r="S428" i="1"/>
  <c r="Q428" i="1"/>
  <c r="M428" i="1" a="1"/>
  <c r="M428" i="1"/>
  <c r="E428" i="1"/>
  <c r="B428" i="1" a="1"/>
  <c r="B428" i="1" s="1"/>
  <c r="Y427" i="1" a="1"/>
  <c r="Y427" i="1"/>
  <c r="V427" i="1" a="1"/>
  <c r="V427" i="1" s="1"/>
  <c r="U427" i="1" a="1"/>
  <c r="U427" i="1" s="1"/>
  <c r="T427" i="1"/>
  <c r="S427" i="1" a="1"/>
  <c r="S427" i="1"/>
  <c r="R427" i="1" a="1"/>
  <c r="R427" i="1"/>
  <c r="Q427" i="1"/>
  <c r="M427" i="1" a="1"/>
  <c r="M427" i="1"/>
  <c r="I427" i="1" a="1"/>
  <c r="I427" i="1" s="1"/>
  <c r="C427" i="1" a="1"/>
  <c r="C427" i="1"/>
  <c r="B427" i="1" a="1"/>
  <c r="B427" i="1"/>
  <c r="Y426" i="1" a="1"/>
  <c r="Y426" i="1" s="1"/>
  <c r="V426" i="1" a="1"/>
  <c r="V426" i="1" s="1"/>
  <c r="U426" i="1" a="1"/>
  <c r="U426" i="1" s="1"/>
  <c r="T426" i="1"/>
  <c r="S426" i="1" a="1"/>
  <c r="S426" i="1"/>
  <c r="Q426" i="1"/>
  <c r="M426" i="1" a="1"/>
  <c r="M426" i="1"/>
  <c r="B426" i="1" s="1" a="1"/>
  <c r="B426" i="1" s="1"/>
  <c r="Y425" i="1" a="1"/>
  <c r="Y425" i="1"/>
  <c r="V425" i="1" a="1"/>
  <c r="V425" i="1" s="1"/>
  <c r="U425" i="1" a="1"/>
  <c r="U425" i="1" s="1"/>
  <c r="T425" i="1"/>
  <c r="S425" i="1" a="1"/>
  <c r="S425" i="1"/>
  <c r="R425" i="1" a="1"/>
  <c r="R425" i="1" s="1"/>
  <c r="Q425" i="1"/>
  <c r="M425" i="1" a="1"/>
  <c r="M425" i="1" s="1"/>
  <c r="I425" i="1" a="1"/>
  <c r="I425" i="1"/>
  <c r="E425" i="1" a="1"/>
  <c r="E425" i="1" s="1"/>
  <c r="C425" i="1" a="1"/>
  <c r="C425" i="1"/>
  <c r="B425" i="1" a="1"/>
  <c r="B425" i="1" s="1"/>
  <c r="Y424" i="1" a="1"/>
  <c r="Y424" i="1"/>
  <c r="V424" i="1" a="1"/>
  <c r="V424" i="1" s="1"/>
  <c r="U424" i="1" a="1"/>
  <c r="U424" i="1" s="1"/>
  <c r="T424" i="1"/>
  <c r="S424" i="1" a="1"/>
  <c r="S424" i="1" s="1"/>
  <c r="R424" i="1" s="1" a="1"/>
  <c r="R424" i="1"/>
  <c r="Q424" i="1"/>
  <c r="M424" i="1" a="1"/>
  <c r="M424" i="1"/>
  <c r="B424" i="1" s="1" a="1"/>
  <c r="B424" i="1" s="1"/>
  <c r="I424" i="1" a="1"/>
  <c r="I424" i="1"/>
  <c r="G424" i="1" a="1"/>
  <c r="G424" i="1" s="1"/>
  <c r="E424" i="1" a="1"/>
  <c r="E424" i="1"/>
  <c r="C424" i="1" a="1"/>
  <c r="C424" i="1" s="1"/>
  <c r="Y423" i="1" a="1"/>
  <c r="Y423" i="1"/>
  <c r="V423" i="1" a="1"/>
  <c r="V423" i="1"/>
  <c r="U423" i="1" a="1"/>
  <c r="U423" i="1" s="1"/>
  <c r="T423" i="1"/>
  <c r="S423" i="1" a="1"/>
  <c r="S423" i="1"/>
  <c r="R423" i="1" a="1"/>
  <c r="R423" i="1" s="1"/>
  <c r="G423" i="1" s="1" a="1"/>
  <c r="G423" i="1" s="1"/>
  <c r="Q423" i="1"/>
  <c r="M423" i="1" a="1"/>
  <c r="M423" i="1" s="1"/>
  <c r="B423" i="1" s="1" a="1"/>
  <c r="B423" i="1" s="1"/>
  <c r="I423" i="1" a="1"/>
  <c r="I423" i="1" s="1"/>
  <c r="E423" i="1" a="1"/>
  <c r="E423" i="1"/>
  <c r="C423" i="1" a="1"/>
  <c r="C423" i="1" s="1"/>
  <c r="Y422" i="1" a="1"/>
  <c r="Y422" i="1" s="1"/>
  <c r="K422" i="1" s="1" a="1"/>
  <c r="K422" i="1" s="1"/>
  <c r="V422" i="1" a="1"/>
  <c r="V422" i="1" s="1"/>
  <c r="U422" i="1" a="1"/>
  <c r="U422" i="1" s="1"/>
  <c r="T422" i="1"/>
  <c r="S422" i="1" a="1"/>
  <c r="S422" i="1" s="1"/>
  <c r="Q422" i="1"/>
  <c r="M422" i="1" a="1"/>
  <c r="M422" i="1"/>
  <c r="B422" i="1" s="1" a="1"/>
  <c r="B422" i="1" s="1"/>
  <c r="E422" i="1" a="1"/>
  <c r="E422" i="1" s="1"/>
  <c r="C422" i="1" a="1"/>
  <c r="C422" i="1" s="1"/>
  <c r="Y421" i="1" a="1"/>
  <c r="Y421" i="1" s="1"/>
  <c r="V421" i="1" a="1"/>
  <c r="V421" i="1" s="1"/>
  <c r="U421" i="1" a="1"/>
  <c r="U421" i="1"/>
  <c r="T421" i="1"/>
  <c r="S421" i="1" a="1"/>
  <c r="S421" i="1"/>
  <c r="R421" i="1" s="1" a="1"/>
  <c r="R421" i="1"/>
  <c r="Q421" i="1"/>
  <c r="M421" i="1" a="1"/>
  <c r="M421" i="1"/>
  <c r="B421" i="1" s="1" a="1"/>
  <c r="B421" i="1"/>
  <c r="Y420" i="1" a="1"/>
  <c r="Y420" i="1" s="1"/>
  <c r="V420" i="1" a="1"/>
  <c r="V420" i="1" s="1"/>
  <c r="U420" i="1" a="1"/>
  <c r="U420" i="1" s="1"/>
  <c r="T420" i="1"/>
  <c r="S420" i="1" a="1"/>
  <c r="S420" i="1"/>
  <c r="R420" i="1" a="1"/>
  <c r="R420" i="1" s="1"/>
  <c r="Q420" i="1"/>
  <c r="M420" i="1" a="1"/>
  <c r="M420" i="1"/>
  <c r="B420" i="1" s="1" a="1"/>
  <c r="B420" i="1" s="1"/>
  <c r="Y419" i="1" a="1"/>
  <c r="Y419" i="1" s="1"/>
  <c r="V419" i="1" a="1"/>
  <c r="V419" i="1" s="1"/>
  <c r="U419" i="1" a="1"/>
  <c r="U419" i="1" s="1"/>
  <c r="T419" i="1"/>
  <c r="S419" i="1" a="1"/>
  <c r="S419" i="1"/>
  <c r="C419" i="1" s="1" a="1"/>
  <c r="C419" i="1" s="1"/>
  <c r="R419" i="1" a="1"/>
  <c r="R419" i="1" s="1"/>
  <c r="Q419" i="1"/>
  <c r="M419" i="1" a="1"/>
  <c r="M419" i="1" s="1"/>
  <c r="I419" i="1" a="1"/>
  <c r="I419" i="1" s="1"/>
  <c r="E419" i="1" a="1"/>
  <c r="E419" i="1"/>
  <c r="B419" i="1" a="1"/>
  <c r="B419" i="1" s="1"/>
  <c r="Y418" i="1" a="1"/>
  <c r="Y418" i="1" s="1"/>
  <c r="K418" i="1" s="1" a="1"/>
  <c r="K418" i="1" s="1"/>
  <c r="V418" i="1" a="1"/>
  <c r="V418" i="1" s="1"/>
  <c r="U418" i="1" a="1"/>
  <c r="U418" i="1" s="1"/>
  <c r="T418" i="1"/>
  <c r="S418" i="1" a="1"/>
  <c r="S418" i="1"/>
  <c r="Q418" i="1"/>
  <c r="M418" i="1" a="1"/>
  <c r="M418" i="1" s="1"/>
  <c r="E418" i="1" a="1"/>
  <c r="E418" i="1" s="1"/>
  <c r="B418" i="1" a="1"/>
  <c r="B418" i="1" s="1"/>
  <c r="Y417" i="1" a="1"/>
  <c r="Y417" i="1" s="1"/>
  <c r="V417" i="1" a="1"/>
  <c r="V417" i="1" s="1"/>
  <c r="U417" i="1" a="1"/>
  <c r="U417" i="1" s="1"/>
  <c r="T417" i="1"/>
  <c r="S417" i="1" a="1"/>
  <c r="S417" i="1"/>
  <c r="Q417" i="1"/>
  <c r="M417" i="1" a="1"/>
  <c r="M417" i="1" s="1"/>
  <c r="B417" i="1" s="1" a="1"/>
  <c r="B417" i="1" s="1"/>
  <c r="K417" i="1" a="1"/>
  <c r="K417" i="1" s="1"/>
  <c r="Y416" i="1" a="1"/>
  <c r="Y416" i="1" s="1"/>
  <c r="V416" i="1" a="1"/>
  <c r="V416" i="1" s="1"/>
  <c r="U416" i="1" a="1"/>
  <c r="U416" i="1" s="1"/>
  <c r="T416" i="1"/>
  <c r="S416" i="1" a="1"/>
  <c r="S416" i="1" s="1"/>
  <c r="R416" i="1" a="1"/>
  <c r="R416" i="1" s="1"/>
  <c r="Q416" i="1"/>
  <c r="M416" i="1" a="1"/>
  <c r="M416" i="1" s="1"/>
  <c r="B416" i="1" s="1" a="1"/>
  <c r="B416" i="1" s="1"/>
  <c r="G416" i="1" a="1"/>
  <c r="G416" i="1" s="1"/>
  <c r="Y415" i="1" a="1"/>
  <c r="Y415" i="1" s="1"/>
  <c r="E415" i="1" s="1" a="1"/>
  <c r="E415" i="1" s="1"/>
  <c r="V415" i="1" a="1"/>
  <c r="V415" i="1" s="1"/>
  <c r="U415" i="1" a="1"/>
  <c r="U415" i="1" s="1"/>
  <c r="T415" i="1"/>
  <c r="S415" i="1" a="1"/>
  <c r="S415" i="1"/>
  <c r="R415" i="1" a="1"/>
  <c r="R415" i="1" s="1"/>
  <c r="G415" i="1" s="1" a="1"/>
  <c r="G415" i="1" s="1"/>
  <c r="Q415" i="1"/>
  <c r="M415" i="1" a="1"/>
  <c r="M415" i="1"/>
  <c r="K415" i="1" a="1"/>
  <c r="K415" i="1" s="1"/>
  <c r="C415" i="1" a="1"/>
  <c r="C415" i="1" s="1"/>
  <c r="B415" i="1" a="1"/>
  <c r="B415" i="1" s="1"/>
  <c r="Y414" i="1" a="1"/>
  <c r="Y414" i="1"/>
  <c r="V414" i="1" a="1"/>
  <c r="V414" i="1" s="1"/>
  <c r="U414" i="1" a="1"/>
  <c r="U414" i="1" s="1"/>
  <c r="T414" i="1"/>
  <c r="S414" i="1" a="1"/>
  <c r="S414" i="1" s="1"/>
  <c r="C414" i="1" s="1" a="1"/>
  <c r="C414" i="1" s="1"/>
  <c r="Q414" i="1"/>
  <c r="M414" i="1" a="1"/>
  <c r="M414" i="1"/>
  <c r="B414" i="1" s="1" a="1"/>
  <c r="B414" i="1" s="1"/>
  <c r="Y413" i="1" a="1"/>
  <c r="Y413" i="1" s="1"/>
  <c r="V413" i="1" a="1"/>
  <c r="V413" i="1" s="1"/>
  <c r="U413" i="1" a="1"/>
  <c r="U413" i="1" s="1"/>
  <c r="T413" i="1"/>
  <c r="S413" i="1" a="1"/>
  <c r="S413" i="1"/>
  <c r="I413" i="1" s="1" a="1"/>
  <c r="R413" i="1" a="1"/>
  <c r="R413" i="1" s="1"/>
  <c r="Q413" i="1"/>
  <c r="M413" i="1" a="1"/>
  <c r="M413" i="1" s="1"/>
  <c r="B413" i="1" s="1" a="1"/>
  <c r="B413" i="1" s="1"/>
  <c r="I413" i="1"/>
  <c r="G413" i="1" a="1"/>
  <c r="G413" i="1" s="1"/>
  <c r="C413" i="1" a="1"/>
  <c r="C413" i="1"/>
  <c r="Y412" i="1" a="1"/>
  <c r="Y412" i="1" s="1"/>
  <c r="E412" i="1" s="1" a="1"/>
  <c r="E412" i="1" s="1"/>
  <c r="V412" i="1" a="1"/>
  <c r="V412" i="1" s="1"/>
  <c r="U412" i="1" a="1"/>
  <c r="U412" i="1" s="1"/>
  <c r="T412" i="1"/>
  <c r="S412" i="1" a="1"/>
  <c r="S412" i="1" s="1"/>
  <c r="R412" i="1" a="1"/>
  <c r="R412" i="1" s="1"/>
  <c r="Q412" i="1"/>
  <c r="M412" i="1" a="1"/>
  <c r="M412" i="1"/>
  <c r="B412" i="1" s="1" a="1"/>
  <c r="B412" i="1" s="1"/>
  <c r="K412" i="1" a="1"/>
  <c r="K412" i="1" s="1"/>
  <c r="C412" i="1" a="1"/>
  <c r="C412" i="1" s="1"/>
  <c r="Y411" i="1" a="1"/>
  <c r="Y411" i="1" s="1"/>
  <c r="V411" i="1" a="1"/>
  <c r="V411" i="1"/>
  <c r="U411" i="1" a="1"/>
  <c r="U411" i="1" s="1"/>
  <c r="T411" i="1"/>
  <c r="S411" i="1" a="1"/>
  <c r="S411" i="1"/>
  <c r="Q411" i="1"/>
  <c r="M411" i="1" a="1"/>
  <c r="M411" i="1"/>
  <c r="B411" i="1" s="1" a="1"/>
  <c r="B411" i="1" s="1"/>
  <c r="I411" i="1" a="1"/>
  <c r="I411" i="1" s="1"/>
  <c r="C411" i="1" a="1"/>
  <c r="C411" i="1" s="1"/>
  <c r="Y410" i="1" a="1"/>
  <c r="Y410" i="1" s="1"/>
  <c r="V410" i="1" a="1"/>
  <c r="V410" i="1" s="1"/>
  <c r="U410" i="1" a="1"/>
  <c r="U410" i="1" s="1"/>
  <c r="T410" i="1"/>
  <c r="S410" i="1" a="1"/>
  <c r="S410" i="1"/>
  <c r="Q410" i="1"/>
  <c r="M410" i="1" a="1"/>
  <c r="M410" i="1" s="1"/>
  <c r="C410" i="1" a="1"/>
  <c r="C410" i="1" s="1"/>
  <c r="B410" i="1" a="1"/>
  <c r="B410" i="1" s="1"/>
  <c r="Y409" i="1" a="1"/>
  <c r="Y409" i="1" s="1"/>
  <c r="V409" i="1" a="1"/>
  <c r="V409" i="1"/>
  <c r="U409" i="1" a="1"/>
  <c r="U409" i="1" s="1"/>
  <c r="T409" i="1"/>
  <c r="S409" i="1" a="1"/>
  <c r="S409" i="1"/>
  <c r="R409" i="1" s="1" a="1"/>
  <c r="R409" i="1"/>
  <c r="Q409" i="1"/>
  <c r="M409" i="1" a="1"/>
  <c r="M409" i="1"/>
  <c r="B409" i="1" s="1" a="1"/>
  <c r="B409" i="1" s="1"/>
  <c r="K409" i="1" a="1"/>
  <c r="K409" i="1" s="1"/>
  <c r="I409" i="1" a="1"/>
  <c r="I409" i="1" s="1"/>
  <c r="C409" i="1" a="1"/>
  <c r="C409" i="1" s="1"/>
  <c r="Y408" i="1" a="1"/>
  <c r="Y408" i="1"/>
  <c r="E408" i="1" s="1" a="1"/>
  <c r="V408" i="1" a="1"/>
  <c r="V408" i="1" s="1"/>
  <c r="U408" i="1" a="1"/>
  <c r="U408" i="1" s="1"/>
  <c r="T408" i="1"/>
  <c r="S408" i="1" a="1"/>
  <c r="S408" i="1" s="1"/>
  <c r="Q408" i="1"/>
  <c r="M408" i="1" a="1"/>
  <c r="M408" i="1" s="1"/>
  <c r="B408" i="1" s="1" a="1"/>
  <c r="B408" i="1" s="1"/>
  <c r="E408" i="1"/>
  <c r="Y407" i="1" a="1"/>
  <c r="Y407" i="1"/>
  <c r="V407" i="1" a="1"/>
  <c r="V407" i="1" s="1"/>
  <c r="U407" i="1" a="1"/>
  <c r="U407" i="1" s="1"/>
  <c r="T407" i="1"/>
  <c r="S407" i="1" a="1"/>
  <c r="S407" i="1"/>
  <c r="R407" i="1" a="1"/>
  <c r="R407" i="1"/>
  <c r="G407" i="1" s="1" a="1"/>
  <c r="G407" i="1" s="1"/>
  <c r="Q407" i="1"/>
  <c r="M407" i="1" a="1"/>
  <c r="M407" i="1" s="1"/>
  <c r="B407" i="1" s="1" a="1"/>
  <c r="B407" i="1" s="1"/>
  <c r="I407" i="1" a="1"/>
  <c r="I407" i="1"/>
  <c r="E407" i="1" a="1"/>
  <c r="E407" i="1"/>
  <c r="C407" i="1" a="1"/>
  <c r="C407" i="1"/>
  <c r="Y406" i="1" a="1"/>
  <c r="Y406" i="1" s="1"/>
  <c r="V406" i="1" a="1"/>
  <c r="V406" i="1" s="1"/>
  <c r="U406" i="1" a="1"/>
  <c r="U406" i="1" s="1"/>
  <c r="T406" i="1"/>
  <c r="S406" i="1" a="1"/>
  <c r="S406" i="1" s="1"/>
  <c r="R406" i="1" a="1"/>
  <c r="R406" i="1"/>
  <c r="Q406" i="1"/>
  <c r="M406" i="1" a="1"/>
  <c r="M406" i="1" s="1"/>
  <c r="B406" i="1" s="1" a="1"/>
  <c r="B406" i="1" s="1"/>
  <c r="I406" i="1" a="1"/>
  <c r="I406" i="1"/>
  <c r="C406" i="1" a="1"/>
  <c r="C406" i="1" s="1"/>
  <c r="Y405" i="1" a="1"/>
  <c r="Y405" i="1" s="1"/>
  <c r="V405" i="1" a="1"/>
  <c r="V405" i="1"/>
  <c r="U405" i="1" a="1"/>
  <c r="U405" i="1" s="1"/>
  <c r="T405" i="1"/>
  <c r="S405" i="1" a="1"/>
  <c r="S405" i="1"/>
  <c r="R405" i="1" a="1"/>
  <c r="R405" i="1" s="1"/>
  <c r="Q405" i="1"/>
  <c r="M405" i="1" a="1"/>
  <c r="M405" i="1" s="1"/>
  <c r="B405" i="1" s="1" a="1"/>
  <c r="B405" i="1" s="1"/>
  <c r="I405" i="1" a="1"/>
  <c r="I405" i="1"/>
  <c r="C405" i="1" a="1"/>
  <c r="C405" i="1" s="1"/>
  <c r="Y404" i="1" a="1"/>
  <c r="Y404" i="1" s="1"/>
  <c r="V404" i="1" a="1"/>
  <c r="V404" i="1" s="1"/>
  <c r="U404" i="1" a="1"/>
  <c r="U404" i="1" s="1"/>
  <c r="T404" i="1"/>
  <c r="S404" i="1" a="1"/>
  <c r="S404" i="1"/>
  <c r="C404" i="1" s="1" a="1"/>
  <c r="C404" i="1" s="1"/>
  <c r="R404" i="1" a="1"/>
  <c r="R404" i="1" s="1"/>
  <c r="Q404" i="1"/>
  <c r="M404" i="1" a="1"/>
  <c r="M404" i="1" s="1"/>
  <c r="B404" i="1" s="1" a="1"/>
  <c r="B404" i="1" s="1"/>
  <c r="I404" i="1" a="1"/>
  <c r="I404" i="1"/>
  <c r="Y403" i="1" a="1"/>
  <c r="Y403" i="1"/>
  <c r="V403" i="1" a="1"/>
  <c r="V403" i="1" s="1"/>
  <c r="U403" i="1" a="1"/>
  <c r="U403" i="1" s="1"/>
  <c r="T403" i="1"/>
  <c r="S403" i="1" a="1"/>
  <c r="S403" i="1"/>
  <c r="Q403" i="1"/>
  <c r="M403" i="1" a="1"/>
  <c r="M403" i="1" s="1"/>
  <c r="B403" i="1" s="1" a="1"/>
  <c r="B403" i="1" s="1"/>
  <c r="K403" i="1" a="1"/>
  <c r="K403" i="1"/>
  <c r="E403" i="1" a="1"/>
  <c r="E403" i="1"/>
  <c r="Y402" i="1" a="1"/>
  <c r="Y402" i="1"/>
  <c r="V402" i="1" a="1"/>
  <c r="V402" i="1" s="1"/>
  <c r="U402" i="1" a="1"/>
  <c r="U402" i="1" s="1"/>
  <c r="T402" i="1"/>
  <c r="S402" i="1" a="1"/>
  <c r="S402" i="1" s="1"/>
  <c r="Q402" i="1"/>
  <c r="M402" i="1" a="1"/>
  <c r="M402" i="1" s="1"/>
  <c r="B402" i="1" s="1" a="1"/>
  <c r="B402" i="1" s="1"/>
  <c r="I402" i="1" a="1"/>
  <c r="I402" i="1" s="1"/>
  <c r="Y401" i="1" a="1"/>
  <c r="Y401" i="1"/>
  <c r="K401" i="1" s="1" a="1"/>
  <c r="K401" i="1" s="1"/>
  <c r="V401" i="1" a="1"/>
  <c r="V401" i="1" s="1"/>
  <c r="U401" i="1" a="1"/>
  <c r="U401" i="1" s="1"/>
  <c r="T401" i="1"/>
  <c r="S401" i="1" a="1"/>
  <c r="S401" i="1"/>
  <c r="R401" i="1" a="1"/>
  <c r="R401" i="1"/>
  <c r="Q401" i="1"/>
  <c r="M401" i="1" a="1"/>
  <c r="M401" i="1" s="1"/>
  <c r="I401" i="1" a="1"/>
  <c r="I401" i="1" s="1"/>
  <c r="E401" i="1" a="1"/>
  <c r="E401" i="1" s="1"/>
  <c r="B401" i="1" a="1"/>
  <c r="B401" i="1"/>
  <c r="Y400" i="1" a="1"/>
  <c r="Y400" i="1"/>
  <c r="V400" i="1" a="1"/>
  <c r="V400" i="1" s="1"/>
  <c r="U400" i="1" a="1"/>
  <c r="U400" i="1" s="1"/>
  <c r="T400" i="1"/>
  <c r="S400" i="1" a="1"/>
  <c r="S400" i="1"/>
  <c r="R400" i="1" a="1"/>
  <c r="R400" i="1" s="1"/>
  <c r="Q400" i="1"/>
  <c r="M400" i="1" a="1"/>
  <c r="M400" i="1" s="1"/>
  <c r="C400" i="1" a="1"/>
  <c r="C400" i="1" s="1"/>
  <c r="B400" i="1" a="1"/>
  <c r="B400" i="1" s="1"/>
  <c r="Y399" i="1" a="1"/>
  <c r="Y399" i="1"/>
  <c r="K399" i="1" s="1" a="1"/>
  <c r="V399" i="1" a="1"/>
  <c r="V399" i="1" s="1"/>
  <c r="U399" i="1" a="1"/>
  <c r="U399" i="1" s="1"/>
  <c r="T399" i="1"/>
  <c r="S399" i="1" a="1"/>
  <c r="S399" i="1"/>
  <c r="Q399" i="1"/>
  <c r="M399" i="1" a="1"/>
  <c r="M399" i="1"/>
  <c r="B399" i="1" s="1" a="1"/>
  <c r="B399" i="1" s="1"/>
  <c r="K399" i="1"/>
  <c r="E399" i="1" a="1"/>
  <c r="E399" i="1" s="1"/>
  <c r="Y398" i="1" a="1"/>
  <c r="Y398" i="1"/>
  <c r="V398" i="1" a="1"/>
  <c r="V398" i="1" s="1"/>
  <c r="U398" i="1" a="1"/>
  <c r="U398" i="1" s="1"/>
  <c r="T398" i="1"/>
  <c r="S398" i="1" a="1"/>
  <c r="S398" i="1"/>
  <c r="R398" i="1" a="1"/>
  <c r="R398" i="1"/>
  <c r="Q398" i="1"/>
  <c r="M398" i="1" a="1"/>
  <c r="M398" i="1"/>
  <c r="C398" i="1" a="1"/>
  <c r="C398" i="1" s="1"/>
  <c r="B398" i="1" a="1"/>
  <c r="B398" i="1" s="1"/>
  <c r="Y397" i="1" a="1"/>
  <c r="Y397" i="1"/>
  <c r="E397" i="1" s="1" a="1"/>
  <c r="E397" i="1" s="1"/>
  <c r="V397" i="1" a="1"/>
  <c r="V397" i="1" s="1"/>
  <c r="U397" i="1" a="1"/>
  <c r="U397" i="1" s="1"/>
  <c r="T397" i="1"/>
  <c r="S397" i="1" a="1"/>
  <c r="S397" i="1"/>
  <c r="Q397" i="1"/>
  <c r="M397" i="1" a="1"/>
  <c r="M397" i="1"/>
  <c r="C397" i="1" a="1"/>
  <c r="C397" i="1" s="1"/>
  <c r="B397" i="1" a="1"/>
  <c r="B397" i="1" s="1"/>
  <c r="Y396" i="1" a="1"/>
  <c r="Y396" i="1" s="1"/>
  <c r="E396" i="1" s="1" a="1"/>
  <c r="E396" i="1" s="1"/>
  <c r="V396" i="1" a="1"/>
  <c r="V396" i="1" s="1"/>
  <c r="U396" i="1" a="1"/>
  <c r="U396" i="1" s="1"/>
  <c r="T396" i="1"/>
  <c r="S396" i="1" a="1"/>
  <c r="S396" i="1"/>
  <c r="Q396" i="1"/>
  <c r="M396" i="1" a="1"/>
  <c r="M396" i="1" s="1"/>
  <c r="B396" i="1" s="1" a="1"/>
  <c r="B396" i="1" s="1"/>
  <c r="K396" i="1" a="1"/>
  <c r="K396" i="1"/>
  <c r="Y395" i="1" a="1"/>
  <c r="Y395" i="1" s="1"/>
  <c r="E395" i="1" s="1" a="1"/>
  <c r="V395" i="1" a="1"/>
  <c r="V395" i="1"/>
  <c r="U395" i="1" a="1"/>
  <c r="U395" i="1" s="1"/>
  <c r="T395" i="1"/>
  <c r="S395" i="1" a="1"/>
  <c r="S395" i="1"/>
  <c r="Q395" i="1"/>
  <c r="M395" i="1" a="1"/>
  <c r="M395" i="1"/>
  <c r="E395" i="1"/>
  <c r="B395" i="1" a="1"/>
  <c r="B395" i="1" s="1"/>
  <c r="Y394" i="1" a="1"/>
  <c r="Y394" i="1" s="1"/>
  <c r="V394" i="1" a="1"/>
  <c r="V394" i="1" s="1"/>
  <c r="U394" i="1" a="1"/>
  <c r="U394" i="1" s="1"/>
  <c r="T394" i="1"/>
  <c r="S394" i="1" a="1"/>
  <c r="S394" i="1"/>
  <c r="Q394" i="1"/>
  <c r="M394" i="1" a="1"/>
  <c r="M394" i="1" s="1"/>
  <c r="B394" i="1" s="1" a="1"/>
  <c r="B394" i="1" s="1"/>
  <c r="Y393" i="1" a="1"/>
  <c r="Y393" i="1" s="1"/>
  <c r="K393" i="1" s="1" a="1"/>
  <c r="K393" i="1" s="1"/>
  <c r="V393" i="1" a="1"/>
  <c r="V393" i="1" s="1"/>
  <c r="U393" i="1" a="1"/>
  <c r="U393" i="1" s="1"/>
  <c r="T393" i="1"/>
  <c r="S393" i="1" a="1"/>
  <c r="S393" i="1"/>
  <c r="R393" i="1" s="1" a="1"/>
  <c r="R393" i="1"/>
  <c r="G393" i="1" s="1" a="1"/>
  <c r="G393" i="1" s="1"/>
  <c r="Q393" i="1"/>
  <c r="M393" i="1" a="1"/>
  <c r="M393" i="1"/>
  <c r="I393" i="1" a="1"/>
  <c r="I393" i="1" s="1"/>
  <c r="E393" i="1" a="1"/>
  <c r="E393" i="1"/>
  <c r="C393" i="1" a="1"/>
  <c r="C393" i="1"/>
  <c r="B393" i="1" a="1"/>
  <c r="B393" i="1" s="1"/>
  <c r="Y392" i="1" a="1"/>
  <c r="Y392" i="1"/>
  <c r="V392" i="1" a="1"/>
  <c r="V392" i="1" s="1"/>
  <c r="U392" i="1" a="1"/>
  <c r="U392" i="1" s="1"/>
  <c r="T392" i="1"/>
  <c r="S392" i="1" a="1"/>
  <c r="S392" i="1" s="1"/>
  <c r="R392" i="1" s="1" a="1"/>
  <c r="R392" i="1"/>
  <c r="Q392" i="1"/>
  <c r="M392" i="1" a="1"/>
  <c r="M392" i="1"/>
  <c r="B392" i="1" s="1" a="1"/>
  <c r="B392" i="1" s="1"/>
  <c r="E392" i="1" a="1"/>
  <c r="E392" i="1" s="1"/>
  <c r="C392" i="1" a="1"/>
  <c r="C392" i="1" s="1"/>
  <c r="Y391" i="1" a="1"/>
  <c r="Y391" i="1"/>
  <c r="K391" i="1" s="1" a="1"/>
  <c r="V391" i="1" a="1"/>
  <c r="V391" i="1" s="1"/>
  <c r="U391" i="1" a="1"/>
  <c r="U391" i="1" s="1"/>
  <c r="T391" i="1"/>
  <c r="S391" i="1" a="1"/>
  <c r="S391" i="1" s="1"/>
  <c r="C391" i="1" s="1" a="1"/>
  <c r="R391" i="1" a="1"/>
  <c r="R391" i="1"/>
  <c r="Q391" i="1"/>
  <c r="M391" i="1" a="1"/>
  <c r="M391" i="1"/>
  <c r="B391" i="1" s="1" a="1"/>
  <c r="B391" i="1" s="1"/>
  <c r="K391" i="1"/>
  <c r="I391" i="1" a="1"/>
  <c r="I391" i="1"/>
  <c r="E391" i="1" a="1"/>
  <c r="E391" i="1" s="1"/>
  <c r="C391" i="1"/>
  <c r="Y390" i="1" a="1"/>
  <c r="Y390" i="1" s="1"/>
  <c r="V390" i="1" a="1"/>
  <c r="V390" i="1" s="1"/>
  <c r="U390" i="1" a="1"/>
  <c r="U390" i="1" s="1"/>
  <c r="T390" i="1"/>
  <c r="S390" i="1" a="1"/>
  <c r="S390" i="1"/>
  <c r="R390" i="1" a="1"/>
  <c r="R390" i="1" s="1"/>
  <c r="Q390" i="1"/>
  <c r="M390" i="1" a="1"/>
  <c r="M390" i="1"/>
  <c r="B390" i="1" s="1" a="1"/>
  <c r="B390" i="1" s="1"/>
  <c r="Y389" i="1" a="1"/>
  <c r="Y389" i="1"/>
  <c r="V389" i="1" a="1"/>
  <c r="V389" i="1" s="1"/>
  <c r="U389" i="1" a="1"/>
  <c r="U389" i="1" s="1"/>
  <c r="T389" i="1"/>
  <c r="S389" i="1" a="1"/>
  <c r="S389" i="1" s="1"/>
  <c r="Q389" i="1"/>
  <c r="M389" i="1" a="1"/>
  <c r="M389" i="1"/>
  <c r="B389" i="1" s="1" a="1"/>
  <c r="B389" i="1" s="1"/>
  <c r="E389" i="1" a="1"/>
  <c r="E389" i="1" s="1"/>
  <c r="Y388" i="1" a="1"/>
  <c r="Y388" i="1"/>
  <c r="E388" i="1" s="1" a="1"/>
  <c r="E388" i="1" s="1"/>
  <c r="V388" i="1" a="1"/>
  <c r="V388" i="1" s="1"/>
  <c r="U388" i="1" a="1"/>
  <c r="U388" i="1" s="1"/>
  <c r="T388" i="1"/>
  <c r="S388" i="1" a="1"/>
  <c r="S388" i="1"/>
  <c r="Q388" i="1"/>
  <c r="M388" i="1" a="1"/>
  <c r="M388" i="1"/>
  <c r="B388" i="1" s="1" a="1"/>
  <c r="B388" i="1" s="1"/>
  <c r="K388" i="1" a="1"/>
  <c r="K388" i="1" s="1"/>
  <c r="Y387" i="1" a="1"/>
  <c r="Y387" i="1"/>
  <c r="V387" i="1" a="1"/>
  <c r="V387" i="1"/>
  <c r="U387" i="1" a="1"/>
  <c r="U387" i="1" s="1"/>
  <c r="T387" i="1"/>
  <c r="S387" i="1" a="1"/>
  <c r="S387" i="1" s="1"/>
  <c r="Q387" i="1"/>
  <c r="M387" i="1" a="1"/>
  <c r="M387" i="1" s="1"/>
  <c r="B387" i="1" s="1" a="1"/>
  <c r="B387" i="1" s="1"/>
  <c r="Y386" i="1" a="1"/>
  <c r="Y386" i="1" s="1"/>
  <c r="V386" i="1" a="1"/>
  <c r="V386" i="1"/>
  <c r="U386" i="1" a="1"/>
  <c r="U386" i="1" s="1"/>
  <c r="T386" i="1"/>
  <c r="S386" i="1" a="1"/>
  <c r="S386" i="1"/>
  <c r="Q386" i="1"/>
  <c r="M386" i="1" a="1"/>
  <c r="M386" i="1"/>
  <c r="B386" i="1" a="1"/>
  <c r="B386" i="1" s="1"/>
  <c r="Y385" i="1" a="1"/>
  <c r="Y385" i="1"/>
  <c r="K385" i="1" s="1" a="1"/>
  <c r="V385" i="1" a="1"/>
  <c r="V385" i="1" s="1"/>
  <c r="U385" i="1" a="1"/>
  <c r="U385" i="1" s="1"/>
  <c r="T385" i="1"/>
  <c r="S385" i="1" a="1"/>
  <c r="S385" i="1" s="1"/>
  <c r="Q385" i="1"/>
  <c r="M385" i="1" a="1"/>
  <c r="M385" i="1"/>
  <c r="B385" i="1" s="1" a="1"/>
  <c r="B385" i="1" s="1"/>
  <c r="K385" i="1"/>
  <c r="I385" i="1" a="1"/>
  <c r="I385" i="1" s="1"/>
  <c r="Y384" i="1" a="1"/>
  <c r="Y384" i="1"/>
  <c r="V384" i="1" a="1"/>
  <c r="V384" i="1" s="1"/>
  <c r="U384" i="1" a="1"/>
  <c r="U384" i="1" s="1"/>
  <c r="T384" i="1"/>
  <c r="S384" i="1" a="1"/>
  <c r="S384" i="1" s="1"/>
  <c r="I384" i="1" s="1" a="1"/>
  <c r="R384" i="1" a="1"/>
  <c r="R384" i="1"/>
  <c r="Q384" i="1"/>
  <c r="M384" i="1" a="1"/>
  <c r="M384" i="1"/>
  <c r="B384" i="1" s="1" a="1"/>
  <c r="B384" i="1" s="1"/>
  <c r="I384" i="1"/>
  <c r="G384" i="1" a="1"/>
  <c r="G384" i="1" s="1"/>
  <c r="C384" i="1" a="1"/>
  <c r="C384" i="1"/>
  <c r="Y383" i="1" a="1"/>
  <c r="Y383" i="1"/>
  <c r="K383" i="1" s="1" a="1"/>
  <c r="V383" i="1" a="1"/>
  <c r="V383" i="1" s="1"/>
  <c r="U383" i="1" a="1"/>
  <c r="U383" i="1" s="1"/>
  <c r="T383" i="1"/>
  <c r="S383" i="1" a="1"/>
  <c r="S383" i="1" s="1"/>
  <c r="C383" i="1" s="1" a="1"/>
  <c r="R383" i="1" a="1"/>
  <c r="R383" i="1" s="1"/>
  <c r="G383" i="1" s="1" a="1"/>
  <c r="G383" i="1" s="1"/>
  <c r="Q383" i="1"/>
  <c r="M383" i="1" a="1"/>
  <c r="M383" i="1" s="1"/>
  <c r="B383" i="1" s="1" a="1"/>
  <c r="B383" i="1" s="1"/>
  <c r="K383" i="1"/>
  <c r="I383" i="1" a="1"/>
  <c r="I383" i="1"/>
  <c r="E383" i="1" a="1"/>
  <c r="E383" i="1"/>
  <c r="C383" i="1"/>
  <c r="Y382" i="1" a="1"/>
  <c r="Y382" i="1" s="1"/>
  <c r="V382" i="1" a="1"/>
  <c r="V382" i="1" s="1"/>
  <c r="U382" i="1" a="1"/>
  <c r="U382" i="1"/>
  <c r="T382" i="1"/>
  <c r="S382" i="1" a="1"/>
  <c r="S382" i="1"/>
  <c r="Q382" i="1"/>
  <c r="M382" i="1" a="1"/>
  <c r="M382" i="1"/>
  <c r="B382" i="1" s="1" a="1"/>
  <c r="B382" i="1" s="1"/>
  <c r="K382" i="1" a="1"/>
  <c r="K382" i="1" s="1"/>
  <c r="Y381" i="1" a="1"/>
  <c r="Y381" i="1"/>
  <c r="V381" i="1" a="1"/>
  <c r="V381" i="1"/>
  <c r="U381" i="1" a="1"/>
  <c r="U381" i="1" s="1"/>
  <c r="T381" i="1"/>
  <c r="S381" i="1" a="1"/>
  <c r="S381" i="1" s="1"/>
  <c r="C381" i="1" s="1" a="1"/>
  <c r="R381" i="1" a="1"/>
  <c r="R381" i="1"/>
  <c r="Q381" i="1"/>
  <c r="M381" i="1" a="1"/>
  <c r="M381" i="1" s="1"/>
  <c r="I381" i="1" a="1"/>
  <c r="I381" i="1"/>
  <c r="E381" i="1" a="1"/>
  <c r="E381" i="1" s="1"/>
  <c r="C381" i="1"/>
  <c r="B381" i="1" a="1"/>
  <c r="B381" i="1" s="1"/>
  <c r="Y380" i="1" a="1"/>
  <c r="Y380" i="1"/>
  <c r="E380" i="1" s="1" a="1"/>
  <c r="E380" i="1" s="1"/>
  <c r="V380" i="1" a="1"/>
  <c r="V380" i="1"/>
  <c r="U380" i="1" a="1"/>
  <c r="U380" i="1"/>
  <c r="T380" i="1"/>
  <c r="S380" i="1" a="1"/>
  <c r="S380" i="1"/>
  <c r="R380" i="1" a="1"/>
  <c r="R380" i="1" s="1"/>
  <c r="G380" i="1" s="1" a="1"/>
  <c r="G380" i="1" s="1"/>
  <c r="Q380" i="1"/>
  <c r="M380" i="1" a="1"/>
  <c r="M380" i="1"/>
  <c r="K380" i="1" a="1"/>
  <c r="K380" i="1" s="1"/>
  <c r="C380" i="1" a="1"/>
  <c r="C380" i="1" s="1"/>
  <c r="B380" i="1" a="1"/>
  <c r="B380" i="1" s="1"/>
  <c r="Y379" i="1" a="1"/>
  <c r="Y379" i="1"/>
  <c r="V379" i="1" a="1"/>
  <c r="V379" i="1"/>
  <c r="U379" i="1" a="1"/>
  <c r="U379" i="1" s="1"/>
  <c r="T379" i="1"/>
  <c r="S379" i="1" a="1"/>
  <c r="S379" i="1" s="1"/>
  <c r="Q379" i="1"/>
  <c r="M379" i="1" a="1"/>
  <c r="M379" i="1" s="1"/>
  <c r="B379" i="1" s="1" a="1"/>
  <c r="B379" i="1" s="1"/>
  <c r="Y378" i="1" a="1"/>
  <c r="Y378" i="1" s="1"/>
  <c r="V378" i="1" a="1"/>
  <c r="V378" i="1"/>
  <c r="U378" i="1" a="1"/>
  <c r="U378" i="1"/>
  <c r="T378" i="1"/>
  <c r="S378" i="1" a="1"/>
  <c r="S378" i="1"/>
  <c r="Q378" i="1"/>
  <c r="M378" i="1" a="1"/>
  <c r="M378" i="1"/>
  <c r="B378" i="1" a="1"/>
  <c r="B378" i="1"/>
  <c r="Y377" i="1" a="1"/>
  <c r="Y377" i="1"/>
  <c r="K377" i="1" s="1" a="1"/>
  <c r="V377" i="1" a="1"/>
  <c r="V377" i="1" s="1"/>
  <c r="U377" i="1" a="1"/>
  <c r="U377" i="1" s="1"/>
  <c r="T377" i="1"/>
  <c r="S377" i="1" a="1"/>
  <c r="S377" i="1" s="1"/>
  <c r="Q377" i="1"/>
  <c r="M377" i="1" a="1"/>
  <c r="M377" i="1"/>
  <c r="B377" i="1" s="1" a="1"/>
  <c r="B377" i="1" s="1"/>
  <c r="K377" i="1"/>
  <c r="I377" i="1" a="1"/>
  <c r="I377" i="1" s="1"/>
  <c r="Y376" i="1" a="1"/>
  <c r="Y376" i="1"/>
  <c r="V376" i="1" a="1"/>
  <c r="V376" i="1" s="1"/>
  <c r="U376" i="1" a="1"/>
  <c r="U376" i="1"/>
  <c r="T376" i="1"/>
  <c r="S376" i="1" a="1"/>
  <c r="S376" i="1" s="1"/>
  <c r="I376" i="1" s="1" a="1"/>
  <c r="R376" i="1" a="1"/>
  <c r="R376" i="1" s="1"/>
  <c r="G376" i="1" s="1" a="1"/>
  <c r="G376" i="1" s="1"/>
  <c r="Q376" i="1"/>
  <c r="M376" i="1" a="1"/>
  <c r="M376" i="1"/>
  <c r="B376" i="1" s="1" a="1"/>
  <c r="B376" i="1" s="1"/>
  <c r="I376" i="1"/>
  <c r="C376" i="1" a="1"/>
  <c r="C376" i="1"/>
  <c r="Y375" i="1" a="1"/>
  <c r="Y375" i="1"/>
  <c r="K375" i="1" s="1" a="1"/>
  <c r="V375" i="1" a="1"/>
  <c r="V375" i="1" s="1"/>
  <c r="U375" i="1" a="1"/>
  <c r="U375" i="1" s="1"/>
  <c r="T375" i="1"/>
  <c r="S375" i="1" a="1"/>
  <c r="S375" i="1" s="1"/>
  <c r="C375" i="1" s="1" a="1"/>
  <c r="R375" i="1" a="1"/>
  <c r="R375" i="1" s="1"/>
  <c r="G375" i="1" s="1" a="1"/>
  <c r="G375" i="1" s="1"/>
  <c r="Q375" i="1"/>
  <c r="M375" i="1" a="1"/>
  <c r="M375" i="1" s="1"/>
  <c r="B375" i="1" s="1" a="1"/>
  <c r="B375" i="1" s="1"/>
  <c r="K375" i="1"/>
  <c r="I375" i="1" a="1"/>
  <c r="I375" i="1"/>
  <c r="E375" i="1" a="1"/>
  <c r="E375" i="1"/>
  <c r="C375" i="1"/>
  <c r="Y374" i="1" a="1"/>
  <c r="Y374" i="1" s="1"/>
  <c r="V374" i="1" a="1"/>
  <c r="V374" i="1" s="1"/>
  <c r="U374" i="1" a="1"/>
  <c r="U374" i="1" s="1"/>
  <c r="T374" i="1"/>
  <c r="S374" i="1" a="1"/>
  <c r="S374" i="1"/>
  <c r="Q374" i="1"/>
  <c r="M374" i="1" a="1"/>
  <c r="M374" i="1"/>
  <c r="B374" i="1" s="1" a="1"/>
  <c r="B374" i="1" s="1"/>
  <c r="K374" i="1" a="1"/>
  <c r="K374" i="1" s="1"/>
  <c r="Y373" i="1" a="1"/>
  <c r="Y373" i="1"/>
  <c r="V373" i="1" a="1"/>
  <c r="V373" i="1"/>
  <c r="U373" i="1" a="1"/>
  <c r="U373" i="1" s="1"/>
  <c r="T373" i="1"/>
  <c r="S373" i="1" a="1"/>
  <c r="S373" i="1" s="1"/>
  <c r="C373" i="1" s="1" a="1"/>
  <c r="R373" i="1" a="1"/>
  <c r="R373" i="1"/>
  <c r="Q373" i="1"/>
  <c r="M373" i="1" a="1"/>
  <c r="M373" i="1" s="1"/>
  <c r="I373" i="1" a="1"/>
  <c r="I373" i="1"/>
  <c r="E373" i="1" a="1"/>
  <c r="E373" i="1" s="1"/>
  <c r="C373" i="1"/>
  <c r="B373" i="1" a="1"/>
  <c r="B373" i="1" s="1"/>
  <c r="Y372" i="1" a="1"/>
  <c r="Y372" i="1"/>
  <c r="E372" i="1" s="1" a="1"/>
  <c r="E372" i="1" s="1"/>
  <c r="V372" i="1" a="1"/>
  <c r="V372" i="1"/>
  <c r="U372" i="1" a="1"/>
  <c r="U372" i="1"/>
  <c r="T372" i="1"/>
  <c r="S372" i="1" a="1"/>
  <c r="S372" i="1"/>
  <c r="R372" i="1" a="1"/>
  <c r="R372" i="1" s="1"/>
  <c r="G372" i="1" s="1" a="1"/>
  <c r="G372" i="1" s="1"/>
  <c r="Q372" i="1"/>
  <c r="M372" i="1" a="1"/>
  <c r="M372" i="1"/>
  <c r="K372" i="1" a="1"/>
  <c r="K372" i="1" s="1"/>
  <c r="C372" i="1" a="1"/>
  <c r="C372" i="1" s="1"/>
  <c r="B372" i="1" a="1"/>
  <c r="B372" i="1" s="1"/>
  <c r="Y371" i="1" a="1"/>
  <c r="Y371" i="1"/>
  <c r="V371" i="1" a="1"/>
  <c r="V371" i="1"/>
  <c r="U371" i="1" a="1"/>
  <c r="U371" i="1" s="1"/>
  <c r="T371" i="1"/>
  <c r="S371" i="1" a="1"/>
  <c r="S371" i="1" s="1"/>
  <c r="Q371" i="1"/>
  <c r="M371" i="1" a="1"/>
  <c r="M371" i="1" s="1"/>
  <c r="B371" i="1" s="1" a="1"/>
  <c r="B371" i="1" s="1"/>
  <c r="Y370" i="1" a="1"/>
  <c r="Y370" i="1" s="1"/>
  <c r="V370" i="1" a="1"/>
  <c r="V370" i="1"/>
  <c r="U370" i="1" a="1"/>
  <c r="U370" i="1"/>
  <c r="T370" i="1"/>
  <c r="S370" i="1" a="1"/>
  <c r="S370" i="1"/>
  <c r="Q370" i="1"/>
  <c r="M370" i="1" a="1"/>
  <c r="M370" i="1"/>
  <c r="C370" i="1" a="1"/>
  <c r="C370" i="1" s="1"/>
  <c r="B370" i="1" a="1"/>
  <c r="B370" i="1" s="1"/>
  <c r="Y369" i="1" a="1"/>
  <c r="Y369" i="1"/>
  <c r="K369" i="1" s="1" a="1"/>
  <c r="V369" i="1" a="1"/>
  <c r="V369" i="1" s="1"/>
  <c r="U369" i="1" a="1"/>
  <c r="U369" i="1" s="1"/>
  <c r="T369" i="1"/>
  <c r="S369" i="1" a="1"/>
  <c r="S369" i="1" s="1"/>
  <c r="Q369" i="1"/>
  <c r="M369" i="1" a="1"/>
  <c r="M369" i="1" s="1"/>
  <c r="B369" i="1" s="1" a="1"/>
  <c r="B369" i="1" s="1"/>
  <c r="K369" i="1"/>
  <c r="I369" i="1" a="1"/>
  <c r="I369" i="1" s="1"/>
  <c r="E369" i="1" a="1"/>
  <c r="E369" i="1" s="1"/>
  <c r="Y368" i="1" a="1"/>
  <c r="Y368" i="1"/>
  <c r="V368" i="1" a="1"/>
  <c r="V368" i="1"/>
  <c r="U368" i="1" a="1"/>
  <c r="U368" i="1" s="1"/>
  <c r="T368" i="1"/>
  <c r="S368" i="1" a="1"/>
  <c r="S368" i="1" s="1"/>
  <c r="Q368" i="1"/>
  <c r="M368" i="1" a="1"/>
  <c r="M368" i="1"/>
  <c r="B368" i="1" s="1" a="1"/>
  <c r="B368" i="1"/>
  <c r="Y367" i="1" a="1"/>
  <c r="Y367" i="1"/>
  <c r="V367" i="1" a="1"/>
  <c r="V367" i="1"/>
  <c r="U367" i="1" a="1"/>
  <c r="U367" i="1"/>
  <c r="T367" i="1"/>
  <c r="S367" i="1" a="1"/>
  <c r="S367" i="1" s="1"/>
  <c r="Q367" i="1"/>
  <c r="M367" i="1" a="1"/>
  <c r="M367" i="1" s="1"/>
  <c r="B367" i="1" s="1" a="1"/>
  <c r="B367" i="1" s="1"/>
  <c r="I367" i="1" a="1"/>
  <c r="I367" i="1" s="1"/>
  <c r="E367" i="1" a="1"/>
  <c r="E367" i="1" s="1"/>
  <c r="Y366" i="1" a="1"/>
  <c r="Y366" i="1" s="1"/>
  <c r="V366" i="1" a="1"/>
  <c r="V366" i="1" s="1"/>
  <c r="U366" i="1" a="1"/>
  <c r="U366" i="1"/>
  <c r="T366" i="1"/>
  <c r="S366" i="1" a="1"/>
  <c r="S366" i="1"/>
  <c r="R366" i="1" s="1" a="1"/>
  <c r="R366" i="1"/>
  <c r="G366" i="1" s="1" a="1"/>
  <c r="G366" i="1" s="1"/>
  <c r="Q366" i="1"/>
  <c r="M366" i="1" a="1"/>
  <c r="M366" i="1"/>
  <c r="B366" i="1" a="1"/>
  <c r="B366" i="1" s="1"/>
  <c r="Y365" i="1" a="1"/>
  <c r="Y365" i="1"/>
  <c r="K365" i="1" s="1" a="1"/>
  <c r="K365" i="1" s="1"/>
  <c r="V365" i="1" a="1"/>
  <c r="V365" i="1"/>
  <c r="U365" i="1" a="1"/>
  <c r="U365" i="1" s="1"/>
  <c r="T365" i="1"/>
  <c r="S365" i="1" a="1"/>
  <c r="S365" i="1" s="1"/>
  <c r="Q365" i="1"/>
  <c r="M365" i="1" a="1"/>
  <c r="M365" i="1" s="1"/>
  <c r="E365" i="1" a="1"/>
  <c r="E365" i="1" s="1"/>
  <c r="B365" i="1" a="1"/>
  <c r="B365" i="1" s="1"/>
  <c r="Y364" i="1" a="1"/>
  <c r="Y364" i="1" s="1"/>
  <c r="E364" i="1" s="1" a="1"/>
  <c r="V364" i="1" a="1"/>
  <c r="V364" i="1" s="1"/>
  <c r="U364" i="1" a="1"/>
  <c r="U364" i="1" s="1"/>
  <c r="T364" i="1"/>
  <c r="S364" i="1" a="1"/>
  <c r="S364" i="1"/>
  <c r="Q364" i="1"/>
  <c r="M364" i="1" a="1"/>
  <c r="M364" i="1"/>
  <c r="K364" i="1" a="1"/>
  <c r="K364" i="1" s="1"/>
  <c r="E364" i="1"/>
  <c r="B364" i="1" a="1"/>
  <c r="B364" i="1" s="1"/>
  <c r="Y363" i="1" a="1"/>
  <c r="Y363" i="1"/>
  <c r="K363" i="1" s="1" a="1"/>
  <c r="K363" i="1" s="1"/>
  <c r="V363" i="1" a="1"/>
  <c r="V363" i="1"/>
  <c r="U363" i="1" a="1"/>
  <c r="U363" i="1" s="1"/>
  <c r="T363" i="1"/>
  <c r="S363" i="1" a="1"/>
  <c r="S363" i="1" s="1"/>
  <c r="R363" i="1" a="1"/>
  <c r="R363" i="1" s="1"/>
  <c r="Q363" i="1"/>
  <c r="M363" i="1" a="1"/>
  <c r="M363" i="1"/>
  <c r="E363" i="1" a="1"/>
  <c r="E363" i="1" s="1"/>
  <c r="B363" i="1" a="1"/>
  <c r="B363" i="1" s="1"/>
  <c r="Y362" i="1" a="1"/>
  <c r="Y362" i="1" s="1"/>
  <c r="V362" i="1" a="1"/>
  <c r="V362" i="1"/>
  <c r="U362" i="1" a="1"/>
  <c r="U362" i="1"/>
  <c r="T362" i="1"/>
  <c r="S362" i="1" a="1"/>
  <c r="S362" i="1"/>
  <c r="Q362" i="1"/>
  <c r="M362" i="1" a="1"/>
  <c r="M362" i="1"/>
  <c r="B362" i="1" s="1" a="1"/>
  <c r="B362" i="1" s="1"/>
  <c r="Y361" i="1" a="1"/>
  <c r="Y361" i="1"/>
  <c r="V361" i="1" a="1"/>
  <c r="V361" i="1"/>
  <c r="U361" i="1" a="1"/>
  <c r="U361" i="1" s="1"/>
  <c r="T361" i="1"/>
  <c r="S361" i="1" a="1"/>
  <c r="S361" i="1" s="1"/>
  <c r="I361" i="1" s="1" a="1"/>
  <c r="I361" i="1" s="1"/>
  <c r="Q361" i="1"/>
  <c r="M361" i="1" a="1"/>
  <c r="M361" i="1"/>
  <c r="B361" i="1" s="1" a="1"/>
  <c r="B361" i="1" s="1"/>
  <c r="Y360" i="1" a="1"/>
  <c r="Y360" i="1"/>
  <c r="V360" i="1" a="1"/>
  <c r="V360" i="1" s="1"/>
  <c r="U360" i="1" a="1"/>
  <c r="U360" i="1" s="1"/>
  <c r="T360" i="1"/>
  <c r="S360" i="1" a="1"/>
  <c r="S360" i="1" s="1"/>
  <c r="I360" i="1" s="1" a="1"/>
  <c r="R360" i="1" a="1"/>
  <c r="R360" i="1" s="1"/>
  <c r="Q360" i="1"/>
  <c r="M360" i="1" a="1"/>
  <c r="M360" i="1"/>
  <c r="B360" i="1" s="1" a="1"/>
  <c r="B360" i="1" s="1"/>
  <c r="I360" i="1"/>
  <c r="C360" i="1" a="1"/>
  <c r="C360" i="1"/>
  <c r="Y359" i="1" a="1"/>
  <c r="Y359" i="1"/>
  <c r="K359" i="1" s="1" a="1"/>
  <c r="V359" i="1" a="1"/>
  <c r="V359" i="1" s="1"/>
  <c r="U359" i="1" a="1"/>
  <c r="U359" i="1" s="1"/>
  <c r="T359" i="1"/>
  <c r="S359" i="1" a="1"/>
  <c r="S359" i="1" s="1"/>
  <c r="C359" i="1" s="1" a="1"/>
  <c r="R359" i="1" a="1"/>
  <c r="R359" i="1" s="1"/>
  <c r="Q359" i="1"/>
  <c r="M359" i="1" a="1"/>
  <c r="M359" i="1"/>
  <c r="B359" i="1" s="1" a="1"/>
  <c r="K359" i="1"/>
  <c r="I359" i="1" a="1"/>
  <c r="I359" i="1"/>
  <c r="C359" i="1"/>
  <c r="B359" i="1"/>
  <c r="Y358" i="1" a="1"/>
  <c r="Y358" i="1" s="1"/>
  <c r="V358" i="1" a="1"/>
  <c r="V358" i="1"/>
  <c r="U358" i="1" a="1"/>
  <c r="U358" i="1" s="1"/>
  <c r="T358" i="1"/>
  <c r="S358" i="1" a="1"/>
  <c r="S358" i="1"/>
  <c r="R358" i="1" s="1" a="1"/>
  <c r="R358" i="1" s="1"/>
  <c r="Q358" i="1"/>
  <c r="M358" i="1" a="1"/>
  <c r="M358" i="1"/>
  <c r="B358" i="1" a="1"/>
  <c r="B358" i="1" s="1"/>
  <c r="Y357" i="1" a="1"/>
  <c r="Y357" i="1"/>
  <c r="V357" i="1" a="1"/>
  <c r="V357" i="1" s="1"/>
  <c r="U357" i="1" a="1"/>
  <c r="U357" i="1"/>
  <c r="T357" i="1"/>
  <c r="S357" i="1" a="1"/>
  <c r="S357" i="1" s="1"/>
  <c r="C357" i="1" s="1" a="1"/>
  <c r="R357" i="1" a="1"/>
  <c r="R357" i="1"/>
  <c r="Q357" i="1"/>
  <c r="M357" i="1" a="1"/>
  <c r="M357" i="1" s="1"/>
  <c r="I357" i="1" a="1"/>
  <c r="I357" i="1" s="1"/>
  <c r="C357" i="1"/>
  <c r="B357" i="1" a="1"/>
  <c r="B357" i="1" s="1"/>
  <c r="Y356" i="1" a="1"/>
  <c r="Y356" i="1"/>
  <c r="V356" i="1" a="1"/>
  <c r="V356" i="1"/>
  <c r="U356" i="1" a="1"/>
  <c r="U356" i="1" s="1"/>
  <c r="T356" i="1"/>
  <c r="S356" i="1" a="1"/>
  <c r="S356" i="1" s="1"/>
  <c r="R356" i="1" s="1" a="1"/>
  <c r="R356" i="1" s="1"/>
  <c r="Q356" i="1"/>
  <c r="M356" i="1" a="1"/>
  <c r="M356" i="1"/>
  <c r="B356" i="1" s="1" a="1"/>
  <c r="B356" i="1" s="1"/>
  <c r="C356" i="1" a="1"/>
  <c r="C356" i="1" s="1"/>
  <c r="Y355" i="1" a="1"/>
  <c r="Y355" i="1"/>
  <c r="V355" i="1" a="1"/>
  <c r="V355" i="1"/>
  <c r="U355" i="1" a="1"/>
  <c r="U355" i="1"/>
  <c r="T355" i="1"/>
  <c r="S355" i="1" a="1"/>
  <c r="S355" i="1" s="1"/>
  <c r="Q355" i="1"/>
  <c r="M355" i="1" a="1"/>
  <c r="M355" i="1"/>
  <c r="B355" i="1" a="1"/>
  <c r="B355" i="1" s="1"/>
  <c r="Y354" i="1" a="1"/>
  <c r="Y354" i="1"/>
  <c r="E354" i="1" s="1" a="1"/>
  <c r="E354" i="1" s="1"/>
  <c r="V354" i="1" a="1"/>
  <c r="V354" i="1"/>
  <c r="U354" i="1" a="1"/>
  <c r="U354" i="1" s="1"/>
  <c r="T354" i="1"/>
  <c r="S354" i="1" a="1"/>
  <c r="S354" i="1" s="1"/>
  <c r="R354" i="1" s="1" a="1"/>
  <c r="R354" i="1" s="1"/>
  <c r="Q354" i="1"/>
  <c r="M354" i="1" a="1"/>
  <c r="M354" i="1"/>
  <c r="K354" i="1" a="1"/>
  <c r="K354" i="1" s="1"/>
  <c r="B354" i="1" a="1"/>
  <c r="B354" i="1" s="1"/>
  <c r="Y353" i="1" a="1"/>
  <c r="Y353" i="1"/>
  <c r="K353" i="1" s="1" a="1"/>
  <c r="V353" i="1" a="1"/>
  <c r="V353" i="1" s="1"/>
  <c r="U353" i="1" a="1"/>
  <c r="U353" i="1" s="1"/>
  <c r="T353" i="1"/>
  <c r="S353" i="1" a="1"/>
  <c r="S353" i="1" s="1"/>
  <c r="Q353" i="1"/>
  <c r="M353" i="1" a="1"/>
  <c r="M353" i="1" s="1"/>
  <c r="B353" i="1" s="1" a="1"/>
  <c r="B353" i="1" s="1"/>
  <c r="K353" i="1"/>
  <c r="I353" i="1" a="1"/>
  <c r="I353" i="1" s="1"/>
  <c r="E353" i="1" a="1"/>
  <c r="E353" i="1" s="1"/>
  <c r="Y352" i="1" a="1"/>
  <c r="Y352" i="1"/>
  <c r="V352" i="1" a="1"/>
  <c r="V352" i="1" s="1"/>
  <c r="U352" i="1" a="1"/>
  <c r="U352" i="1"/>
  <c r="T352" i="1"/>
  <c r="S352" i="1" a="1"/>
  <c r="S352" i="1" s="1"/>
  <c r="Q352" i="1"/>
  <c r="M352" i="1" a="1"/>
  <c r="M352" i="1"/>
  <c r="B352" i="1" s="1" a="1"/>
  <c r="C352" i="1" a="1"/>
  <c r="C352" i="1" s="1"/>
  <c r="B352" i="1"/>
  <c r="Y351" i="1" a="1"/>
  <c r="Y351" i="1"/>
  <c r="K351" i="1" s="1" a="1"/>
  <c r="K351" i="1" s="1"/>
  <c r="V351" i="1" a="1"/>
  <c r="V351" i="1"/>
  <c r="U351" i="1" a="1"/>
  <c r="U351" i="1" s="1"/>
  <c r="T351" i="1"/>
  <c r="S351" i="1" a="1"/>
  <c r="S351" i="1" s="1"/>
  <c r="Q351" i="1"/>
  <c r="M351" i="1" a="1"/>
  <c r="M351" i="1"/>
  <c r="B351" i="1" s="1" a="1"/>
  <c r="B351" i="1" s="1"/>
  <c r="I351" i="1" a="1"/>
  <c r="I351" i="1" s="1"/>
  <c r="Y350" i="1" a="1"/>
  <c r="Y350" i="1" s="1"/>
  <c r="V350" i="1" a="1"/>
  <c r="V350" i="1" s="1"/>
  <c r="U350" i="1" a="1"/>
  <c r="U350" i="1" s="1"/>
  <c r="T350" i="1"/>
  <c r="S350" i="1" a="1"/>
  <c r="S350" i="1" s="1"/>
  <c r="Q350" i="1"/>
  <c r="M350" i="1" a="1"/>
  <c r="M350" i="1"/>
  <c r="B350" i="1" a="1"/>
  <c r="B350" i="1" s="1"/>
  <c r="Y349" i="1" a="1"/>
  <c r="Y349" i="1"/>
  <c r="E349" i="1" s="1" a="1"/>
  <c r="E349" i="1" s="1"/>
  <c r="V349" i="1" a="1"/>
  <c r="V349" i="1"/>
  <c r="U349" i="1" a="1"/>
  <c r="U349" i="1" s="1"/>
  <c r="T349" i="1"/>
  <c r="S349" i="1" a="1"/>
  <c r="S349" i="1" s="1"/>
  <c r="C349" i="1" s="1" a="1"/>
  <c r="C349" i="1" s="1"/>
  <c r="Q349" i="1"/>
  <c r="M349" i="1" a="1"/>
  <c r="M349" i="1" s="1"/>
  <c r="B349" i="1" s="1" a="1"/>
  <c r="B349" i="1" s="1"/>
  <c r="I349" i="1" a="1"/>
  <c r="I349" i="1" s="1"/>
  <c r="Y348" i="1" a="1"/>
  <c r="Y348" i="1" s="1"/>
  <c r="E348" i="1" s="1" a="1"/>
  <c r="V348" i="1" a="1"/>
  <c r="V348" i="1" s="1"/>
  <c r="U348" i="1" a="1"/>
  <c r="U348" i="1" s="1"/>
  <c r="T348" i="1"/>
  <c r="S348" i="1" a="1"/>
  <c r="S348" i="1"/>
  <c r="Q348" i="1"/>
  <c r="M348" i="1" a="1"/>
  <c r="M348" i="1"/>
  <c r="E348" i="1"/>
  <c r="C348" i="1" a="1"/>
  <c r="C348" i="1" s="1"/>
  <c r="B348" i="1" a="1"/>
  <c r="B348" i="1" s="1"/>
  <c r="Y347" i="1" a="1"/>
  <c r="Y347" i="1"/>
  <c r="K347" i="1" s="1" a="1"/>
  <c r="V347" i="1" a="1"/>
  <c r="V347" i="1"/>
  <c r="U347" i="1" a="1"/>
  <c r="U347" i="1" s="1"/>
  <c r="T347" i="1"/>
  <c r="S347" i="1" a="1"/>
  <c r="S347" i="1" s="1"/>
  <c r="R347" i="1" a="1"/>
  <c r="R347" i="1" s="1"/>
  <c r="G347" i="1" s="1" a="1"/>
  <c r="G347" i="1" s="1"/>
  <c r="Q347" i="1"/>
  <c r="M347" i="1" a="1"/>
  <c r="M347" i="1" s="1"/>
  <c r="B347" i="1" s="1" a="1"/>
  <c r="B347" i="1" s="1"/>
  <c r="K347" i="1"/>
  <c r="E347" i="1" a="1"/>
  <c r="E347" i="1" s="1"/>
  <c r="Y346" i="1" a="1"/>
  <c r="Y346" i="1" s="1"/>
  <c r="V346" i="1" a="1"/>
  <c r="V346" i="1"/>
  <c r="U346" i="1" a="1"/>
  <c r="U346" i="1" s="1"/>
  <c r="T346" i="1"/>
  <c r="S346" i="1" a="1"/>
  <c r="S346" i="1"/>
  <c r="Q346" i="1"/>
  <c r="M346" i="1" a="1"/>
  <c r="M346" i="1"/>
  <c r="B346" i="1" a="1"/>
  <c r="B346" i="1" s="1"/>
  <c r="Y345" i="1" a="1"/>
  <c r="Y345" i="1"/>
  <c r="V345" i="1" a="1"/>
  <c r="V345" i="1"/>
  <c r="U345" i="1" a="1"/>
  <c r="U345" i="1"/>
  <c r="T345" i="1"/>
  <c r="S345" i="1" a="1"/>
  <c r="S345" i="1" s="1"/>
  <c r="Q345" i="1"/>
  <c r="M345" i="1" a="1"/>
  <c r="M345" i="1"/>
  <c r="B345" i="1" s="1" a="1"/>
  <c r="B345" i="1" s="1"/>
  <c r="E345" i="1" a="1"/>
  <c r="E345" i="1"/>
  <c r="Y344" i="1" a="1"/>
  <c r="Y344" i="1"/>
  <c r="V344" i="1" a="1"/>
  <c r="V344" i="1" s="1"/>
  <c r="U344" i="1" a="1"/>
  <c r="U344" i="1" s="1"/>
  <c r="T344" i="1"/>
  <c r="S344" i="1" a="1"/>
  <c r="S344" i="1" s="1"/>
  <c r="I344" i="1" s="1" a="1"/>
  <c r="R344" i="1" a="1"/>
  <c r="R344" i="1" s="1"/>
  <c r="Q344" i="1"/>
  <c r="M344" i="1" a="1"/>
  <c r="M344" i="1"/>
  <c r="B344" i="1" s="1" a="1"/>
  <c r="B344" i="1" s="1"/>
  <c r="I344" i="1"/>
  <c r="Y343" i="1" a="1"/>
  <c r="Y343" i="1"/>
  <c r="K343" i="1" s="1" a="1"/>
  <c r="V343" i="1" a="1"/>
  <c r="V343" i="1" s="1"/>
  <c r="U343" i="1" a="1"/>
  <c r="U343" i="1" s="1"/>
  <c r="T343" i="1"/>
  <c r="S343" i="1" a="1"/>
  <c r="S343" i="1" s="1"/>
  <c r="C343" i="1" s="1" a="1"/>
  <c r="R343" i="1" a="1"/>
  <c r="R343" i="1" s="1"/>
  <c r="G343" i="1" s="1" a="1"/>
  <c r="G343" i="1" s="1"/>
  <c r="Q343" i="1"/>
  <c r="M343" i="1" a="1"/>
  <c r="M343" i="1" s="1"/>
  <c r="B343" i="1" s="1" a="1"/>
  <c r="B343" i="1" s="1"/>
  <c r="K343" i="1"/>
  <c r="E343" i="1" a="1"/>
  <c r="E343" i="1"/>
  <c r="C343" i="1"/>
  <c r="Y342" i="1" a="1"/>
  <c r="Y342" i="1"/>
  <c r="V342" i="1" a="1"/>
  <c r="V342" i="1"/>
  <c r="U342" i="1" a="1"/>
  <c r="U342" i="1"/>
  <c r="T342" i="1"/>
  <c r="S342" i="1" a="1"/>
  <c r="S342" i="1" s="1"/>
  <c r="R342" i="1" s="1" a="1"/>
  <c r="R342" i="1" s="1"/>
  <c r="Q342" i="1"/>
  <c r="M342" i="1" a="1"/>
  <c r="M342" i="1"/>
  <c r="B342" i="1" s="1" a="1"/>
  <c r="B342" i="1" s="1"/>
  <c r="Y341" i="1" a="1"/>
  <c r="Y341" i="1"/>
  <c r="K341" i="1" s="1" a="1"/>
  <c r="V341" i="1" a="1"/>
  <c r="V341" i="1" s="1"/>
  <c r="U341" i="1" a="1"/>
  <c r="U341" i="1"/>
  <c r="T341" i="1"/>
  <c r="S341" i="1" a="1"/>
  <c r="S341" i="1" s="1"/>
  <c r="R341" i="1" a="1"/>
  <c r="R341" i="1" s="1"/>
  <c r="Q341" i="1"/>
  <c r="M341" i="1" a="1"/>
  <c r="M341" i="1" s="1"/>
  <c r="K341" i="1"/>
  <c r="E341" i="1" a="1"/>
  <c r="E341" i="1"/>
  <c r="B341" i="1" a="1"/>
  <c r="B341" i="1" s="1"/>
  <c r="Y340" i="1" a="1"/>
  <c r="Y340" i="1"/>
  <c r="V340" i="1" a="1"/>
  <c r="V340" i="1" s="1"/>
  <c r="U340" i="1" a="1"/>
  <c r="U340" i="1" s="1"/>
  <c r="T340" i="1"/>
  <c r="S340" i="1" a="1"/>
  <c r="S340" i="1" s="1"/>
  <c r="R340" i="1" s="1" a="1"/>
  <c r="R340" i="1" s="1"/>
  <c r="Q340" i="1"/>
  <c r="M340" i="1" a="1"/>
  <c r="M340" i="1"/>
  <c r="B340" i="1" s="1" a="1"/>
  <c r="B340" i="1" s="1"/>
  <c r="Y339" i="1" a="1"/>
  <c r="Y339" i="1"/>
  <c r="V339" i="1" a="1"/>
  <c r="V339" i="1"/>
  <c r="U339" i="1" a="1"/>
  <c r="U339" i="1" s="1"/>
  <c r="T339" i="1"/>
  <c r="S339" i="1" a="1"/>
  <c r="S339" i="1" s="1"/>
  <c r="Q339" i="1"/>
  <c r="M339" i="1" a="1"/>
  <c r="M339" i="1" s="1"/>
  <c r="B339" i="1" s="1" a="1"/>
  <c r="B339" i="1" s="1"/>
  <c r="Y338" i="1" a="1"/>
  <c r="Y338" i="1"/>
  <c r="E338" i="1" s="1" a="1"/>
  <c r="E338" i="1" s="1"/>
  <c r="V338" i="1" a="1"/>
  <c r="V338" i="1"/>
  <c r="U338" i="1" a="1"/>
  <c r="U338" i="1"/>
  <c r="T338" i="1"/>
  <c r="S338" i="1" a="1"/>
  <c r="S338" i="1" s="1"/>
  <c r="R338" i="1" a="1"/>
  <c r="R338" i="1" s="1"/>
  <c r="Q338" i="1"/>
  <c r="M338" i="1" a="1"/>
  <c r="M338" i="1"/>
  <c r="C338" i="1" a="1"/>
  <c r="C338" i="1" s="1"/>
  <c r="B338" i="1" a="1"/>
  <c r="B338" i="1" s="1"/>
  <c r="Y337" i="1" a="1"/>
  <c r="Y337" i="1"/>
  <c r="K337" i="1" s="1" a="1"/>
  <c r="V337" i="1" a="1"/>
  <c r="V337" i="1" s="1"/>
  <c r="U337" i="1" a="1"/>
  <c r="U337" i="1" s="1"/>
  <c r="T337" i="1"/>
  <c r="S337" i="1" a="1"/>
  <c r="S337" i="1" s="1"/>
  <c r="Q337" i="1"/>
  <c r="M337" i="1" a="1"/>
  <c r="M337" i="1" s="1"/>
  <c r="B337" i="1" s="1" a="1"/>
  <c r="B337" i="1" s="1"/>
  <c r="K337" i="1"/>
  <c r="I337" i="1" a="1"/>
  <c r="I337" i="1" s="1"/>
  <c r="E337" i="1" a="1"/>
  <c r="E337" i="1" s="1"/>
  <c r="Y336" i="1" a="1"/>
  <c r="Y336" i="1"/>
  <c r="V336" i="1" a="1"/>
  <c r="V336" i="1"/>
  <c r="U336" i="1" a="1"/>
  <c r="U336" i="1" s="1"/>
  <c r="T336" i="1"/>
  <c r="S336" i="1" a="1"/>
  <c r="S336" i="1" s="1"/>
  <c r="I336" i="1" s="1" a="1"/>
  <c r="I336" i="1" s="1"/>
  <c r="Q336" i="1"/>
  <c r="M336" i="1" a="1"/>
  <c r="M336" i="1"/>
  <c r="B336" i="1" s="1" a="1"/>
  <c r="B336" i="1"/>
  <c r="Y335" i="1" a="1"/>
  <c r="Y335" i="1"/>
  <c r="K335" i="1" s="1" a="1"/>
  <c r="K335" i="1" s="1"/>
  <c r="V335" i="1" a="1"/>
  <c r="V335" i="1" s="1"/>
  <c r="U335" i="1" a="1"/>
  <c r="U335" i="1" s="1"/>
  <c r="T335" i="1"/>
  <c r="S335" i="1" a="1"/>
  <c r="S335" i="1" s="1"/>
  <c r="Q335" i="1"/>
  <c r="M335" i="1" a="1"/>
  <c r="M335" i="1" s="1"/>
  <c r="B335" i="1" s="1" a="1"/>
  <c r="B335" i="1" s="1"/>
  <c r="E335" i="1" a="1"/>
  <c r="E335" i="1" s="1"/>
  <c r="Y334" i="1" a="1"/>
  <c r="Y334" i="1" s="1"/>
  <c r="V334" i="1" a="1"/>
  <c r="V334" i="1" s="1"/>
  <c r="U334" i="1" a="1"/>
  <c r="U334" i="1" s="1"/>
  <c r="T334" i="1"/>
  <c r="S334" i="1" a="1"/>
  <c r="S334" i="1"/>
  <c r="Q334" i="1"/>
  <c r="M334" i="1" a="1"/>
  <c r="M334" i="1"/>
  <c r="B334" i="1" s="1" a="1"/>
  <c r="B334" i="1" s="1"/>
  <c r="Y333" i="1" a="1"/>
  <c r="Y333" i="1"/>
  <c r="E333" i="1" s="1" a="1"/>
  <c r="E333" i="1" s="1"/>
  <c r="V333" i="1" a="1"/>
  <c r="V333" i="1"/>
  <c r="U333" i="1" a="1"/>
  <c r="U333" i="1"/>
  <c r="T333" i="1"/>
  <c r="S333" i="1" a="1"/>
  <c r="S333" i="1" s="1"/>
  <c r="Q333" i="1"/>
  <c r="M333" i="1" a="1"/>
  <c r="M333" i="1" s="1"/>
  <c r="B333" i="1" a="1"/>
  <c r="B333" i="1" s="1"/>
  <c r="Y332" i="1" a="1"/>
  <c r="Y332" i="1"/>
  <c r="E332" i="1" s="1" a="1"/>
  <c r="V332" i="1" a="1"/>
  <c r="V332" i="1" s="1"/>
  <c r="U332" i="1" a="1"/>
  <c r="U332" i="1" s="1"/>
  <c r="T332" i="1"/>
  <c r="S332" i="1" a="1"/>
  <c r="S332" i="1"/>
  <c r="R332" i="1" s="1" a="1"/>
  <c r="R332" i="1" s="1"/>
  <c r="Q332" i="1"/>
  <c r="M332" i="1" a="1"/>
  <c r="M332" i="1"/>
  <c r="G332" i="1" a="1"/>
  <c r="G332" i="1" s="1"/>
  <c r="E332" i="1"/>
  <c r="B332" i="1" a="1"/>
  <c r="B332" i="1" s="1"/>
  <c r="Y331" i="1" a="1"/>
  <c r="Y331" i="1"/>
  <c r="V331" i="1" a="1"/>
  <c r="V331" i="1"/>
  <c r="U331" i="1" a="1"/>
  <c r="U331" i="1" s="1"/>
  <c r="T331" i="1"/>
  <c r="S331" i="1" a="1"/>
  <c r="S331" i="1" s="1"/>
  <c r="R331" i="1" a="1"/>
  <c r="R331" i="1" s="1"/>
  <c r="Q331" i="1"/>
  <c r="M331" i="1" a="1"/>
  <c r="M331" i="1"/>
  <c r="E331" i="1" a="1"/>
  <c r="E331" i="1" s="1"/>
  <c r="B331" i="1" a="1"/>
  <c r="B331" i="1" s="1"/>
  <c r="Y330" i="1" a="1"/>
  <c r="Y330" i="1" s="1"/>
  <c r="V330" i="1" a="1"/>
  <c r="V330" i="1"/>
  <c r="U330" i="1" a="1"/>
  <c r="U330" i="1"/>
  <c r="T330" i="1"/>
  <c r="S330" i="1" a="1"/>
  <c r="S330" i="1"/>
  <c r="C330" i="1" s="1" a="1"/>
  <c r="Q330" i="1"/>
  <c r="M330" i="1" a="1"/>
  <c r="M330" i="1"/>
  <c r="B330" i="1" s="1" a="1"/>
  <c r="B330" i="1" s="1"/>
  <c r="C330" i="1"/>
  <c r="Y329" i="1" a="1"/>
  <c r="Y329" i="1"/>
  <c r="V329" i="1" a="1"/>
  <c r="V329" i="1"/>
  <c r="U329" i="1" a="1"/>
  <c r="U329" i="1" s="1"/>
  <c r="T329" i="1"/>
  <c r="S329" i="1" a="1"/>
  <c r="S329" i="1" s="1"/>
  <c r="Q329" i="1"/>
  <c r="M329" i="1" a="1"/>
  <c r="M329" i="1"/>
  <c r="B329" i="1" a="1"/>
  <c r="B329" i="1" s="1"/>
  <c r="Y328" i="1" a="1"/>
  <c r="Y328" i="1"/>
  <c r="V328" i="1" a="1"/>
  <c r="V328" i="1" s="1"/>
  <c r="U328" i="1" a="1"/>
  <c r="U328" i="1"/>
  <c r="T328" i="1"/>
  <c r="S328" i="1" a="1"/>
  <c r="S328" i="1" s="1"/>
  <c r="R328" i="1" a="1"/>
  <c r="R328" i="1" s="1"/>
  <c r="Q328" i="1"/>
  <c r="M328" i="1" a="1"/>
  <c r="M328" i="1"/>
  <c r="B328" i="1" s="1" a="1"/>
  <c r="B328" i="1" s="1"/>
  <c r="Y327" i="1" a="1"/>
  <c r="Y327" i="1"/>
  <c r="V327" i="1" a="1"/>
  <c r="V327" i="1" s="1"/>
  <c r="U327" i="1" a="1"/>
  <c r="U327" i="1" s="1"/>
  <c r="T327" i="1"/>
  <c r="S327" i="1" a="1"/>
  <c r="S327" i="1" s="1"/>
  <c r="C327" i="1" s="1" a="1"/>
  <c r="C327" i="1" s="1"/>
  <c r="R327" i="1" a="1"/>
  <c r="R327" i="1" s="1"/>
  <c r="Q327" i="1"/>
  <c r="M327" i="1" a="1"/>
  <c r="M327" i="1"/>
  <c r="B327" i="1" s="1" a="1"/>
  <c r="B327" i="1" s="1"/>
  <c r="I327" i="1" a="1"/>
  <c r="I327" i="1"/>
  <c r="Y326" i="1" a="1"/>
  <c r="Y326" i="1"/>
  <c r="K326" i="1" s="1" a="1"/>
  <c r="K326" i="1" s="1"/>
  <c r="V326" i="1" a="1"/>
  <c r="V326" i="1"/>
  <c r="U326" i="1" a="1"/>
  <c r="U326" i="1"/>
  <c r="T326" i="1"/>
  <c r="S326" i="1" a="1"/>
  <c r="S326" i="1" s="1"/>
  <c r="R326" i="1" a="1"/>
  <c r="R326" i="1" s="1"/>
  <c r="Q326" i="1"/>
  <c r="M326" i="1" a="1"/>
  <c r="M326" i="1"/>
  <c r="B326" i="1" s="1" a="1"/>
  <c r="B326" i="1" s="1"/>
  <c r="G326" i="1" a="1"/>
  <c r="G326" i="1" s="1"/>
  <c r="Y325" i="1" a="1"/>
  <c r="Y325" i="1"/>
  <c r="K325" i="1" s="1" a="1"/>
  <c r="V325" i="1" a="1"/>
  <c r="V325" i="1" s="1"/>
  <c r="U325" i="1" a="1"/>
  <c r="U325" i="1"/>
  <c r="T325" i="1"/>
  <c r="S325" i="1" a="1"/>
  <c r="S325" i="1" s="1"/>
  <c r="C325" i="1" s="1" a="1"/>
  <c r="R325" i="1" a="1"/>
  <c r="R325" i="1"/>
  <c r="Q325" i="1"/>
  <c r="M325" i="1" a="1"/>
  <c r="M325" i="1" s="1"/>
  <c r="K325" i="1"/>
  <c r="I325" i="1" a="1"/>
  <c r="I325" i="1"/>
  <c r="C325" i="1"/>
  <c r="B325" i="1" a="1"/>
  <c r="B325" i="1"/>
  <c r="Y324" i="1" a="1"/>
  <c r="Y324" i="1"/>
  <c r="K324" i="1" s="1" a="1"/>
  <c r="K324" i="1" s="1"/>
  <c r="V324" i="1" a="1"/>
  <c r="V324" i="1"/>
  <c r="U324" i="1" a="1"/>
  <c r="U324" i="1" s="1"/>
  <c r="T324" i="1"/>
  <c r="S324" i="1" a="1"/>
  <c r="S324" i="1" s="1"/>
  <c r="C324" i="1" s="1" a="1"/>
  <c r="C324" i="1" s="1"/>
  <c r="Q324" i="1"/>
  <c r="M324" i="1" a="1"/>
  <c r="M324" i="1"/>
  <c r="B324" i="1" s="1" a="1"/>
  <c r="B324" i="1" s="1"/>
  <c r="Y323" i="1" a="1"/>
  <c r="Y323" i="1"/>
  <c r="V323" i="1" a="1"/>
  <c r="V323" i="1"/>
  <c r="U323" i="1" a="1"/>
  <c r="U323" i="1" s="1"/>
  <c r="T323" i="1"/>
  <c r="S323" i="1" a="1"/>
  <c r="S323" i="1" s="1"/>
  <c r="R323" i="1" a="1"/>
  <c r="R323" i="1" s="1"/>
  <c r="Q323" i="1"/>
  <c r="M323" i="1" a="1"/>
  <c r="M323" i="1"/>
  <c r="E323" i="1" a="1"/>
  <c r="E323" i="1" s="1"/>
  <c r="B323" i="1" a="1"/>
  <c r="B323" i="1" s="1"/>
  <c r="Y322" i="1" a="1"/>
  <c r="Y322" i="1"/>
  <c r="E322" i="1" s="1" a="1"/>
  <c r="E322" i="1" s="1"/>
  <c r="V322" i="1" a="1"/>
  <c r="V322" i="1"/>
  <c r="U322" i="1" a="1"/>
  <c r="U322" i="1" s="1"/>
  <c r="T322" i="1"/>
  <c r="S322" i="1" a="1"/>
  <c r="S322" i="1" s="1"/>
  <c r="R322" i="1" a="1"/>
  <c r="R322" i="1" s="1"/>
  <c r="Q322" i="1"/>
  <c r="M322" i="1" a="1"/>
  <c r="M322" i="1"/>
  <c r="K322" i="1" a="1"/>
  <c r="K322" i="1" s="1"/>
  <c r="C322" i="1" a="1"/>
  <c r="C322" i="1" s="1"/>
  <c r="B322" i="1" a="1"/>
  <c r="B322" i="1" s="1"/>
  <c r="Y321" i="1" a="1"/>
  <c r="Y321" i="1"/>
  <c r="K321" i="1" s="1" a="1"/>
  <c r="V321" i="1" a="1"/>
  <c r="V321" i="1"/>
  <c r="U321" i="1" a="1"/>
  <c r="U321" i="1" s="1"/>
  <c r="T321" i="1"/>
  <c r="S321" i="1" a="1"/>
  <c r="S321" i="1" s="1"/>
  <c r="Q321" i="1"/>
  <c r="M321" i="1" a="1"/>
  <c r="M321" i="1" s="1"/>
  <c r="K321" i="1"/>
  <c r="I321" i="1" a="1"/>
  <c r="I321" i="1" s="1"/>
  <c r="E321" i="1" a="1"/>
  <c r="E321" i="1"/>
  <c r="B321" i="1" a="1"/>
  <c r="B321" i="1" s="1"/>
  <c r="Y320" i="1" a="1"/>
  <c r="Y320" i="1"/>
  <c r="V320" i="1" a="1"/>
  <c r="V320" i="1"/>
  <c r="U320" i="1" a="1"/>
  <c r="U320" i="1" s="1"/>
  <c r="T320" i="1"/>
  <c r="S320" i="1" a="1"/>
  <c r="S320" i="1" s="1"/>
  <c r="Q320" i="1"/>
  <c r="M320" i="1" a="1"/>
  <c r="M320" i="1"/>
  <c r="B320" i="1" s="1" a="1"/>
  <c r="C320" i="1" a="1"/>
  <c r="C320" i="1" s="1"/>
  <c r="B320" i="1"/>
  <c r="Y319" i="1" a="1"/>
  <c r="Y319" i="1"/>
  <c r="K319" i="1" s="1" a="1"/>
  <c r="K319" i="1" s="1"/>
  <c r="V319" i="1" a="1"/>
  <c r="V319" i="1"/>
  <c r="U319" i="1" a="1"/>
  <c r="U319" i="1" s="1"/>
  <c r="T319" i="1"/>
  <c r="S319" i="1" a="1"/>
  <c r="S319" i="1" s="1"/>
  <c r="C319" i="1" s="1" a="1"/>
  <c r="R319" i="1" a="1"/>
  <c r="R319" i="1" s="1"/>
  <c r="Q319" i="1"/>
  <c r="M319" i="1" a="1"/>
  <c r="M319" i="1" s="1"/>
  <c r="B319" i="1" s="1" a="1"/>
  <c r="B319" i="1" s="1"/>
  <c r="I319" i="1" a="1"/>
  <c r="I319" i="1" s="1"/>
  <c r="E319" i="1" a="1"/>
  <c r="E319" i="1"/>
  <c r="C319" i="1"/>
  <c r="Y318" i="1" a="1"/>
  <c r="Y318" i="1" s="1"/>
  <c r="V318" i="1" a="1"/>
  <c r="V318" i="1" s="1"/>
  <c r="U318" i="1" a="1"/>
  <c r="U318" i="1"/>
  <c r="T318" i="1"/>
  <c r="S318" i="1" a="1"/>
  <c r="S318" i="1"/>
  <c r="Q318" i="1"/>
  <c r="M318" i="1" a="1"/>
  <c r="M318" i="1"/>
  <c r="K318" i="1" a="1"/>
  <c r="K318" i="1"/>
  <c r="B318" i="1" a="1"/>
  <c r="B318" i="1" s="1"/>
  <c r="Y317" i="1" a="1"/>
  <c r="Y317" i="1"/>
  <c r="K317" i="1" s="1" a="1"/>
  <c r="K317" i="1" s="1"/>
  <c r="V317" i="1" a="1"/>
  <c r="V317" i="1"/>
  <c r="U317" i="1" a="1"/>
  <c r="U317" i="1"/>
  <c r="T317" i="1"/>
  <c r="S317" i="1" a="1"/>
  <c r="S317" i="1" s="1"/>
  <c r="R317" i="1" s="1" a="1"/>
  <c r="R317" i="1" s="1"/>
  <c r="Q317" i="1"/>
  <c r="M317" i="1" a="1"/>
  <c r="M317" i="1" s="1"/>
  <c r="E317" i="1" a="1"/>
  <c r="E317" i="1"/>
  <c r="B317" i="1" a="1"/>
  <c r="B317" i="1"/>
  <c r="Y316" i="1" a="1"/>
  <c r="Y316" i="1" s="1"/>
  <c r="E316" i="1" s="1" a="1"/>
  <c r="E316" i="1" s="1"/>
  <c r="V316" i="1" a="1"/>
  <c r="V316" i="1" s="1"/>
  <c r="U316" i="1" a="1"/>
  <c r="U316" i="1" s="1"/>
  <c r="T316" i="1"/>
  <c r="S316" i="1" a="1"/>
  <c r="S316" i="1"/>
  <c r="Q316" i="1"/>
  <c r="M316" i="1" a="1"/>
  <c r="M316" i="1"/>
  <c r="K316" i="1" a="1"/>
  <c r="K316" i="1" s="1"/>
  <c r="C316" i="1" a="1"/>
  <c r="C316" i="1" s="1"/>
  <c r="B316" i="1" a="1"/>
  <c r="B316" i="1" s="1"/>
  <c r="Y315" i="1" a="1"/>
  <c r="Y315" i="1"/>
  <c r="K315" i="1" s="1" a="1"/>
  <c r="V315" i="1" a="1"/>
  <c r="V315" i="1"/>
  <c r="U315" i="1" a="1"/>
  <c r="U315" i="1" s="1"/>
  <c r="T315" i="1"/>
  <c r="S315" i="1" a="1"/>
  <c r="S315" i="1" s="1"/>
  <c r="R315" i="1" a="1"/>
  <c r="R315" i="1" s="1"/>
  <c r="G315" i="1" s="1" a="1"/>
  <c r="G315" i="1" s="1"/>
  <c r="Q315" i="1"/>
  <c r="M315" i="1" a="1"/>
  <c r="M315" i="1"/>
  <c r="B315" i="1" s="1" a="1"/>
  <c r="B315" i="1" s="1"/>
  <c r="K315" i="1"/>
  <c r="E315" i="1" a="1"/>
  <c r="E315" i="1" s="1"/>
  <c r="Y314" i="1" a="1"/>
  <c r="Y314" i="1" s="1"/>
  <c r="V314" i="1" a="1"/>
  <c r="V314" i="1"/>
  <c r="U314" i="1" a="1"/>
  <c r="U314" i="1"/>
  <c r="T314" i="1"/>
  <c r="S314" i="1" a="1"/>
  <c r="S314" i="1"/>
  <c r="Q314" i="1"/>
  <c r="M314" i="1" a="1"/>
  <c r="M314" i="1"/>
  <c r="B314" i="1" a="1"/>
  <c r="B314" i="1"/>
  <c r="Y313" i="1" a="1"/>
  <c r="Y313" i="1"/>
  <c r="V313" i="1" a="1"/>
  <c r="V313" i="1"/>
  <c r="U313" i="1" a="1"/>
  <c r="U313" i="1" s="1"/>
  <c r="T313" i="1"/>
  <c r="S313" i="1" a="1"/>
  <c r="S313" i="1" s="1"/>
  <c r="Q313" i="1"/>
  <c r="M313" i="1" a="1"/>
  <c r="M313" i="1"/>
  <c r="B313" i="1" s="1" a="1"/>
  <c r="B313" i="1" s="1"/>
  <c r="E313" i="1" a="1"/>
  <c r="E313" i="1"/>
  <c r="Y312" i="1" a="1"/>
  <c r="Y312" i="1"/>
  <c r="V312" i="1" a="1"/>
  <c r="V312" i="1" s="1"/>
  <c r="U312" i="1" a="1"/>
  <c r="U312" i="1" s="1"/>
  <c r="T312" i="1"/>
  <c r="S312" i="1" a="1"/>
  <c r="S312" i="1" s="1"/>
  <c r="I312" i="1" s="1" a="1"/>
  <c r="R312" i="1" a="1"/>
  <c r="R312" i="1"/>
  <c r="Q312" i="1"/>
  <c r="M312" i="1" a="1"/>
  <c r="M312" i="1"/>
  <c r="B312" i="1" s="1" a="1"/>
  <c r="B312" i="1" s="1"/>
  <c r="I312" i="1"/>
  <c r="C312" i="1" a="1"/>
  <c r="C312" i="1"/>
  <c r="Y311" i="1" a="1"/>
  <c r="Y311" i="1"/>
  <c r="K311" i="1" s="1" a="1"/>
  <c r="V311" i="1" a="1"/>
  <c r="V311" i="1" s="1"/>
  <c r="U311" i="1" a="1"/>
  <c r="U311" i="1" s="1"/>
  <c r="T311" i="1"/>
  <c r="S311" i="1" a="1"/>
  <c r="S311" i="1" s="1"/>
  <c r="R311" i="1" a="1"/>
  <c r="R311" i="1" s="1"/>
  <c r="G311" i="1" s="1" a="1"/>
  <c r="G311" i="1" s="1"/>
  <c r="Q311" i="1"/>
  <c r="M311" i="1" a="1"/>
  <c r="M311" i="1"/>
  <c r="B311" i="1" s="1" a="1"/>
  <c r="B311" i="1" s="1"/>
  <c r="K311" i="1"/>
  <c r="E311" i="1" a="1"/>
  <c r="E311" i="1" s="1"/>
  <c r="Y310" i="1" a="1"/>
  <c r="Y310" i="1"/>
  <c r="V310" i="1" a="1"/>
  <c r="V310" i="1" s="1"/>
  <c r="U310" i="1" a="1"/>
  <c r="U310" i="1" s="1"/>
  <c r="T310" i="1"/>
  <c r="S310" i="1" a="1"/>
  <c r="S310" i="1" s="1"/>
  <c r="R310" i="1" a="1"/>
  <c r="R310" i="1" s="1"/>
  <c r="Q310" i="1"/>
  <c r="M310" i="1" a="1"/>
  <c r="M310" i="1"/>
  <c r="K310" i="1" a="1"/>
  <c r="K310" i="1" s="1"/>
  <c r="G310" i="1" a="1"/>
  <c r="G310" i="1" s="1"/>
  <c r="B310" i="1" a="1"/>
  <c r="B310" i="1" s="1"/>
  <c r="Y309" i="1" a="1"/>
  <c r="Y309" i="1"/>
  <c r="K309" i="1" s="1" a="1"/>
  <c r="V309" i="1" a="1"/>
  <c r="V309" i="1"/>
  <c r="U309" i="1" a="1"/>
  <c r="U309" i="1" s="1"/>
  <c r="T309" i="1"/>
  <c r="S309" i="1" a="1"/>
  <c r="S309" i="1" s="1"/>
  <c r="R309" i="1" a="1"/>
  <c r="R309" i="1" s="1"/>
  <c r="Q309" i="1"/>
  <c r="M309" i="1" a="1"/>
  <c r="M309" i="1" s="1"/>
  <c r="K309" i="1"/>
  <c r="E309" i="1" a="1"/>
  <c r="E309" i="1" s="1"/>
  <c r="B309" i="1" a="1"/>
  <c r="B309" i="1" s="1"/>
  <c r="Y308" i="1" a="1"/>
  <c r="Y308" i="1"/>
  <c r="V308" i="1" a="1"/>
  <c r="V308" i="1"/>
  <c r="U308" i="1" a="1"/>
  <c r="U308" i="1"/>
  <c r="T308" i="1"/>
  <c r="S308" i="1" a="1"/>
  <c r="S308" i="1" s="1"/>
  <c r="R308" i="1" a="1"/>
  <c r="R308" i="1"/>
  <c r="Q308" i="1"/>
  <c r="M308" i="1" a="1"/>
  <c r="M308" i="1"/>
  <c r="G308" i="1" a="1"/>
  <c r="G308" i="1" s="1"/>
  <c r="B308" i="1" a="1"/>
  <c r="B308" i="1" s="1"/>
  <c r="Y307" i="1" a="1"/>
  <c r="Y307" i="1"/>
  <c r="V307" i="1" a="1"/>
  <c r="V307" i="1"/>
  <c r="U307" i="1" a="1"/>
  <c r="U307" i="1" s="1"/>
  <c r="T307" i="1"/>
  <c r="S307" i="1" a="1"/>
  <c r="S307" i="1" s="1"/>
  <c r="Q307" i="1"/>
  <c r="M307" i="1" a="1"/>
  <c r="M307" i="1" s="1"/>
  <c r="B307" i="1" s="1" a="1"/>
  <c r="B307" i="1" s="1"/>
  <c r="Y306" i="1" a="1"/>
  <c r="Y306" i="1" s="1"/>
  <c r="V306" i="1" a="1"/>
  <c r="V306" i="1"/>
  <c r="U306" i="1" a="1"/>
  <c r="U306" i="1" s="1"/>
  <c r="T306" i="1"/>
  <c r="S306" i="1" a="1"/>
  <c r="S306" i="1"/>
  <c r="Q306" i="1"/>
  <c r="M306" i="1" a="1"/>
  <c r="M306" i="1"/>
  <c r="B306" i="1" a="1"/>
  <c r="B306" i="1" s="1"/>
  <c r="Y305" i="1" a="1"/>
  <c r="Y305" i="1"/>
  <c r="V305" i="1" a="1"/>
  <c r="V305" i="1" s="1"/>
  <c r="U305" i="1" a="1"/>
  <c r="U305" i="1"/>
  <c r="T305" i="1"/>
  <c r="S305" i="1" a="1"/>
  <c r="S305" i="1" s="1"/>
  <c r="Q305" i="1"/>
  <c r="M305" i="1" a="1"/>
  <c r="M305" i="1" s="1"/>
  <c r="B305" i="1" s="1" a="1"/>
  <c r="B305" i="1" s="1"/>
  <c r="I305" i="1" a="1"/>
  <c r="I305" i="1"/>
  <c r="Y304" i="1" a="1"/>
  <c r="Y304" i="1"/>
  <c r="V304" i="1" a="1"/>
  <c r="V304" i="1"/>
  <c r="U304" i="1" a="1"/>
  <c r="U304" i="1" s="1"/>
  <c r="T304" i="1"/>
  <c r="S304" i="1" a="1"/>
  <c r="S304" i="1" s="1"/>
  <c r="Q304" i="1"/>
  <c r="M304" i="1" a="1"/>
  <c r="M304" i="1"/>
  <c r="B304" i="1" s="1" a="1"/>
  <c r="B304" i="1" s="1"/>
  <c r="C304" i="1" a="1"/>
  <c r="C304" i="1" s="1"/>
  <c r="Y303" i="1" a="1"/>
  <c r="Y303" i="1"/>
  <c r="K303" i="1" s="1" a="1"/>
  <c r="V303" i="1" a="1"/>
  <c r="V303" i="1"/>
  <c r="U303" i="1" a="1"/>
  <c r="U303" i="1" s="1"/>
  <c r="T303" i="1"/>
  <c r="S303" i="1" a="1"/>
  <c r="S303" i="1" s="1"/>
  <c r="Q303" i="1"/>
  <c r="M303" i="1" a="1"/>
  <c r="M303" i="1" s="1"/>
  <c r="B303" i="1" s="1" a="1"/>
  <c r="B303" i="1" s="1"/>
  <c r="K303" i="1"/>
  <c r="E303" i="1" a="1"/>
  <c r="E303" i="1" s="1"/>
  <c r="Y302" i="1" a="1"/>
  <c r="Y302" i="1" s="1"/>
  <c r="V302" i="1" a="1"/>
  <c r="V302" i="1" s="1"/>
  <c r="U302" i="1" a="1"/>
  <c r="U302" i="1"/>
  <c r="T302" i="1"/>
  <c r="S302" i="1" a="1"/>
  <c r="S302" i="1"/>
  <c r="R302" i="1" a="1"/>
  <c r="R302" i="1" s="1"/>
  <c r="Q302" i="1"/>
  <c r="M302" i="1" a="1"/>
  <c r="M302" i="1"/>
  <c r="B302" i="1" a="1"/>
  <c r="B302" i="1" s="1"/>
  <c r="Y301" i="1" a="1"/>
  <c r="Y301" i="1"/>
  <c r="V301" i="1" a="1"/>
  <c r="V301" i="1" s="1"/>
  <c r="U301" i="1" a="1"/>
  <c r="U301" i="1"/>
  <c r="T301" i="1"/>
  <c r="S301" i="1" a="1"/>
  <c r="S301" i="1" s="1"/>
  <c r="Q301" i="1"/>
  <c r="M301" i="1" a="1"/>
  <c r="M301" i="1" s="1"/>
  <c r="B301" i="1" s="1" a="1"/>
  <c r="B301" i="1" s="1"/>
  <c r="Y300" i="1" a="1"/>
  <c r="Y300" i="1" s="1"/>
  <c r="V300" i="1" a="1"/>
  <c r="V300" i="1" s="1"/>
  <c r="U300" i="1" a="1"/>
  <c r="U300" i="1"/>
  <c r="T300" i="1"/>
  <c r="S300" i="1" a="1"/>
  <c r="S300" i="1"/>
  <c r="Q300" i="1"/>
  <c r="M300" i="1" a="1"/>
  <c r="M300" i="1"/>
  <c r="B300" i="1" s="1" a="1"/>
  <c r="B300" i="1" s="1"/>
  <c r="Y299" i="1" a="1"/>
  <c r="Y299" i="1"/>
  <c r="V299" i="1" a="1"/>
  <c r="V299" i="1"/>
  <c r="U299" i="1" a="1"/>
  <c r="U299" i="1" s="1"/>
  <c r="T299" i="1"/>
  <c r="S299" i="1" a="1"/>
  <c r="S299" i="1" s="1"/>
  <c r="R299" i="1" a="1"/>
  <c r="R299" i="1" s="1"/>
  <c r="Q299" i="1"/>
  <c r="M299" i="1" a="1"/>
  <c r="M299" i="1"/>
  <c r="E299" i="1" a="1"/>
  <c r="E299" i="1" s="1"/>
  <c r="B299" i="1" a="1"/>
  <c r="B299" i="1" s="1"/>
  <c r="Y298" i="1" a="1"/>
  <c r="Y298" i="1" s="1"/>
  <c r="V298" i="1" a="1"/>
  <c r="V298" i="1"/>
  <c r="U298" i="1" a="1"/>
  <c r="U298" i="1" s="1"/>
  <c r="T298" i="1"/>
  <c r="S298" i="1" a="1"/>
  <c r="S298" i="1"/>
  <c r="Q298" i="1"/>
  <c r="M298" i="1" a="1"/>
  <c r="M298" i="1"/>
  <c r="B298" i="1" s="1" a="1"/>
  <c r="B298" i="1" s="1"/>
  <c r="K298" i="1" a="1"/>
  <c r="K298" i="1" s="1"/>
  <c r="Y297" i="1" a="1"/>
  <c r="Y297" i="1"/>
  <c r="V297" i="1" a="1"/>
  <c r="V297" i="1"/>
  <c r="U297" i="1" a="1"/>
  <c r="U297" i="1" s="1"/>
  <c r="T297" i="1"/>
  <c r="S297" i="1" a="1"/>
  <c r="S297" i="1" s="1"/>
  <c r="Q297" i="1"/>
  <c r="M297" i="1" a="1"/>
  <c r="M297" i="1"/>
  <c r="B297" i="1" a="1"/>
  <c r="B297" i="1" s="1"/>
  <c r="Y296" i="1" a="1"/>
  <c r="Y296" i="1"/>
  <c r="V296" i="1" a="1"/>
  <c r="V296" i="1" s="1"/>
  <c r="U296" i="1" a="1"/>
  <c r="U296" i="1" s="1"/>
  <c r="T296" i="1"/>
  <c r="S296" i="1" a="1"/>
  <c r="S296" i="1" s="1"/>
  <c r="R296" i="1" a="1"/>
  <c r="R296" i="1" s="1"/>
  <c r="G296" i="1" s="1" a="1"/>
  <c r="G296" i="1" s="1"/>
  <c r="Q296" i="1"/>
  <c r="M296" i="1" a="1"/>
  <c r="M296" i="1"/>
  <c r="B296" i="1" s="1" a="1"/>
  <c r="B296" i="1" s="1"/>
  <c r="C296" i="1" a="1"/>
  <c r="C296" i="1" s="1"/>
  <c r="Y295" i="1" a="1"/>
  <c r="Y295" i="1"/>
  <c r="V295" i="1" a="1"/>
  <c r="V295" i="1" s="1"/>
  <c r="U295" i="1" a="1"/>
  <c r="U295" i="1" s="1"/>
  <c r="T295" i="1"/>
  <c r="S295" i="1" a="1"/>
  <c r="S295" i="1" s="1"/>
  <c r="C295" i="1" s="1" a="1"/>
  <c r="R295" i="1" a="1"/>
  <c r="R295" i="1"/>
  <c r="Q295" i="1"/>
  <c r="M295" i="1" a="1"/>
  <c r="M295" i="1"/>
  <c r="B295" i="1" s="1" a="1"/>
  <c r="B295" i="1" s="1"/>
  <c r="I295" i="1" a="1"/>
  <c r="I295" i="1"/>
  <c r="C295" i="1"/>
  <c r="Y294" i="1" a="1"/>
  <c r="Y294" i="1"/>
  <c r="V294" i="1" a="1"/>
  <c r="V294" i="1"/>
  <c r="U294" i="1" a="1"/>
  <c r="U294" i="1" s="1"/>
  <c r="T294" i="1"/>
  <c r="S294" i="1" a="1"/>
  <c r="S294" i="1" s="1"/>
  <c r="Q294" i="1"/>
  <c r="M294" i="1" a="1"/>
  <c r="M294" i="1"/>
  <c r="B294" i="1" s="1" a="1"/>
  <c r="B294" i="1" s="1"/>
  <c r="K294" i="1" a="1"/>
  <c r="K294" i="1" s="1"/>
  <c r="Y293" i="1" a="1"/>
  <c r="Y293" i="1"/>
  <c r="E293" i="1" s="1" a="1"/>
  <c r="E293" i="1" s="1"/>
  <c r="V293" i="1" a="1"/>
  <c r="V293" i="1" s="1"/>
  <c r="U293" i="1" a="1"/>
  <c r="U293" i="1" s="1"/>
  <c r="T293" i="1"/>
  <c r="S293" i="1" a="1"/>
  <c r="S293" i="1" s="1"/>
  <c r="C293" i="1" s="1" a="1"/>
  <c r="R293" i="1" a="1"/>
  <c r="R293" i="1"/>
  <c r="Q293" i="1"/>
  <c r="M293" i="1" a="1"/>
  <c r="M293" i="1" s="1"/>
  <c r="I293" i="1" a="1"/>
  <c r="I293" i="1"/>
  <c r="C293" i="1"/>
  <c r="B293" i="1" a="1"/>
  <c r="B293" i="1" s="1"/>
  <c r="Y292" i="1" a="1"/>
  <c r="Y292" i="1"/>
  <c r="V292" i="1" a="1"/>
  <c r="V292" i="1" s="1"/>
  <c r="U292" i="1" a="1"/>
  <c r="U292" i="1"/>
  <c r="T292" i="1"/>
  <c r="S292" i="1" a="1"/>
  <c r="S292" i="1" s="1"/>
  <c r="R292" i="1" a="1"/>
  <c r="R292" i="1" s="1"/>
  <c r="Q292" i="1"/>
  <c r="M292" i="1" a="1"/>
  <c r="M292" i="1"/>
  <c r="B292" i="1" s="1" a="1"/>
  <c r="B292" i="1" s="1"/>
  <c r="K292" i="1" a="1"/>
  <c r="K292" i="1" s="1"/>
  <c r="C292" i="1" a="1"/>
  <c r="C292" i="1" s="1"/>
  <c r="Y291" i="1" a="1"/>
  <c r="Y291" i="1"/>
  <c r="V291" i="1" a="1"/>
  <c r="V291" i="1"/>
  <c r="U291" i="1" a="1"/>
  <c r="U291" i="1" s="1"/>
  <c r="T291" i="1"/>
  <c r="S291" i="1" a="1"/>
  <c r="S291" i="1" s="1"/>
  <c r="Q291" i="1"/>
  <c r="M291" i="1" a="1"/>
  <c r="M291" i="1"/>
  <c r="B291" i="1" s="1" a="1"/>
  <c r="B291" i="1" s="1"/>
  <c r="Y290" i="1" a="1"/>
  <c r="Y290" i="1"/>
  <c r="V290" i="1" a="1"/>
  <c r="V290" i="1"/>
  <c r="U290" i="1" a="1"/>
  <c r="U290" i="1" s="1"/>
  <c r="T290" i="1"/>
  <c r="S290" i="1" a="1"/>
  <c r="S290" i="1"/>
  <c r="R290" i="1" a="1"/>
  <c r="R290" i="1" s="1"/>
  <c r="Q290" i="1"/>
  <c r="M290" i="1" a="1"/>
  <c r="M290" i="1"/>
  <c r="B290" i="1" s="1" a="1"/>
  <c r="B290" i="1" s="1"/>
  <c r="Y289" i="1" a="1"/>
  <c r="Y289" i="1"/>
  <c r="V289" i="1" a="1"/>
  <c r="V289" i="1" s="1"/>
  <c r="U289" i="1" a="1"/>
  <c r="U289" i="1" s="1"/>
  <c r="T289" i="1"/>
  <c r="S289" i="1" a="1"/>
  <c r="S289" i="1" s="1"/>
  <c r="R289" i="1" s="1" a="1"/>
  <c r="R289" i="1" s="1"/>
  <c r="Q289" i="1"/>
  <c r="M289" i="1" a="1"/>
  <c r="M289" i="1" s="1"/>
  <c r="E289" i="1" a="1"/>
  <c r="E289" i="1" s="1"/>
  <c r="B289" i="1" a="1"/>
  <c r="B289" i="1" s="1"/>
  <c r="Y288" i="1" a="1"/>
  <c r="Y288" i="1" s="1"/>
  <c r="E288" i="1" s="1" a="1"/>
  <c r="E288" i="1" s="1"/>
  <c r="V288" i="1" a="1"/>
  <c r="V288" i="1" s="1"/>
  <c r="U288" i="1" a="1"/>
  <c r="U288" i="1" s="1"/>
  <c r="T288" i="1"/>
  <c r="S288" i="1" a="1"/>
  <c r="S288" i="1"/>
  <c r="Q288" i="1"/>
  <c r="M288" i="1" a="1"/>
  <c r="M288" i="1"/>
  <c r="B288" i="1" a="1"/>
  <c r="B288" i="1" s="1"/>
  <c r="Y287" i="1" a="1"/>
  <c r="Y287" i="1"/>
  <c r="K287" i="1" s="1" a="1"/>
  <c r="V287" i="1" a="1"/>
  <c r="V287" i="1" s="1"/>
  <c r="U287" i="1" a="1"/>
  <c r="U287" i="1" s="1"/>
  <c r="T287" i="1"/>
  <c r="S287" i="1" a="1"/>
  <c r="S287" i="1" s="1"/>
  <c r="Q287" i="1"/>
  <c r="M287" i="1" a="1"/>
  <c r="M287" i="1"/>
  <c r="B287" i="1" s="1" a="1"/>
  <c r="B287" i="1" s="1"/>
  <c r="K287" i="1"/>
  <c r="Y286" i="1" a="1"/>
  <c r="Y286" i="1"/>
  <c r="V286" i="1" a="1"/>
  <c r="V286" i="1" s="1"/>
  <c r="U286" i="1" a="1"/>
  <c r="U286" i="1"/>
  <c r="T286" i="1"/>
  <c r="S286" i="1" a="1"/>
  <c r="S286" i="1" s="1"/>
  <c r="I286" i="1" s="1" a="1"/>
  <c r="I286" i="1" s="1"/>
  <c r="Q286" i="1"/>
  <c r="M286" i="1" a="1"/>
  <c r="M286" i="1"/>
  <c r="C286" i="1" a="1"/>
  <c r="C286" i="1" s="1"/>
  <c r="B286" i="1" a="1"/>
  <c r="B286" i="1" s="1"/>
  <c r="Y285" i="1" a="1"/>
  <c r="Y285" i="1"/>
  <c r="K285" i="1" s="1" a="1"/>
  <c r="V285" i="1" a="1"/>
  <c r="V285" i="1" s="1"/>
  <c r="U285" i="1" a="1"/>
  <c r="U285" i="1" s="1"/>
  <c r="T285" i="1"/>
  <c r="S285" i="1" a="1"/>
  <c r="S285" i="1" s="1"/>
  <c r="Q285" i="1"/>
  <c r="M285" i="1" a="1"/>
  <c r="M285" i="1" s="1"/>
  <c r="K285" i="1"/>
  <c r="E285" i="1" a="1"/>
  <c r="E285" i="1"/>
  <c r="B285" i="1" a="1"/>
  <c r="B285" i="1" s="1"/>
  <c r="Y284" i="1" a="1"/>
  <c r="Y284" i="1" s="1"/>
  <c r="V284" i="1" a="1"/>
  <c r="V284" i="1" s="1"/>
  <c r="U284" i="1" a="1"/>
  <c r="U284" i="1" s="1"/>
  <c r="T284" i="1"/>
  <c r="S284" i="1" a="1"/>
  <c r="S284" i="1" s="1"/>
  <c r="Q284" i="1"/>
  <c r="M284" i="1" a="1"/>
  <c r="M284" i="1"/>
  <c r="B284" i="1" s="1" a="1"/>
  <c r="B284" i="1" s="1"/>
  <c r="Y283" i="1" a="1"/>
  <c r="Y283" i="1"/>
  <c r="V283" i="1" a="1"/>
  <c r="V283" i="1"/>
  <c r="U283" i="1" a="1"/>
  <c r="U283" i="1" s="1"/>
  <c r="T283" i="1"/>
  <c r="S283" i="1" a="1"/>
  <c r="S283" i="1" s="1"/>
  <c r="C283" i="1" s="1" a="1"/>
  <c r="R283" i="1" a="1"/>
  <c r="R283" i="1"/>
  <c r="Q283" i="1"/>
  <c r="M283" i="1" a="1"/>
  <c r="M283" i="1"/>
  <c r="B283" i="1" s="1" a="1"/>
  <c r="B283" i="1" s="1"/>
  <c r="I283" i="1" a="1"/>
  <c r="I283" i="1" s="1"/>
  <c r="E283" i="1" a="1"/>
  <c r="E283" i="1" s="1"/>
  <c r="C283" i="1"/>
  <c r="Y282" i="1" a="1"/>
  <c r="Y282" i="1"/>
  <c r="E282" i="1" s="1" a="1"/>
  <c r="V282" i="1" a="1"/>
  <c r="V282" i="1" s="1"/>
  <c r="U282" i="1" a="1"/>
  <c r="U282" i="1"/>
  <c r="T282" i="1"/>
  <c r="S282" i="1" a="1"/>
  <c r="S282" i="1"/>
  <c r="I282" i="1" s="1" a="1"/>
  <c r="R282" i="1" a="1"/>
  <c r="R282" i="1" s="1"/>
  <c r="G282" i="1" s="1" a="1"/>
  <c r="G282" i="1" s="1"/>
  <c r="Q282" i="1"/>
  <c r="M282" i="1" a="1"/>
  <c r="M282" i="1"/>
  <c r="K282" i="1" a="1"/>
  <c r="K282" i="1" s="1"/>
  <c r="I282" i="1"/>
  <c r="E282" i="1"/>
  <c r="C282" i="1" a="1"/>
  <c r="C282" i="1" s="1"/>
  <c r="B282" i="1" a="1"/>
  <c r="B282" i="1" s="1"/>
  <c r="Y281" i="1" a="1"/>
  <c r="Y281" i="1"/>
  <c r="V281" i="1" a="1"/>
  <c r="V281" i="1"/>
  <c r="U281" i="1" a="1"/>
  <c r="U281" i="1" s="1"/>
  <c r="T281" i="1"/>
  <c r="S281" i="1" a="1"/>
  <c r="S281" i="1" s="1"/>
  <c r="C281" i="1" s="1" a="1"/>
  <c r="C281" i="1" s="1"/>
  <c r="R281" i="1" a="1"/>
  <c r="R281" i="1"/>
  <c r="Q281" i="1"/>
  <c r="M281" i="1" a="1"/>
  <c r="M281" i="1"/>
  <c r="B281" i="1" s="1" a="1"/>
  <c r="B281" i="1" s="1"/>
  <c r="I281" i="1" a="1"/>
  <c r="I281" i="1" s="1"/>
  <c r="E281" i="1" a="1"/>
  <c r="E281" i="1"/>
  <c r="Y280" i="1" a="1"/>
  <c r="Y280" i="1"/>
  <c r="V280" i="1" a="1"/>
  <c r="V280" i="1"/>
  <c r="U280" i="1" a="1"/>
  <c r="U280" i="1" s="1"/>
  <c r="T280" i="1"/>
  <c r="S280" i="1" a="1"/>
  <c r="S280" i="1" s="1"/>
  <c r="I280" i="1" s="1" a="1"/>
  <c r="I280" i="1" s="1"/>
  <c r="Q280" i="1"/>
  <c r="M280" i="1" a="1"/>
  <c r="M280" i="1"/>
  <c r="B280" i="1" a="1"/>
  <c r="B280" i="1" s="1"/>
  <c r="Y279" i="1" a="1"/>
  <c r="Y279" i="1"/>
  <c r="V279" i="1" a="1"/>
  <c r="V279" i="1" s="1"/>
  <c r="U279" i="1" a="1"/>
  <c r="U279" i="1" s="1"/>
  <c r="T279" i="1"/>
  <c r="S279" i="1" a="1"/>
  <c r="S279" i="1" s="1"/>
  <c r="Q279" i="1"/>
  <c r="M279" i="1" a="1"/>
  <c r="M279" i="1"/>
  <c r="B279" i="1" a="1"/>
  <c r="B279" i="1" s="1"/>
  <c r="Y278" i="1" a="1"/>
  <c r="Y278" i="1"/>
  <c r="V278" i="1" a="1"/>
  <c r="V278" i="1" s="1"/>
  <c r="U278" i="1" a="1"/>
  <c r="U278" i="1"/>
  <c r="T278" i="1"/>
  <c r="S278" i="1" a="1"/>
  <c r="S278" i="1" s="1"/>
  <c r="Q278" i="1"/>
  <c r="M278" i="1" a="1"/>
  <c r="M278" i="1"/>
  <c r="B278" i="1" s="1" a="1"/>
  <c r="B278" i="1" s="1"/>
  <c r="K278" i="1" a="1"/>
  <c r="K278" i="1" s="1"/>
  <c r="Y277" i="1" a="1"/>
  <c r="Y277" i="1"/>
  <c r="K277" i="1" s="1" a="1"/>
  <c r="V277" i="1" a="1"/>
  <c r="V277" i="1" s="1"/>
  <c r="U277" i="1" a="1"/>
  <c r="U277" i="1" s="1"/>
  <c r="T277" i="1"/>
  <c r="S277" i="1" a="1"/>
  <c r="S277" i="1" s="1"/>
  <c r="Q277" i="1"/>
  <c r="M277" i="1" a="1"/>
  <c r="M277" i="1" s="1"/>
  <c r="K277" i="1"/>
  <c r="E277" i="1" a="1"/>
  <c r="E277" i="1"/>
  <c r="B277" i="1" a="1"/>
  <c r="B277" i="1" s="1"/>
  <c r="Y276" i="1" a="1"/>
  <c r="Y276" i="1" s="1"/>
  <c r="V276" i="1" a="1"/>
  <c r="V276" i="1" s="1"/>
  <c r="U276" i="1" a="1"/>
  <c r="U276" i="1"/>
  <c r="T276" i="1"/>
  <c r="S276" i="1" a="1"/>
  <c r="S276" i="1" s="1"/>
  <c r="Q276" i="1"/>
  <c r="M276" i="1" a="1"/>
  <c r="M276" i="1"/>
  <c r="B276" i="1" s="1" a="1"/>
  <c r="B276" i="1" s="1"/>
  <c r="K276" i="1" a="1"/>
  <c r="K276" i="1" s="1"/>
  <c r="Y275" i="1" a="1"/>
  <c r="Y275" i="1"/>
  <c r="V275" i="1" a="1"/>
  <c r="V275" i="1"/>
  <c r="U275" i="1" a="1"/>
  <c r="U275" i="1" s="1"/>
  <c r="T275" i="1"/>
  <c r="S275" i="1" a="1"/>
  <c r="S275" i="1" s="1"/>
  <c r="C275" i="1" s="1" a="1"/>
  <c r="R275" i="1" a="1"/>
  <c r="R275" i="1"/>
  <c r="Q275" i="1"/>
  <c r="M275" i="1" a="1"/>
  <c r="M275" i="1" s="1"/>
  <c r="B275" i="1" s="1" a="1"/>
  <c r="B275" i="1" s="1"/>
  <c r="I275" i="1" a="1"/>
  <c r="I275" i="1"/>
  <c r="C275" i="1"/>
  <c r="Y274" i="1" a="1"/>
  <c r="Y274" i="1" s="1"/>
  <c r="V274" i="1" a="1"/>
  <c r="V274" i="1"/>
  <c r="U274" i="1" a="1"/>
  <c r="U274" i="1"/>
  <c r="T274" i="1"/>
  <c r="S274" i="1" a="1"/>
  <c r="S274" i="1"/>
  <c r="R274" i="1" s="1" a="1"/>
  <c r="R274" i="1" s="1"/>
  <c r="G274" i="1" s="1" a="1"/>
  <c r="G274" i="1" s="1"/>
  <c r="Q274" i="1"/>
  <c r="M274" i="1" a="1"/>
  <c r="M274" i="1"/>
  <c r="B274" i="1" a="1"/>
  <c r="B274" i="1" s="1"/>
  <c r="Y273" i="1" a="1"/>
  <c r="Y273" i="1"/>
  <c r="V273" i="1" a="1"/>
  <c r="V273" i="1"/>
  <c r="U273" i="1" a="1"/>
  <c r="U273" i="1" s="1"/>
  <c r="T273" i="1"/>
  <c r="S273" i="1" a="1"/>
  <c r="S273" i="1" s="1"/>
  <c r="Q273" i="1"/>
  <c r="M273" i="1" a="1"/>
  <c r="M273" i="1" s="1"/>
  <c r="B273" i="1" s="1" a="1"/>
  <c r="B273" i="1" s="1"/>
  <c r="I273" i="1" a="1"/>
  <c r="I273" i="1" s="1"/>
  <c r="Y272" i="1" a="1"/>
  <c r="Y272" i="1"/>
  <c r="V272" i="1" a="1"/>
  <c r="V272" i="1" s="1"/>
  <c r="U272" i="1" a="1"/>
  <c r="U272" i="1" s="1"/>
  <c r="T272" i="1"/>
  <c r="S272" i="1" a="1"/>
  <c r="S272" i="1" s="1"/>
  <c r="I272" i="1" s="1" a="1"/>
  <c r="R272" i="1" a="1"/>
  <c r="R272" i="1" s="1"/>
  <c r="Q272" i="1"/>
  <c r="M272" i="1" a="1"/>
  <c r="M272" i="1"/>
  <c r="I272" i="1"/>
  <c r="C272" i="1" a="1"/>
  <c r="C272" i="1"/>
  <c r="B272" i="1" a="1"/>
  <c r="B272" i="1"/>
  <c r="Y271" i="1" a="1"/>
  <c r="Y271" i="1"/>
  <c r="K271" i="1" s="1" a="1"/>
  <c r="V271" i="1" a="1"/>
  <c r="V271" i="1" s="1"/>
  <c r="U271" i="1" a="1"/>
  <c r="U271" i="1" s="1"/>
  <c r="T271" i="1"/>
  <c r="S271" i="1" a="1"/>
  <c r="S271" i="1" s="1"/>
  <c r="R271" i="1" s="1" a="1"/>
  <c r="R271" i="1" s="1"/>
  <c r="Q271" i="1"/>
  <c r="M271" i="1" a="1"/>
  <c r="M271" i="1"/>
  <c r="B271" i="1" s="1" a="1"/>
  <c r="B271" i="1" s="1"/>
  <c r="K271" i="1"/>
  <c r="I271" i="1" a="1"/>
  <c r="I271" i="1" s="1"/>
  <c r="E271" i="1" a="1"/>
  <c r="E271" i="1" s="1"/>
  <c r="Y270" i="1" a="1"/>
  <c r="Y270" i="1"/>
  <c r="K270" i="1" s="1" a="1"/>
  <c r="K270" i="1" s="1"/>
  <c r="V270" i="1" a="1"/>
  <c r="V270" i="1" s="1"/>
  <c r="U270" i="1" a="1"/>
  <c r="U270" i="1" s="1"/>
  <c r="T270" i="1"/>
  <c r="S270" i="1" a="1"/>
  <c r="S270" i="1" s="1"/>
  <c r="Q270" i="1"/>
  <c r="M270" i="1" a="1"/>
  <c r="M270" i="1"/>
  <c r="B270" i="1" a="1"/>
  <c r="B270" i="1"/>
  <c r="Y269" i="1" a="1"/>
  <c r="Y269" i="1"/>
  <c r="K269" i="1" s="1" a="1"/>
  <c r="V269" i="1" a="1"/>
  <c r="V269" i="1" s="1"/>
  <c r="U269" i="1" a="1"/>
  <c r="U269" i="1" s="1"/>
  <c r="T269" i="1"/>
  <c r="S269" i="1" a="1"/>
  <c r="S269" i="1" s="1"/>
  <c r="C269" i="1" s="1" a="1"/>
  <c r="C269" i="1" s="1"/>
  <c r="Q269" i="1"/>
  <c r="M269" i="1" a="1"/>
  <c r="M269" i="1" s="1"/>
  <c r="B269" i="1" s="1" a="1"/>
  <c r="B269" i="1" s="1"/>
  <c r="K269" i="1"/>
  <c r="I269" i="1" a="1"/>
  <c r="I269" i="1" s="1"/>
  <c r="E269" i="1" a="1"/>
  <c r="E269" i="1"/>
  <c r="Y268" i="1" a="1"/>
  <c r="Y268" i="1" s="1"/>
  <c r="V268" i="1" a="1"/>
  <c r="V268" i="1"/>
  <c r="U268" i="1" a="1"/>
  <c r="U268" i="1"/>
  <c r="T268" i="1"/>
  <c r="S268" i="1" a="1"/>
  <c r="S268" i="1"/>
  <c r="Q268" i="1"/>
  <c r="M268" i="1" a="1"/>
  <c r="M268" i="1"/>
  <c r="B268" i="1" a="1"/>
  <c r="B268" i="1" s="1"/>
  <c r="Y267" i="1" a="1"/>
  <c r="Y267" i="1"/>
  <c r="V267" i="1" a="1"/>
  <c r="V267" i="1"/>
  <c r="U267" i="1" a="1"/>
  <c r="U267" i="1" s="1"/>
  <c r="T267" i="1"/>
  <c r="S267" i="1" a="1"/>
  <c r="S267" i="1" s="1"/>
  <c r="C267" i="1" s="1" a="1"/>
  <c r="R267" i="1" a="1"/>
  <c r="R267" i="1"/>
  <c r="Q267" i="1"/>
  <c r="M267" i="1" a="1"/>
  <c r="M267" i="1"/>
  <c r="B267" i="1" s="1" a="1"/>
  <c r="B267" i="1" s="1"/>
  <c r="I267" i="1" a="1"/>
  <c r="I267" i="1"/>
  <c r="C267" i="1"/>
  <c r="Y266" i="1" a="1"/>
  <c r="Y266" i="1" s="1"/>
  <c r="V266" i="1" a="1"/>
  <c r="V266" i="1"/>
  <c r="U266" i="1" a="1"/>
  <c r="U266" i="1" s="1"/>
  <c r="T266" i="1"/>
  <c r="S266" i="1" a="1"/>
  <c r="S266" i="1"/>
  <c r="Q266" i="1"/>
  <c r="M266" i="1" a="1"/>
  <c r="M266" i="1"/>
  <c r="B266" i="1" s="1" a="1"/>
  <c r="B266" i="1" s="1"/>
  <c r="Y265" i="1" a="1"/>
  <c r="Y265" i="1"/>
  <c r="V265" i="1" a="1"/>
  <c r="V265" i="1" s="1"/>
  <c r="U265" i="1" a="1"/>
  <c r="U265" i="1" s="1"/>
  <c r="T265" i="1"/>
  <c r="S265" i="1" a="1"/>
  <c r="S265" i="1" s="1"/>
  <c r="Q265" i="1"/>
  <c r="M265" i="1" a="1"/>
  <c r="M265" i="1" s="1"/>
  <c r="B265" i="1" s="1" a="1"/>
  <c r="B265" i="1" s="1"/>
  <c r="I265" i="1" a="1"/>
  <c r="I265" i="1"/>
  <c r="Y264" i="1" a="1"/>
  <c r="Y264" i="1"/>
  <c r="V264" i="1" a="1"/>
  <c r="V264" i="1"/>
  <c r="U264" i="1" a="1"/>
  <c r="U264" i="1" s="1"/>
  <c r="T264" i="1"/>
  <c r="S264" i="1" a="1"/>
  <c r="S264" i="1" s="1"/>
  <c r="I264" i="1" s="1" a="1"/>
  <c r="I264" i="1" s="1"/>
  <c r="R264" i="1" a="1"/>
  <c r="R264" i="1" s="1"/>
  <c r="Q264" i="1"/>
  <c r="M264" i="1" a="1"/>
  <c r="M264" i="1"/>
  <c r="B264" i="1" a="1"/>
  <c r="B264" i="1" s="1"/>
  <c r="Y263" i="1" a="1"/>
  <c r="Y263" i="1"/>
  <c r="V263" i="1" a="1"/>
  <c r="V263" i="1" s="1"/>
  <c r="U263" i="1" a="1"/>
  <c r="U263" i="1" s="1"/>
  <c r="T263" i="1"/>
  <c r="S263" i="1" a="1"/>
  <c r="S263" i="1" s="1"/>
  <c r="Q263" i="1"/>
  <c r="M263" i="1" a="1"/>
  <c r="M263" i="1"/>
  <c r="B263" i="1" s="1" a="1"/>
  <c r="B263" i="1" s="1"/>
  <c r="Y262" i="1" a="1"/>
  <c r="Y262" i="1"/>
  <c r="V262" i="1" a="1"/>
  <c r="V262" i="1" s="1"/>
  <c r="U262" i="1" a="1"/>
  <c r="U262" i="1"/>
  <c r="T262" i="1"/>
  <c r="S262" i="1" a="1"/>
  <c r="S262" i="1"/>
  <c r="Q262" i="1"/>
  <c r="M262" i="1" a="1"/>
  <c r="M262" i="1"/>
  <c r="B262" i="1" s="1" a="1"/>
  <c r="B262" i="1" s="1"/>
  <c r="Y261" i="1" a="1"/>
  <c r="Y261" i="1"/>
  <c r="K261" i="1" s="1" a="1"/>
  <c r="V261" i="1" a="1"/>
  <c r="V261" i="1"/>
  <c r="U261" i="1" a="1"/>
  <c r="U261" i="1" s="1"/>
  <c r="T261" i="1"/>
  <c r="S261" i="1" a="1"/>
  <c r="S261" i="1" s="1"/>
  <c r="C261" i="1" s="1" a="1"/>
  <c r="R261" i="1" a="1"/>
  <c r="R261" i="1" s="1"/>
  <c r="Q261" i="1"/>
  <c r="M261" i="1" a="1"/>
  <c r="M261" i="1" s="1"/>
  <c r="B261" i="1" s="1" a="1"/>
  <c r="B261" i="1" s="1"/>
  <c r="K261" i="1"/>
  <c r="I261" i="1" a="1"/>
  <c r="I261" i="1"/>
  <c r="E261" i="1" a="1"/>
  <c r="E261" i="1"/>
  <c r="C261" i="1"/>
  <c r="Y260" i="1" a="1"/>
  <c r="Y260" i="1" s="1"/>
  <c r="V260" i="1" a="1"/>
  <c r="V260" i="1"/>
  <c r="U260" i="1" a="1"/>
  <c r="U260" i="1" s="1"/>
  <c r="T260" i="1"/>
  <c r="S260" i="1" a="1"/>
  <c r="S260" i="1"/>
  <c r="Q260" i="1"/>
  <c r="M260" i="1" a="1"/>
  <c r="M260" i="1"/>
  <c r="C260" i="1" a="1"/>
  <c r="C260" i="1" s="1"/>
  <c r="B260" i="1" a="1"/>
  <c r="B260" i="1" s="1"/>
  <c r="Y259" i="1" a="1"/>
  <c r="Y259" i="1"/>
  <c r="V259" i="1" a="1"/>
  <c r="V259" i="1"/>
  <c r="U259" i="1" a="1"/>
  <c r="U259" i="1" s="1"/>
  <c r="T259" i="1"/>
  <c r="S259" i="1" a="1"/>
  <c r="S259" i="1" s="1"/>
  <c r="C259" i="1" s="1" a="1"/>
  <c r="R259" i="1" a="1"/>
  <c r="R259" i="1" s="1"/>
  <c r="Q259" i="1"/>
  <c r="M259" i="1" a="1"/>
  <c r="M259" i="1"/>
  <c r="B259" i="1" s="1" a="1"/>
  <c r="B259" i="1" s="1"/>
  <c r="I259" i="1" a="1"/>
  <c r="I259" i="1"/>
  <c r="E259" i="1" a="1"/>
  <c r="E259" i="1" s="1"/>
  <c r="C259" i="1"/>
  <c r="Y258" i="1" a="1"/>
  <c r="Y258" i="1"/>
  <c r="V258" i="1" a="1"/>
  <c r="V258" i="1"/>
  <c r="U258" i="1" a="1"/>
  <c r="U258" i="1" s="1"/>
  <c r="T258" i="1"/>
  <c r="S258" i="1" a="1"/>
  <c r="S258" i="1"/>
  <c r="R258" i="1" a="1"/>
  <c r="R258" i="1" s="1"/>
  <c r="Q258" i="1"/>
  <c r="M258" i="1" a="1"/>
  <c r="M258" i="1"/>
  <c r="C258" i="1" a="1"/>
  <c r="C258" i="1" s="1"/>
  <c r="B258" i="1" a="1"/>
  <c r="B258" i="1" s="1"/>
  <c r="Y257" i="1" a="1"/>
  <c r="Y257" i="1"/>
  <c r="E257" i="1" s="1" a="1"/>
  <c r="E257" i="1" s="1"/>
  <c r="V257" i="1" a="1"/>
  <c r="V257" i="1" s="1"/>
  <c r="U257" i="1" a="1"/>
  <c r="U257" i="1" s="1"/>
  <c r="T257" i="1"/>
  <c r="S257" i="1" a="1"/>
  <c r="S257" i="1" s="1"/>
  <c r="Q257" i="1"/>
  <c r="M257" i="1" a="1"/>
  <c r="M257" i="1"/>
  <c r="I257" i="1" a="1"/>
  <c r="I257" i="1"/>
  <c r="B257" i="1" a="1"/>
  <c r="B257" i="1" s="1"/>
  <c r="Y256" i="1" a="1"/>
  <c r="Y256" i="1"/>
  <c r="V256" i="1" a="1"/>
  <c r="V256" i="1"/>
  <c r="U256" i="1" a="1"/>
  <c r="U256" i="1"/>
  <c r="T256" i="1"/>
  <c r="S256" i="1" a="1"/>
  <c r="S256" i="1" s="1"/>
  <c r="I256" i="1" s="1" a="1"/>
  <c r="I256" i="1" s="1"/>
  <c r="Q256" i="1"/>
  <c r="M256" i="1" a="1"/>
  <c r="M256" i="1"/>
  <c r="C256" i="1" a="1"/>
  <c r="C256" i="1" s="1"/>
  <c r="B256" i="1" a="1"/>
  <c r="B256" i="1"/>
  <c r="Y255" i="1" a="1"/>
  <c r="Y255" i="1"/>
  <c r="V255" i="1" a="1"/>
  <c r="V255" i="1" s="1"/>
  <c r="U255" i="1" a="1"/>
  <c r="U255" i="1" s="1"/>
  <c r="T255" i="1"/>
  <c r="S255" i="1" a="1"/>
  <c r="S255" i="1" s="1"/>
  <c r="R255" i="1" a="1"/>
  <c r="R255" i="1" s="1"/>
  <c r="G255" i="1" s="1" a="1"/>
  <c r="G255" i="1" s="1"/>
  <c r="Q255" i="1"/>
  <c r="M255" i="1" a="1"/>
  <c r="M255" i="1"/>
  <c r="B255" i="1" s="1" a="1"/>
  <c r="B255" i="1" s="1"/>
  <c r="I255" i="1" a="1"/>
  <c r="I255" i="1" s="1"/>
  <c r="Y254" i="1" a="1"/>
  <c r="Y254" i="1" s="1"/>
  <c r="V254" i="1" a="1"/>
  <c r="V254" i="1" s="1"/>
  <c r="U254" i="1" a="1"/>
  <c r="U254" i="1" s="1"/>
  <c r="T254" i="1"/>
  <c r="S254" i="1" a="1"/>
  <c r="S254" i="1"/>
  <c r="Q254" i="1"/>
  <c r="M254" i="1" a="1"/>
  <c r="M254" i="1"/>
  <c r="B254" i="1" a="1"/>
  <c r="B254" i="1" s="1"/>
  <c r="Y253" i="1" a="1"/>
  <c r="Y253" i="1"/>
  <c r="K253" i="1" s="1" a="1"/>
  <c r="V253" i="1" a="1"/>
  <c r="V253" i="1"/>
  <c r="U253" i="1" a="1"/>
  <c r="U253" i="1"/>
  <c r="T253" i="1"/>
  <c r="S253" i="1" a="1"/>
  <c r="S253" i="1" s="1"/>
  <c r="C253" i="1" s="1" a="1"/>
  <c r="R253" i="1" a="1"/>
  <c r="R253" i="1" s="1"/>
  <c r="Q253" i="1"/>
  <c r="M253" i="1" a="1"/>
  <c r="M253" i="1" s="1"/>
  <c r="K253" i="1"/>
  <c r="I253" i="1" a="1"/>
  <c r="I253" i="1"/>
  <c r="E253" i="1" a="1"/>
  <c r="E253" i="1"/>
  <c r="C253" i="1"/>
  <c r="B253" i="1" a="1"/>
  <c r="B253" i="1" s="1"/>
  <c r="Y252" i="1" a="1"/>
  <c r="Y252" i="1" s="1"/>
  <c r="K252" i="1" s="1" a="1"/>
  <c r="K252" i="1" s="1"/>
  <c r="V252" i="1" a="1"/>
  <c r="V252" i="1" s="1"/>
  <c r="U252" i="1" a="1"/>
  <c r="U252" i="1"/>
  <c r="T252" i="1"/>
  <c r="S252" i="1" a="1"/>
  <c r="S252" i="1" s="1"/>
  <c r="C252" i="1" s="1" a="1"/>
  <c r="C252" i="1" s="1"/>
  <c r="Q252" i="1"/>
  <c r="M252" i="1" a="1"/>
  <c r="M252" i="1"/>
  <c r="B252" i="1" s="1" a="1"/>
  <c r="B252" i="1" s="1"/>
  <c r="Y251" i="1" a="1"/>
  <c r="Y251" i="1"/>
  <c r="V251" i="1" a="1"/>
  <c r="V251" i="1"/>
  <c r="U251" i="1" a="1"/>
  <c r="U251" i="1" s="1"/>
  <c r="T251" i="1"/>
  <c r="S251" i="1" a="1"/>
  <c r="S251" i="1" s="1"/>
  <c r="C251" i="1" s="1" a="1"/>
  <c r="R251" i="1" a="1"/>
  <c r="R251" i="1" s="1"/>
  <c r="G251" i="1" s="1" a="1"/>
  <c r="Q251" i="1"/>
  <c r="M251" i="1" a="1"/>
  <c r="M251" i="1" s="1"/>
  <c r="I251" i="1" a="1"/>
  <c r="I251" i="1"/>
  <c r="G251" i="1"/>
  <c r="E251" i="1" a="1"/>
  <c r="E251" i="1" s="1"/>
  <c r="C251" i="1"/>
  <c r="B251" i="1" a="1"/>
  <c r="B251" i="1" s="1"/>
  <c r="Y250" i="1" a="1"/>
  <c r="Y250" i="1"/>
  <c r="V250" i="1" a="1"/>
  <c r="V250" i="1"/>
  <c r="U250" i="1" a="1"/>
  <c r="U250" i="1" s="1"/>
  <c r="T250" i="1"/>
  <c r="S250" i="1" a="1"/>
  <c r="S250" i="1"/>
  <c r="R250" i="1" a="1"/>
  <c r="R250" i="1" s="1"/>
  <c r="Q250" i="1"/>
  <c r="M250" i="1" a="1"/>
  <c r="M250" i="1"/>
  <c r="B250" i="1" s="1" a="1"/>
  <c r="B250" i="1" s="1"/>
  <c r="C250" i="1" a="1"/>
  <c r="C250" i="1" s="1"/>
  <c r="Y249" i="1" a="1"/>
  <c r="Y249" i="1"/>
  <c r="V249" i="1" a="1"/>
  <c r="V249" i="1"/>
  <c r="U249" i="1" a="1"/>
  <c r="U249" i="1" s="1"/>
  <c r="T249" i="1"/>
  <c r="S249" i="1" a="1"/>
  <c r="S249" i="1" s="1"/>
  <c r="Q249" i="1"/>
  <c r="M249" i="1" a="1"/>
  <c r="M249" i="1"/>
  <c r="B249" i="1" s="1" a="1"/>
  <c r="B249" i="1" s="1"/>
  <c r="I249" i="1" a="1"/>
  <c r="I249" i="1" s="1"/>
  <c r="E249" i="1" a="1"/>
  <c r="E249" i="1" s="1"/>
  <c r="Y248" i="1" a="1"/>
  <c r="Y248" i="1"/>
  <c r="V248" i="1" a="1"/>
  <c r="V248" i="1" s="1"/>
  <c r="U248" i="1" a="1"/>
  <c r="U248" i="1" s="1"/>
  <c r="T248" i="1"/>
  <c r="S248" i="1" a="1"/>
  <c r="S248" i="1" s="1"/>
  <c r="Q248" i="1"/>
  <c r="M248" i="1" a="1"/>
  <c r="M248" i="1"/>
  <c r="B248" i="1" a="1"/>
  <c r="B248" i="1" s="1"/>
  <c r="Y247" i="1" a="1"/>
  <c r="Y247" i="1"/>
  <c r="K247" i="1" s="1" a="1"/>
  <c r="V247" i="1" a="1"/>
  <c r="V247" i="1" s="1"/>
  <c r="U247" i="1" a="1"/>
  <c r="U247" i="1"/>
  <c r="T247" i="1"/>
  <c r="S247" i="1" a="1"/>
  <c r="S247" i="1" s="1"/>
  <c r="R247" i="1" a="1"/>
  <c r="R247" i="1" s="1"/>
  <c r="Q247" i="1"/>
  <c r="M247" i="1" a="1"/>
  <c r="M247" i="1"/>
  <c r="B247" i="1" s="1" a="1"/>
  <c r="B247" i="1" s="1"/>
  <c r="K247" i="1"/>
  <c r="I247" i="1" a="1"/>
  <c r="I247" i="1" s="1"/>
  <c r="E247" i="1" a="1"/>
  <c r="E247" i="1"/>
  <c r="Y246" i="1" a="1"/>
  <c r="Y246" i="1" s="1"/>
  <c r="K246" i="1" s="1" a="1"/>
  <c r="K246" i="1" s="1"/>
  <c r="V246" i="1" a="1"/>
  <c r="V246" i="1" s="1"/>
  <c r="U246" i="1" a="1"/>
  <c r="U246" i="1"/>
  <c r="T246" i="1"/>
  <c r="S246" i="1" a="1"/>
  <c r="S246" i="1" s="1"/>
  <c r="R246" i="1" a="1"/>
  <c r="R246" i="1" s="1"/>
  <c r="G246" i="1" s="1" a="1"/>
  <c r="G246" i="1" s="1"/>
  <c r="Q246" i="1"/>
  <c r="M246" i="1" a="1"/>
  <c r="M246" i="1"/>
  <c r="B246" i="1" s="1" a="1"/>
  <c r="B246" i="1" s="1"/>
  <c r="Y245" i="1" a="1"/>
  <c r="Y245" i="1"/>
  <c r="K245" i="1" s="1" a="1"/>
  <c r="V245" i="1" a="1"/>
  <c r="V245" i="1" s="1"/>
  <c r="U245" i="1" a="1"/>
  <c r="U245" i="1"/>
  <c r="T245" i="1"/>
  <c r="S245" i="1" a="1"/>
  <c r="S245" i="1" s="1"/>
  <c r="R245" i="1" a="1"/>
  <c r="R245" i="1" s="1"/>
  <c r="Q245" i="1"/>
  <c r="M245" i="1" a="1"/>
  <c r="M245" i="1" s="1"/>
  <c r="B245" i="1" s="1" a="1"/>
  <c r="B245" i="1" s="1"/>
  <c r="K245" i="1"/>
  <c r="E245" i="1" a="1"/>
  <c r="E245" i="1"/>
  <c r="Y244" i="1" a="1"/>
  <c r="Y244" i="1" s="1"/>
  <c r="V244" i="1" a="1"/>
  <c r="V244" i="1" s="1"/>
  <c r="U244" i="1" a="1"/>
  <c r="U244" i="1" s="1"/>
  <c r="T244" i="1"/>
  <c r="S244" i="1" a="1"/>
  <c r="S244" i="1" s="1"/>
  <c r="Q244" i="1"/>
  <c r="M244" i="1" a="1"/>
  <c r="M244" i="1"/>
  <c r="B244" i="1" s="1" a="1"/>
  <c r="B244" i="1" s="1"/>
  <c r="K244" i="1" a="1"/>
  <c r="K244" i="1" s="1"/>
  <c r="Y243" i="1" a="1"/>
  <c r="Y243" i="1"/>
  <c r="V243" i="1" a="1"/>
  <c r="V243" i="1"/>
  <c r="U243" i="1" a="1"/>
  <c r="U243" i="1" s="1"/>
  <c r="T243" i="1"/>
  <c r="S243" i="1" a="1"/>
  <c r="S243" i="1" s="1"/>
  <c r="C243" i="1" s="1" a="1"/>
  <c r="R243" i="1" a="1"/>
  <c r="R243" i="1"/>
  <c r="G243" i="1" s="1" a="1"/>
  <c r="G243" i="1" s="1"/>
  <c r="Q243" i="1"/>
  <c r="M243" i="1" a="1"/>
  <c r="M243" i="1"/>
  <c r="I243" i="1" a="1"/>
  <c r="I243" i="1"/>
  <c r="C243" i="1"/>
  <c r="B243" i="1" a="1"/>
  <c r="B243" i="1" s="1"/>
  <c r="Y242" i="1" a="1"/>
  <c r="Y242" i="1" s="1"/>
  <c r="E242" i="1" s="1" a="1"/>
  <c r="V242" i="1" a="1"/>
  <c r="V242" i="1"/>
  <c r="U242" i="1" a="1"/>
  <c r="U242" i="1" s="1"/>
  <c r="T242" i="1"/>
  <c r="S242" i="1" a="1"/>
  <c r="S242" i="1"/>
  <c r="Q242" i="1"/>
  <c r="M242" i="1" a="1"/>
  <c r="M242" i="1"/>
  <c r="K242" i="1" a="1"/>
  <c r="K242" i="1" s="1"/>
  <c r="E242" i="1"/>
  <c r="B242" i="1" a="1"/>
  <c r="B242" i="1" s="1"/>
  <c r="Y241" i="1" a="1"/>
  <c r="Y241" i="1"/>
  <c r="V241" i="1" a="1"/>
  <c r="V241" i="1" s="1"/>
  <c r="U241" i="1" a="1"/>
  <c r="U241" i="1" s="1"/>
  <c r="T241" i="1"/>
  <c r="S241" i="1" a="1"/>
  <c r="S241" i="1" s="1"/>
  <c r="Q241" i="1"/>
  <c r="M241" i="1" a="1"/>
  <c r="M241" i="1"/>
  <c r="B241" i="1" s="1" a="1"/>
  <c r="B241" i="1" s="1"/>
  <c r="I241" i="1" a="1"/>
  <c r="I241" i="1" s="1"/>
  <c r="Y240" i="1" a="1"/>
  <c r="Y240" i="1"/>
  <c r="V240" i="1" a="1"/>
  <c r="V240" i="1" s="1"/>
  <c r="U240" i="1" a="1"/>
  <c r="U240" i="1" s="1"/>
  <c r="T240" i="1"/>
  <c r="S240" i="1" a="1"/>
  <c r="S240" i="1" s="1"/>
  <c r="I240" i="1" s="1" a="1"/>
  <c r="R240" i="1" a="1"/>
  <c r="R240" i="1" s="1"/>
  <c r="Q240" i="1"/>
  <c r="M240" i="1" a="1"/>
  <c r="M240" i="1"/>
  <c r="I240" i="1"/>
  <c r="C240" i="1" a="1"/>
  <c r="C240" i="1"/>
  <c r="B240" i="1" a="1"/>
  <c r="B240" i="1"/>
  <c r="Y239" i="1" a="1"/>
  <c r="Y239" i="1"/>
  <c r="K239" i="1" s="1" a="1"/>
  <c r="V239" i="1" a="1"/>
  <c r="V239" i="1" s="1"/>
  <c r="U239" i="1" a="1"/>
  <c r="U239" i="1" s="1"/>
  <c r="T239" i="1"/>
  <c r="S239" i="1" a="1"/>
  <c r="S239" i="1" s="1"/>
  <c r="Q239" i="1"/>
  <c r="M239" i="1" a="1"/>
  <c r="M239" i="1"/>
  <c r="B239" i="1" s="1" a="1"/>
  <c r="B239" i="1" s="1"/>
  <c r="K239" i="1"/>
  <c r="I239" i="1" a="1"/>
  <c r="I239" i="1" s="1"/>
  <c r="E239" i="1" a="1"/>
  <c r="E239" i="1" s="1"/>
  <c r="Y238" i="1" a="1"/>
  <c r="Y238" i="1"/>
  <c r="K238" i="1" s="1" a="1"/>
  <c r="K238" i="1" s="1"/>
  <c r="V238" i="1" a="1"/>
  <c r="V238" i="1" s="1"/>
  <c r="U238" i="1" a="1"/>
  <c r="U238" i="1" s="1"/>
  <c r="T238" i="1"/>
  <c r="S238" i="1" a="1"/>
  <c r="S238" i="1" s="1"/>
  <c r="R238" i="1" s="1" a="1"/>
  <c r="R238" i="1" s="1"/>
  <c r="Q238" i="1"/>
  <c r="M238" i="1" a="1"/>
  <c r="M238" i="1"/>
  <c r="B238" i="1" s="1" a="1"/>
  <c r="B238" i="1" s="1"/>
  <c r="Y237" i="1" a="1"/>
  <c r="Y237" i="1"/>
  <c r="K237" i="1" s="1" a="1"/>
  <c r="V237" i="1" a="1"/>
  <c r="V237" i="1" s="1"/>
  <c r="U237" i="1" a="1"/>
  <c r="U237" i="1" s="1"/>
  <c r="T237" i="1"/>
  <c r="S237" i="1" a="1"/>
  <c r="S237" i="1" s="1"/>
  <c r="C237" i="1" s="1" a="1"/>
  <c r="Q237" i="1"/>
  <c r="M237" i="1" a="1"/>
  <c r="M237" i="1" s="1"/>
  <c r="B237" i="1" s="1" a="1"/>
  <c r="B237" i="1" s="1"/>
  <c r="K237" i="1"/>
  <c r="E237" i="1" a="1"/>
  <c r="E237" i="1"/>
  <c r="C237" i="1"/>
  <c r="Y236" i="1" a="1"/>
  <c r="Y236" i="1" s="1"/>
  <c r="V236" i="1" a="1"/>
  <c r="V236" i="1" s="1"/>
  <c r="U236" i="1" a="1"/>
  <c r="U236" i="1"/>
  <c r="T236" i="1"/>
  <c r="S236" i="1" a="1"/>
  <c r="S236" i="1"/>
  <c r="Q236" i="1"/>
  <c r="M236" i="1" a="1"/>
  <c r="M236" i="1"/>
  <c r="B236" i="1" s="1" a="1"/>
  <c r="B236" i="1" s="1"/>
  <c r="Y235" i="1" a="1"/>
  <c r="Y235" i="1"/>
  <c r="V235" i="1" a="1"/>
  <c r="V235" i="1"/>
  <c r="U235" i="1" a="1"/>
  <c r="U235" i="1" s="1"/>
  <c r="T235" i="1"/>
  <c r="S235" i="1" a="1"/>
  <c r="S235" i="1" s="1"/>
  <c r="C235" i="1" s="1" a="1"/>
  <c r="R235" i="1" a="1"/>
  <c r="R235" i="1"/>
  <c r="Q235" i="1"/>
  <c r="M235" i="1" a="1"/>
  <c r="M235" i="1"/>
  <c r="B235" i="1" s="1" a="1"/>
  <c r="B235" i="1" s="1"/>
  <c r="I235" i="1" a="1"/>
  <c r="I235" i="1"/>
  <c r="E235" i="1" a="1"/>
  <c r="E235" i="1" s="1"/>
  <c r="C235" i="1"/>
  <c r="Y234" i="1" a="1"/>
  <c r="Y234" i="1" s="1"/>
  <c r="V234" i="1" a="1"/>
  <c r="V234" i="1"/>
  <c r="U234" i="1" a="1"/>
  <c r="U234" i="1" s="1"/>
  <c r="T234" i="1"/>
  <c r="S234" i="1" a="1"/>
  <c r="S234" i="1"/>
  <c r="Q234" i="1"/>
  <c r="M234" i="1" a="1"/>
  <c r="M234" i="1"/>
  <c r="K234" i="1" a="1"/>
  <c r="K234" i="1" s="1"/>
  <c r="E234" i="1" a="1"/>
  <c r="E234" i="1" s="1"/>
  <c r="B234" i="1" a="1"/>
  <c r="B234" i="1" s="1"/>
  <c r="Y233" i="1" a="1"/>
  <c r="Y233" i="1" s="1"/>
  <c r="V233" i="1" a="1"/>
  <c r="V233" i="1" s="1"/>
  <c r="U233" i="1" a="1"/>
  <c r="U233" i="1"/>
  <c r="T233" i="1"/>
  <c r="S233" i="1" a="1"/>
  <c r="S233" i="1"/>
  <c r="R233" i="1" a="1"/>
  <c r="R233" i="1" s="1"/>
  <c r="Q233" i="1"/>
  <c r="M233" i="1" a="1"/>
  <c r="M233" i="1"/>
  <c r="B233" i="1" a="1"/>
  <c r="B233" i="1" s="1"/>
  <c r="Y232" i="1" a="1"/>
  <c r="Y232" i="1"/>
  <c r="V232" i="1" a="1"/>
  <c r="V232" i="1" s="1"/>
  <c r="U232" i="1" a="1"/>
  <c r="U232" i="1" s="1"/>
  <c r="T232" i="1"/>
  <c r="S232" i="1" a="1"/>
  <c r="S232" i="1" s="1"/>
  <c r="C232" i="1" s="1" a="1"/>
  <c r="R232" i="1" a="1"/>
  <c r="R232" i="1" s="1"/>
  <c r="Q232" i="1"/>
  <c r="M232" i="1" a="1"/>
  <c r="M232" i="1"/>
  <c r="B232" i="1" s="1" a="1"/>
  <c r="B232" i="1" s="1"/>
  <c r="I232" i="1" a="1"/>
  <c r="I232" i="1" s="1"/>
  <c r="C232" i="1"/>
  <c r="Y231" i="1" a="1"/>
  <c r="Y231" i="1"/>
  <c r="E231" i="1" s="1" a="1"/>
  <c r="E231" i="1" s="1"/>
  <c r="V231" i="1" a="1"/>
  <c r="V231" i="1"/>
  <c r="U231" i="1" a="1"/>
  <c r="U231" i="1" s="1"/>
  <c r="T231" i="1"/>
  <c r="S231" i="1" a="1"/>
  <c r="S231" i="1"/>
  <c r="I231" i="1" s="1" a="1"/>
  <c r="R231" i="1" a="1"/>
  <c r="R231" i="1" s="1"/>
  <c r="G231" i="1" s="1" a="1"/>
  <c r="G231" i="1" s="1"/>
  <c r="Q231" i="1"/>
  <c r="M231" i="1" a="1"/>
  <c r="M231" i="1"/>
  <c r="B231" i="1" s="1" a="1"/>
  <c r="B231" i="1" s="1"/>
  <c r="I231" i="1"/>
  <c r="C231" i="1" a="1"/>
  <c r="C231" i="1" s="1"/>
  <c r="Y230" i="1" a="1"/>
  <c r="Y230" i="1"/>
  <c r="K230" i="1" s="1" a="1"/>
  <c r="V230" i="1" a="1"/>
  <c r="V230" i="1" s="1"/>
  <c r="U230" i="1" a="1"/>
  <c r="U230" i="1" s="1"/>
  <c r="T230" i="1"/>
  <c r="S230" i="1" a="1"/>
  <c r="S230" i="1" s="1"/>
  <c r="C230" i="1" s="1" a="1"/>
  <c r="R230" i="1" a="1"/>
  <c r="R230" i="1" s="1"/>
  <c r="Q230" i="1"/>
  <c r="M230" i="1" a="1"/>
  <c r="M230" i="1" s="1"/>
  <c r="B230" i="1" s="1" a="1"/>
  <c r="B230" i="1" s="1"/>
  <c r="K230" i="1"/>
  <c r="I230" i="1" a="1"/>
  <c r="I230" i="1" s="1"/>
  <c r="E230" i="1" a="1"/>
  <c r="E230" i="1"/>
  <c r="C230" i="1"/>
  <c r="Y229" i="1" a="1"/>
  <c r="Y229" i="1" s="1"/>
  <c r="V229" i="1" a="1"/>
  <c r="V229" i="1" s="1"/>
  <c r="U229" i="1" a="1"/>
  <c r="U229" i="1"/>
  <c r="T229" i="1"/>
  <c r="S229" i="1" a="1"/>
  <c r="S229" i="1"/>
  <c r="I229" i="1" s="1" a="1"/>
  <c r="I229" i="1" s="1"/>
  <c r="Q229" i="1"/>
  <c r="M229" i="1" a="1"/>
  <c r="M229" i="1"/>
  <c r="C229" i="1" a="1"/>
  <c r="C229" i="1" s="1"/>
  <c r="B229" i="1" a="1"/>
  <c r="B229" i="1"/>
  <c r="Y228" i="1" a="1"/>
  <c r="Y228" i="1"/>
  <c r="V228" i="1" a="1"/>
  <c r="V228" i="1" s="1"/>
  <c r="U228" i="1" a="1"/>
  <c r="U228" i="1"/>
  <c r="T228" i="1"/>
  <c r="S228" i="1" a="1"/>
  <c r="S228" i="1" s="1"/>
  <c r="C228" i="1" s="1" a="1"/>
  <c r="R228" i="1" a="1"/>
  <c r="R228" i="1" s="1"/>
  <c r="G228" i="1" s="1" a="1"/>
  <c r="Q228" i="1"/>
  <c r="M228" i="1" a="1"/>
  <c r="M228" i="1" s="1"/>
  <c r="B228" i="1" s="1" a="1"/>
  <c r="B228" i="1" s="1"/>
  <c r="G228" i="1"/>
  <c r="C228" i="1"/>
  <c r="Y227" i="1" a="1"/>
  <c r="Y227" i="1" s="1"/>
  <c r="V227" i="1" a="1"/>
  <c r="V227" i="1"/>
  <c r="U227" i="1" a="1"/>
  <c r="U227" i="1" s="1"/>
  <c r="T227" i="1"/>
  <c r="S227" i="1" a="1"/>
  <c r="S227" i="1"/>
  <c r="R227" i="1" s="1" a="1"/>
  <c r="R227" i="1" s="1"/>
  <c r="Q227" i="1"/>
  <c r="M227" i="1" a="1"/>
  <c r="M227" i="1"/>
  <c r="C227" i="1" a="1"/>
  <c r="C227" i="1" s="1"/>
  <c r="B227" i="1" a="1"/>
  <c r="B227" i="1" s="1"/>
  <c r="Y226" i="1" a="1"/>
  <c r="Y226" i="1"/>
  <c r="E226" i="1" s="1" a="1"/>
  <c r="E226" i="1" s="1"/>
  <c r="V226" i="1" a="1"/>
  <c r="V226" i="1" s="1"/>
  <c r="U226" i="1" a="1"/>
  <c r="U226" i="1" s="1"/>
  <c r="T226" i="1"/>
  <c r="S226" i="1" a="1"/>
  <c r="S226" i="1" s="1"/>
  <c r="C226" i="1" s="1" a="1"/>
  <c r="Q226" i="1"/>
  <c r="M226" i="1" a="1"/>
  <c r="M226" i="1" s="1"/>
  <c r="B226" i="1" s="1" a="1"/>
  <c r="B226" i="1" s="1"/>
  <c r="I226" i="1" a="1"/>
  <c r="I226" i="1" s="1"/>
  <c r="C226" i="1"/>
  <c r="Y225" i="1" a="1"/>
  <c r="Y225" i="1" s="1"/>
  <c r="V225" i="1" a="1"/>
  <c r="V225" i="1" s="1"/>
  <c r="U225" i="1" a="1"/>
  <c r="U225" i="1"/>
  <c r="T225" i="1"/>
  <c r="S225" i="1" a="1"/>
  <c r="S225" i="1"/>
  <c r="C225" i="1" s="1" a="1"/>
  <c r="C225" i="1" s="1"/>
  <c r="Q225" i="1"/>
  <c r="M225" i="1" a="1"/>
  <c r="M225" i="1"/>
  <c r="B225" i="1" a="1"/>
  <c r="B225" i="1" s="1"/>
  <c r="Y224" i="1" a="1"/>
  <c r="Y224" i="1"/>
  <c r="K224" i="1" s="1" a="1"/>
  <c r="V224" i="1" a="1"/>
  <c r="V224" i="1" s="1"/>
  <c r="U224" i="1" a="1"/>
  <c r="U224" i="1" s="1"/>
  <c r="T224" i="1"/>
  <c r="S224" i="1" a="1"/>
  <c r="S224" i="1" s="1"/>
  <c r="C224" i="1" s="1" a="1"/>
  <c r="C224" i="1" s="1"/>
  <c r="Q224" i="1"/>
  <c r="M224" i="1" a="1"/>
  <c r="M224" i="1"/>
  <c r="K224" i="1"/>
  <c r="B224" i="1" a="1"/>
  <c r="B224" i="1" s="1"/>
  <c r="Y223" i="1" a="1"/>
  <c r="Y223" i="1" s="1"/>
  <c r="V223" i="1" a="1"/>
  <c r="V223" i="1" s="1"/>
  <c r="U223" i="1" a="1"/>
  <c r="U223" i="1" s="1"/>
  <c r="T223" i="1"/>
  <c r="S223" i="1" a="1"/>
  <c r="S223" i="1"/>
  <c r="I223" i="1" s="1" a="1"/>
  <c r="Q223" i="1"/>
  <c r="M223" i="1" a="1"/>
  <c r="M223" i="1"/>
  <c r="B223" i="1" s="1" a="1"/>
  <c r="B223" i="1" s="1"/>
  <c r="I223" i="1"/>
  <c r="Y222" i="1" a="1"/>
  <c r="Y222" i="1"/>
  <c r="K222" i="1" s="1" a="1"/>
  <c r="K222" i="1" s="1"/>
  <c r="V222" i="1" a="1"/>
  <c r="V222" i="1" s="1"/>
  <c r="U222" i="1" a="1"/>
  <c r="U222" i="1" s="1"/>
  <c r="T222" i="1"/>
  <c r="S222" i="1" a="1"/>
  <c r="S222" i="1" s="1"/>
  <c r="I222" i="1" s="1" a="1"/>
  <c r="I222" i="1" s="1"/>
  <c r="Q222" i="1"/>
  <c r="M222" i="1" a="1"/>
  <c r="M222" i="1" s="1"/>
  <c r="B222" i="1" s="1" a="1"/>
  <c r="B222" i="1" s="1"/>
  <c r="Y221" i="1" a="1"/>
  <c r="Y221" i="1" s="1"/>
  <c r="V221" i="1" a="1"/>
  <c r="V221" i="1" s="1"/>
  <c r="U221" i="1" a="1"/>
  <c r="U221" i="1" s="1"/>
  <c r="T221" i="1"/>
  <c r="S221" i="1" a="1"/>
  <c r="S221" i="1"/>
  <c r="R221" i="1" a="1"/>
  <c r="R221" i="1" s="1"/>
  <c r="Q221" i="1"/>
  <c r="M221" i="1" a="1"/>
  <c r="M221" i="1"/>
  <c r="B221" i="1" a="1"/>
  <c r="B221" i="1"/>
  <c r="Y220" i="1" a="1"/>
  <c r="Y220" i="1"/>
  <c r="V220" i="1" a="1"/>
  <c r="V220" i="1" s="1"/>
  <c r="U220" i="1" a="1"/>
  <c r="U220" i="1" s="1"/>
  <c r="T220" i="1"/>
  <c r="S220" i="1" a="1"/>
  <c r="S220" i="1" s="1"/>
  <c r="C220" i="1" s="1" a="1"/>
  <c r="R220" i="1" a="1"/>
  <c r="R220" i="1"/>
  <c r="G220" i="1" s="1" a="1"/>
  <c r="G220" i="1" s="1"/>
  <c r="Q220" i="1"/>
  <c r="M220" i="1" a="1"/>
  <c r="M220" i="1" s="1"/>
  <c r="B220" i="1" s="1" a="1"/>
  <c r="B220" i="1" s="1"/>
  <c r="I220" i="1" a="1"/>
  <c r="I220" i="1"/>
  <c r="C220" i="1"/>
  <c r="Y219" i="1" a="1"/>
  <c r="Y219" i="1"/>
  <c r="E219" i="1" s="1" a="1"/>
  <c r="E219" i="1" s="1"/>
  <c r="V219" i="1" a="1"/>
  <c r="V219" i="1"/>
  <c r="U219" i="1" a="1"/>
  <c r="U219" i="1" s="1"/>
  <c r="T219" i="1"/>
  <c r="S219" i="1" a="1"/>
  <c r="S219" i="1"/>
  <c r="I219" i="1" s="1" a="1"/>
  <c r="R219" i="1" a="1"/>
  <c r="R219" i="1"/>
  <c r="G219" i="1" s="1" a="1"/>
  <c r="G219" i="1" s="1"/>
  <c r="Q219" i="1"/>
  <c r="M219" i="1" a="1"/>
  <c r="M219" i="1"/>
  <c r="I219" i="1"/>
  <c r="C219" i="1" a="1"/>
  <c r="C219" i="1"/>
  <c r="B219" i="1" a="1"/>
  <c r="B219" i="1" s="1"/>
  <c r="Y218" i="1" a="1"/>
  <c r="Y218" i="1"/>
  <c r="K218" i="1" s="1" a="1"/>
  <c r="V218" i="1" a="1"/>
  <c r="V218" i="1" s="1"/>
  <c r="U218" i="1" a="1"/>
  <c r="U218" i="1" s="1"/>
  <c r="T218" i="1"/>
  <c r="S218" i="1" a="1"/>
  <c r="S218" i="1" s="1"/>
  <c r="C218" i="1" s="1" a="1"/>
  <c r="C218" i="1" s="1"/>
  <c r="Q218" i="1"/>
  <c r="M218" i="1" a="1"/>
  <c r="M218" i="1"/>
  <c r="B218" i="1" s="1" a="1"/>
  <c r="B218" i="1" s="1"/>
  <c r="K218" i="1"/>
  <c r="E218" i="1" a="1"/>
  <c r="E218" i="1" s="1"/>
  <c r="Y217" i="1" a="1"/>
  <c r="Y217" i="1"/>
  <c r="E217" i="1" s="1" a="1"/>
  <c r="V217" i="1" a="1"/>
  <c r="V217" i="1" s="1"/>
  <c r="U217" i="1" a="1"/>
  <c r="U217" i="1" s="1"/>
  <c r="T217" i="1"/>
  <c r="S217" i="1" a="1"/>
  <c r="S217" i="1"/>
  <c r="I217" i="1" s="1" a="1"/>
  <c r="R217" i="1" a="1"/>
  <c r="R217" i="1"/>
  <c r="Q217" i="1"/>
  <c r="M217" i="1" a="1"/>
  <c r="M217" i="1"/>
  <c r="K217" i="1" a="1"/>
  <c r="K217" i="1" s="1"/>
  <c r="I217" i="1"/>
  <c r="E217" i="1"/>
  <c r="C217" i="1" a="1"/>
  <c r="C217" i="1"/>
  <c r="B217" i="1" a="1"/>
  <c r="B217" i="1" s="1"/>
  <c r="Y216" i="1" a="1"/>
  <c r="Y216" i="1"/>
  <c r="K216" i="1" s="1" a="1"/>
  <c r="V216" i="1" a="1"/>
  <c r="V216" i="1" s="1"/>
  <c r="U216" i="1" a="1"/>
  <c r="U216" i="1" s="1"/>
  <c r="T216" i="1"/>
  <c r="S216" i="1" a="1"/>
  <c r="S216" i="1" s="1"/>
  <c r="C216" i="1" s="1" a="1"/>
  <c r="C216" i="1" s="1"/>
  <c r="Q216" i="1"/>
  <c r="M216" i="1" a="1"/>
  <c r="M216" i="1"/>
  <c r="K216" i="1"/>
  <c r="I216" i="1" a="1"/>
  <c r="I216" i="1" s="1"/>
  <c r="E216" i="1" a="1"/>
  <c r="E216" i="1" s="1"/>
  <c r="B216" i="1" a="1"/>
  <c r="B216" i="1" s="1"/>
  <c r="Y215" i="1" a="1"/>
  <c r="Y215" i="1"/>
  <c r="E215" i="1" s="1" a="1"/>
  <c r="V215" i="1" a="1"/>
  <c r="V215" i="1" s="1"/>
  <c r="U215" i="1" a="1"/>
  <c r="U215" i="1" s="1"/>
  <c r="T215" i="1"/>
  <c r="S215" i="1" a="1"/>
  <c r="S215" i="1"/>
  <c r="I215" i="1" s="1" a="1"/>
  <c r="I215" i="1" s="1"/>
  <c r="R215" i="1" a="1"/>
  <c r="R215" i="1"/>
  <c r="G215" i="1" s="1" a="1"/>
  <c r="G215" i="1" s="1"/>
  <c r="Q215" i="1"/>
  <c r="M215" i="1" a="1"/>
  <c r="M215" i="1"/>
  <c r="K215" i="1" a="1"/>
  <c r="K215" i="1" s="1"/>
  <c r="E215" i="1"/>
  <c r="B215" i="1" a="1"/>
  <c r="B215" i="1" s="1"/>
  <c r="Y214" i="1" a="1"/>
  <c r="Y214" i="1"/>
  <c r="K214" i="1" s="1" a="1"/>
  <c r="K214" i="1" s="1"/>
  <c r="V214" i="1" a="1"/>
  <c r="V214" i="1" s="1"/>
  <c r="U214" i="1" a="1"/>
  <c r="U214" i="1" s="1"/>
  <c r="T214" i="1"/>
  <c r="S214" i="1" a="1"/>
  <c r="S214" i="1" s="1"/>
  <c r="C214" i="1" s="1" a="1"/>
  <c r="R214" i="1" a="1"/>
  <c r="R214" i="1"/>
  <c r="Q214" i="1"/>
  <c r="M214" i="1" a="1"/>
  <c r="M214" i="1"/>
  <c r="I214" i="1" a="1"/>
  <c r="I214" i="1" s="1"/>
  <c r="C214" i="1"/>
  <c r="B214" i="1" a="1"/>
  <c r="B214" i="1" s="1"/>
  <c r="Y213" i="1" a="1"/>
  <c r="Y213" i="1"/>
  <c r="V213" i="1" a="1"/>
  <c r="V213" i="1"/>
  <c r="U213" i="1" a="1"/>
  <c r="U213" i="1" s="1"/>
  <c r="T213" i="1"/>
  <c r="S213" i="1" a="1"/>
  <c r="S213" i="1"/>
  <c r="I213" i="1" s="1" a="1"/>
  <c r="R213" i="1" a="1"/>
  <c r="R213" i="1" s="1"/>
  <c r="G213" i="1" s="1" a="1"/>
  <c r="G213" i="1" s="1"/>
  <c r="Q213" i="1"/>
  <c r="M213" i="1" a="1"/>
  <c r="M213" i="1"/>
  <c r="I213" i="1"/>
  <c r="C213" i="1" a="1"/>
  <c r="C213" i="1"/>
  <c r="B213" i="1" a="1"/>
  <c r="B213" i="1" s="1"/>
  <c r="Y212" i="1" a="1"/>
  <c r="Y212" i="1"/>
  <c r="K212" i="1" s="1" a="1"/>
  <c r="V212" i="1" a="1"/>
  <c r="V212" i="1" s="1"/>
  <c r="U212" i="1" a="1"/>
  <c r="U212" i="1" s="1"/>
  <c r="T212" i="1"/>
  <c r="S212" i="1" a="1"/>
  <c r="S212" i="1" s="1"/>
  <c r="C212" i="1" s="1" a="1"/>
  <c r="R212" i="1" a="1"/>
  <c r="R212" i="1"/>
  <c r="G212" i="1" s="1" a="1"/>
  <c r="G212" i="1" s="1"/>
  <c r="Q212" i="1"/>
  <c r="M212" i="1" a="1"/>
  <c r="M212" i="1" s="1"/>
  <c r="B212" i="1" s="1" a="1"/>
  <c r="B212" i="1" s="1"/>
  <c r="K212" i="1"/>
  <c r="I212" i="1" a="1"/>
  <c r="I212" i="1" s="1"/>
  <c r="E212" i="1" a="1"/>
  <c r="E212" i="1"/>
  <c r="C212" i="1"/>
  <c r="Y211" i="1" a="1"/>
  <c r="Y211" i="1"/>
  <c r="V211" i="1" a="1"/>
  <c r="V211" i="1"/>
  <c r="U211" i="1" a="1"/>
  <c r="U211" i="1"/>
  <c r="T211" i="1"/>
  <c r="S211" i="1" a="1"/>
  <c r="S211" i="1"/>
  <c r="I211" i="1" s="1" a="1"/>
  <c r="I211" i="1" s="1"/>
  <c r="R211" i="1" a="1"/>
  <c r="R211" i="1" s="1"/>
  <c r="Q211" i="1"/>
  <c r="M211" i="1" a="1"/>
  <c r="M211" i="1"/>
  <c r="B211" i="1" a="1"/>
  <c r="B211" i="1" s="1"/>
  <c r="Y210" i="1" a="1"/>
  <c r="Y210" i="1"/>
  <c r="K210" i="1" s="1" a="1"/>
  <c r="K210" i="1" s="1"/>
  <c r="V210" i="1" a="1"/>
  <c r="V210" i="1" s="1"/>
  <c r="U210" i="1" a="1"/>
  <c r="U210" i="1" s="1"/>
  <c r="T210" i="1"/>
  <c r="S210" i="1" a="1"/>
  <c r="S210" i="1" s="1"/>
  <c r="C210" i="1" s="1" a="1"/>
  <c r="R210" i="1" a="1"/>
  <c r="R210" i="1" s="1"/>
  <c r="G210" i="1" s="1" a="1"/>
  <c r="G210" i="1" s="1"/>
  <c r="Q210" i="1"/>
  <c r="M210" i="1" a="1"/>
  <c r="M210" i="1" s="1"/>
  <c r="B210" i="1" s="1" a="1"/>
  <c r="B210" i="1" s="1"/>
  <c r="I210" i="1" a="1"/>
  <c r="I210" i="1"/>
  <c r="C210" i="1"/>
  <c r="Y209" i="1" a="1"/>
  <c r="Y209" i="1"/>
  <c r="E209" i="1" s="1" a="1"/>
  <c r="V209" i="1" a="1"/>
  <c r="V209" i="1"/>
  <c r="U209" i="1" a="1"/>
  <c r="U209" i="1"/>
  <c r="T209" i="1"/>
  <c r="S209" i="1" a="1"/>
  <c r="S209" i="1"/>
  <c r="I209" i="1" s="1" a="1"/>
  <c r="R209" i="1" a="1"/>
  <c r="R209" i="1" s="1"/>
  <c r="Q209" i="1"/>
  <c r="M209" i="1" a="1"/>
  <c r="M209" i="1"/>
  <c r="B209" i="1" s="1" a="1"/>
  <c r="B209" i="1" s="1"/>
  <c r="I209" i="1"/>
  <c r="G209" i="1" a="1"/>
  <c r="G209" i="1" s="1"/>
  <c r="E209" i="1"/>
  <c r="C209" i="1" a="1"/>
  <c r="C209" i="1" s="1"/>
  <c r="Y208" i="1" a="1"/>
  <c r="Y208" i="1"/>
  <c r="K208" i="1" s="1" a="1"/>
  <c r="V208" i="1" a="1"/>
  <c r="V208" i="1" s="1"/>
  <c r="U208" i="1" a="1"/>
  <c r="U208" i="1"/>
  <c r="T208" i="1"/>
  <c r="S208" i="1" a="1"/>
  <c r="S208" i="1" s="1"/>
  <c r="R208" i="1" a="1"/>
  <c r="R208" i="1" s="1"/>
  <c r="G208" i="1" s="1" a="1"/>
  <c r="G208" i="1" s="1"/>
  <c r="Q208" i="1"/>
  <c r="M208" i="1" a="1"/>
  <c r="M208" i="1" s="1"/>
  <c r="B208" i="1" s="1" a="1"/>
  <c r="B208" i="1" s="1"/>
  <c r="K208" i="1"/>
  <c r="E208" i="1" a="1"/>
  <c r="E208" i="1" s="1"/>
  <c r="Y207" i="1" a="1"/>
  <c r="Y207" i="1" s="1"/>
  <c r="V207" i="1" a="1"/>
  <c r="V207" i="1"/>
  <c r="U207" i="1" a="1"/>
  <c r="U207" i="1" s="1"/>
  <c r="T207" i="1"/>
  <c r="S207" i="1" a="1"/>
  <c r="S207" i="1"/>
  <c r="Q207" i="1"/>
  <c r="M207" i="1" a="1"/>
  <c r="M207" i="1"/>
  <c r="C207" i="1" a="1"/>
  <c r="C207" i="1" s="1"/>
  <c r="B207" i="1" a="1"/>
  <c r="B207" i="1"/>
  <c r="Y206" i="1" a="1"/>
  <c r="Y206" i="1"/>
  <c r="V206" i="1" a="1"/>
  <c r="V206" i="1" s="1"/>
  <c r="U206" i="1" a="1"/>
  <c r="U206" i="1" s="1"/>
  <c r="T206" i="1"/>
  <c r="S206" i="1" a="1"/>
  <c r="S206" i="1" s="1"/>
  <c r="C206" i="1" s="1" a="1"/>
  <c r="C206" i="1" s="1"/>
  <c r="R206" i="1" a="1"/>
  <c r="R206" i="1" s="1"/>
  <c r="Q206" i="1"/>
  <c r="M206" i="1" a="1"/>
  <c r="M206" i="1"/>
  <c r="B206" i="1" a="1"/>
  <c r="B206" i="1" s="1"/>
  <c r="Y205" i="1" a="1"/>
  <c r="Y205" i="1" s="1"/>
  <c r="K205" i="1" s="1" a="1"/>
  <c r="K205" i="1" s="1"/>
  <c r="V205" i="1" a="1"/>
  <c r="V205" i="1"/>
  <c r="U205" i="1" a="1"/>
  <c r="U205" i="1" s="1"/>
  <c r="T205" i="1"/>
  <c r="S205" i="1" a="1"/>
  <c r="S205" i="1"/>
  <c r="Q205" i="1"/>
  <c r="M205" i="1" a="1"/>
  <c r="M205" i="1"/>
  <c r="B205" i="1" a="1"/>
  <c r="B205" i="1" s="1"/>
  <c r="Y204" i="1" a="1"/>
  <c r="Y204" i="1"/>
  <c r="V204" i="1" a="1"/>
  <c r="V204" i="1" s="1"/>
  <c r="U204" i="1" a="1"/>
  <c r="U204" i="1" s="1"/>
  <c r="T204" i="1"/>
  <c r="S204" i="1" a="1"/>
  <c r="S204" i="1" s="1"/>
  <c r="Q204" i="1"/>
  <c r="M204" i="1" a="1"/>
  <c r="M204" i="1"/>
  <c r="B204" i="1" a="1"/>
  <c r="B204" i="1" s="1"/>
  <c r="Y203" i="1" a="1"/>
  <c r="Y203" i="1" s="1"/>
  <c r="V203" i="1" a="1"/>
  <c r="V203" i="1" s="1"/>
  <c r="U203" i="1" a="1"/>
  <c r="U203" i="1" s="1"/>
  <c r="T203" i="1"/>
  <c r="S203" i="1" a="1"/>
  <c r="S203" i="1"/>
  <c r="Q203" i="1"/>
  <c r="M203" i="1" a="1"/>
  <c r="M203" i="1"/>
  <c r="B203" i="1" a="1"/>
  <c r="B203" i="1" s="1"/>
  <c r="Y202" i="1" a="1"/>
  <c r="Y202" i="1"/>
  <c r="V202" i="1" a="1"/>
  <c r="V202" i="1" s="1"/>
  <c r="U202" i="1" a="1"/>
  <c r="U202" i="1" s="1"/>
  <c r="T202" i="1"/>
  <c r="S202" i="1" a="1"/>
  <c r="S202" i="1" s="1"/>
  <c r="Q202" i="1"/>
  <c r="M202" i="1" a="1"/>
  <c r="M202" i="1"/>
  <c r="E202" i="1" a="1"/>
  <c r="E202" i="1" s="1"/>
  <c r="B202" i="1" a="1"/>
  <c r="B202" i="1" s="1"/>
  <c r="Y201" i="1" a="1"/>
  <c r="Y201" i="1"/>
  <c r="V201" i="1" a="1"/>
  <c r="V201" i="1" s="1"/>
  <c r="U201" i="1" a="1"/>
  <c r="U201" i="1"/>
  <c r="T201" i="1"/>
  <c r="S201" i="1" a="1"/>
  <c r="S201" i="1"/>
  <c r="I201" i="1" s="1" a="1"/>
  <c r="I201" i="1" s="1"/>
  <c r="R201" i="1" a="1"/>
  <c r="R201" i="1"/>
  <c r="Q201" i="1"/>
  <c r="M201" i="1" a="1"/>
  <c r="M201" i="1"/>
  <c r="C201" i="1" a="1"/>
  <c r="C201" i="1"/>
  <c r="B201" i="1" a="1"/>
  <c r="B201" i="1" s="1"/>
  <c r="Y200" i="1" a="1"/>
  <c r="Y200" i="1"/>
  <c r="K200" i="1" s="1" a="1"/>
  <c r="V200" i="1" a="1"/>
  <c r="V200" i="1" s="1"/>
  <c r="U200" i="1" a="1"/>
  <c r="U200" i="1" s="1"/>
  <c r="T200" i="1"/>
  <c r="S200" i="1" a="1"/>
  <c r="S200" i="1" s="1"/>
  <c r="Q200" i="1"/>
  <c r="M200" i="1" a="1"/>
  <c r="M200" i="1" s="1"/>
  <c r="B200" i="1" s="1" a="1"/>
  <c r="B200" i="1" s="1"/>
  <c r="K200" i="1"/>
  <c r="E200" i="1" a="1"/>
  <c r="E200" i="1" s="1"/>
  <c r="Y199" i="1" a="1"/>
  <c r="Y199" i="1"/>
  <c r="E199" i="1" s="1" a="1"/>
  <c r="V199" i="1" a="1"/>
  <c r="V199" i="1" s="1"/>
  <c r="U199" i="1" a="1"/>
  <c r="U199" i="1"/>
  <c r="T199" i="1"/>
  <c r="S199" i="1" a="1"/>
  <c r="S199" i="1"/>
  <c r="I199" i="1" s="1" a="1"/>
  <c r="I199" i="1" s="1"/>
  <c r="R199" i="1" a="1"/>
  <c r="R199" i="1"/>
  <c r="G199" i="1" s="1" a="1"/>
  <c r="Q199" i="1"/>
  <c r="M199" i="1" a="1"/>
  <c r="M199" i="1"/>
  <c r="K199" i="1" a="1"/>
  <c r="K199" i="1" s="1"/>
  <c r="G199" i="1"/>
  <c r="E199" i="1"/>
  <c r="B199" i="1" a="1"/>
  <c r="B199" i="1" s="1"/>
  <c r="Y198" i="1" a="1"/>
  <c r="Y198" i="1"/>
  <c r="K198" i="1" s="1" a="1"/>
  <c r="K198" i="1" s="1"/>
  <c r="V198" i="1" a="1"/>
  <c r="V198" i="1" s="1"/>
  <c r="U198" i="1" a="1"/>
  <c r="U198" i="1" s="1"/>
  <c r="T198" i="1"/>
  <c r="S198" i="1" a="1"/>
  <c r="S198" i="1" s="1"/>
  <c r="C198" i="1" s="1" a="1"/>
  <c r="R198" i="1" a="1"/>
  <c r="R198" i="1" s="1"/>
  <c r="Q198" i="1"/>
  <c r="M198" i="1" a="1"/>
  <c r="M198" i="1"/>
  <c r="I198" i="1" a="1"/>
  <c r="I198" i="1" s="1"/>
  <c r="E198" i="1" a="1"/>
  <c r="E198" i="1"/>
  <c r="C198" i="1"/>
  <c r="B198" i="1" a="1"/>
  <c r="B198" i="1" s="1"/>
  <c r="Y197" i="1" a="1"/>
  <c r="Y197" i="1"/>
  <c r="E197" i="1" s="1" a="1"/>
  <c r="V197" i="1" a="1"/>
  <c r="V197" i="1"/>
  <c r="U197" i="1" a="1"/>
  <c r="U197" i="1"/>
  <c r="T197" i="1"/>
  <c r="S197" i="1" a="1"/>
  <c r="S197" i="1"/>
  <c r="I197" i="1" s="1" a="1"/>
  <c r="R197" i="1" a="1"/>
  <c r="R197" i="1" s="1"/>
  <c r="G197" i="1" s="1" a="1"/>
  <c r="Q197" i="1"/>
  <c r="M197" i="1" a="1"/>
  <c r="M197" i="1"/>
  <c r="K197" i="1" a="1"/>
  <c r="K197" i="1" s="1"/>
  <c r="I197" i="1"/>
  <c r="G197" i="1"/>
  <c r="E197" i="1"/>
  <c r="C197" i="1" a="1"/>
  <c r="C197" i="1" s="1"/>
  <c r="B197" i="1" a="1"/>
  <c r="B197" i="1" s="1"/>
  <c r="Y196" i="1" a="1"/>
  <c r="Y196" i="1"/>
  <c r="K196" i="1" s="1" a="1"/>
  <c r="V196" i="1" a="1"/>
  <c r="V196" i="1" s="1"/>
  <c r="U196" i="1" a="1"/>
  <c r="U196" i="1" s="1"/>
  <c r="T196" i="1"/>
  <c r="S196" i="1" a="1"/>
  <c r="S196" i="1" s="1"/>
  <c r="C196" i="1" s="1" a="1"/>
  <c r="R196" i="1" a="1"/>
  <c r="R196" i="1" s="1"/>
  <c r="Q196" i="1"/>
  <c r="M196" i="1" a="1"/>
  <c r="M196" i="1" s="1"/>
  <c r="B196" i="1" s="1" a="1"/>
  <c r="B196" i="1" s="1"/>
  <c r="K196" i="1"/>
  <c r="I196" i="1" a="1"/>
  <c r="I196" i="1" s="1"/>
  <c r="E196" i="1" a="1"/>
  <c r="E196" i="1"/>
  <c r="C196" i="1"/>
  <c r="Y195" i="1" a="1"/>
  <c r="Y195" i="1" s="1"/>
  <c r="V195" i="1" a="1"/>
  <c r="V195" i="1"/>
  <c r="U195" i="1" a="1"/>
  <c r="U195" i="1" s="1"/>
  <c r="T195" i="1"/>
  <c r="S195" i="1" a="1"/>
  <c r="S195" i="1"/>
  <c r="R195" i="1" s="1" a="1"/>
  <c r="R195" i="1" s="1"/>
  <c r="Q195" i="1"/>
  <c r="M195" i="1" a="1"/>
  <c r="M195" i="1"/>
  <c r="C195" i="1" a="1"/>
  <c r="C195" i="1" s="1"/>
  <c r="B195" i="1" a="1"/>
  <c r="B195" i="1" s="1"/>
  <c r="Y194" i="1" a="1"/>
  <c r="Y194" i="1"/>
  <c r="V194" i="1" a="1"/>
  <c r="V194" i="1" s="1"/>
  <c r="U194" i="1" a="1"/>
  <c r="U194" i="1" s="1"/>
  <c r="T194" i="1"/>
  <c r="S194" i="1" a="1"/>
  <c r="S194" i="1" s="1"/>
  <c r="C194" i="1" s="1" a="1"/>
  <c r="R194" i="1" a="1"/>
  <c r="R194" i="1" s="1"/>
  <c r="G194" i="1" s="1" a="1"/>
  <c r="G194" i="1" s="1"/>
  <c r="Q194" i="1"/>
  <c r="M194" i="1" a="1"/>
  <c r="M194" i="1" s="1"/>
  <c r="B194" i="1" s="1" a="1"/>
  <c r="B194" i="1" s="1"/>
  <c r="I194" i="1" a="1"/>
  <c r="I194" i="1"/>
  <c r="C194" i="1"/>
  <c r="Y193" i="1" a="1"/>
  <c r="Y193" i="1"/>
  <c r="V193" i="1" a="1"/>
  <c r="V193" i="1"/>
  <c r="U193" i="1" a="1"/>
  <c r="U193" i="1" s="1"/>
  <c r="T193" i="1"/>
  <c r="S193" i="1" a="1"/>
  <c r="S193" i="1"/>
  <c r="C193" i="1" s="1" a="1"/>
  <c r="C193" i="1" s="1"/>
  <c r="R193" i="1" a="1"/>
  <c r="R193" i="1" s="1"/>
  <c r="Q193" i="1"/>
  <c r="M193" i="1" a="1"/>
  <c r="M193" i="1"/>
  <c r="B193" i="1" s="1" a="1"/>
  <c r="B193" i="1" s="1"/>
  <c r="G193" i="1" a="1"/>
  <c r="G193" i="1" s="1"/>
  <c r="Y192" i="1" a="1"/>
  <c r="Y192" i="1"/>
  <c r="V192" i="1" a="1"/>
  <c r="V192" i="1" s="1"/>
  <c r="U192" i="1" a="1"/>
  <c r="U192" i="1" s="1"/>
  <c r="T192" i="1"/>
  <c r="S192" i="1" a="1"/>
  <c r="S192" i="1" s="1"/>
  <c r="R192" i="1" a="1"/>
  <c r="R192" i="1" s="1"/>
  <c r="G192" i="1" s="1" a="1"/>
  <c r="Q192" i="1"/>
  <c r="M192" i="1" a="1"/>
  <c r="M192" i="1" s="1"/>
  <c r="B192" i="1" s="1" a="1"/>
  <c r="B192" i="1" s="1"/>
  <c r="G192" i="1"/>
  <c r="Y191" i="1" a="1"/>
  <c r="Y191" i="1" s="1"/>
  <c r="V191" i="1" a="1"/>
  <c r="V191" i="1"/>
  <c r="U191" i="1" a="1"/>
  <c r="U191" i="1" s="1"/>
  <c r="T191" i="1"/>
  <c r="S191" i="1" a="1"/>
  <c r="S191" i="1"/>
  <c r="Q191" i="1"/>
  <c r="M191" i="1" a="1"/>
  <c r="M191" i="1"/>
  <c r="C191" i="1" a="1"/>
  <c r="C191" i="1" s="1"/>
  <c r="B191" i="1" a="1"/>
  <c r="B191" i="1" s="1"/>
  <c r="Y190" i="1" a="1"/>
  <c r="Y190" i="1"/>
  <c r="V190" i="1" a="1"/>
  <c r="V190" i="1" s="1"/>
  <c r="U190" i="1" a="1"/>
  <c r="U190" i="1" s="1"/>
  <c r="T190" i="1"/>
  <c r="S190" i="1" a="1"/>
  <c r="S190" i="1" s="1"/>
  <c r="R190" i="1" s="1" a="1"/>
  <c r="R190" i="1" s="1"/>
  <c r="Q190" i="1"/>
  <c r="M190" i="1" a="1"/>
  <c r="M190" i="1"/>
  <c r="E190" i="1" a="1"/>
  <c r="E190" i="1" s="1"/>
  <c r="B190" i="1" a="1"/>
  <c r="B190" i="1" s="1"/>
  <c r="Y189" i="1" a="1"/>
  <c r="Y189" i="1" s="1"/>
  <c r="V189" i="1" a="1"/>
  <c r="V189" i="1" s="1"/>
  <c r="U189" i="1" a="1"/>
  <c r="U189" i="1"/>
  <c r="T189" i="1"/>
  <c r="S189" i="1" a="1"/>
  <c r="S189" i="1"/>
  <c r="Q189" i="1"/>
  <c r="M189" i="1" a="1"/>
  <c r="M189" i="1"/>
  <c r="K189" i="1" a="1"/>
  <c r="K189" i="1" s="1"/>
  <c r="B189" i="1" a="1"/>
  <c r="B189" i="1" s="1"/>
  <c r="Y188" i="1" a="1"/>
  <c r="Y188" i="1"/>
  <c r="V188" i="1" a="1"/>
  <c r="V188" i="1" s="1"/>
  <c r="U188" i="1" a="1"/>
  <c r="U188" i="1" s="1"/>
  <c r="T188" i="1"/>
  <c r="S188" i="1" a="1"/>
  <c r="S188" i="1" s="1"/>
  <c r="Q188" i="1"/>
  <c r="M188" i="1" a="1"/>
  <c r="M188" i="1"/>
  <c r="E188" i="1" a="1"/>
  <c r="E188" i="1" s="1"/>
  <c r="B188" i="1" a="1"/>
  <c r="B188" i="1" s="1"/>
  <c r="Y187" i="1" a="1"/>
  <c r="Y187" i="1" s="1"/>
  <c r="V187" i="1" a="1"/>
  <c r="V187" i="1" s="1"/>
  <c r="U187" i="1" a="1"/>
  <c r="U187" i="1" s="1"/>
  <c r="T187" i="1"/>
  <c r="S187" i="1" a="1"/>
  <c r="S187" i="1"/>
  <c r="Q187" i="1"/>
  <c r="M187" i="1" a="1"/>
  <c r="M187" i="1"/>
  <c r="K187" i="1" a="1"/>
  <c r="K187" i="1"/>
  <c r="B187" i="1" a="1"/>
  <c r="B187" i="1" s="1"/>
  <c r="Y186" i="1" a="1"/>
  <c r="Y186" i="1"/>
  <c r="V186" i="1" a="1"/>
  <c r="V186" i="1" s="1"/>
  <c r="U186" i="1" a="1"/>
  <c r="U186" i="1" s="1"/>
  <c r="T186" i="1"/>
  <c r="S186" i="1" a="1"/>
  <c r="S186" i="1" s="1"/>
  <c r="Q186" i="1"/>
  <c r="M186" i="1" a="1"/>
  <c r="M186" i="1"/>
  <c r="B186" i="1" s="1" a="1"/>
  <c r="B186" i="1" s="1"/>
  <c r="I186" i="1" a="1"/>
  <c r="I186" i="1" s="1"/>
  <c r="Y185" i="1" a="1"/>
  <c r="Y185" i="1"/>
  <c r="V185" i="1" a="1"/>
  <c r="V185" i="1" s="1"/>
  <c r="U185" i="1" a="1"/>
  <c r="U185" i="1" s="1"/>
  <c r="T185" i="1"/>
  <c r="S185" i="1" a="1"/>
  <c r="S185" i="1"/>
  <c r="I185" i="1" s="1" a="1"/>
  <c r="I185" i="1" s="1"/>
  <c r="R185" i="1" a="1"/>
  <c r="R185" i="1" s="1"/>
  <c r="Q185" i="1"/>
  <c r="M185" i="1" a="1"/>
  <c r="M185" i="1"/>
  <c r="K185" i="1" a="1"/>
  <c r="K185" i="1" s="1"/>
  <c r="B185" i="1" a="1"/>
  <c r="B185" i="1" s="1"/>
  <c r="Y184" i="1" a="1"/>
  <c r="Y184" i="1"/>
  <c r="K184" i="1" s="1" a="1"/>
  <c r="V184" i="1" a="1"/>
  <c r="V184" i="1" s="1"/>
  <c r="U184" i="1" a="1"/>
  <c r="U184" i="1" s="1"/>
  <c r="T184" i="1"/>
  <c r="S184" i="1" a="1"/>
  <c r="S184" i="1" s="1"/>
  <c r="Q184" i="1"/>
  <c r="M184" i="1" a="1"/>
  <c r="M184" i="1"/>
  <c r="B184" i="1" s="1" a="1"/>
  <c r="B184" i="1" s="1"/>
  <c r="K184" i="1"/>
  <c r="I184" i="1" a="1"/>
  <c r="I184" i="1" s="1"/>
  <c r="E184" i="1" a="1"/>
  <c r="E184" i="1" s="1"/>
  <c r="Y183" i="1" a="1"/>
  <c r="Y183" i="1"/>
  <c r="E183" i="1" s="1" a="1"/>
  <c r="E183" i="1" s="1"/>
  <c r="V183" i="1" a="1"/>
  <c r="V183" i="1" s="1"/>
  <c r="U183" i="1" a="1"/>
  <c r="U183" i="1" s="1"/>
  <c r="T183" i="1"/>
  <c r="S183" i="1" a="1"/>
  <c r="S183" i="1"/>
  <c r="I183" i="1" s="1" a="1"/>
  <c r="I183" i="1" s="1"/>
  <c r="R183" i="1" a="1"/>
  <c r="R183" i="1" s="1"/>
  <c r="Q183" i="1"/>
  <c r="M183" i="1" a="1"/>
  <c r="M183" i="1"/>
  <c r="B183" i="1" a="1"/>
  <c r="B183" i="1" s="1"/>
  <c r="Y182" i="1" a="1"/>
  <c r="Y182" i="1"/>
  <c r="K182" i="1" s="1" a="1"/>
  <c r="V182" i="1" a="1"/>
  <c r="V182" i="1" s="1"/>
  <c r="U182" i="1" a="1"/>
  <c r="U182" i="1" s="1"/>
  <c r="T182" i="1"/>
  <c r="S182" i="1" a="1"/>
  <c r="S182" i="1" s="1"/>
  <c r="C182" i="1" s="1" a="1"/>
  <c r="R182" i="1" a="1"/>
  <c r="R182" i="1"/>
  <c r="G182" i="1" s="1" a="1"/>
  <c r="G182" i="1" s="1"/>
  <c r="Q182" i="1"/>
  <c r="M182" i="1" a="1"/>
  <c r="M182" i="1" s="1"/>
  <c r="B182" i="1" s="1" a="1"/>
  <c r="B182" i="1" s="1"/>
  <c r="K182" i="1"/>
  <c r="I182" i="1" a="1"/>
  <c r="I182" i="1" s="1"/>
  <c r="E182" i="1" a="1"/>
  <c r="E182" i="1"/>
  <c r="C182" i="1"/>
  <c r="Y181" i="1" a="1"/>
  <c r="Y181" i="1"/>
  <c r="E181" i="1" s="1" a="1"/>
  <c r="E181" i="1" s="1"/>
  <c r="V181" i="1" a="1"/>
  <c r="V181" i="1"/>
  <c r="U181" i="1" a="1"/>
  <c r="U181" i="1"/>
  <c r="T181" i="1"/>
  <c r="S181" i="1" a="1"/>
  <c r="S181" i="1"/>
  <c r="I181" i="1" s="1" a="1"/>
  <c r="R181" i="1" a="1"/>
  <c r="R181" i="1" s="1"/>
  <c r="G181" i="1" s="1" a="1"/>
  <c r="Q181" i="1"/>
  <c r="M181" i="1" a="1"/>
  <c r="M181" i="1"/>
  <c r="I181" i="1"/>
  <c r="G181" i="1"/>
  <c r="C181" i="1" a="1"/>
  <c r="C181" i="1" s="1"/>
  <c r="B181" i="1" a="1"/>
  <c r="B181" i="1" s="1"/>
  <c r="Y180" i="1" a="1"/>
  <c r="Y180" i="1"/>
  <c r="K180" i="1" s="1" a="1"/>
  <c r="V180" i="1" a="1"/>
  <c r="V180" i="1" s="1"/>
  <c r="U180" i="1" a="1"/>
  <c r="U180" i="1" s="1"/>
  <c r="T180" i="1"/>
  <c r="S180" i="1" a="1"/>
  <c r="S180" i="1" s="1"/>
  <c r="C180" i="1" s="1" a="1"/>
  <c r="R180" i="1" a="1"/>
  <c r="R180" i="1" s="1"/>
  <c r="Q180" i="1"/>
  <c r="M180" i="1" a="1"/>
  <c r="M180" i="1" s="1"/>
  <c r="B180" i="1" s="1" a="1"/>
  <c r="B180" i="1" s="1"/>
  <c r="K180" i="1"/>
  <c r="I180" i="1" a="1"/>
  <c r="I180" i="1" s="1"/>
  <c r="E180" i="1" a="1"/>
  <c r="E180" i="1"/>
  <c r="C180" i="1"/>
  <c r="Y179" i="1" a="1"/>
  <c r="Y179" i="1" s="1"/>
  <c r="V179" i="1" a="1"/>
  <c r="V179" i="1"/>
  <c r="U179" i="1" a="1"/>
  <c r="U179" i="1"/>
  <c r="T179" i="1"/>
  <c r="S179" i="1" a="1"/>
  <c r="S179" i="1"/>
  <c r="Q179" i="1"/>
  <c r="M179" i="1" a="1"/>
  <c r="M179" i="1"/>
  <c r="B179" i="1" a="1"/>
  <c r="B179" i="1"/>
  <c r="Y178" i="1" a="1"/>
  <c r="Y178" i="1"/>
  <c r="V178" i="1" a="1"/>
  <c r="V178" i="1" s="1"/>
  <c r="U178" i="1" a="1"/>
  <c r="U178" i="1"/>
  <c r="T178" i="1"/>
  <c r="S178" i="1" a="1"/>
  <c r="S178" i="1" s="1"/>
  <c r="C178" i="1" s="1" a="1"/>
  <c r="R178" i="1" a="1"/>
  <c r="R178" i="1" s="1"/>
  <c r="G178" i="1" s="1" a="1"/>
  <c r="G178" i="1" s="1"/>
  <c r="Q178" i="1"/>
  <c r="M178" i="1" a="1"/>
  <c r="M178" i="1" s="1"/>
  <c r="B178" i="1" s="1" a="1"/>
  <c r="B178" i="1" s="1"/>
  <c r="I178" i="1" a="1"/>
  <c r="I178" i="1"/>
  <c r="C178" i="1"/>
  <c r="Y177" i="1" a="1"/>
  <c r="Y177" i="1"/>
  <c r="V177" i="1" a="1"/>
  <c r="V177" i="1"/>
  <c r="U177" i="1" a="1"/>
  <c r="U177" i="1" s="1"/>
  <c r="T177" i="1"/>
  <c r="S177" i="1" a="1"/>
  <c r="S177" i="1"/>
  <c r="R177" i="1" a="1"/>
  <c r="R177" i="1" s="1"/>
  <c r="Q177" i="1"/>
  <c r="M177" i="1" a="1"/>
  <c r="M177" i="1"/>
  <c r="B177" i="1" s="1" a="1"/>
  <c r="B177" i="1" s="1"/>
  <c r="G177" i="1" a="1"/>
  <c r="G177" i="1"/>
  <c r="C177" i="1" a="1"/>
  <c r="C177" i="1" s="1"/>
  <c r="Y176" i="1" a="1"/>
  <c r="Y176" i="1"/>
  <c r="K176" i="1" s="1" a="1"/>
  <c r="V176" i="1" a="1"/>
  <c r="V176" i="1" s="1"/>
  <c r="U176" i="1" a="1"/>
  <c r="U176" i="1" s="1"/>
  <c r="T176" i="1"/>
  <c r="S176" i="1" a="1"/>
  <c r="S176" i="1" s="1"/>
  <c r="R176" i="1" a="1"/>
  <c r="R176" i="1" s="1"/>
  <c r="G176" i="1" s="1" a="1"/>
  <c r="G176" i="1" s="1"/>
  <c r="Q176" i="1"/>
  <c r="M176" i="1" a="1"/>
  <c r="M176" i="1" s="1"/>
  <c r="B176" i="1" s="1" a="1"/>
  <c r="B176" i="1" s="1"/>
  <c r="K176" i="1"/>
  <c r="E176" i="1" a="1"/>
  <c r="E176" i="1" s="1"/>
  <c r="Y175" i="1" a="1"/>
  <c r="Y175" i="1"/>
  <c r="V175" i="1" a="1"/>
  <c r="V175" i="1"/>
  <c r="U175" i="1" a="1"/>
  <c r="U175" i="1" s="1"/>
  <c r="T175" i="1"/>
  <c r="S175" i="1" a="1"/>
  <c r="S175" i="1"/>
  <c r="I175" i="1" s="1" a="1"/>
  <c r="R175" i="1" a="1"/>
  <c r="R175" i="1" s="1"/>
  <c r="Q175" i="1"/>
  <c r="M175" i="1" a="1"/>
  <c r="M175" i="1"/>
  <c r="I175" i="1"/>
  <c r="C175" i="1" a="1"/>
  <c r="C175" i="1" s="1"/>
  <c r="B175" i="1" a="1"/>
  <c r="B175" i="1" s="1"/>
  <c r="Y174" i="1" a="1"/>
  <c r="Y174" i="1"/>
  <c r="V174" i="1" a="1"/>
  <c r="V174" i="1" s="1"/>
  <c r="U174" i="1" a="1"/>
  <c r="U174" i="1" s="1"/>
  <c r="T174" i="1"/>
  <c r="S174" i="1" a="1"/>
  <c r="S174" i="1" s="1"/>
  <c r="R174" i="1" s="1" a="1"/>
  <c r="R174" i="1" s="1"/>
  <c r="Q174" i="1"/>
  <c r="M174" i="1" a="1"/>
  <c r="M174" i="1" s="1"/>
  <c r="B174" i="1" s="1" a="1"/>
  <c r="B174" i="1" s="1"/>
  <c r="Y173" i="1" a="1"/>
  <c r="Y173" i="1" s="1"/>
  <c r="E173" i="1" s="1" a="1"/>
  <c r="E173" i="1" s="1"/>
  <c r="V173" i="1" a="1"/>
  <c r="V173" i="1"/>
  <c r="U173" i="1" a="1"/>
  <c r="U173" i="1" s="1"/>
  <c r="T173" i="1"/>
  <c r="S173" i="1" a="1"/>
  <c r="S173" i="1"/>
  <c r="Q173" i="1"/>
  <c r="M173" i="1" a="1"/>
  <c r="M173" i="1"/>
  <c r="K173" i="1" a="1"/>
  <c r="K173" i="1" s="1"/>
  <c r="B173" i="1" a="1"/>
  <c r="B173" i="1" s="1"/>
  <c r="Y172" i="1" a="1"/>
  <c r="Y172" i="1"/>
  <c r="V172" i="1" a="1"/>
  <c r="V172" i="1" s="1"/>
  <c r="U172" i="1" a="1"/>
  <c r="U172" i="1" s="1"/>
  <c r="T172" i="1"/>
  <c r="S172" i="1" a="1"/>
  <c r="S172" i="1" s="1"/>
  <c r="C172" i="1" s="1" a="1"/>
  <c r="C172" i="1" s="1"/>
  <c r="Q172" i="1"/>
  <c r="M172" i="1" a="1"/>
  <c r="M172" i="1"/>
  <c r="B172" i="1" s="1" a="1"/>
  <c r="B172" i="1" s="1"/>
  <c r="E172" i="1" a="1"/>
  <c r="E172" i="1" s="1"/>
  <c r="Y171" i="1" a="1"/>
  <c r="Y171" i="1" s="1"/>
  <c r="V171" i="1" a="1"/>
  <c r="V171" i="1" s="1"/>
  <c r="U171" i="1" a="1"/>
  <c r="U171" i="1"/>
  <c r="T171" i="1"/>
  <c r="S171" i="1" a="1"/>
  <c r="S171" i="1"/>
  <c r="Q171" i="1"/>
  <c r="M171" i="1" a="1"/>
  <c r="M171" i="1"/>
  <c r="B171" i="1" s="1" a="1"/>
  <c r="B171" i="1" s="1"/>
  <c r="Y170" i="1" a="1"/>
  <c r="Y170" i="1"/>
  <c r="K170" i="1" s="1" a="1"/>
  <c r="K170" i="1" s="1"/>
  <c r="V170" i="1" a="1"/>
  <c r="V170" i="1" s="1"/>
  <c r="U170" i="1" a="1"/>
  <c r="U170" i="1" s="1"/>
  <c r="T170" i="1"/>
  <c r="S170" i="1" a="1"/>
  <c r="S170" i="1" s="1"/>
  <c r="Q170" i="1"/>
  <c r="M170" i="1" a="1"/>
  <c r="M170" i="1"/>
  <c r="I170" i="1" a="1"/>
  <c r="I170" i="1" s="1"/>
  <c r="E170" i="1" a="1"/>
  <c r="E170" i="1" s="1"/>
  <c r="B170" i="1" a="1"/>
  <c r="B170" i="1" s="1"/>
  <c r="Y169" i="1" a="1"/>
  <c r="Y169" i="1"/>
  <c r="V169" i="1" a="1"/>
  <c r="V169" i="1" s="1"/>
  <c r="U169" i="1" a="1"/>
  <c r="U169" i="1" s="1"/>
  <c r="T169" i="1"/>
  <c r="S169" i="1" a="1"/>
  <c r="S169" i="1"/>
  <c r="R169" i="1" s="1" a="1"/>
  <c r="R169" i="1" s="1"/>
  <c r="Q169" i="1"/>
  <c r="M169" i="1" a="1"/>
  <c r="M169" i="1"/>
  <c r="B169" i="1" s="1" a="1"/>
  <c r="B169" i="1" s="1"/>
  <c r="Y168" i="1" a="1"/>
  <c r="Y168" i="1"/>
  <c r="V168" i="1" a="1"/>
  <c r="V168" i="1" s="1"/>
  <c r="U168" i="1" a="1"/>
  <c r="U168" i="1" s="1"/>
  <c r="T168" i="1"/>
  <c r="S168" i="1" a="1"/>
  <c r="S168" i="1" s="1"/>
  <c r="Q168" i="1"/>
  <c r="M168" i="1" a="1"/>
  <c r="M168" i="1"/>
  <c r="B168" i="1" s="1" a="1"/>
  <c r="B168" i="1" s="1"/>
  <c r="I168" i="1" a="1"/>
  <c r="I168" i="1" s="1"/>
  <c r="E168" i="1" a="1"/>
  <c r="E168" i="1" s="1"/>
  <c r="Y167" i="1" a="1"/>
  <c r="Y167" i="1"/>
  <c r="E167" i="1" s="1" a="1"/>
  <c r="V167" i="1" a="1"/>
  <c r="V167" i="1" s="1"/>
  <c r="U167" i="1" a="1"/>
  <c r="U167" i="1"/>
  <c r="T167" i="1"/>
  <c r="S167" i="1" a="1"/>
  <c r="S167" i="1"/>
  <c r="I167" i="1" s="1" a="1"/>
  <c r="I167" i="1" s="1"/>
  <c r="R167" i="1" a="1"/>
  <c r="R167" i="1" s="1"/>
  <c r="Q167" i="1"/>
  <c r="M167" i="1" a="1"/>
  <c r="M167" i="1"/>
  <c r="K167" i="1" a="1"/>
  <c r="K167" i="1" s="1"/>
  <c r="E167" i="1"/>
  <c r="B167" i="1" a="1"/>
  <c r="B167" i="1" s="1"/>
  <c r="Y166" i="1" a="1"/>
  <c r="Y166" i="1"/>
  <c r="K166" i="1" s="1" a="1"/>
  <c r="V166" i="1" a="1"/>
  <c r="V166" i="1" s="1"/>
  <c r="U166" i="1" a="1"/>
  <c r="U166" i="1" s="1"/>
  <c r="T166" i="1"/>
  <c r="S166" i="1" a="1"/>
  <c r="S166" i="1" s="1"/>
  <c r="C166" i="1" s="1" a="1"/>
  <c r="R166" i="1" a="1"/>
  <c r="R166" i="1" s="1"/>
  <c r="Q166" i="1"/>
  <c r="M166" i="1" a="1"/>
  <c r="M166" i="1" s="1"/>
  <c r="B166" i="1" s="1" a="1"/>
  <c r="B166" i="1" s="1"/>
  <c r="K166" i="1"/>
  <c r="I166" i="1" a="1"/>
  <c r="I166" i="1" s="1"/>
  <c r="E166" i="1" a="1"/>
  <c r="E166" i="1"/>
  <c r="C166" i="1"/>
  <c r="Y165" i="1" a="1"/>
  <c r="Y165" i="1"/>
  <c r="E165" i="1" s="1" a="1"/>
  <c r="E165" i="1" s="1"/>
  <c r="V165" i="1" a="1"/>
  <c r="V165" i="1" s="1"/>
  <c r="U165" i="1" a="1"/>
  <c r="U165" i="1" s="1"/>
  <c r="T165" i="1"/>
  <c r="S165" i="1" a="1"/>
  <c r="S165" i="1"/>
  <c r="I165" i="1" s="1" a="1"/>
  <c r="R165" i="1" a="1"/>
  <c r="R165" i="1"/>
  <c r="G165" i="1" s="1" a="1"/>
  <c r="G165" i="1" s="1"/>
  <c r="Q165" i="1"/>
  <c r="M165" i="1" a="1"/>
  <c r="M165" i="1"/>
  <c r="K165" i="1" a="1"/>
  <c r="K165" i="1" s="1"/>
  <c r="I165" i="1"/>
  <c r="C165" i="1" a="1"/>
  <c r="C165" i="1"/>
  <c r="B165" i="1" a="1"/>
  <c r="B165" i="1" s="1"/>
  <c r="Y164" i="1" a="1"/>
  <c r="Y164" i="1"/>
  <c r="K164" i="1" s="1" a="1"/>
  <c r="V164" i="1" a="1"/>
  <c r="V164" i="1" s="1"/>
  <c r="U164" i="1" a="1"/>
  <c r="U164" i="1" s="1"/>
  <c r="T164" i="1"/>
  <c r="S164" i="1" a="1"/>
  <c r="S164" i="1" s="1"/>
  <c r="C164" i="1" s="1" a="1"/>
  <c r="R164" i="1" a="1"/>
  <c r="R164" i="1"/>
  <c r="G164" i="1" s="1" a="1"/>
  <c r="G164" i="1" s="1"/>
  <c r="Q164" i="1"/>
  <c r="M164" i="1" a="1"/>
  <c r="M164" i="1"/>
  <c r="B164" i="1" s="1" a="1"/>
  <c r="B164" i="1" s="1"/>
  <c r="K164" i="1"/>
  <c r="I164" i="1" a="1"/>
  <c r="I164" i="1" s="1"/>
  <c r="E164" i="1" a="1"/>
  <c r="E164" i="1"/>
  <c r="C164" i="1"/>
  <c r="Y163" i="1" a="1"/>
  <c r="Y163" i="1"/>
  <c r="E163" i="1" s="1" a="1"/>
  <c r="V163" i="1" a="1"/>
  <c r="V163" i="1"/>
  <c r="U163" i="1" a="1"/>
  <c r="U163" i="1" s="1"/>
  <c r="T163" i="1"/>
  <c r="S163" i="1" a="1"/>
  <c r="S163" i="1"/>
  <c r="R163" i="1" a="1"/>
  <c r="R163" i="1" s="1"/>
  <c r="G163" i="1" s="1" a="1"/>
  <c r="G163" i="1" s="1"/>
  <c r="Q163" i="1"/>
  <c r="M163" i="1" a="1"/>
  <c r="M163" i="1"/>
  <c r="K163" i="1" a="1"/>
  <c r="K163" i="1" s="1"/>
  <c r="E163" i="1"/>
  <c r="C163" i="1" a="1"/>
  <c r="C163" i="1" s="1"/>
  <c r="B163" i="1" a="1"/>
  <c r="B163" i="1" s="1"/>
  <c r="Y162" i="1" a="1"/>
  <c r="Y162" i="1"/>
  <c r="V162" i="1" a="1"/>
  <c r="V162" i="1" s="1"/>
  <c r="U162" i="1" a="1"/>
  <c r="U162" i="1" s="1"/>
  <c r="T162" i="1"/>
  <c r="S162" i="1" a="1"/>
  <c r="S162" i="1" s="1"/>
  <c r="C162" i="1" s="1" a="1"/>
  <c r="R162" i="1" a="1"/>
  <c r="R162" i="1"/>
  <c r="G162" i="1" s="1" a="1"/>
  <c r="Q162" i="1"/>
  <c r="M162" i="1" a="1"/>
  <c r="M162" i="1" s="1"/>
  <c r="B162" i="1" s="1" a="1"/>
  <c r="B162" i="1" s="1"/>
  <c r="I162" i="1" a="1"/>
  <c r="I162" i="1" s="1"/>
  <c r="G162" i="1"/>
  <c r="C162" i="1"/>
  <c r="Y161" i="1" a="1"/>
  <c r="Y161" i="1"/>
  <c r="V161" i="1" a="1"/>
  <c r="V161" i="1"/>
  <c r="U161" i="1" a="1"/>
  <c r="U161" i="1" s="1"/>
  <c r="T161" i="1"/>
  <c r="S161" i="1" a="1"/>
  <c r="S161" i="1"/>
  <c r="R161" i="1" a="1"/>
  <c r="R161" i="1" s="1"/>
  <c r="Q161" i="1"/>
  <c r="M161" i="1" a="1"/>
  <c r="M161" i="1"/>
  <c r="B161" i="1" s="1" a="1"/>
  <c r="B161" i="1" s="1"/>
  <c r="G161" i="1" a="1"/>
  <c r="G161" i="1" s="1"/>
  <c r="C161" i="1" a="1"/>
  <c r="C161" i="1"/>
  <c r="Y160" i="1" a="1"/>
  <c r="Y160" i="1"/>
  <c r="K160" i="1" s="1" a="1"/>
  <c r="K160" i="1" s="1"/>
  <c r="V160" i="1" a="1"/>
  <c r="V160" i="1" s="1"/>
  <c r="U160" i="1" a="1"/>
  <c r="U160" i="1" s="1"/>
  <c r="T160" i="1"/>
  <c r="S160" i="1" a="1"/>
  <c r="S160" i="1" s="1"/>
  <c r="R160" i="1" a="1"/>
  <c r="R160" i="1" s="1"/>
  <c r="G160" i="1" s="1" a="1"/>
  <c r="Q160" i="1"/>
  <c r="M160" i="1" a="1"/>
  <c r="M160" i="1" s="1"/>
  <c r="B160" i="1" s="1" a="1"/>
  <c r="B160" i="1" s="1"/>
  <c r="G160" i="1"/>
  <c r="E160" i="1" a="1"/>
  <c r="E160" i="1" s="1"/>
  <c r="Y159" i="1" a="1"/>
  <c r="Y159" i="1"/>
  <c r="V159" i="1" a="1"/>
  <c r="V159" i="1" s="1"/>
  <c r="U159" i="1" a="1"/>
  <c r="U159" i="1"/>
  <c r="T159" i="1"/>
  <c r="S159" i="1" a="1"/>
  <c r="S159" i="1"/>
  <c r="I159" i="1" s="1" a="1"/>
  <c r="R159" i="1" a="1"/>
  <c r="R159" i="1"/>
  <c r="Q159" i="1"/>
  <c r="M159" i="1" a="1"/>
  <c r="M159" i="1"/>
  <c r="I159" i="1"/>
  <c r="C159" i="1" a="1"/>
  <c r="C159" i="1" s="1"/>
  <c r="B159" i="1" a="1"/>
  <c r="B159" i="1" s="1"/>
  <c r="Y158" i="1" a="1"/>
  <c r="Y158" i="1"/>
  <c r="V158" i="1" a="1"/>
  <c r="V158" i="1" s="1"/>
  <c r="U158" i="1" a="1"/>
  <c r="U158" i="1" s="1"/>
  <c r="T158" i="1"/>
  <c r="S158" i="1" a="1"/>
  <c r="S158" i="1" s="1"/>
  <c r="R158" i="1" a="1"/>
  <c r="R158" i="1" s="1"/>
  <c r="G158" i="1" s="1" a="1"/>
  <c r="G158" i="1" s="1"/>
  <c r="Q158" i="1"/>
  <c r="M158" i="1" a="1"/>
  <c r="M158" i="1" s="1"/>
  <c r="B158" i="1" s="1" a="1"/>
  <c r="B158" i="1" s="1"/>
  <c r="Y157" i="1" a="1"/>
  <c r="Y157" i="1" s="1"/>
  <c r="V157" i="1" a="1"/>
  <c r="V157" i="1"/>
  <c r="U157" i="1" a="1"/>
  <c r="U157" i="1" s="1"/>
  <c r="T157" i="1"/>
  <c r="S157" i="1" a="1"/>
  <c r="S157" i="1"/>
  <c r="Q157" i="1"/>
  <c r="M157" i="1" a="1"/>
  <c r="M157" i="1"/>
  <c r="K157" i="1" a="1"/>
  <c r="K157" i="1" s="1"/>
  <c r="B157" i="1" a="1"/>
  <c r="B157" i="1"/>
  <c r="Y156" i="1" a="1"/>
  <c r="Y156" i="1"/>
  <c r="V156" i="1" a="1"/>
  <c r="V156" i="1" s="1"/>
  <c r="U156" i="1" a="1"/>
  <c r="U156" i="1" s="1"/>
  <c r="T156" i="1"/>
  <c r="S156" i="1" a="1"/>
  <c r="S156" i="1" s="1"/>
  <c r="C156" i="1" s="1" a="1"/>
  <c r="C156" i="1" s="1"/>
  <c r="R156" i="1" a="1"/>
  <c r="R156" i="1" s="1"/>
  <c r="Q156" i="1"/>
  <c r="M156" i="1" a="1"/>
  <c r="M156" i="1"/>
  <c r="I156" i="1" a="1"/>
  <c r="I156" i="1" s="1"/>
  <c r="B156" i="1" a="1"/>
  <c r="B156" i="1" s="1"/>
  <c r="Y155" i="1" a="1"/>
  <c r="Y155" i="1" s="1"/>
  <c r="V155" i="1" a="1"/>
  <c r="V155" i="1" s="1"/>
  <c r="U155" i="1" a="1"/>
  <c r="U155" i="1" s="1"/>
  <c r="T155" i="1"/>
  <c r="S155" i="1" a="1"/>
  <c r="S155" i="1"/>
  <c r="Q155" i="1"/>
  <c r="M155" i="1" a="1"/>
  <c r="M155" i="1"/>
  <c r="K155" i="1" a="1"/>
  <c r="K155" i="1" s="1"/>
  <c r="B155" i="1" a="1"/>
  <c r="B155" i="1" s="1"/>
  <c r="Y154" i="1" a="1"/>
  <c r="Y154" i="1"/>
  <c r="V154" i="1" a="1"/>
  <c r="V154" i="1" s="1"/>
  <c r="U154" i="1" a="1"/>
  <c r="U154" i="1" s="1"/>
  <c r="T154" i="1"/>
  <c r="S154" i="1" a="1"/>
  <c r="S154" i="1" s="1"/>
  <c r="Q154" i="1"/>
  <c r="M154" i="1" a="1"/>
  <c r="M154" i="1"/>
  <c r="I154" i="1" a="1"/>
  <c r="I154" i="1"/>
  <c r="B154" i="1" a="1"/>
  <c r="B154" i="1" s="1"/>
  <c r="Y153" i="1" a="1"/>
  <c r="Y153" i="1" s="1"/>
  <c r="V153" i="1" a="1"/>
  <c r="V153" i="1" s="1"/>
  <c r="U153" i="1" a="1"/>
  <c r="U153" i="1"/>
  <c r="T153" i="1"/>
  <c r="S153" i="1" a="1"/>
  <c r="S153" i="1"/>
  <c r="R153" i="1" a="1"/>
  <c r="R153" i="1" s="1"/>
  <c r="Q153" i="1"/>
  <c r="M153" i="1" a="1"/>
  <c r="M153" i="1"/>
  <c r="B153" i="1" a="1"/>
  <c r="B153" i="1" s="1"/>
  <c r="Y152" i="1" a="1"/>
  <c r="Y152" i="1"/>
  <c r="E152" i="1" s="1" a="1"/>
  <c r="E152" i="1" s="1"/>
  <c r="V152" i="1" a="1"/>
  <c r="V152" i="1" s="1"/>
  <c r="U152" i="1" a="1"/>
  <c r="U152" i="1" s="1"/>
  <c r="T152" i="1"/>
  <c r="S152" i="1" a="1"/>
  <c r="S152" i="1" s="1"/>
  <c r="Q152" i="1"/>
  <c r="M152" i="1" a="1"/>
  <c r="M152" i="1"/>
  <c r="B152" i="1" s="1" a="1"/>
  <c r="B152" i="1" s="1"/>
  <c r="I152" i="1" a="1"/>
  <c r="I152" i="1" s="1"/>
  <c r="Y151" i="1" a="1"/>
  <c r="Y151" i="1"/>
  <c r="K151" i="1" s="1" a="1"/>
  <c r="K151" i="1" s="1"/>
  <c r="V151" i="1" a="1"/>
  <c r="V151" i="1" s="1"/>
  <c r="U151" i="1" a="1"/>
  <c r="U151" i="1" s="1"/>
  <c r="T151" i="1"/>
  <c r="S151" i="1" a="1"/>
  <c r="S151" i="1"/>
  <c r="I151" i="1" s="1" a="1"/>
  <c r="I151" i="1" s="1"/>
  <c r="R151" i="1" a="1"/>
  <c r="R151" i="1" s="1"/>
  <c r="Q151" i="1"/>
  <c r="M151" i="1" a="1"/>
  <c r="M151" i="1"/>
  <c r="B151" i="1" s="1" a="1"/>
  <c r="B151" i="1" s="1"/>
  <c r="Y150" i="1" a="1"/>
  <c r="Y150" i="1"/>
  <c r="V150" i="1" a="1"/>
  <c r="V150" i="1" s="1"/>
  <c r="U150" i="1" a="1"/>
  <c r="U150" i="1" s="1"/>
  <c r="T150" i="1"/>
  <c r="S150" i="1" a="1"/>
  <c r="S150" i="1" s="1"/>
  <c r="Q150" i="1"/>
  <c r="M150" i="1" a="1"/>
  <c r="M150" i="1"/>
  <c r="B150" i="1" s="1" a="1"/>
  <c r="B150" i="1" s="1"/>
  <c r="E150" i="1" a="1"/>
  <c r="E150" i="1"/>
  <c r="Y149" i="1" a="1"/>
  <c r="Y149" i="1"/>
  <c r="V149" i="1" a="1"/>
  <c r="V149" i="1"/>
  <c r="U149" i="1" a="1"/>
  <c r="U149" i="1"/>
  <c r="T149" i="1"/>
  <c r="S149" i="1" a="1"/>
  <c r="S149" i="1"/>
  <c r="I149" i="1" s="1" a="1"/>
  <c r="R149" i="1" a="1"/>
  <c r="R149" i="1" s="1"/>
  <c r="Q149" i="1"/>
  <c r="M149" i="1" a="1"/>
  <c r="M149" i="1"/>
  <c r="I149" i="1"/>
  <c r="G149" i="1" a="1"/>
  <c r="G149" i="1" s="1"/>
  <c r="C149" i="1" a="1"/>
  <c r="C149" i="1" s="1"/>
  <c r="B149" i="1" a="1"/>
  <c r="B149" i="1" s="1"/>
  <c r="Y148" i="1" a="1"/>
  <c r="Y148" i="1"/>
  <c r="K148" i="1" s="1" a="1"/>
  <c r="V148" i="1" a="1"/>
  <c r="V148" i="1" s="1"/>
  <c r="U148" i="1" a="1"/>
  <c r="U148" i="1" s="1"/>
  <c r="T148" i="1"/>
  <c r="S148" i="1" a="1"/>
  <c r="S148" i="1" s="1"/>
  <c r="R148" i="1" a="1"/>
  <c r="R148" i="1" s="1"/>
  <c r="G148" i="1" s="1" a="1"/>
  <c r="G148" i="1" s="1"/>
  <c r="Q148" i="1"/>
  <c r="M148" i="1" a="1"/>
  <c r="M148" i="1" s="1"/>
  <c r="K148" i="1"/>
  <c r="E148" i="1" a="1"/>
  <c r="E148" i="1"/>
  <c r="B148" i="1" a="1"/>
  <c r="B148" i="1" s="1"/>
  <c r="Y147" i="1" a="1"/>
  <c r="Y147" i="1" s="1"/>
  <c r="V147" i="1" a="1"/>
  <c r="V147" i="1" s="1"/>
  <c r="U147" i="1" a="1"/>
  <c r="U147" i="1" s="1"/>
  <c r="T147" i="1"/>
  <c r="S147" i="1" a="1"/>
  <c r="S147" i="1"/>
  <c r="I147" i="1" s="1" a="1"/>
  <c r="I147" i="1" s="1"/>
  <c r="Q147" i="1"/>
  <c r="M147" i="1" a="1"/>
  <c r="M147" i="1"/>
  <c r="C147" i="1" a="1"/>
  <c r="C147" i="1" s="1"/>
  <c r="B147" i="1" a="1"/>
  <c r="B147" i="1" s="1"/>
  <c r="Y146" i="1" a="1"/>
  <c r="Y146" i="1"/>
  <c r="V146" i="1" a="1"/>
  <c r="V146" i="1" s="1"/>
  <c r="U146" i="1" a="1"/>
  <c r="U146" i="1" s="1"/>
  <c r="T146" i="1"/>
  <c r="S146" i="1" a="1"/>
  <c r="S146" i="1" s="1"/>
  <c r="C146" i="1" s="1" a="1"/>
  <c r="R146" i="1" a="1"/>
  <c r="R146" i="1" s="1"/>
  <c r="G146" i="1" s="1" a="1"/>
  <c r="G146" i="1" s="1"/>
  <c r="Q146" i="1"/>
  <c r="M146" i="1" a="1"/>
  <c r="M146" i="1" s="1"/>
  <c r="B146" i="1" s="1" a="1"/>
  <c r="B146" i="1" s="1"/>
  <c r="I146" i="1" a="1"/>
  <c r="I146" i="1" s="1"/>
  <c r="C146" i="1"/>
  <c r="Y145" i="1" a="1"/>
  <c r="Y145" i="1" s="1"/>
  <c r="V145" i="1" a="1"/>
  <c r="V145" i="1"/>
  <c r="U145" i="1" a="1"/>
  <c r="U145" i="1"/>
  <c r="T145" i="1"/>
  <c r="S145" i="1" a="1"/>
  <c r="S145" i="1"/>
  <c r="R145" i="1" s="1" a="1"/>
  <c r="R145" i="1" s="1"/>
  <c r="G145" i="1" s="1" a="1"/>
  <c r="Q145" i="1"/>
  <c r="M145" i="1" a="1"/>
  <c r="M145" i="1"/>
  <c r="G145" i="1"/>
  <c r="C145" i="1" a="1"/>
  <c r="C145" i="1" s="1"/>
  <c r="B145" i="1" a="1"/>
  <c r="B145" i="1" s="1"/>
  <c r="Y144" i="1" a="1"/>
  <c r="Y144" i="1"/>
  <c r="V144" i="1" a="1"/>
  <c r="V144" i="1" s="1"/>
  <c r="U144" i="1" a="1"/>
  <c r="U144" i="1"/>
  <c r="T144" i="1"/>
  <c r="S144" i="1" a="1"/>
  <c r="S144" i="1" s="1"/>
  <c r="Q144" i="1"/>
  <c r="M144" i="1" a="1"/>
  <c r="M144" i="1" s="1"/>
  <c r="B144" i="1" s="1" a="1"/>
  <c r="B144" i="1" s="1"/>
  <c r="Y143" i="1" a="1"/>
  <c r="Y143" i="1" s="1"/>
  <c r="V143" i="1" a="1"/>
  <c r="V143" i="1" s="1"/>
  <c r="U143" i="1" a="1"/>
  <c r="U143" i="1"/>
  <c r="T143" i="1"/>
  <c r="S143" i="1" a="1"/>
  <c r="S143" i="1"/>
  <c r="Q143" i="1"/>
  <c r="M143" i="1" a="1"/>
  <c r="M143" i="1"/>
  <c r="B143" i="1" s="1" a="1"/>
  <c r="B143" i="1" s="1"/>
  <c r="Y142" i="1" a="1"/>
  <c r="Y142" i="1"/>
  <c r="K142" i="1" s="1" a="1"/>
  <c r="V142" i="1" a="1"/>
  <c r="V142" i="1" s="1"/>
  <c r="U142" i="1" a="1"/>
  <c r="U142" i="1" s="1"/>
  <c r="T142" i="1"/>
  <c r="S142" i="1" a="1"/>
  <c r="S142" i="1" s="1"/>
  <c r="R142" i="1" s="1" a="1"/>
  <c r="R142" i="1" s="1"/>
  <c r="G142" i="1" s="1" a="1"/>
  <c r="Q142" i="1"/>
  <c r="M142" i="1" a="1"/>
  <c r="M142" i="1"/>
  <c r="K142" i="1"/>
  <c r="G142" i="1"/>
  <c r="E142" i="1" a="1"/>
  <c r="E142" i="1"/>
  <c r="B142" i="1" a="1"/>
  <c r="B142" i="1" s="1"/>
  <c r="Y141" i="1" a="1"/>
  <c r="Y141" i="1"/>
  <c r="V141" i="1" a="1"/>
  <c r="V141" i="1" s="1"/>
  <c r="U141" i="1" a="1"/>
  <c r="U141" i="1" s="1"/>
  <c r="T141" i="1"/>
  <c r="S141" i="1" a="1"/>
  <c r="S141" i="1"/>
  <c r="I141" i="1" s="1" a="1"/>
  <c r="I141" i="1" s="1"/>
  <c r="R141" i="1" a="1"/>
  <c r="R141" i="1"/>
  <c r="Q141" i="1"/>
  <c r="M141" i="1" a="1"/>
  <c r="M141" i="1"/>
  <c r="B141" i="1" s="1" a="1"/>
  <c r="K141" i="1" a="1"/>
  <c r="K141" i="1" s="1"/>
  <c r="C141" i="1" a="1"/>
  <c r="C141" i="1" s="1"/>
  <c r="B141" i="1"/>
  <c r="Y140" i="1" a="1"/>
  <c r="Y140" i="1"/>
  <c r="V140" i="1" a="1"/>
  <c r="V140" i="1" s="1"/>
  <c r="U140" i="1" a="1"/>
  <c r="U140" i="1" s="1"/>
  <c r="T140" i="1"/>
  <c r="S140" i="1" a="1"/>
  <c r="S140" i="1" s="1"/>
  <c r="C140" i="1" s="1" a="1"/>
  <c r="R140" i="1" a="1"/>
  <c r="R140" i="1" s="1"/>
  <c r="Q140" i="1"/>
  <c r="M140" i="1" a="1"/>
  <c r="M140" i="1" s="1"/>
  <c r="B140" i="1" s="1" a="1"/>
  <c r="B140" i="1" s="1"/>
  <c r="I140" i="1" a="1"/>
  <c r="I140" i="1" s="1"/>
  <c r="E140" i="1" a="1"/>
  <c r="E140" i="1" s="1"/>
  <c r="C140" i="1"/>
  <c r="Y139" i="1" a="1"/>
  <c r="Y139" i="1" s="1"/>
  <c r="K139" i="1" s="1" a="1"/>
  <c r="K139" i="1" s="1"/>
  <c r="V139" i="1" a="1"/>
  <c r="V139" i="1"/>
  <c r="U139" i="1" a="1"/>
  <c r="U139" i="1" s="1"/>
  <c r="T139" i="1"/>
  <c r="S139" i="1" a="1"/>
  <c r="S139" i="1"/>
  <c r="Q139" i="1"/>
  <c r="M139" i="1" a="1"/>
  <c r="M139" i="1"/>
  <c r="B139" i="1" s="1" a="1"/>
  <c r="B139" i="1" s="1"/>
  <c r="C139" i="1" a="1"/>
  <c r="C139" i="1"/>
  <c r="Y138" i="1" a="1"/>
  <c r="Y138" i="1"/>
  <c r="K138" i="1" s="1" a="1"/>
  <c r="K138" i="1" s="1"/>
  <c r="V138" i="1" a="1"/>
  <c r="V138" i="1" s="1"/>
  <c r="U138" i="1" a="1"/>
  <c r="U138" i="1" s="1"/>
  <c r="T138" i="1"/>
  <c r="S138" i="1" a="1"/>
  <c r="S138" i="1" s="1"/>
  <c r="C138" i="1" s="1" a="1"/>
  <c r="C138" i="1" s="1"/>
  <c r="R138" i="1" a="1"/>
  <c r="R138" i="1"/>
  <c r="Q138" i="1"/>
  <c r="M138" i="1" a="1"/>
  <c r="M138" i="1"/>
  <c r="B138" i="1" s="1" a="1"/>
  <c r="B138" i="1" s="1"/>
  <c r="I138" i="1" a="1"/>
  <c r="I138" i="1" s="1"/>
  <c r="E138" i="1" a="1"/>
  <c r="E138" i="1" s="1"/>
  <c r="Y137" i="1" a="1"/>
  <c r="Y137" i="1" s="1"/>
  <c r="K137" i="1" s="1" a="1"/>
  <c r="K137" i="1" s="1"/>
  <c r="V137" i="1" a="1"/>
  <c r="V137" i="1"/>
  <c r="U137" i="1" a="1"/>
  <c r="U137" i="1" s="1"/>
  <c r="T137" i="1"/>
  <c r="S137" i="1" a="1"/>
  <c r="S137" i="1"/>
  <c r="Q137" i="1"/>
  <c r="M137" i="1" a="1"/>
  <c r="M137" i="1"/>
  <c r="B137" i="1" s="1" a="1"/>
  <c r="B137" i="1" s="1"/>
  <c r="Y136" i="1" a="1"/>
  <c r="Y136" i="1"/>
  <c r="V136" i="1" a="1"/>
  <c r="V136" i="1" s="1"/>
  <c r="U136" i="1" a="1"/>
  <c r="U136" i="1"/>
  <c r="T136" i="1"/>
  <c r="S136" i="1" a="1"/>
  <c r="S136" i="1" s="1"/>
  <c r="Q136" i="1"/>
  <c r="M136" i="1" a="1"/>
  <c r="M136" i="1"/>
  <c r="B136" i="1" s="1" a="1"/>
  <c r="B136" i="1" s="1"/>
  <c r="I136" i="1" a="1"/>
  <c r="I136" i="1"/>
  <c r="E136" i="1" a="1"/>
  <c r="E136" i="1" s="1"/>
  <c r="Y135" i="1" a="1"/>
  <c r="Y135" i="1"/>
  <c r="V135" i="1" a="1"/>
  <c r="V135" i="1" s="1"/>
  <c r="U135" i="1" a="1"/>
  <c r="U135" i="1" s="1"/>
  <c r="T135" i="1"/>
  <c r="S135" i="1" a="1"/>
  <c r="S135" i="1"/>
  <c r="R135" i="1" a="1"/>
  <c r="R135" i="1"/>
  <c r="Q135" i="1"/>
  <c r="M135" i="1" a="1"/>
  <c r="M135" i="1"/>
  <c r="B135" i="1" s="1" a="1"/>
  <c r="B135" i="1"/>
  <c r="Y134" i="1" a="1"/>
  <c r="Y134" i="1"/>
  <c r="V134" i="1" a="1"/>
  <c r="V134" i="1" s="1"/>
  <c r="U134" i="1" a="1"/>
  <c r="U134" i="1" s="1"/>
  <c r="T134" i="1"/>
  <c r="S134" i="1" a="1"/>
  <c r="S134" i="1" s="1"/>
  <c r="Q134" i="1"/>
  <c r="M134" i="1" a="1"/>
  <c r="M134" i="1"/>
  <c r="B134" i="1" s="1" a="1"/>
  <c r="B134" i="1" s="1"/>
  <c r="E134" i="1" a="1"/>
  <c r="E134" i="1"/>
  <c r="Y133" i="1" a="1"/>
  <c r="Y133" i="1"/>
  <c r="V133" i="1" a="1"/>
  <c r="V133" i="1"/>
  <c r="U133" i="1" a="1"/>
  <c r="U133" i="1" s="1"/>
  <c r="T133" i="1"/>
  <c r="S133" i="1" a="1"/>
  <c r="S133" i="1"/>
  <c r="I133" i="1" s="1" a="1"/>
  <c r="R133" i="1" a="1"/>
  <c r="R133" i="1" s="1"/>
  <c r="Q133" i="1"/>
  <c r="M133" i="1" a="1"/>
  <c r="M133" i="1"/>
  <c r="I133" i="1"/>
  <c r="G133" i="1" a="1"/>
  <c r="G133" i="1" s="1"/>
  <c r="C133" i="1" a="1"/>
  <c r="C133" i="1" s="1"/>
  <c r="B133" i="1" a="1"/>
  <c r="B133" i="1"/>
  <c r="Y132" i="1" a="1"/>
  <c r="Y132" i="1"/>
  <c r="K132" i="1" s="1" a="1"/>
  <c r="V132" i="1" a="1"/>
  <c r="V132" i="1" s="1"/>
  <c r="U132" i="1" a="1"/>
  <c r="U132" i="1"/>
  <c r="T132" i="1"/>
  <c r="S132" i="1" a="1"/>
  <c r="S132" i="1" s="1"/>
  <c r="R132" i="1" a="1"/>
  <c r="R132" i="1" s="1"/>
  <c r="G132" i="1" s="1" a="1"/>
  <c r="G132" i="1" s="1"/>
  <c r="Q132" i="1"/>
  <c r="M132" i="1" a="1"/>
  <c r="M132" i="1" s="1"/>
  <c r="B132" i="1" s="1" a="1"/>
  <c r="B132" i="1" s="1"/>
  <c r="K132" i="1"/>
  <c r="E132" i="1" a="1"/>
  <c r="E132" i="1"/>
  <c r="Y131" i="1" a="1"/>
  <c r="Y131" i="1" s="1"/>
  <c r="V131" i="1" a="1"/>
  <c r="V131" i="1" s="1"/>
  <c r="U131" i="1" a="1"/>
  <c r="U131" i="1"/>
  <c r="T131" i="1"/>
  <c r="S131" i="1" a="1"/>
  <c r="S131" i="1"/>
  <c r="I131" i="1" s="1" a="1"/>
  <c r="I131" i="1" s="1"/>
  <c r="Q131" i="1"/>
  <c r="M131" i="1" a="1"/>
  <c r="M131" i="1"/>
  <c r="C131" i="1" a="1"/>
  <c r="C131" i="1" s="1"/>
  <c r="B131" i="1" a="1"/>
  <c r="B131" i="1" s="1"/>
  <c r="Y130" i="1" a="1"/>
  <c r="Y130" i="1"/>
  <c r="V130" i="1" a="1"/>
  <c r="V130" i="1" s="1"/>
  <c r="U130" i="1" a="1"/>
  <c r="U130" i="1"/>
  <c r="T130" i="1"/>
  <c r="S130" i="1" a="1"/>
  <c r="S130" i="1" s="1"/>
  <c r="C130" i="1" s="1" a="1"/>
  <c r="R130" i="1" a="1"/>
  <c r="R130" i="1" s="1"/>
  <c r="G130" i="1" s="1" a="1"/>
  <c r="G130" i="1" s="1"/>
  <c r="Q130" i="1"/>
  <c r="M130" i="1" a="1"/>
  <c r="M130" i="1" s="1"/>
  <c r="B130" i="1" s="1" a="1"/>
  <c r="B130" i="1" s="1"/>
  <c r="I130" i="1" a="1"/>
  <c r="I130" i="1" s="1"/>
  <c r="C130" i="1"/>
  <c r="Y129" i="1" a="1"/>
  <c r="Y129" i="1" s="1"/>
  <c r="V129" i="1" a="1"/>
  <c r="V129" i="1"/>
  <c r="U129" i="1" a="1"/>
  <c r="U129" i="1" s="1"/>
  <c r="T129" i="1"/>
  <c r="S129" i="1" a="1"/>
  <c r="S129" i="1"/>
  <c r="R129" i="1" s="1" a="1"/>
  <c r="R129" i="1" s="1"/>
  <c r="G129" i="1" s="1" a="1"/>
  <c r="Q129" i="1"/>
  <c r="M129" i="1" a="1"/>
  <c r="M129" i="1"/>
  <c r="G129" i="1"/>
  <c r="C129" i="1" a="1"/>
  <c r="C129" i="1" s="1"/>
  <c r="B129" i="1" a="1"/>
  <c r="B129" i="1" s="1"/>
  <c r="Y128" i="1" a="1"/>
  <c r="Y128" i="1"/>
  <c r="V128" i="1" a="1"/>
  <c r="V128" i="1" s="1"/>
  <c r="U128" i="1" a="1"/>
  <c r="U128" i="1"/>
  <c r="T128" i="1"/>
  <c r="S128" i="1" a="1"/>
  <c r="S128" i="1" s="1"/>
  <c r="Q128" i="1"/>
  <c r="M128" i="1" a="1"/>
  <c r="M128" i="1" s="1"/>
  <c r="B128" i="1" s="1" a="1"/>
  <c r="B128" i="1" s="1"/>
  <c r="Y127" i="1" a="1"/>
  <c r="Y127" i="1" s="1"/>
  <c r="V127" i="1" a="1"/>
  <c r="V127" i="1" s="1"/>
  <c r="U127" i="1" a="1"/>
  <c r="U127" i="1"/>
  <c r="T127" i="1"/>
  <c r="S127" i="1" a="1"/>
  <c r="S127" i="1"/>
  <c r="Q127" i="1"/>
  <c r="M127" i="1" a="1"/>
  <c r="M127" i="1"/>
  <c r="B127" i="1" s="1" a="1"/>
  <c r="B127" i="1" s="1"/>
  <c r="Y126" i="1" a="1"/>
  <c r="Y126" i="1"/>
  <c r="K126" i="1" s="1" a="1"/>
  <c r="V126" i="1" a="1"/>
  <c r="V126" i="1" s="1"/>
  <c r="U126" i="1" a="1"/>
  <c r="U126" i="1" s="1"/>
  <c r="T126" i="1"/>
  <c r="S126" i="1" a="1"/>
  <c r="S126" i="1" s="1"/>
  <c r="R126" i="1" s="1" a="1"/>
  <c r="R126" i="1" s="1"/>
  <c r="G126" i="1" s="1" a="1"/>
  <c r="G126" i="1" s="1"/>
  <c r="Q126" i="1"/>
  <c r="M126" i="1" a="1"/>
  <c r="M126" i="1"/>
  <c r="K126" i="1"/>
  <c r="E126" i="1" a="1"/>
  <c r="E126" i="1"/>
  <c r="B126" i="1" a="1"/>
  <c r="B126" i="1" s="1"/>
  <c r="Y125" i="1" a="1"/>
  <c r="Y125" i="1"/>
  <c r="K125" i="1" s="1" a="1"/>
  <c r="K125" i="1" s="1"/>
  <c r="V125" i="1" a="1"/>
  <c r="V125" i="1" s="1"/>
  <c r="U125" i="1" a="1"/>
  <c r="U125" i="1"/>
  <c r="T125" i="1"/>
  <c r="S125" i="1" a="1"/>
  <c r="S125" i="1"/>
  <c r="I125" i="1" s="1" a="1"/>
  <c r="I125" i="1" s="1"/>
  <c r="R125" i="1" a="1"/>
  <c r="R125" i="1"/>
  <c r="Q125" i="1"/>
  <c r="M125" i="1" a="1"/>
  <c r="M125" i="1"/>
  <c r="B125" i="1" s="1" a="1"/>
  <c r="B125" i="1" s="1"/>
  <c r="C125" i="1" a="1"/>
  <c r="C125" i="1" s="1"/>
  <c r="Y124" i="1" a="1"/>
  <c r="Y124" i="1"/>
  <c r="V124" i="1" a="1"/>
  <c r="V124" i="1" s="1"/>
  <c r="U124" i="1" a="1"/>
  <c r="U124" i="1"/>
  <c r="T124" i="1"/>
  <c r="S124" i="1" a="1"/>
  <c r="S124" i="1" s="1"/>
  <c r="C124" i="1" s="1" a="1"/>
  <c r="R124" i="1" a="1"/>
  <c r="R124" i="1" s="1"/>
  <c r="Q124" i="1"/>
  <c r="M124" i="1" a="1"/>
  <c r="M124" i="1" s="1"/>
  <c r="B124" i="1" s="1" a="1"/>
  <c r="B124" i="1" s="1"/>
  <c r="I124" i="1" a="1"/>
  <c r="I124" i="1" s="1"/>
  <c r="E124" i="1" a="1"/>
  <c r="E124" i="1"/>
  <c r="C124" i="1"/>
  <c r="Y123" i="1" a="1"/>
  <c r="Y123" i="1" s="1"/>
  <c r="V123" i="1" a="1"/>
  <c r="V123" i="1"/>
  <c r="U123" i="1" a="1"/>
  <c r="U123" i="1" s="1"/>
  <c r="T123" i="1"/>
  <c r="S123" i="1" a="1"/>
  <c r="S123" i="1"/>
  <c r="Q123" i="1"/>
  <c r="M123" i="1" a="1"/>
  <c r="M123" i="1"/>
  <c r="B123" i="1" s="1" a="1"/>
  <c r="B123" i="1" s="1"/>
  <c r="K123" i="1" a="1"/>
  <c r="K123" i="1" s="1"/>
  <c r="C123" i="1" a="1"/>
  <c r="C123" i="1"/>
  <c r="Y122" i="1" a="1"/>
  <c r="Y122" i="1"/>
  <c r="K122" i="1" s="1" a="1"/>
  <c r="K122" i="1" s="1"/>
  <c r="V122" i="1" a="1"/>
  <c r="V122" i="1" s="1"/>
  <c r="U122" i="1" a="1"/>
  <c r="U122" i="1" s="1"/>
  <c r="T122" i="1"/>
  <c r="S122" i="1" a="1"/>
  <c r="S122" i="1" s="1"/>
  <c r="C122" i="1" s="1" a="1"/>
  <c r="C122" i="1" s="1"/>
  <c r="R122" i="1" a="1"/>
  <c r="R122" i="1" s="1"/>
  <c r="Q122" i="1"/>
  <c r="M122" i="1" a="1"/>
  <c r="M122" i="1"/>
  <c r="B122" i="1" s="1" a="1"/>
  <c r="B122" i="1" s="1"/>
  <c r="I122" i="1" a="1"/>
  <c r="I122" i="1" s="1"/>
  <c r="E122" i="1" a="1"/>
  <c r="E122" i="1" s="1"/>
  <c r="Y121" i="1" a="1"/>
  <c r="Y121" i="1" s="1"/>
  <c r="V121" i="1" a="1"/>
  <c r="V121" i="1"/>
  <c r="U121" i="1" a="1"/>
  <c r="U121" i="1"/>
  <c r="T121" i="1"/>
  <c r="S121" i="1" a="1"/>
  <c r="S121" i="1"/>
  <c r="Q121" i="1"/>
  <c r="M121" i="1" a="1"/>
  <c r="M121" i="1"/>
  <c r="B121" i="1" s="1" a="1"/>
  <c r="B121" i="1" s="1"/>
  <c r="K121" i="1" a="1"/>
  <c r="K121" i="1" s="1"/>
  <c r="Y120" i="1" a="1"/>
  <c r="Y120" i="1"/>
  <c r="V120" i="1" a="1"/>
  <c r="V120" i="1" s="1"/>
  <c r="U120" i="1" a="1"/>
  <c r="U120" i="1"/>
  <c r="T120" i="1"/>
  <c r="S120" i="1" a="1"/>
  <c r="S120" i="1" s="1"/>
  <c r="Q120" i="1"/>
  <c r="M120" i="1" a="1"/>
  <c r="M120" i="1"/>
  <c r="I120" i="1" a="1"/>
  <c r="I120" i="1"/>
  <c r="B120" i="1" a="1"/>
  <c r="B120" i="1" s="1"/>
  <c r="Y119" i="1" a="1"/>
  <c r="Y119" i="1" s="1"/>
  <c r="V119" i="1" a="1"/>
  <c r="V119" i="1" s="1"/>
  <c r="U119" i="1" a="1"/>
  <c r="U119" i="1"/>
  <c r="T119" i="1"/>
  <c r="S119" i="1" a="1"/>
  <c r="S119" i="1"/>
  <c r="Q119" i="1"/>
  <c r="M119" i="1" a="1"/>
  <c r="M119" i="1"/>
  <c r="K119" i="1" a="1"/>
  <c r="K119" i="1" s="1"/>
  <c r="B119" i="1" a="1"/>
  <c r="B119" i="1" s="1"/>
  <c r="Y118" i="1" a="1"/>
  <c r="Y118" i="1"/>
  <c r="E118" i="1" s="1" a="1"/>
  <c r="E118" i="1" s="1"/>
  <c r="V118" i="1" a="1"/>
  <c r="V118" i="1" s="1"/>
  <c r="U118" i="1" a="1"/>
  <c r="U118" i="1" s="1"/>
  <c r="T118" i="1"/>
  <c r="S118" i="1" a="1"/>
  <c r="S118" i="1" s="1"/>
  <c r="C118" i="1" s="1" a="1"/>
  <c r="R118" i="1" a="1"/>
  <c r="R118" i="1"/>
  <c r="Q118" i="1"/>
  <c r="M118" i="1" a="1"/>
  <c r="M118" i="1"/>
  <c r="I118" i="1" a="1"/>
  <c r="I118" i="1"/>
  <c r="C118" i="1"/>
  <c r="B118" i="1" a="1"/>
  <c r="B118" i="1" s="1"/>
  <c r="Y117" i="1" a="1"/>
  <c r="Y117" i="1" s="1"/>
  <c r="K117" i="1" s="1" a="1"/>
  <c r="K117" i="1" s="1"/>
  <c r="V117" i="1" a="1"/>
  <c r="V117" i="1" s="1"/>
  <c r="U117" i="1" a="1"/>
  <c r="U117" i="1"/>
  <c r="T117" i="1"/>
  <c r="S117" i="1" a="1"/>
  <c r="S117" i="1"/>
  <c r="I117" i="1" s="1" a="1"/>
  <c r="I117" i="1" s="1"/>
  <c r="Q117" i="1"/>
  <c r="M117" i="1" a="1"/>
  <c r="M117" i="1"/>
  <c r="C117" i="1" a="1"/>
  <c r="C117" i="1" s="1"/>
  <c r="B117" i="1" a="1"/>
  <c r="B117" i="1" s="1"/>
  <c r="Y116" i="1" a="1"/>
  <c r="Y116" i="1"/>
  <c r="V116" i="1" a="1"/>
  <c r="V116" i="1"/>
  <c r="U116" i="1" a="1"/>
  <c r="U116" i="1" s="1"/>
  <c r="T116" i="1"/>
  <c r="S116" i="1" a="1"/>
  <c r="S116" i="1" s="1"/>
  <c r="Q116" i="1"/>
  <c r="M116" i="1" a="1"/>
  <c r="M116" i="1"/>
  <c r="B116" i="1" s="1" a="1"/>
  <c r="B116" i="1" s="1"/>
  <c r="E116" i="1" a="1"/>
  <c r="E116" i="1" s="1"/>
  <c r="Y115" i="1" a="1"/>
  <c r="Y115" i="1"/>
  <c r="V115" i="1" a="1"/>
  <c r="V115" i="1" s="1"/>
  <c r="U115" i="1" a="1"/>
  <c r="U115" i="1"/>
  <c r="T115" i="1"/>
  <c r="S115" i="1" a="1"/>
  <c r="S115" i="1" s="1"/>
  <c r="R115" i="1" a="1"/>
  <c r="R115" i="1" s="1"/>
  <c r="Q115" i="1"/>
  <c r="M115" i="1" a="1"/>
  <c r="M115" i="1"/>
  <c r="C115" i="1" a="1"/>
  <c r="C115" i="1" s="1"/>
  <c r="B115" i="1" a="1"/>
  <c r="B115" i="1" s="1"/>
  <c r="Y114" i="1" a="1"/>
  <c r="Y114" i="1"/>
  <c r="V114" i="1" a="1"/>
  <c r="V114" i="1" s="1"/>
  <c r="U114" i="1" a="1"/>
  <c r="U114" i="1"/>
  <c r="T114" i="1"/>
  <c r="S114" i="1" a="1"/>
  <c r="S114" i="1" s="1"/>
  <c r="R114" i="1" a="1"/>
  <c r="R114" i="1" s="1"/>
  <c r="G114" i="1" s="1" a="1"/>
  <c r="Q114" i="1"/>
  <c r="M114" i="1" a="1"/>
  <c r="M114" i="1"/>
  <c r="I114" i="1" a="1"/>
  <c r="I114" i="1" s="1"/>
  <c r="G114" i="1"/>
  <c r="B114" i="1" a="1"/>
  <c r="B114" i="1"/>
  <c r="Y113" i="1" a="1"/>
  <c r="Y113" i="1" s="1"/>
  <c r="E113" i="1" s="1" a="1"/>
  <c r="E113" i="1" s="1"/>
  <c r="V113" i="1" a="1"/>
  <c r="V113" i="1" s="1"/>
  <c r="U113" i="1" a="1"/>
  <c r="U113" i="1" s="1"/>
  <c r="T113" i="1"/>
  <c r="S113" i="1" a="1"/>
  <c r="S113" i="1"/>
  <c r="Q113" i="1"/>
  <c r="M113" i="1" a="1"/>
  <c r="M113" i="1"/>
  <c r="B113" i="1" s="1" a="1"/>
  <c r="B113" i="1" s="1"/>
  <c r="Y112" i="1" a="1"/>
  <c r="Y112" i="1"/>
  <c r="K112" i="1" s="1" a="1"/>
  <c r="V112" i="1" a="1"/>
  <c r="V112" i="1"/>
  <c r="U112" i="1" a="1"/>
  <c r="U112" i="1"/>
  <c r="T112" i="1"/>
  <c r="S112" i="1" a="1"/>
  <c r="S112" i="1" s="1"/>
  <c r="C112" i="1" s="1" a="1"/>
  <c r="R112" i="1" a="1"/>
  <c r="R112" i="1" s="1"/>
  <c r="Q112" i="1"/>
  <c r="M112" i="1" a="1"/>
  <c r="M112" i="1"/>
  <c r="B112" i="1" s="1" a="1"/>
  <c r="B112" i="1" s="1"/>
  <c r="K112" i="1"/>
  <c r="I112" i="1" a="1"/>
  <c r="I112" i="1" s="1"/>
  <c r="E112" i="1" a="1"/>
  <c r="E112" i="1"/>
  <c r="C112" i="1"/>
  <c r="Y111" i="1" a="1"/>
  <c r="Y111" i="1" s="1"/>
  <c r="V111" i="1" a="1"/>
  <c r="V111" i="1"/>
  <c r="U111" i="1" a="1"/>
  <c r="U111" i="1"/>
  <c r="T111" i="1"/>
  <c r="S111" i="1" a="1"/>
  <c r="S111" i="1"/>
  <c r="Q111" i="1"/>
  <c r="M111" i="1" a="1"/>
  <c r="M111" i="1"/>
  <c r="B111" i="1" s="1" a="1"/>
  <c r="B111" i="1" s="1"/>
  <c r="Y110" i="1" a="1"/>
  <c r="Y110" i="1"/>
  <c r="V110" i="1" a="1"/>
  <c r="V110" i="1"/>
  <c r="U110" i="1" a="1"/>
  <c r="U110" i="1" s="1"/>
  <c r="T110" i="1"/>
  <c r="S110" i="1" a="1"/>
  <c r="S110" i="1" s="1"/>
  <c r="C110" i="1" s="1" a="1"/>
  <c r="R110" i="1" a="1"/>
  <c r="R110" i="1" s="1"/>
  <c r="G110" i="1" s="1" a="1"/>
  <c r="Q110" i="1"/>
  <c r="M110" i="1" a="1"/>
  <c r="M110" i="1" s="1"/>
  <c r="B110" i="1" s="1" a="1"/>
  <c r="B110" i="1" s="1"/>
  <c r="I110" i="1" a="1"/>
  <c r="I110" i="1"/>
  <c r="G110" i="1"/>
  <c r="C110" i="1"/>
  <c r="Y109" i="1" a="1"/>
  <c r="Y109" i="1" s="1"/>
  <c r="V109" i="1" a="1"/>
  <c r="V109" i="1"/>
  <c r="U109" i="1" a="1"/>
  <c r="U109" i="1" s="1"/>
  <c r="T109" i="1"/>
  <c r="S109" i="1" a="1"/>
  <c r="S109" i="1"/>
  <c r="Q109" i="1"/>
  <c r="M109" i="1" a="1"/>
  <c r="M109" i="1"/>
  <c r="B109" i="1" a="1"/>
  <c r="B109" i="1" s="1"/>
  <c r="Y108" i="1" a="1"/>
  <c r="Y108" i="1"/>
  <c r="V108" i="1" a="1"/>
  <c r="V108" i="1" s="1"/>
  <c r="U108" i="1" a="1"/>
  <c r="U108" i="1" s="1"/>
  <c r="T108" i="1"/>
  <c r="S108" i="1" a="1"/>
  <c r="S108" i="1" s="1"/>
  <c r="Q108" i="1"/>
  <c r="M108" i="1" a="1"/>
  <c r="M108" i="1" s="1"/>
  <c r="B108" i="1" s="1" a="1"/>
  <c r="B108" i="1" s="1"/>
  <c r="Y107" i="1" a="1"/>
  <c r="Y107" i="1" s="1"/>
  <c r="K107" i="1" s="1" a="1"/>
  <c r="K107" i="1" s="1"/>
  <c r="V107" i="1" a="1"/>
  <c r="V107" i="1"/>
  <c r="U107" i="1" a="1"/>
  <c r="U107" i="1" s="1"/>
  <c r="T107" i="1"/>
  <c r="S107" i="1" a="1"/>
  <c r="S107" i="1"/>
  <c r="Q107" i="1"/>
  <c r="M107" i="1" a="1"/>
  <c r="M107" i="1"/>
  <c r="B107" i="1" a="1"/>
  <c r="B107" i="1" s="1"/>
  <c r="Y106" i="1" a="1"/>
  <c r="Y106" i="1"/>
  <c r="K106" i="1" s="1" a="1"/>
  <c r="V106" i="1" a="1"/>
  <c r="V106" i="1" s="1"/>
  <c r="U106" i="1" a="1"/>
  <c r="U106" i="1" s="1"/>
  <c r="T106" i="1"/>
  <c r="S106" i="1" a="1"/>
  <c r="S106" i="1" s="1"/>
  <c r="R106" i="1" s="1" a="1"/>
  <c r="R106" i="1"/>
  <c r="G106" i="1" s="1" a="1"/>
  <c r="G106" i="1" s="1"/>
  <c r="Q106" i="1"/>
  <c r="M106" i="1" a="1"/>
  <c r="M106" i="1"/>
  <c r="B106" i="1" s="1" a="1"/>
  <c r="B106" i="1" s="1"/>
  <c r="K106" i="1"/>
  <c r="Y105" i="1" a="1"/>
  <c r="Y105" i="1" s="1"/>
  <c r="V105" i="1" a="1"/>
  <c r="V105" i="1" s="1"/>
  <c r="U105" i="1" a="1"/>
  <c r="U105" i="1" s="1"/>
  <c r="T105" i="1"/>
  <c r="S105" i="1" a="1"/>
  <c r="S105" i="1" s="1"/>
  <c r="R105" i="1" a="1"/>
  <c r="R105" i="1" s="1"/>
  <c r="Q105" i="1"/>
  <c r="M105" i="1" a="1"/>
  <c r="M105" i="1"/>
  <c r="G105" i="1" a="1"/>
  <c r="G105" i="1" s="1"/>
  <c r="C105" i="1" a="1"/>
  <c r="C105" i="1" s="1"/>
  <c r="B105" i="1" a="1"/>
  <c r="B105" i="1"/>
  <c r="Y104" i="1" a="1"/>
  <c r="Y104" i="1"/>
  <c r="K104" i="1" s="1" a="1"/>
  <c r="V104" i="1" a="1"/>
  <c r="V104" i="1" s="1"/>
  <c r="U104" i="1" a="1"/>
  <c r="U104" i="1" s="1"/>
  <c r="T104" i="1"/>
  <c r="S104" i="1" a="1"/>
  <c r="S104" i="1" s="1"/>
  <c r="Q104" i="1"/>
  <c r="M104" i="1" a="1"/>
  <c r="M104" i="1"/>
  <c r="K104" i="1"/>
  <c r="E104" i="1" a="1"/>
  <c r="E104" i="1" s="1"/>
  <c r="B104" i="1" a="1"/>
  <c r="B104" i="1" s="1"/>
  <c r="Y103" i="1" a="1"/>
  <c r="Y103" i="1"/>
  <c r="V103" i="1" a="1"/>
  <c r="V103" i="1" s="1"/>
  <c r="U103" i="1" a="1"/>
  <c r="U103" i="1" s="1"/>
  <c r="T103" i="1"/>
  <c r="S103" i="1" a="1"/>
  <c r="S103" i="1" s="1"/>
  <c r="R103" i="1" s="1" a="1"/>
  <c r="R103" i="1" s="1"/>
  <c r="Q103" i="1"/>
  <c r="M103" i="1" a="1"/>
  <c r="M103" i="1"/>
  <c r="C103" i="1" a="1"/>
  <c r="C103" i="1" s="1"/>
  <c r="B103" i="1" a="1"/>
  <c r="B103" i="1" s="1"/>
  <c r="Y102" i="1" a="1"/>
  <c r="Y102" i="1"/>
  <c r="K102" i="1" s="1" a="1"/>
  <c r="V102" i="1" a="1"/>
  <c r="V102" i="1" s="1"/>
  <c r="U102" i="1" a="1"/>
  <c r="U102" i="1" s="1"/>
  <c r="T102" i="1"/>
  <c r="S102" i="1" a="1"/>
  <c r="S102" i="1" s="1"/>
  <c r="Q102" i="1"/>
  <c r="M102" i="1" a="1"/>
  <c r="M102" i="1"/>
  <c r="B102" i="1" s="1" a="1"/>
  <c r="B102" i="1" s="1"/>
  <c r="K102" i="1"/>
  <c r="I102" i="1" a="1"/>
  <c r="I102" i="1" s="1"/>
  <c r="E102" i="1" a="1"/>
  <c r="E102" i="1"/>
  <c r="Y101" i="1" a="1"/>
  <c r="Y101" i="1" s="1"/>
  <c r="V101" i="1" a="1"/>
  <c r="V101" i="1" s="1"/>
  <c r="U101" i="1" a="1"/>
  <c r="U101" i="1"/>
  <c r="T101" i="1"/>
  <c r="S101" i="1" a="1"/>
  <c r="S101" i="1" s="1"/>
  <c r="Q101" i="1"/>
  <c r="M101" i="1" a="1"/>
  <c r="M101" i="1"/>
  <c r="B101" i="1" s="1" a="1"/>
  <c r="B101" i="1" s="1"/>
  <c r="Y100" i="1" a="1"/>
  <c r="Y100" i="1"/>
  <c r="K100" i="1" s="1" a="1"/>
  <c r="K100" i="1" s="1"/>
  <c r="V100" i="1" a="1"/>
  <c r="V100" i="1"/>
  <c r="U100" i="1" a="1"/>
  <c r="U100" i="1" s="1"/>
  <c r="T100" i="1"/>
  <c r="S100" i="1" a="1"/>
  <c r="S100" i="1" s="1"/>
  <c r="C100" i="1" s="1" a="1"/>
  <c r="R100" i="1" a="1"/>
  <c r="R100" i="1" s="1"/>
  <c r="Q100" i="1"/>
  <c r="M100" i="1" a="1"/>
  <c r="M100" i="1" s="1"/>
  <c r="B100" i="1" s="1" a="1"/>
  <c r="B100" i="1" s="1"/>
  <c r="I100" i="1" a="1"/>
  <c r="I100" i="1" s="1"/>
  <c r="E100" i="1" a="1"/>
  <c r="E100" i="1"/>
  <c r="C100" i="1"/>
  <c r="Y99" i="1" a="1"/>
  <c r="Y99" i="1" s="1"/>
  <c r="V99" i="1" a="1"/>
  <c r="V99" i="1"/>
  <c r="U99" i="1" a="1"/>
  <c r="U99" i="1" s="1"/>
  <c r="T99" i="1"/>
  <c r="S99" i="1" a="1"/>
  <c r="S99" i="1"/>
  <c r="Q99" i="1"/>
  <c r="M99" i="1" a="1"/>
  <c r="M99" i="1"/>
  <c r="K99" i="1" a="1"/>
  <c r="K99" i="1" s="1"/>
  <c r="B99" i="1" a="1"/>
  <c r="B99" i="1" s="1"/>
  <c r="Y98" i="1" a="1"/>
  <c r="Y98" i="1"/>
  <c r="V98" i="1" a="1"/>
  <c r="V98" i="1"/>
  <c r="U98" i="1" a="1"/>
  <c r="U98" i="1" s="1"/>
  <c r="T98" i="1"/>
  <c r="S98" i="1" a="1"/>
  <c r="S98" i="1" s="1"/>
  <c r="C98" i="1" s="1" a="1"/>
  <c r="C98" i="1" s="1"/>
  <c r="R98" i="1" a="1"/>
  <c r="R98" i="1" s="1"/>
  <c r="Q98" i="1"/>
  <c r="M98" i="1" a="1"/>
  <c r="M98" i="1" s="1"/>
  <c r="B98" i="1" s="1" a="1"/>
  <c r="B98" i="1" s="1"/>
  <c r="E98" i="1" a="1"/>
  <c r="E98" i="1" s="1"/>
  <c r="Y97" i="1" a="1"/>
  <c r="Y97" i="1"/>
  <c r="E97" i="1" s="1" a="1"/>
  <c r="E97" i="1" s="1"/>
  <c r="V97" i="1" a="1"/>
  <c r="V97" i="1"/>
  <c r="U97" i="1" a="1"/>
  <c r="U97" i="1" s="1"/>
  <c r="T97" i="1"/>
  <c r="S97" i="1" a="1"/>
  <c r="S97" i="1"/>
  <c r="R97" i="1" a="1"/>
  <c r="R97" i="1" s="1"/>
  <c r="Q97" i="1"/>
  <c r="M97" i="1" a="1"/>
  <c r="M97" i="1"/>
  <c r="K97" i="1" a="1"/>
  <c r="K97" i="1" s="1"/>
  <c r="C97" i="1" a="1"/>
  <c r="C97" i="1" s="1"/>
  <c r="B97" i="1" a="1"/>
  <c r="B97" i="1" s="1"/>
  <c r="Y96" i="1" a="1"/>
  <c r="Y96" i="1"/>
  <c r="V96" i="1" a="1"/>
  <c r="V96" i="1" s="1"/>
  <c r="U96" i="1" a="1"/>
  <c r="U96" i="1" s="1"/>
  <c r="T96" i="1"/>
  <c r="S96" i="1" a="1"/>
  <c r="S96" i="1" s="1"/>
  <c r="Q96" i="1"/>
  <c r="M96" i="1" a="1"/>
  <c r="M96" i="1"/>
  <c r="B96" i="1" s="1" a="1"/>
  <c r="B96" i="1" s="1"/>
  <c r="Y95" i="1" a="1"/>
  <c r="Y95" i="1"/>
  <c r="V95" i="1" a="1"/>
  <c r="V95" i="1" s="1"/>
  <c r="U95" i="1" a="1"/>
  <c r="U95" i="1" s="1"/>
  <c r="T95" i="1"/>
  <c r="S95" i="1" a="1"/>
  <c r="S95" i="1" s="1"/>
  <c r="C95" i="1" s="1" a="1"/>
  <c r="C95" i="1" s="1"/>
  <c r="R95" i="1" a="1"/>
  <c r="R95" i="1" s="1"/>
  <c r="G95" i="1" s="1" a="1"/>
  <c r="G95" i="1" s="1"/>
  <c r="Q95" i="1"/>
  <c r="M95" i="1" a="1"/>
  <c r="M95" i="1"/>
  <c r="B95" i="1" s="1" a="1"/>
  <c r="B95" i="1" s="1"/>
  <c r="Y94" i="1" a="1"/>
  <c r="Y94" i="1"/>
  <c r="K94" i="1" s="1" a="1"/>
  <c r="V94" i="1" a="1"/>
  <c r="V94" i="1" s="1"/>
  <c r="U94" i="1" a="1"/>
  <c r="U94" i="1" s="1"/>
  <c r="T94" i="1"/>
  <c r="S94" i="1" a="1"/>
  <c r="S94" i="1" s="1"/>
  <c r="Q94" i="1"/>
  <c r="M94" i="1" a="1"/>
  <c r="M94" i="1"/>
  <c r="B94" i="1" s="1" a="1"/>
  <c r="B94" i="1" s="1"/>
  <c r="K94" i="1"/>
  <c r="I94" i="1" a="1"/>
  <c r="I94" i="1" s="1"/>
  <c r="E94" i="1" a="1"/>
  <c r="E94" i="1"/>
  <c r="Y93" i="1" a="1"/>
  <c r="Y93" i="1" s="1"/>
  <c r="V93" i="1" a="1"/>
  <c r="V93" i="1" s="1"/>
  <c r="U93" i="1" a="1"/>
  <c r="U93" i="1"/>
  <c r="T93" i="1"/>
  <c r="S93" i="1" a="1"/>
  <c r="S93" i="1" s="1"/>
  <c r="Q93" i="1"/>
  <c r="M93" i="1" a="1"/>
  <c r="M93" i="1"/>
  <c r="B93" i="1" s="1" a="1"/>
  <c r="B93" i="1" s="1"/>
  <c r="Y92" i="1" a="1"/>
  <c r="Y92" i="1"/>
  <c r="K92" i="1" s="1" a="1"/>
  <c r="K92" i="1" s="1"/>
  <c r="V92" i="1" a="1"/>
  <c r="V92" i="1"/>
  <c r="U92" i="1" a="1"/>
  <c r="U92" i="1" s="1"/>
  <c r="T92" i="1"/>
  <c r="S92" i="1" a="1"/>
  <c r="S92" i="1" s="1"/>
  <c r="C92" i="1" s="1" a="1"/>
  <c r="R92" i="1" a="1"/>
  <c r="R92" i="1" s="1"/>
  <c r="Q92" i="1"/>
  <c r="M92" i="1" a="1"/>
  <c r="M92" i="1" s="1"/>
  <c r="B92" i="1" s="1" a="1"/>
  <c r="B92" i="1" s="1"/>
  <c r="I92" i="1" a="1"/>
  <c r="I92" i="1" s="1"/>
  <c r="E92" i="1" a="1"/>
  <c r="E92" i="1"/>
  <c r="C92" i="1"/>
  <c r="Y91" i="1" a="1"/>
  <c r="Y91" i="1" s="1"/>
  <c r="V91" i="1" a="1"/>
  <c r="V91" i="1"/>
  <c r="U91" i="1" a="1"/>
  <c r="U91" i="1"/>
  <c r="T91" i="1"/>
  <c r="S91" i="1" a="1"/>
  <c r="S91" i="1"/>
  <c r="Q91" i="1"/>
  <c r="M91" i="1" a="1"/>
  <c r="M91" i="1"/>
  <c r="K91" i="1" a="1"/>
  <c r="K91" i="1" s="1"/>
  <c r="B91" i="1" a="1"/>
  <c r="B91" i="1" s="1"/>
  <c r="Y90" i="1" a="1"/>
  <c r="Y90" i="1"/>
  <c r="V90" i="1" a="1"/>
  <c r="V90" i="1"/>
  <c r="U90" i="1" a="1"/>
  <c r="U90" i="1" s="1"/>
  <c r="T90" i="1"/>
  <c r="S90" i="1" a="1"/>
  <c r="S90" i="1" s="1"/>
  <c r="C90" i="1" s="1" a="1"/>
  <c r="C90" i="1" s="1"/>
  <c r="R90" i="1" a="1"/>
  <c r="R90" i="1" s="1"/>
  <c r="Q90" i="1"/>
  <c r="M90" i="1" a="1"/>
  <c r="M90" i="1" s="1"/>
  <c r="B90" i="1" s="1" a="1"/>
  <c r="B90" i="1" s="1"/>
  <c r="E90" i="1" a="1"/>
  <c r="E90" i="1" s="1"/>
  <c r="Y89" i="1" a="1"/>
  <c r="Y89" i="1"/>
  <c r="E89" i="1" s="1" a="1"/>
  <c r="E89" i="1" s="1"/>
  <c r="V89" i="1" a="1"/>
  <c r="V89" i="1"/>
  <c r="U89" i="1" a="1"/>
  <c r="U89" i="1" s="1"/>
  <c r="T89" i="1"/>
  <c r="S89" i="1" a="1"/>
  <c r="S89" i="1"/>
  <c r="R89" i="1" a="1"/>
  <c r="R89" i="1" s="1"/>
  <c r="Q89" i="1"/>
  <c r="M89" i="1" a="1"/>
  <c r="M89" i="1"/>
  <c r="K89" i="1" a="1"/>
  <c r="K89" i="1" s="1"/>
  <c r="C89" i="1" a="1"/>
  <c r="C89" i="1" s="1"/>
  <c r="B89" i="1" a="1"/>
  <c r="B89" i="1" s="1"/>
  <c r="Y88" i="1" a="1"/>
  <c r="Y88" i="1"/>
  <c r="V88" i="1" a="1"/>
  <c r="V88" i="1" s="1"/>
  <c r="U88" i="1" a="1"/>
  <c r="U88" i="1" s="1"/>
  <c r="T88" i="1"/>
  <c r="S88" i="1" a="1"/>
  <c r="S88" i="1" s="1"/>
  <c r="Q88" i="1"/>
  <c r="M88" i="1" a="1"/>
  <c r="M88" i="1"/>
  <c r="B88" i="1" a="1"/>
  <c r="B88" i="1" s="1"/>
  <c r="Y87" i="1" a="1"/>
  <c r="Y87" i="1"/>
  <c r="V87" i="1" a="1"/>
  <c r="V87" i="1" s="1"/>
  <c r="U87" i="1" a="1"/>
  <c r="U87" i="1"/>
  <c r="T87" i="1"/>
  <c r="S87" i="1" a="1"/>
  <c r="S87" i="1" s="1"/>
  <c r="C87" i="1" s="1" a="1"/>
  <c r="C87" i="1" s="1"/>
  <c r="R87" i="1" a="1"/>
  <c r="R87" i="1" s="1"/>
  <c r="G87" i="1" s="1" a="1"/>
  <c r="G87" i="1" s="1"/>
  <c r="Q87" i="1"/>
  <c r="M87" i="1" a="1"/>
  <c r="M87" i="1"/>
  <c r="B87" i="1" s="1" a="1"/>
  <c r="B87" i="1" s="1"/>
  <c r="Y86" i="1" a="1"/>
  <c r="Y86" i="1"/>
  <c r="K86" i="1" s="1" a="1"/>
  <c r="V86" i="1" a="1"/>
  <c r="V86" i="1" s="1"/>
  <c r="U86" i="1" a="1"/>
  <c r="U86" i="1" s="1"/>
  <c r="T86" i="1"/>
  <c r="S86" i="1" a="1"/>
  <c r="S86" i="1" s="1"/>
  <c r="Q86" i="1"/>
  <c r="M86" i="1" a="1"/>
  <c r="M86" i="1"/>
  <c r="B86" i="1" s="1" a="1"/>
  <c r="K86" i="1"/>
  <c r="I86" i="1" a="1"/>
  <c r="I86" i="1" s="1"/>
  <c r="E86" i="1" a="1"/>
  <c r="E86" i="1"/>
  <c r="B86" i="1"/>
  <c r="Y85" i="1" a="1"/>
  <c r="Y85" i="1" s="1"/>
  <c r="V85" i="1" a="1"/>
  <c r="V85" i="1" s="1"/>
  <c r="U85" i="1" a="1"/>
  <c r="U85" i="1"/>
  <c r="T85" i="1"/>
  <c r="S85" i="1" a="1"/>
  <c r="S85" i="1" s="1"/>
  <c r="Q85" i="1"/>
  <c r="M85" i="1" a="1"/>
  <c r="M85" i="1"/>
  <c r="B85" i="1" s="1" a="1"/>
  <c r="B85" i="1" s="1"/>
  <c r="Y84" i="1" a="1"/>
  <c r="Y84" i="1"/>
  <c r="K84" i="1" s="1" a="1"/>
  <c r="K84" i="1" s="1"/>
  <c r="V84" i="1" a="1"/>
  <c r="V84" i="1"/>
  <c r="U84" i="1" a="1"/>
  <c r="U84" i="1"/>
  <c r="T84" i="1"/>
  <c r="S84" i="1" a="1"/>
  <c r="S84" i="1" s="1"/>
  <c r="C84" i="1" s="1" a="1"/>
  <c r="R84" i="1" a="1"/>
  <c r="R84" i="1"/>
  <c r="Q84" i="1"/>
  <c r="M84" i="1" a="1"/>
  <c r="M84" i="1" s="1"/>
  <c r="B84" i="1" s="1" a="1"/>
  <c r="B84" i="1" s="1"/>
  <c r="I84" i="1" a="1"/>
  <c r="I84" i="1"/>
  <c r="E84" i="1" a="1"/>
  <c r="E84" i="1"/>
  <c r="C84" i="1"/>
  <c r="Y83" i="1" a="1"/>
  <c r="Y83" i="1"/>
  <c r="K83" i="1" s="1" a="1"/>
  <c r="K83" i="1" s="1"/>
  <c r="V83" i="1" a="1"/>
  <c r="V83" i="1" s="1"/>
  <c r="U83" i="1" a="1"/>
  <c r="U83" i="1"/>
  <c r="T83" i="1"/>
  <c r="S83" i="1" a="1"/>
  <c r="S83" i="1"/>
  <c r="R83" i="1" a="1"/>
  <c r="R83" i="1"/>
  <c r="G83" i="1" s="1" a="1"/>
  <c r="G83" i="1" s="1"/>
  <c r="Q83" i="1"/>
  <c r="M83" i="1" a="1"/>
  <c r="M83" i="1"/>
  <c r="B83" i="1" s="1" a="1"/>
  <c r="B83" i="1" s="1"/>
  <c r="Y82" i="1" a="1"/>
  <c r="Y82" i="1"/>
  <c r="V82" i="1" a="1"/>
  <c r="V82" i="1"/>
  <c r="U82" i="1" a="1"/>
  <c r="U82" i="1" s="1"/>
  <c r="T82" i="1"/>
  <c r="S82" i="1" a="1"/>
  <c r="S82" i="1" s="1"/>
  <c r="R82" i="1" a="1"/>
  <c r="R82" i="1"/>
  <c r="Q82" i="1"/>
  <c r="M82" i="1" a="1"/>
  <c r="M82" i="1" s="1"/>
  <c r="B82" i="1" s="1" a="1"/>
  <c r="B82" i="1" s="1"/>
  <c r="E82" i="1" a="1"/>
  <c r="E82" i="1" s="1"/>
  <c r="Y81" i="1" a="1"/>
  <c r="Y81" i="1"/>
  <c r="E81" i="1" s="1" a="1"/>
  <c r="E81" i="1" s="1"/>
  <c r="V81" i="1" a="1"/>
  <c r="V81" i="1"/>
  <c r="U81" i="1" a="1"/>
  <c r="U81" i="1"/>
  <c r="T81" i="1"/>
  <c r="S81" i="1" a="1"/>
  <c r="S81" i="1"/>
  <c r="R81" i="1" a="1"/>
  <c r="R81" i="1" s="1"/>
  <c r="G81" i="1" s="1" a="1"/>
  <c r="G81" i="1" s="1"/>
  <c r="Q81" i="1"/>
  <c r="M81" i="1" a="1"/>
  <c r="M81" i="1"/>
  <c r="B81" i="1" a="1"/>
  <c r="B81" i="1" s="1"/>
  <c r="Y80" i="1" a="1"/>
  <c r="Y80" i="1"/>
  <c r="K80" i="1" s="1" a="1"/>
  <c r="K80" i="1" s="1"/>
  <c r="V80" i="1" a="1"/>
  <c r="V80" i="1" s="1"/>
  <c r="U80" i="1" a="1"/>
  <c r="U80" i="1" s="1"/>
  <c r="T80" i="1"/>
  <c r="S80" i="1" a="1"/>
  <c r="S80" i="1" s="1"/>
  <c r="Q80" i="1"/>
  <c r="M80" i="1" a="1"/>
  <c r="M80" i="1"/>
  <c r="B80" i="1" a="1"/>
  <c r="B80" i="1" s="1"/>
  <c r="Y79" i="1" a="1"/>
  <c r="Y79" i="1"/>
  <c r="V79" i="1" a="1"/>
  <c r="V79" i="1" s="1"/>
  <c r="U79" i="1" a="1"/>
  <c r="U79" i="1" s="1"/>
  <c r="T79" i="1"/>
  <c r="S79" i="1" a="1"/>
  <c r="S79" i="1" s="1"/>
  <c r="R79" i="1" s="1" a="1"/>
  <c r="R79" i="1" s="1"/>
  <c r="Q79" i="1"/>
  <c r="M79" i="1" a="1"/>
  <c r="M79" i="1"/>
  <c r="B79" i="1" s="1" a="1"/>
  <c r="B79" i="1"/>
  <c r="Y78" i="1" a="1"/>
  <c r="Y78" i="1"/>
  <c r="K78" i="1" s="1" a="1"/>
  <c r="V78" i="1" a="1"/>
  <c r="V78" i="1" s="1"/>
  <c r="U78" i="1" a="1"/>
  <c r="U78" i="1" s="1"/>
  <c r="T78" i="1"/>
  <c r="S78" i="1" a="1"/>
  <c r="S78" i="1" s="1"/>
  <c r="Q78" i="1"/>
  <c r="M78" i="1" a="1"/>
  <c r="M78" i="1" s="1"/>
  <c r="B78" i="1" s="1" a="1"/>
  <c r="B78" i="1" s="1"/>
  <c r="K78" i="1"/>
  <c r="I78" i="1" a="1"/>
  <c r="I78" i="1"/>
  <c r="E78" i="1" a="1"/>
  <c r="E78" i="1"/>
  <c r="Y77" i="1" a="1"/>
  <c r="Y77" i="1" s="1"/>
  <c r="V77" i="1" a="1"/>
  <c r="V77" i="1" s="1"/>
  <c r="U77" i="1" a="1"/>
  <c r="U77" i="1" s="1"/>
  <c r="T77" i="1"/>
  <c r="S77" i="1" a="1"/>
  <c r="S77" i="1" s="1"/>
  <c r="Q77" i="1"/>
  <c r="M77" i="1" a="1"/>
  <c r="M77" i="1"/>
  <c r="B77" i="1" s="1" a="1"/>
  <c r="B77" i="1" s="1"/>
  <c r="Y76" i="1" a="1"/>
  <c r="Y76" i="1"/>
  <c r="V76" i="1" a="1"/>
  <c r="V76" i="1"/>
  <c r="U76" i="1" a="1"/>
  <c r="U76" i="1" s="1"/>
  <c r="T76" i="1"/>
  <c r="S76" i="1" a="1"/>
  <c r="S76" i="1" s="1"/>
  <c r="C76" i="1" s="1" a="1"/>
  <c r="R76" i="1" a="1"/>
  <c r="R76" i="1" s="1"/>
  <c r="Q76" i="1"/>
  <c r="M76" i="1" a="1"/>
  <c r="M76" i="1" s="1"/>
  <c r="B76" i="1" s="1" a="1"/>
  <c r="B76" i="1" s="1"/>
  <c r="I76" i="1" a="1"/>
  <c r="I76" i="1"/>
  <c r="E76" i="1" a="1"/>
  <c r="E76" i="1" s="1"/>
  <c r="C76" i="1"/>
  <c r="Y75" i="1" a="1"/>
  <c r="Y75" i="1"/>
  <c r="V75" i="1" a="1"/>
  <c r="V75" i="1"/>
  <c r="U75" i="1" a="1"/>
  <c r="U75" i="1"/>
  <c r="T75" i="1"/>
  <c r="S75" i="1" a="1"/>
  <c r="S75" i="1"/>
  <c r="R75" i="1" a="1"/>
  <c r="R75" i="1" s="1"/>
  <c r="Q75" i="1"/>
  <c r="M75" i="1" a="1"/>
  <c r="M75" i="1"/>
  <c r="B75" i="1" a="1"/>
  <c r="B75" i="1" s="1"/>
  <c r="Y74" i="1" a="1"/>
  <c r="Y74" i="1"/>
  <c r="E74" i="1" s="1" a="1"/>
  <c r="E74" i="1" s="1"/>
  <c r="V74" i="1" a="1"/>
  <c r="V74" i="1"/>
  <c r="U74" i="1" a="1"/>
  <c r="U74" i="1" s="1"/>
  <c r="T74" i="1"/>
  <c r="S74" i="1" a="1"/>
  <c r="S74" i="1" s="1"/>
  <c r="R74" i="1" a="1"/>
  <c r="R74" i="1" s="1"/>
  <c r="Q74" i="1"/>
  <c r="M74" i="1" a="1"/>
  <c r="M74" i="1" s="1"/>
  <c r="B74" i="1" s="1" a="1"/>
  <c r="B74" i="1" s="1"/>
  <c r="Y73" i="1" a="1"/>
  <c r="Y73" i="1" s="1"/>
  <c r="V73" i="1" a="1"/>
  <c r="V73" i="1"/>
  <c r="U73" i="1" a="1"/>
  <c r="U73" i="1"/>
  <c r="T73" i="1"/>
  <c r="S73" i="1" a="1"/>
  <c r="S73" i="1"/>
  <c r="R73" i="1" s="1" a="1"/>
  <c r="R73" i="1" s="1"/>
  <c r="Q73" i="1"/>
  <c r="M73" i="1" a="1"/>
  <c r="M73" i="1"/>
  <c r="B73" i="1" a="1"/>
  <c r="B73" i="1"/>
  <c r="Y72" i="1" a="1"/>
  <c r="Y72" i="1"/>
  <c r="K72" i="1" s="1" a="1"/>
  <c r="V72" i="1" a="1"/>
  <c r="V72" i="1" s="1"/>
  <c r="U72" i="1" a="1"/>
  <c r="U72" i="1"/>
  <c r="T72" i="1"/>
  <c r="S72" i="1" a="1"/>
  <c r="S72" i="1" s="1"/>
  <c r="Q72" i="1"/>
  <c r="M72" i="1" a="1"/>
  <c r="M72" i="1"/>
  <c r="K72" i="1"/>
  <c r="E72" i="1" a="1"/>
  <c r="E72" i="1" s="1"/>
  <c r="B72" i="1" a="1"/>
  <c r="B72" i="1" s="1"/>
  <c r="Y71" i="1" a="1"/>
  <c r="Y71" i="1"/>
  <c r="V71" i="1" a="1"/>
  <c r="V71" i="1" s="1"/>
  <c r="U71" i="1" a="1"/>
  <c r="U71" i="1" s="1"/>
  <c r="T71" i="1"/>
  <c r="S71" i="1" a="1"/>
  <c r="S71" i="1" s="1"/>
  <c r="R71" i="1" a="1"/>
  <c r="R71" i="1" s="1"/>
  <c r="G71" i="1" s="1" a="1"/>
  <c r="G71" i="1" s="1"/>
  <c r="Q71" i="1"/>
  <c r="M71" i="1" a="1"/>
  <c r="M71" i="1"/>
  <c r="B71" i="1" s="1" a="1"/>
  <c r="B71" i="1" s="1"/>
  <c r="C71" i="1" a="1"/>
  <c r="C71" i="1" s="1"/>
  <c r="Y70" i="1" a="1"/>
  <c r="Y70" i="1"/>
  <c r="K70" i="1" s="1" a="1"/>
  <c r="V70" i="1" a="1"/>
  <c r="V70" i="1"/>
  <c r="U70" i="1" a="1"/>
  <c r="U70" i="1"/>
  <c r="T70" i="1"/>
  <c r="S70" i="1" a="1"/>
  <c r="S70" i="1" s="1"/>
  <c r="Q70" i="1"/>
  <c r="M70" i="1" a="1"/>
  <c r="M70" i="1" s="1"/>
  <c r="B70" i="1" s="1" a="1"/>
  <c r="B70" i="1" s="1"/>
  <c r="K70" i="1"/>
  <c r="I70" i="1" a="1"/>
  <c r="I70" i="1" s="1"/>
  <c r="E70" i="1" a="1"/>
  <c r="E70" i="1"/>
  <c r="Y69" i="1" a="1"/>
  <c r="Y69" i="1" s="1"/>
  <c r="V69" i="1" a="1"/>
  <c r="V69" i="1" s="1"/>
  <c r="U69" i="1" a="1"/>
  <c r="U69" i="1" s="1"/>
  <c r="T69" i="1"/>
  <c r="S69" i="1" a="1"/>
  <c r="S69" i="1" s="1"/>
  <c r="Q69" i="1"/>
  <c r="M69" i="1" a="1"/>
  <c r="M69" i="1"/>
  <c r="B69" i="1" s="1" a="1"/>
  <c r="B69" i="1" s="1"/>
  <c r="Y68" i="1" a="1"/>
  <c r="Y68" i="1"/>
  <c r="E68" i="1" s="1" a="1"/>
  <c r="E68" i="1" s="1"/>
  <c r="V68" i="1" a="1"/>
  <c r="V68" i="1" s="1"/>
  <c r="U68" i="1" a="1"/>
  <c r="U68" i="1" s="1"/>
  <c r="T68" i="1"/>
  <c r="S68" i="1" a="1"/>
  <c r="S68" i="1" s="1"/>
  <c r="C68" i="1" s="1" a="1"/>
  <c r="R68" i="1" a="1"/>
  <c r="R68" i="1"/>
  <c r="Q68" i="1"/>
  <c r="M68" i="1" a="1"/>
  <c r="M68" i="1" s="1"/>
  <c r="B68" i="1" s="1" a="1"/>
  <c r="B68" i="1" s="1"/>
  <c r="I68" i="1" a="1"/>
  <c r="I68" i="1" s="1"/>
  <c r="C68" i="1"/>
  <c r="Y67" i="1" a="1"/>
  <c r="Y67" i="1" s="1"/>
  <c r="V67" i="1" a="1"/>
  <c r="V67" i="1"/>
  <c r="U67" i="1" a="1"/>
  <c r="U67" i="1" s="1"/>
  <c r="T67" i="1"/>
  <c r="S67" i="1" a="1"/>
  <c r="S67" i="1"/>
  <c r="R67" i="1" s="1" a="1"/>
  <c r="R67" i="1" s="1"/>
  <c r="Q67" i="1"/>
  <c r="M67" i="1" a="1"/>
  <c r="M67" i="1"/>
  <c r="B67" i="1" a="1"/>
  <c r="B67" i="1" s="1"/>
  <c r="Y66" i="1" a="1"/>
  <c r="Y66" i="1"/>
  <c r="V66" i="1" a="1"/>
  <c r="V66" i="1"/>
  <c r="U66" i="1" a="1"/>
  <c r="U66" i="1" s="1"/>
  <c r="T66" i="1"/>
  <c r="S66" i="1" a="1"/>
  <c r="S66" i="1" s="1"/>
  <c r="Q66" i="1"/>
  <c r="M66" i="1" a="1"/>
  <c r="M66" i="1" s="1"/>
  <c r="B66" i="1" a="1"/>
  <c r="B66" i="1" s="1"/>
  <c r="Y65" i="1" a="1"/>
  <c r="Y65" i="1"/>
  <c r="E65" i="1" s="1" a="1"/>
  <c r="V65" i="1" a="1"/>
  <c r="V65" i="1"/>
  <c r="U65" i="1" a="1"/>
  <c r="U65" i="1" s="1"/>
  <c r="T65" i="1"/>
  <c r="S65" i="1" a="1"/>
  <c r="S65" i="1" s="1"/>
  <c r="Q65" i="1"/>
  <c r="M65" i="1" a="1"/>
  <c r="M65" i="1"/>
  <c r="K65" i="1" a="1"/>
  <c r="K65" i="1" s="1"/>
  <c r="E65" i="1"/>
  <c r="B65" i="1" a="1"/>
  <c r="B65" i="1"/>
  <c r="Y64" i="1" a="1"/>
  <c r="Y64" i="1"/>
  <c r="K64" i="1" s="1" a="1"/>
  <c r="V64" i="1" a="1"/>
  <c r="V64" i="1" s="1"/>
  <c r="U64" i="1" a="1"/>
  <c r="U64" i="1"/>
  <c r="T64" i="1"/>
  <c r="S64" i="1" a="1"/>
  <c r="S64" i="1" s="1"/>
  <c r="Q64" i="1"/>
  <c r="M64" i="1" a="1"/>
  <c r="M64" i="1"/>
  <c r="K64" i="1"/>
  <c r="E64" i="1" a="1"/>
  <c r="E64" i="1" s="1"/>
  <c r="B64" i="1" a="1"/>
  <c r="B64" i="1" s="1"/>
  <c r="Y63" i="1" a="1"/>
  <c r="Y63" i="1"/>
  <c r="V63" i="1" a="1"/>
  <c r="V63" i="1" s="1"/>
  <c r="U63" i="1" a="1"/>
  <c r="U63" i="1" s="1"/>
  <c r="T63" i="1"/>
  <c r="S63" i="1" a="1"/>
  <c r="S63" i="1" s="1"/>
  <c r="R63" i="1" a="1"/>
  <c r="R63" i="1" s="1"/>
  <c r="G63" i="1" s="1" a="1"/>
  <c r="G63" i="1" s="1"/>
  <c r="Q63" i="1"/>
  <c r="M63" i="1" a="1"/>
  <c r="M63" i="1"/>
  <c r="B63" i="1" s="1" a="1"/>
  <c r="B63" i="1" s="1"/>
  <c r="Y62" i="1" a="1"/>
  <c r="Y62" i="1"/>
  <c r="K62" i="1" s="1" a="1"/>
  <c r="V62" i="1" a="1"/>
  <c r="V62" i="1"/>
  <c r="U62" i="1" a="1"/>
  <c r="U62" i="1" s="1"/>
  <c r="T62" i="1"/>
  <c r="S62" i="1" a="1"/>
  <c r="S62" i="1" s="1"/>
  <c r="Q62" i="1"/>
  <c r="M62" i="1" a="1"/>
  <c r="M62" i="1"/>
  <c r="B62" i="1" s="1" a="1"/>
  <c r="K62" i="1"/>
  <c r="E62" i="1" a="1"/>
  <c r="E62" i="1"/>
  <c r="B62" i="1"/>
  <c r="Y61" i="1" a="1"/>
  <c r="Y61" i="1"/>
  <c r="E61" i="1" s="1" a="1"/>
  <c r="V61" i="1" a="1"/>
  <c r="V61" i="1"/>
  <c r="U61" i="1" a="1"/>
  <c r="U61" i="1" s="1"/>
  <c r="T61" i="1"/>
  <c r="S61" i="1" a="1"/>
  <c r="S61" i="1" s="1"/>
  <c r="Q61" i="1"/>
  <c r="M61" i="1" a="1"/>
  <c r="M61" i="1"/>
  <c r="B61" i="1" s="1" a="1"/>
  <c r="B61" i="1" s="1"/>
  <c r="E61" i="1"/>
  <c r="Y60" i="1" a="1"/>
  <c r="Y60" i="1"/>
  <c r="K60" i="1" s="1" a="1"/>
  <c r="V60" i="1" a="1"/>
  <c r="V60" i="1" s="1"/>
  <c r="U60" i="1" a="1"/>
  <c r="U60" i="1"/>
  <c r="T60" i="1"/>
  <c r="S60" i="1" a="1"/>
  <c r="S60" i="1" s="1"/>
  <c r="C60" i="1" s="1" a="1"/>
  <c r="R60" i="1" a="1"/>
  <c r="R60" i="1"/>
  <c r="Q60" i="1"/>
  <c r="M60" i="1" a="1"/>
  <c r="M60" i="1" s="1"/>
  <c r="B60" i="1" s="1" a="1"/>
  <c r="B60" i="1" s="1"/>
  <c r="K60" i="1"/>
  <c r="I60" i="1" a="1"/>
  <c r="I60" i="1"/>
  <c r="E60" i="1" a="1"/>
  <c r="E60" i="1" s="1"/>
  <c r="C60" i="1"/>
  <c r="Y59" i="1" a="1"/>
  <c r="Y59" i="1" s="1"/>
  <c r="V59" i="1" a="1"/>
  <c r="V59" i="1"/>
  <c r="U59" i="1" a="1"/>
  <c r="U59" i="1" s="1"/>
  <c r="T59" i="1"/>
  <c r="S59" i="1" a="1"/>
  <c r="S59" i="1"/>
  <c r="R59" i="1" s="1" a="1"/>
  <c r="R59" i="1" s="1"/>
  <c r="Q59" i="1"/>
  <c r="M59" i="1" a="1"/>
  <c r="M59" i="1"/>
  <c r="B59" i="1" a="1"/>
  <c r="B59" i="1" s="1"/>
  <c r="Y58" i="1" a="1"/>
  <c r="Y58" i="1"/>
  <c r="K58" i="1" s="1" a="1"/>
  <c r="V58" i="1" a="1"/>
  <c r="V58" i="1"/>
  <c r="U58" i="1" a="1"/>
  <c r="U58" i="1"/>
  <c r="T58" i="1"/>
  <c r="S58" i="1" a="1"/>
  <c r="S58" i="1" s="1"/>
  <c r="Q58" i="1"/>
  <c r="M58" i="1" a="1"/>
  <c r="M58" i="1" s="1"/>
  <c r="B58" i="1" s="1" a="1"/>
  <c r="B58" i="1" s="1"/>
  <c r="K58" i="1"/>
  <c r="E58" i="1" a="1"/>
  <c r="E58" i="1" s="1"/>
  <c r="Y57" i="1" a="1"/>
  <c r="Y57" i="1" s="1"/>
  <c r="V57" i="1" a="1"/>
  <c r="V57" i="1"/>
  <c r="U57" i="1" a="1"/>
  <c r="U57" i="1" s="1"/>
  <c r="T57" i="1"/>
  <c r="S57" i="1" a="1"/>
  <c r="S57" i="1"/>
  <c r="R57" i="1" s="1" a="1"/>
  <c r="R57" i="1" s="1"/>
  <c r="Q57" i="1"/>
  <c r="M57" i="1" a="1"/>
  <c r="M57" i="1"/>
  <c r="B57" i="1" a="1"/>
  <c r="B57" i="1" s="1"/>
  <c r="Y56" i="1" a="1"/>
  <c r="Y56" i="1"/>
  <c r="K56" i="1" s="1" a="1"/>
  <c r="V56" i="1" a="1"/>
  <c r="V56" i="1"/>
  <c r="U56" i="1" a="1"/>
  <c r="U56" i="1" s="1"/>
  <c r="T56" i="1"/>
  <c r="S56" i="1" a="1"/>
  <c r="S56" i="1" s="1"/>
  <c r="Q56" i="1"/>
  <c r="M56" i="1" a="1"/>
  <c r="M56" i="1"/>
  <c r="B56" i="1" s="1" a="1"/>
  <c r="B56" i="1" s="1"/>
  <c r="K56" i="1"/>
  <c r="E56" i="1" a="1"/>
  <c r="E56" i="1" s="1"/>
  <c r="Y55" i="1" a="1"/>
  <c r="Y55" i="1"/>
  <c r="V55" i="1" a="1"/>
  <c r="V55" i="1"/>
  <c r="U55" i="1" a="1"/>
  <c r="U55" i="1" s="1"/>
  <c r="T55" i="1"/>
  <c r="S55" i="1" a="1"/>
  <c r="S55" i="1" s="1"/>
  <c r="R55" i="1" a="1"/>
  <c r="R55" i="1" s="1"/>
  <c r="Q55" i="1"/>
  <c r="M55" i="1" a="1"/>
  <c r="M55" i="1"/>
  <c r="B55" i="1" s="1" a="1"/>
  <c r="B55" i="1" s="1"/>
  <c r="G55" i="1" a="1"/>
  <c r="G55" i="1" s="1"/>
  <c r="C55" i="1" a="1"/>
  <c r="C55" i="1" s="1"/>
  <c r="Y54" i="1" a="1"/>
  <c r="Y54" i="1"/>
  <c r="K54" i="1" s="1" a="1"/>
  <c r="V54" i="1" a="1"/>
  <c r="V54" i="1"/>
  <c r="U54" i="1" a="1"/>
  <c r="U54" i="1" s="1"/>
  <c r="T54" i="1"/>
  <c r="S54" i="1" a="1"/>
  <c r="S54" i="1" s="1"/>
  <c r="Q54" i="1"/>
  <c r="M54" i="1" a="1"/>
  <c r="M54" i="1"/>
  <c r="B54" i="1" s="1" a="1"/>
  <c r="B54" i="1" s="1"/>
  <c r="K54" i="1"/>
  <c r="I54" i="1" a="1"/>
  <c r="I54" i="1"/>
  <c r="E54" i="1" a="1"/>
  <c r="E54" i="1"/>
  <c r="Y53" i="1" a="1"/>
  <c r="Y53" i="1"/>
  <c r="V53" i="1" a="1"/>
  <c r="V53" i="1"/>
  <c r="U53" i="1" a="1"/>
  <c r="U53" i="1" s="1"/>
  <c r="T53" i="1"/>
  <c r="S53" i="1" a="1"/>
  <c r="S53" i="1" s="1"/>
  <c r="Q53" i="1"/>
  <c r="M53" i="1" a="1"/>
  <c r="M53" i="1"/>
  <c r="B53" i="1" s="1" a="1"/>
  <c r="B53" i="1" s="1"/>
  <c r="Y52" i="1" a="1"/>
  <c r="Y52" i="1"/>
  <c r="K52" i="1" s="1" a="1"/>
  <c r="K52" i="1" s="1"/>
  <c r="V52" i="1" a="1"/>
  <c r="V52" i="1"/>
  <c r="U52" i="1" a="1"/>
  <c r="U52" i="1" s="1"/>
  <c r="T52" i="1"/>
  <c r="S52" i="1" a="1"/>
  <c r="S52" i="1" s="1"/>
  <c r="C52" i="1" s="1" a="1"/>
  <c r="R52" i="1" a="1"/>
  <c r="R52" i="1" s="1"/>
  <c r="Q52" i="1"/>
  <c r="M52" i="1" a="1"/>
  <c r="M52" i="1" s="1"/>
  <c r="B52" i="1" s="1" a="1"/>
  <c r="B52" i="1" s="1"/>
  <c r="I52" i="1" a="1"/>
  <c r="I52" i="1" s="1"/>
  <c r="C52" i="1"/>
  <c r="Y51" i="1" a="1"/>
  <c r="Y51" i="1"/>
  <c r="V51" i="1" a="1"/>
  <c r="V51" i="1" s="1"/>
  <c r="U51" i="1" a="1"/>
  <c r="U51" i="1" s="1"/>
  <c r="T51" i="1"/>
  <c r="S51" i="1" a="1"/>
  <c r="S51" i="1"/>
  <c r="R51" i="1" a="1"/>
  <c r="R51" i="1" s="1"/>
  <c r="Q51" i="1"/>
  <c r="M51" i="1" a="1"/>
  <c r="M51" i="1"/>
  <c r="B51" i="1" s="1" a="1"/>
  <c r="B51" i="1" s="1"/>
  <c r="Y50" i="1" a="1"/>
  <c r="Y50" i="1"/>
  <c r="K50" i="1" s="1" a="1"/>
  <c r="K50" i="1" s="1"/>
  <c r="V50" i="1" a="1"/>
  <c r="V50" i="1"/>
  <c r="U50" i="1" a="1"/>
  <c r="U50" i="1"/>
  <c r="T50" i="1"/>
  <c r="S50" i="1" a="1"/>
  <c r="S50" i="1" s="1"/>
  <c r="R50" i="1" a="1"/>
  <c r="R50" i="1"/>
  <c r="Q50" i="1"/>
  <c r="M50" i="1" a="1"/>
  <c r="M50" i="1" s="1"/>
  <c r="B50" i="1" a="1"/>
  <c r="B50" i="1" s="1"/>
  <c r="Y49" i="1" a="1"/>
  <c r="Y49" i="1"/>
  <c r="E49" i="1" s="1" a="1"/>
  <c r="E49" i="1" s="1"/>
  <c r="V49" i="1" a="1"/>
  <c r="V49" i="1"/>
  <c r="U49" i="1" a="1"/>
  <c r="U49" i="1"/>
  <c r="T49" i="1"/>
  <c r="S49" i="1" a="1"/>
  <c r="S49" i="1"/>
  <c r="R49" i="1" a="1"/>
  <c r="R49" i="1" s="1"/>
  <c r="G49" i="1" s="1" a="1"/>
  <c r="G49" i="1" s="1"/>
  <c r="Q49" i="1"/>
  <c r="M49" i="1" a="1"/>
  <c r="M49" i="1"/>
  <c r="B49" i="1" s="1" a="1"/>
  <c r="B49" i="1" s="1"/>
  <c r="C49" i="1" a="1"/>
  <c r="C49" i="1" s="1"/>
  <c r="Y48" i="1" a="1"/>
  <c r="Y48" i="1"/>
  <c r="K48" i="1" s="1" a="1"/>
  <c r="K48" i="1" s="1"/>
  <c r="V48" i="1" a="1"/>
  <c r="V48" i="1"/>
  <c r="U48" i="1" a="1"/>
  <c r="U48" i="1" s="1"/>
  <c r="T48" i="1"/>
  <c r="S48" i="1" a="1"/>
  <c r="S48" i="1" s="1"/>
  <c r="Q48" i="1"/>
  <c r="M48" i="1" a="1"/>
  <c r="M48" i="1"/>
  <c r="B48" i="1" a="1"/>
  <c r="B48" i="1" s="1"/>
  <c r="Y47" i="1" a="1"/>
  <c r="Y47" i="1"/>
  <c r="V47" i="1" a="1"/>
  <c r="V47" i="1"/>
  <c r="U47" i="1" a="1"/>
  <c r="U47" i="1" s="1"/>
  <c r="T47" i="1"/>
  <c r="S47" i="1" a="1"/>
  <c r="S47" i="1" s="1"/>
  <c r="R47" i="1" a="1"/>
  <c r="R47" i="1" s="1"/>
  <c r="G47" i="1" s="1" a="1"/>
  <c r="G47" i="1" s="1"/>
  <c r="Q47" i="1"/>
  <c r="M47" i="1" a="1"/>
  <c r="M47" i="1"/>
  <c r="B47" i="1" s="1" a="1"/>
  <c r="C47" i="1" a="1"/>
  <c r="C47" i="1"/>
  <c r="B47" i="1"/>
  <c r="Y46" i="1" a="1"/>
  <c r="Y46" i="1"/>
  <c r="K46" i="1" s="1" a="1"/>
  <c r="V46" i="1" a="1"/>
  <c r="V46" i="1"/>
  <c r="U46" i="1" a="1"/>
  <c r="U46" i="1"/>
  <c r="T46" i="1"/>
  <c r="S46" i="1" a="1"/>
  <c r="S46" i="1" s="1"/>
  <c r="Q46" i="1"/>
  <c r="M46" i="1" a="1"/>
  <c r="M46" i="1"/>
  <c r="B46" i="1" s="1" a="1"/>
  <c r="B46" i="1" s="1"/>
  <c r="K46" i="1"/>
  <c r="I46" i="1" a="1"/>
  <c r="I46" i="1" s="1"/>
  <c r="Y45" i="1" a="1"/>
  <c r="Y45" i="1"/>
  <c r="V45" i="1" a="1"/>
  <c r="V45" i="1"/>
  <c r="U45" i="1" a="1"/>
  <c r="U45" i="1"/>
  <c r="T45" i="1"/>
  <c r="S45" i="1" a="1"/>
  <c r="S45" i="1" s="1"/>
  <c r="R45" i="1" a="1"/>
  <c r="R45" i="1"/>
  <c r="Q45" i="1"/>
  <c r="M45" i="1" a="1"/>
  <c r="M45" i="1"/>
  <c r="B45" i="1" s="1" a="1"/>
  <c r="B45" i="1" s="1"/>
  <c r="Y44" i="1" a="1"/>
  <c r="Y44" i="1"/>
  <c r="K44" i="1" s="1" a="1"/>
  <c r="K44" i="1" s="1"/>
  <c r="V44" i="1" a="1"/>
  <c r="V44" i="1" s="1"/>
  <c r="U44" i="1" a="1"/>
  <c r="U44" i="1" s="1"/>
  <c r="T44" i="1"/>
  <c r="S44" i="1" a="1"/>
  <c r="S44" i="1" s="1"/>
  <c r="C44" i="1" s="1" a="1"/>
  <c r="R44" i="1" a="1"/>
  <c r="R44" i="1"/>
  <c r="Q44" i="1"/>
  <c r="M44" i="1" a="1"/>
  <c r="M44" i="1" s="1"/>
  <c r="B44" i="1" s="1" a="1"/>
  <c r="I44" i="1" a="1"/>
  <c r="I44" i="1"/>
  <c r="C44" i="1"/>
  <c r="B44" i="1"/>
  <c r="Y43" i="1" a="1"/>
  <c r="Y43" i="1" s="1"/>
  <c r="V43" i="1" a="1"/>
  <c r="V43" i="1"/>
  <c r="U43" i="1" a="1"/>
  <c r="U43" i="1"/>
  <c r="T43" i="1"/>
  <c r="S43" i="1" a="1"/>
  <c r="S43" i="1" s="1"/>
  <c r="Q43" i="1"/>
  <c r="M43" i="1" a="1"/>
  <c r="M43" i="1"/>
  <c r="B43" i="1" a="1"/>
  <c r="B43" i="1"/>
  <c r="Y42" i="1" a="1"/>
  <c r="Y42" i="1"/>
  <c r="K42" i="1" s="1" a="1"/>
  <c r="V42" i="1" a="1"/>
  <c r="V42" i="1"/>
  <c r="U42" i="1" a="1"/>
  <c r="U42" i="1"/>
  <c r="T42" i="1"/>
  <c r="S42" i="1" a="1"/>
  <c r="S42" i="1" s="1"/>
  <c r="R42" i="1" s="1" a="1"/>
  <c r="R42" i="1" s="1"/>
  <c r="Q42" i="1"/>
  <c r="M42" i="1" a="1"/>
  <c r="M42" i="1" s="1"/>
  <c r="K42" i="1"/>
  <c r="E42" i="1" a="1"/>
  <c r="E42" i="1" s="1"/>
  <c r="B42" i="1" a="1"/>
  <c r="B42" i="1"/>
  <c r="Y41" i="1" a="1"/>
  <c r="Y41" i="1" s="1"/>
  <c r="V41" i="1" a="1"/>
  <c r="V41" i="1"/>
  <c r="U41" i="1" a="1"/>
  <c r="U41" i="1" s="1"/>
  <c r="T41" i="1"/>
  <c r="S41" i="1" a="1"/>
  <c r="S41" i="1" s="1"/>
  <c r="Q41" i="1"/>
  <c r="M41" i="1" a="1"/>
  <c r="M41" i="1"/>
  <c r="B41" i="1" s="1" a="1"/>
  <c r="B41" i="1" s="1"/>
  <c r="Y40" i="1" a="1"/>
  <c r="Y40" i="1"/>
  <c r="K40" i="1" s="1" a="1"/>
  <c r="V40" i="1" a="1"/>
  <c r="V40" i="1"/>
  <c r="U40" i="1" a="1"/>
  <c r="U40" i="1" s="1"/>
  <c r="T40" i="1"/>
  <c r="S40" i="1" a="1"/>
  <c r="S40" i="1" s="1"/>
  <c r="Q40" i="1"/>
  <c r="M40" i="1" a="1"/>
  <c r="M40" i="1" s="1"/>
  <c r="B40" i="1" s="1" a="1"/>
  <c r="B40" i="1" s="1"/>
  <c r="K40" i="1"/>
  <c r="A40" i="1"/>
  <c r="Y39" i="1" a="1"/>
  <c r="Y39" i="1" s="1"/>
  <c r="V39" i="1" a="1"/>
  <c r="V39" i="1" s="1"/>
  <c r="U39" i="1" a="1"/>
  <c r="U39" i="1" s="1"/>
  <c r="T39" i="1"/>
  <c r="S39" i="1" a="1"/>
  <c r="S39" i="1" s="1"/>
  <c r="R39" i="1" a="1"/>
  <c r="R39" i="1" s="1"/>
  <c r="G39" i="1" s="1" a="1"/>
  <c r="G39" i="1" s="1"/>
  <c r="Q39" i="1"/>
  <c r="M39" i="1" a="1"/>
  <c r="M39" i="1"/>
  <c r="B39" i="1" s="1" a="1"/>
  <c r="B39" i="1" s="1"/>
  <c r="I39" i="1" a="1"/>
  <c r="I39" i="1"/>
  <c r="C39" i="1" a="1"/>
  <c r="C39" i="1" s="1"/>
  <c r="A39" i="1"/>
  <c r="Y38" i="1" a="1"/>
  <c r="Y38" i="1"/>
  <c r="V38" i="1" a="1"/>
  <c r="V38" i="1" s="1"/>
  <c r="U38" i="1" a="1"/>
  <c r="U38" i="1" s="1"/>
  <c r="T38" i="1"/>
  <c r="S38" i="1" a="1"/>
  <c r="S38" i="1" s="1"/>
  <c r="R38" i="1" a="1"/>
  <c r="R38" i="1"/>
  <c r="Q38" i="1"/>
  <c r="M38" i="1" a="1"/>
  <c r="M38" i="1"/>
  <c r="K38" i="1" a="1"/>
  <c r="K38" i="1" s="1"/>
  <c r="I38" i="1" a="1"/>
  <c r="I38" i="1"/>
  <c r="E38" i="1" a="1"/>
  <c r="E38" i="1" s="1"/>
  <c r="C38" i="1" a="1"/>
  <c r="C38" i="1" s="1"/>
  <c r="B38" i="1" a="1"/>
  <c r="B38" i="1" s="1"/>
  <c r="A38" i="1"/>
  <c r="Y37" i="1" a="1"/>
  <c r="Y37" i="1" s="1"/>
  <c r="V37" i="1" a="1"/>
  <c r="V37" i="1"/>
  <c r="U37" i="1" a="1"/>
  <c r="U37" i="1" s="1"/>
  <c r="T37" i="1"/>
  <c r="S37" i="1" a="1"/>
  <c r="S37" i="1"/>
  <c r="Q37" i="1"/>
  <c r="M37" i="1" a="1"/>
  <c r="M37" i="1"/>
  <c r="B37" i="1" s="1" a="1"/>
  <c r="B37" i="1" s="1"/>
  <c r="I37" i="1" a="1"/>
  <c r="I37" i="1" s="1"/>
  <c r="E37" i="1" a="1"/>
  <c r="E37" i="1"/>
  <c r="A37" i="1"/>
  <c r="Y36" i="1" a="1"/>
  <c r="Y36" i="1"/>
  <c r="E36" i="1" s="1" a="1"/>
  <c r="V36" i="1" a="1"/>
  <c r="V36" i="1"/>
  <c r="U36" i="1" a="1"/>
  <c r="U36" i="1" s="1"/>
  <c r="T36" i="1"/>
  <c r="S36" i="1" a="1"/>
  <c r="S36" i="1" s="1"/>
  <c r="Q36" i="1"/>
  <c r="M36" i="1" a="1"/>
  <c r="M36" i="1"/>
  <c r="E36" i="1"/>
  <c r="B36" i="1" a="1"/>
  <c r="B36" i="1" s="1"/>
  <c r="A36" i="1"/>
  <c r="Y35" i="1" a="1"/>
  <c r="Y35" i="1" s="1"/>
  <c r="V35" i="1" a="1"/>
  <c r="V35" i="1"/>
  <c r="U35" i="1" a="1"/>
  <c r="U35" i="1"/>
  <c r="T35" i="1"/>
  <c r="S35" i="1" a="1"/>
  <c r="S35" i="1"/>
  <c r="Q35" i="1"/>
  <c r="M35" i="1" a="1"/>
  <c r="M35" i="1" s="1"/>
  <c r="B35" i="1" s="1" a="1"/>
  <c r="B35" i="1" s="1"/>
  <c r="K35" i="1" a="1"/>
  <c r="K35" i="1" s="1"/>
  <c r="I35" i="1" a="1"/>
  <c r="I35" i="1"/>
  <c r="E35" i="1" a="1"/>
  <c r="E35" i="1" s="1"/>
  <c r="C35" i="1" a="1"/>
  <c r="C35" i="1"/>
  <c r="A35" i="1"/>
  <c r="Y34" i="1" a="1"/>
  <c r="Y34" i="1" s="1"/>
  <c r="V34" i="1" a="1"/>
  <c r="V34" i="1"/>
  <c r="U34" i="1" a="1"/>
  <c r="U34" i="1" s="1"/>
  <c r="T34" i="1"/>
  <c r="S34" i="1" a="1"/>
  <c r="S34" i="1"/>
  <c r="Q34" i="1"/>
  <c r="M34" i="1" a="1"/>
  <c r="M34" i="1"/>
  <c r="B34" i="1" s="1" a="1"/>
  <c r="B34" i="1" s="1"/>
  <c r="C34" i="1" a="1"/>
  <c r="C34" i="1"/>
  <c r="A34" i="1"/>
  <c r="Y33" i="1" a="1"/>
  <c r="Y33" i="1"/>
  <c r="K33" i="1" s="1" a="1"/>
  <c r="K33" i="1" s="1"/>
  <c r="V33" i="1" a="1"/>
  <c r="V33" i="1" s="1"/>
  <c r="U33" i="1" a="1"/>
  <c r="U33" i="1" s="1"/>
  <c r="T33" i="1"/>
  <c r="S33" i="1" a="1"/>
  <c r="S33" i="1"/>
  <c r="R33" i="1" a="1"/>
  <c r="R33" i="1"/>
  <c r="G33" i="1" s="1" a="1"/>
  <c r="G33" i="1" s="1"/>
  <c r="Q33" i="1"/>
  <c r="M33" i="1" a="1"/>
  <c r="M33" i="1" s="1"/>
  <c r="B33" i="1" s="1" a="1"/>
  <c r="I33" i="1" a="1"/>
  <c r="I33" i="1" s="1"/>
  <c r="C33" i="1" a="1"/>
  <c r="C33" i="1" s="1"/>
  <c r="B33" i="1"/>
  <c r="A33" i="1"/>
  <c r="Y32" i="1" a="1"/>
  <c r="Y32" i="1"/>
  <c r="V32" i="1" a="1"/>
  <c r="V32" i="1"/>
  <c r="U32" i="1" a="1"/>
  <c r="U32" i="1" s="1"/>
  <c r="T32" i="1"/>
  <c r="S32" i="1" a="1"/>
  <c r="S32" i="1" s="1"/>
  <c r="C32" i="1" s="1" a="1"/>
  <c r="C32" i="1" s="1"/>
  <c r="R32" i="1" a="1"/>
  <c r="R32" i="1"/>
  <c r="G32" i="1" s="1" a="1"/>
  <c r="Q32" i="1"/>
  <c r="M32" i="1" a="1"/>
  <c r="M32" i="1"/>
  <c r="B32" i="1" s="1" a="1"/>
  <c r="B32" i="1" s="1"/>
  <c r="I32" i="1" a="1"/>
  <c r="I32" i="1" s="1"/>
  <c r="G32" i="1"/>
  <c r="E32" i="1" a="1"/>
  <c r="E32" i="1"/>
  <c r="A32" i="1"/>
  <c r="Y31" i="1" a="1"/>
  <c r="Y31" i="1"/>
  <c r="V31" i="1" a="1"/>
  <c r="V31" i="1" s="1"/>
  <c r="U31" i="1" a="1"/>
  <c r="U31" i="1" s="1"/>
  <c r="T31" i="1"/>
  <c r="S31" i="1" a="1"/>
  <c r="S31" i="1"/>
  <c r="I31" i="1" s="1" a="1"/>
  <c r="I31" i="1" s="1"/>
  <c r="Q31" i="1"/>
  <c r="M31" i="1" a="1"/>
  <c r="M31" i="1" s="1"/>
  <c r="K31" i="1" a="1"/>
  <c r="K31" i="1"/>
  <c r="E31" i="1" a="1"/>
  <c r="E31" i="1" s="1"/>
  <c r="B31" i="1" a="1"/>
  <c r="B31" i="1" s="1"/>
  <c r="A31" i="1"/>
  <c r="Y30" i="1" a="1"/>
  <c r="Y30" i="1"/>
  <c r="V30" i="1" a="1"/>
  <c r="V30" i="1" s="1"/>
  <c r="U30" i="1" a="1"/>
  <c r="U30" i="1"/>
  <c r="T30" i="1"/>
  <c r="S30" i="1" a="1"/>
  <c r="S30" i="1" s="1"/>
  <c r="Q30" i="1"/>
  <c r="M30" i="1" a="1"/>
  <c r="M30" i="1"/>
  <c r="B30" i="1" a="1"/>
  <c r="B30" i="1" s="1"/>
  <c r="A30" i="1"/>
  <c r="Y29" i="1" a="1"/>
  <c r="Y29" i="1" s="1"/>
  <c r="V29" i="1" a="1"/>
  <c r="V29" i="1"/>
  <c r="U29" i="1" a="1"/>
  <c r="U29" i="1" s="1"/>
  <c r="T29" i="1"/>
  <c r="S29" i="1" a="1"/>
  <c r="S29" i="1"/>
  <c r="Q29" i="1"/>
  <c r="M29" i="1" a="1"/>
  <c r="M29" i="1" s="1"/>
  <c r="B29" i="1" s="1" a="1"/>
  <c r="B29" i="1" s="1"/>
  <c r="K29" i="1" a="1"/>
  <c r="K29" i="1" s="1"/>
  <c r="E29" i="1" a="1"/>
  <c r="E29" i="1" s="1"/>
  <c r="C29" i="1" a="1"/>
  <c r="C29" i="1" s="1"/>
  <c r="A29" i="1"/>
  <c r="Y28" i="1" a="1"/>
  <c r="Y28" i="1" s="1"/>
  <c r="V28" i="1" a="1"/>
  <c r="V28" i="1" s="1"/>
  <c r="U28" i="1" a="1"/>
  <c r="U28" i="1" s="1"/>
  <c r="T28" i="1"/>
  <c r="S28" i="1" a="1"/>
  <c r="S28" i="1"/>
  <c r="C28" i="1" s="1" a="1"/>
  <c r="C28" i="1" s="1"/>
  <c r="Q28" i="1"/>
  <c r="M28" i="1" a="1"/>
  <c r="M28" i="1"/>
  <c r="B28" i="1" a="1"/>
  <c r="B28" i="1" s="1"/>
  <c r="A28" i="1"/>
  <c r="Y27" i="1" a="1"/>
  <c r="Y27" i="1"/>
  <c r="V27" i="1" a="1"/>
  <c r="V27" i="1"/>
  <c r="U27" i="1" a="1"/>
  <c r="U27" i="1"/>
  <c r="T27" i="1"/>
  <c r="S27" i="1" a="1"/>
  <c r="S27" i="1"/>
  <c r="R27" i="1" a="1"/>
  <c r="R27" i="1"/>
  <c r="G27" i="1" s="1" a="1"/>
  <c r="G27" i="1" s="1"/>
  <c r="Q27" i="1"/>
  <c r="M27" i="1" a="1"/>
  <c r="M27" i="1"/>
  <c r="B27" i="1" s="1" a="1"/>
  <c r="B27" i="1" s="1"/>
  <c r="K27" i="1" a="1"/>
  <c r="K27" i="1" s="1"/>
  <c r="I27" i="1" a="1"/>
  <c r="I27" i="1"/>
  <c r="C27" i="1" a="1"/>
  <c r="C27" i="1" s="1"/>
  <c r="A27" i="1"/>
  <c r="Y26" i="1" a="1"/>
  <c r="Y26" i="1" s="1"/>
  <c r="V26" i="1" a="1"/>
  <c r="V26" i="1"/>
  <c r="U26" i="1" a="1"/>
  <c r="U26" i="1" s="1"/>
  <c r="T26" i="1"/>
  <c r="S26" i="1" a="1"/>
  <c r="S26" i="1" s="1"/>
  <c r="Q26" i="1"/>
  <c r="M26" i="1" a="1"/>
  <c r="M26" i="1" s="1"/>
  <c r="B26" i="1" s="1" a="1"/>
  <c r="B26" i="1"/>
  <c r="A26" i="1"/>
  <c r="Y25" i="1" a="1"/>
  <c r="Y25" i="1"/>
  <c r="V25" i="1" a="1"/>
  <c r="V25" i="1" s="1"/>
  <c r="U25" i="1" a="1"/>
  <c r="U25" i="1" s="1"/>
  <c r="T25" i="1"/>
  <c r="S25" i="1" a="1"/>
  <c r="S25" i="1"/>
  <c r="R25" i="1" s="1" a="1"/>
  <c r="R25" i="1" s="1"/>
  <c r="Q25" i="1"/>
  <c r="M25" i="1" a="1"/>
  <c r="M25" i="1" s="1"/>
  <c r="I25" i="1" a="1"/>
  <c r="I25" i="1" s="1"/>
  <c r="C25" i="1" a="1"/>
  <c r="C25" i="1" s="1"/>
  <c r="B25" i="1" a="1"/>
  <c r="B25" i="1" s="1"/>
  <c r="A25" i="1"/>
  <c r="Y24" i="1" a="1"/>
  <c r="Y24" i="1"/>
  <c r="K24" i="1" s="1" a="1"/>
  <c r="V24" i="1" a="1"/>
  <c r="V24" i="1"/>
  <c r="U24" i="1" a="1"/>
  <c r="U24" i="1" s="1"/>
  <c r="T24" i="1"/>
  <c r="S24" i="1" a="1"/>
  <c r="S24" i="1" s="1"/>
  <c r="D24" i="1" s="1" a="1"/>
  <c r="D24" i="1" s="1"/>
  <c r="R24" i="1" a="1"/>
  <c r="R24" i="1" s="1"/>
  <c r="Q24" i="1"/>
  <c r="M24" i="1" a="1"/>
  <c r="M24" i="1" s="1"/>
  <c r="B24" i="1" s="1" a="1"/>
  <c r="B24" i="1" s="1"/>
  <c r="K24" i="1"/>
  <c r="E24" i="1" a="1"/>
  <c r="E24" i="1" s="1"/>
  <c r="A24" i="1"/>
  <c r="Y23" i="1" a="1"/>
  <c r="Y23" i="1" s="1"/>
  <c r="E23" i="1" s="1" a="1"/>
  <c r="E23" i="1" s="1"/>
  <c r="V23" i="1" a="1"/>
  <c r="V23" i="1" s="1"/>
  <c r="U23" i="1" a="1"/>
  <c r="U23" i="1"/>
  <c r="T23" i="1"/>
  <c r="S23" i="1" a="1"/>
  <c r="S23" i="1" s="1"/>
  <c r="Q23" i="1"/>
  <c r="M23" i="1" a="1"/>
  <c r="M23" i="1" s="1"/>
  <c r="B23" i="1" s="1" a="1"/>
  <c r="B23" i="1" s="1"/>
  <c r="A23" i="1"/>
  <c r="Y22" i="1" a="1"/>
  <c r="Y22" i="1"/>
  <c r="V22" i="1" a="1"/>
  <c r="V22" i="1"/>
  <c r="U22" i="1" a="1"/>
  <c r="U22" i="1" s="1"/>
  <c r="T22" i="1"/>
  <c r="S22" i="1" a="1"/>
  <c r="S22" i="1" s="1"/>
  <c r="D22" i="1" s="1" a="1"/>
  <c r="D22" i="1" s="1"/>
  <c r="Q22" i="1"/>
  <c r="M22" i="1" a="1"/>
  <c r="M22" i="1"/>
  <c r="K22" i="1" a="1"/>
  <c r="K22" i="1" s="1"/>
  <c r="J22" i="1" a="1"/>
  <c r="J22" i="1" s="1"/>
  <c r="E22" i="1" a="1"/>
  <c r="E22" i="1" s="1"/>
  <c r="B22" i="1" a="1"/>
  <c r="B22" i="1" s="1"/>
  <c r="A22" i="1"/>
  <c r="Y21" i="1" a="1"/>
  <c r="Y21" i="1" s="1"/>
  <c r="V21" i="1" a="1"/>
  <c r="V21" i="1" s="1"/>
  <c r="U21" i="1" a="1"/>
  <c r="U21" i="1"/>
  <c r="T21" i="1"/>
  <c r="S21" i="1" a="1"/>
  <c r="S21" i="1"/>
  <c r="R21" i="1" s="1" a="1"/>
  <c r="R21" i="1"/>
  <c r="G21" i="1" s="1" a="1"/>
  <c r="G21" i="1" s="1"/>
  <c r="Q21" i="1"/>
  <c r="M21" i="1" a="1"/>
  <c r="M21" i="1" s="1"/>
  <c r="B21" i="1" s="1" a="1"/>
  <c r="B21" i="1" s="1"/>
  <c r="I21" i="1" a="1"/>
  <c r="I21" i="1"/>
  <c r="E21" i="1" a="1"/>
  <c r="E21" i="1" s="1"/>
  <c r="C21" i="1" a="1"/>
  <c r="C21" i="1" s="1"/>
  <c r="A21" i="1"/>
  <c r="Y20" i="1" a="1"/>
  <c r="Y20" i="1"/>
  <c r="V20" i="1" a="1"/>
  <c r="V20" i="1"/>
  <c r="U20" i="1" a="1"/>
  <c r="U20" i="1" s="1"/>
  <c r="T20" i="1"/>
  <c r="S20" i="1" a="1"/>
  <c r="S20" i="1"/>
  <c r="D20" i="1" s="1" a="1"/>
  <c r="D20" i="1" s="1"/>
  <c r="R20" i="1" a="1"/>
  <c r="R20" i="1" s="1"/>
  <c r="Q20" i="1"/>
  <c r="M20" i="1" a="1"/>
  <c r="M20" i="1"/>
  <c r="B20" i="1" a="1"/>
  <c r="B20" i="1" s="1"/>
  <c r="A20" i="1"/>
  <c r="Y19" i="1" a="1"/>
  <c r="Y19" i="1"/>
  <c r="K19" i="1" s="1" a="1"/>
  <c r="K19" i="1" s="1"/>
  <c r="V19" i="1" a="1"/>
  <c r="V19" i="1" s="1"/>
  <c r="U19" i="1" a="1"/>
  <c r="U19" i="1" s="1"/>
  <c r="T19" i="1"/>
  <c r="S19" i="1" a="1"/>
  <c r="S19" i="1"/>
  <c r="I19" i="1" s="1" a="1"/>
  <c r="I19" i="1" s="1"/>
  <c r="R19" i="1" a="1"/>
  <c r="R19" i="1"/>
  <c r="Q19" i="1"/>
  <c r="M19" i="1" a="1"/>
  <c r="M19" i="1"/>
  <c r="G19" i="1" a="1"/>
  <c r="G19" i="1" s="1"/>
  <c r="B19" i="1" a="1"/>
  <c r="B19" i="1" s="1"/>
  <c r="A19" i="1"/>
  <c r="Y18" i="1" a="1"/>
  <c r="Y18" i="1" s="1"/>
  <c r="V18" i="1" a="1"/>
  <c r="V18" i="1"/>
  <c r="U18" i="1" a="1"/>
  <c r="U18" i="1" s="1"/>
  <c r="T18" i="1"/>
  <c r="S18" i="1" a="1"/>
  <c r="S18" i="1" s="1"/>
  <c r="Q18" i="1"/>
  <c r="M18" i="1" a="1"/>
  <c r="M18" i="1"/>
  <c r="B18" i="1" s="1" a="1"/>
  <c r="B18" i="1" s="1"/>
  <c r="K18" i="1" a="1"/>
  <c r="K18" i="1" s="1"/>
  <c r="A18" i="1"/>
  <c r="Y17" i="1" a="1"/>
  <c r="Y17" i="1"/>
  <c r="E17" i="1" s="1" a="1"/>
  <c r="E17" i="1" s="1"/>
  <c r="V17" i="1" a="1"/>
  <c r="V17" i="1"/>
  <c r="U17" i="1" a="1"/>
  <c r="U17" i="1" s="1"/>
  <c r="T17" i="1"/>
  <c r="S17" i="1" a="1"/>
  <c r="S17" i="1"/>
  <c r="C17" i="1" s="1" a="1"/>
  <c r="C17" i="1" s="1"/>
  <c r="Q17" i="1"/>
  <c r="M17" i="1" a="1"/>
  <c r="M17" i="1" s="1"/>
  <c r="K17" i="1" a="1"/>
  <c r="K17" i="1" s="1"/>
  <c r="I17" i="1" a="1"/>
  <c r="I17" i="1" s="1"/>
  <c r="B17" i="1" a="1"/>
  <c r="B17" i="1"/>
  <c r="A17" i="1"/>
  <c r="Y16" i="1" a="1"/>
  <c r="Y16" i="1"/>
  <c r="V16" i="1" a="1"/>
  <c r="V16" i="1" s="1"/>
  <c r="U16" i="1" a="1"/>
  <c r="U16" i="1"/>
  <c r="T16" i="1"/>
  <c r="S16" i="1" a="1"/>
  <c r="S16" i="1" s="1"/>
  <c r="C16" i="1" s="1" a="1"/>
  <c r="R16" i="1" a="1"/>
  <c r="R16" i="1"/>
  <c r="G16" i="1" s="1" a="1"/>
  <c r="G16" i="1" s="1"/>
  <c r="Q16" i="1"/>
  <c r="M16" i="1" a="1"/>
  <c r="M16" i="1" s="1"/>
  <c r="B16" i="1" s="1" a="1"/>
  <c r="B16" i="1" s="1"/>
  <c r="I16" i="1" a="1"/>
  <c r="I16" i="1"/>
  <c r="E16" i="1" a="1"/>
  <c r="E16" i="1" s="1"/>
  <c r="C16" i="1"/>
  <c r="A16" i="1"/>
  <c r="Y15" i="1" a="1"/>
  <c r="Y15" i="1"/>
  <c r="K15" i="1" s="1" a="1"/>
  <c r="K15" i="1" s="1"/>
  <c r="V15" i="1" a="1"/>
  <c r="V15" i="1" s="1"/>
  <c r="U15" i="1" a="1"/>
  <c r="U15" i="1"/>
  <c r="T15" i="1"/>
  <c r="S15" i="1" a="1"/>
  <c r="S15" i="1"/>
  <c r="R15" i="1" a="1"/>
  <c r="R15" i="1"/>
  <c r="G15" i="1" s="1" a="1"/>
  <c r="G15" i="1" s="1"/>
  <c r="Q15" i="1"/>
  <c r="M15" i="1" a="1"/>
  <c r="M15" i="1"/>
  <c r="I15" i="1" a="1"/>
  <c r="I15" i="1" s="1"/>
  <c r="C15" i="1" a="1"/>
  <c r="C15" i="1" s="1"/>
  <c r="B15" i="1" a="1"/>
  <c r="B15" i="1" s="1"/>
  <c r="A15" i="1"/>
  <c r="Y14" i="1" a="1"/>
  <c r="Y14" i="1"/>
  <c r="V14" i="1" a="1"/>
  <c r="V14" i="1"/>
  <c r="U14" i="1" a="1"/>
  <c r="U14" i="1" s="1"/>
  <c r="T14" i="1"/>
  <c r="S14" i="1" a="1"/>
  <c r="S14" i="1" s="1"/>
  <c r="Q14" i="1"/>
  <c r="M14" i="1" a="1"/>
  <c r="M14" i="1" s="1"/>
  <c r="K14" i="1" a="1"/>
  <c r="K14" i="1"/>
  <c r="B14" i="1" a="1"/>
  <c r="B14" i="1" s="1"/>
  <c r="A14" i="1"/>
  <c r="Y13" i="1" a="1"/>
  <c r="Y13" i="1" s="1"/>
  <c r="L13" i="1" s="1" a="1"/>
  <c r="L13" i="1" s="1"/>
  <c r="V13" i="1" a="1"/>
  <c r="V13" i="1" s="1"/>
  <c r="U13" i="1" a="1"/>
  <c r="U13" i="1" s="1"/>
  <c r="T13" i="1"/>
  <c r="S13" i="1" a="1"/>
  <c r="S13" i="1"/>
  <c r="R13" i="1" s="1" a="1"/>
  <c r="R13" i="1"/>
  <c r="Q13" i="1"/>
  <c r="M13" i="1" a="1"/>
  <c r="M13" i="1" s="1"/>
  <c r="I13" i="1" a="1"/>
  <c r="I13" i="1" s="1"/>
  <c r="B13" i="1" a="1"/>
  <c r="B13" i="1"/>
  <c r="A13" i="1"/>
  <c r="Y12" i="1" a="1"/>
  <c r="Y12" i="1" s="1"/>
  <c r="V12" i="1" a="1"/>
  <c r="V12" i="1" s="1"/>
  <c r="U12" i="1" a="1"/>
  <c r="U12" i="1"/>
  <c r="T12" i="1"/>
  <c r="S12" i="1" a="1"/>
  <c r="S12" i="1"/>
  <c r="I12" i="1" s="1" a="1"/>
  <c r="I12" i="1" s="1"/>
  <c r="R12" i="1" a="1"/>
  <c r="R12" i="1" s="1"/>
  <c r="Q12" i="1"/>
  <c r="M12" i="1" a="1"/>
  <c r="M12" i="1"/>
  <c r="B12" i="1" s="1" a="1"/>
  <c r="B12" i="1" s="1"/>
  <c r="C12" i="1" a="1"/>
  <c r="C12" i="1" s="1"/>
  <c r="A12" i="1"/>
  <c r="Y11" i="1" a="1"/>
  <c r="Y11" i="1"/>
  <c r="V11" i="1" a="1"/>
  <c r="V11" i="1"/>
  <c r="U11" i="1" a="1"/>
  <c r="U11" i="1" s="1"/>
  <c r="T11" i="1"/>
  <c r="S11" i="1" a="1"/>
  <c r="S11" i="1"/>
  <c r="R11" i="1" a="1"/>
  <c r="R11" i="1"/>
  <c r="G11" i="1" s="1" a="1"/>
  <c r="G11" i="1" s="1"/>
  <c r="Q11" i="1"/>
  <c r="M11" i="1" a="1"/>
  <c r="M11" i="1" s="1"/>
  <c r="B11" i="1" s="1" a="1"/>
  <c r="B11" i="1" s="1"/>
  <c r="K11" i="1" a="1"/>
  <c r="K11" i="1" s="1"/>
  <c r="I11" i="1" a="1"/>
  <c r="I11" i="1"/>
  <c r="E11" i="1" a="1"/>
  <c r="E11" i="1" s="1"/>
  <c r="C11" i="1" a="1"/>
  <c r="C11" i="1" s="1"/>
  <c r="A11" i="1"/>
  <c r="Y10" i="1" a="1"/>
  <c r="Y10" i="1"/>
  <c r="V10" i="1" a="1"/>
  <c r="V10" i="1"/>
  <c r="U10" i="1" a="1"/>
  <c r="U10" i="1" s="1"/>
  <c r="T10" i="1"/>
  <c r="S10" i="1" a="1"/>
  <c r="S10" i="1"/>
  <c r="R10" i="1" a="1"/>
  <c r="R10" i="1" s="1"/>
  <c r="G10" i="1" s="1" a="1"/>
  <c r="G10" i="1" s="1"/>
  <c r="Q10" i="1"/>
  <c r="M10" i="1" a="1"/>
  <c r="M10" i="1"/>
  <c r="B10" i="1" s="1" a="1"/>
  <c r="B10" i="1" s="1"/>
  <c r="I10" i="1" a="1"/>
  <c r="I10" i="1" s="1"/>
  <c r="C10" i="1" a="1"/>
  <c r="C10" i="1" s="1"/>
  <c r="A10" i="1"/>
  <c r="Y9" i="1" a="1"/>
  <c r="Y9" i="1"/>
  <c r="V9" i="1" a="1"/>
  <c r="V9" i="1"/>
  <c r="U9" i="1" a="1"/>
  <c r="U9" i="1" s="1"/>
  <c r="T9" i="1"/>
  <c r="S9" i="1" a="1"/>
  <c r="S9" i="1" s="1"/>
  <c r="Q9" i="1"/>
  <c r="M9" i="1" a="1"/>
  <c r="M9" i="1" s="1"/>
  <c r="K9" i="1" a="1"/>
  <c r="K9" i="1"/>
  <c r="B9" i="1" a="1"/>
  <c r="B9" i="1" s="1"/>
  <c r="A9" i="1"/>
  <c r="Y8" i="1" a="1"/>
  <c r="Y8" i="1"/>
  <c r="K8" i="1" s="1" a="1"/>
  <c r="K8" i="1" s="1"/>
  <c r="V8" i="1" a="1"/>
  <c r="V8" i="1"/>
  <c r="U8" i="1" a="1"/>
  <c r="U8" i="1" s="1"/>
  <c r="T8" i="1"/>
  <c r="S8" i="1" a="1"/>
  <c r="S8" i="1" s="1"/>
  <c r="C8" i="1" s="1" a="1"/>
  <c r="C8" i="1" s="1"/>
  <c r="R8" i="1" a="1"/>
  <c r="R8" i="1" s="1"/>
  <c r="Q8" i="1"/>
  <c r="M8" i="1" a="1"/>
  <c r="M8" i="1" s="1"/>
  <c r="E8" i="1" a="1"/>
  <c r="E8" i="1"/>
  <c r="B8" i="1" a="1"/>
  <c r="B8" i="1"/>
  <c r="A8" i="1"/>
  <c r="Y7" i="1" a="1"/>
  <c r="Y7" i="1"/>
  <c r="L7" i="1" s="1" a="1"/>
  <c r="L7" i="1" s="1"/>
  <c r="V7" i="1" a="1"/>
  <c r="V7" i="1" s="1"/>
  <c r="U7" i="1" a="1"/>
  <c r="U7" i="1"/>
  <c r="T7" i="1"/>
  <c r="S7" i="1" a="1"/>
  <c r="S7" i="1"/>
  <c r="R7" i="1" s="1" a="1"/>
  <c r="R7" i="1" s="1"/>
  <c r="Q7" i="1"/>
  <c r="M7" i="1" a="1"/>
  <c r="M7" i="1"/>
  <c r="K7" i="1" a="1"/>
  <c r="K7" i="1" s="1"/>
  <c r="I7" i="1" a="1"/>
  <c r="I7" i="1" s="1"/>
  <c r="B7" i="1" a="1"/>
  <c r="B7" i="1" s="1"/>
  <c r="A7" i="1"/>
  <c r="Y6" i="1" a="1"/>
  <c r="Y6" i="1" s="1"/>
  <c r="V6" i="1" a="1"/>
  <c r="V6" i="1"/>
  <c r="U6" i="1" a="1"/>
  <c r="U6" i="1" s="1"/>
  <c r="T6" i="1"/>
  <c r="S6" i="1" a="1"/>
  <c r="S6" i="1"/>
  <c r="Q6" i="1"/>
  <c r="M6" i="1" a="1"/>
  <c r="M6" i="1" s="1"/>
  <c r="B6" i="1" s="1" a="1"/>
  <c r="B6" i="1" s="1"/>
  <c r="J6" i="1" a="1"/>
  <c r="J6" i="1" s="1"/>
  <c r="A6" i="1"/>
  <c r="P5" i="1"/>
  <c r="O5" i="1"/>
  <c r="N5" i="1"/>
  <c r="M5" i="1"/>
  <c r="K3" i="1"/>
  <c r="H3" i="1"/>
  <c r="E3" i="1"/>
  <c r="L76" i="1" l="1" a="1"/>
  <c r="L76" i="1" s="1"/>
  <c r="L87" i="1" a="1"/>
  <c r="L87" i="1" s="1"/>
  <c r="G90" i="1" a="1"/>
  <c r="G90" i="1" s="1"/>
  <c r="D121" i="1" a="1"/>
  <c r="D121" i="1" s="1"/>
  <c r="D127" i="1" a="1"/>
  <c r="D127" i="1" s="1"/>
  <c r="L130" i="1" a="1"/>
  <c r="L130" i="1" s="1"/>
  <c r="L146" i="1" a="1"/>
  <c r="L146" i="1" s="1"/>
  <c r="D30" i="1" a="1"/>
  <c r="D30" i="1" s="1"/>
  <c r="I30" i="1" a="1"/>
  <c r="I30" i="1" s="1"/>
  <c r="R30" i="1" a="1"/>
  <c r="R30" i="1" s="1"/>
  <c r="J30" i="1" a="1"/>
  <c r="J30" i="1" s="1"/>
  <c r="C30" i="1" a="1"/>
  <c r="C30" i="1" s="1"/>
  <c r="E73" i="1" a="1"/>
  <c r="E73" i="1" s="1"/>
  <c r="L73" i="1" a="1"/>
  <c r="L73" i="1" s="1"/>
  <c r="F73" i="1" a="1"/>
  <c r="F73" i="1" s="1"/>
  <c r="K73" i="1" a="1"/>
  <c r="K73" i="1" s="1"/>
  <c r="G75" i="1" a="1"/>
  <c r="G75" i="1" s="1"/>
  <c r="G76" i="1" a="1"/>
  <c r="G76" i="1" s="1"/>
  <c r="D144" i="1" a="1"/>
  <c r="D144" i="1" s="1"/>
  <c r="L156" i="1" a="1"/>
  <c r="L156" i="1" s="1"/>
  <c r="L25" i="1" a="1"/>
  <c r="L25" i="1" s="1"/>
  <c r="I43" i="1" a="1"/>
  <c r="I43" i="1" s="1"/>
  <c r="D43" i="1" a="1"/>
  <c r="D43" i="1" s="1"/>
  <c r="C43" i="1" a="1"/>
  <c r="C43" i="1" s="1"/>
  <c r="R43" i="1" a="1"/>
  <c r="R43" i="1" s="1"/>
  <c r="J43" i="1" a="1"/>
  <c r="J43" i="1" s="1"/>
  <c r="G51" i="1" a="1"/>
  <c r="G51" i="1" s="1"/>
  <c r="F53" i="1" a="1"/>
  <c r="F53" i="1" s="1"/>
  <c r="E57" i="1" a="1"/>
  <c r="E57" i="1" s="1"/>
  <c r="L57" i="1" a="1"/>
  <c r="L57" i="1" s="1"/>
  <c r="K57" i="1" a="1"/>
  <c r="K57" i="1" s="1"/>
  <c r="F57" i="1" a="1"/>
  <c r="F57" i="1" s="1"/>
  <c r="E59" i="1" a="1"/>
  <c r="E59" i="1" s="1"/>
  <c r="L59" i="1" a="1"/>
  <c r="L59" i="1" s="1"/>
  <c r="F59" i="1" a="1"/>
  <c r="F59" i="1" s="1"/>
  <c r="K59" i="1" a="1"/>
  <c r="K59" i="1" s="1"/>
  <c r="G73" i="1" a="1"/>
  <c r="G73" i="1" s="1"/>
  <c r="F79" i="1" a="1"/>
  <c r="F79" i="1" s="1"/>
  <c r="D82" i="1" a="1"/>
  <c r="D82" i="1" s="1"/>
  <c r="D85" i="1" a="1"/>
  <c r="D85" i="1" s="1"/>
  <c r="D101" i="1" a="1"/>
  <c r="D101" i="1" s="1"/>
  <c r="D151" i="1" a="1"/>
  <c r="D151" i="1" s="1"/>
  <c r="L29" i="1" a="1"/>
  <c r="L29" i="1" s="1"/>
  <c r="F34" i="1" a="1"/>
  <c r="F34" i="1" s="1"/>
  <c r="K34" i="1" a="1"/>
  <c r="K34" i="1" s="1"/>
  <c r="L34" i="1" a="1"/>
  <c r="L34" i="1" s="1"/>
  <c r="E34" i="1" a="1"/>
  <c r="E34" i="1" s="1"/>
  <c r="I36" i="1" a="1"/>
  <c r="I36" i="1" s="1"/>
  <c r="D36" i="1" a="1"/>
  <c r="D36" i="1" s="1"/>
  <c r="R36" i="1" a="1"/>
  <c r="R36" i="1" s="1"/>
  <c r="J36" i="1" a="1"/>
  <c r="J36" i="1" s="1"/>
  <c r="C36" i="1" a="1"/>
  <c r="C36" i="1" s="1"/>
  <c r="G57" i="1" a="1"/>
  <c r="G57" i="1" s="1"/>
  <c r="G59" i="1" a="1"/>
  <c r="G59" i="1" s="1"/>
  <c r="F88" i="1" a="1"/>
  <c r="F88" i="1" s="1"/>
  <c r="G98" i="1" a="1"/>
  <c r="G98" i="1" s="1"/>
  <c r="F108" i="1" a="1"/>
  <c r="F108" i="1" s="1"/>
  <c r="F674" i="1" a="1"/>
  <c r="F674" i="1" s="1"/>
  <c r="F605" i="1" a="1"/>
  <c r="F605" i="1" s="1"/>
  <c r="F593" i="1" a="1"/>
  <c r="F593" i="1" s="1"/>
  <c r="F589" i="1" a="1"/>
  <c r="F589" i="1" s="1"/>
  <c r="F658" i="1" a="1"/>
  <c r="F658" i="1" s="1"/>
  <c r="F607" i="1" a="1"/>
  <c r="F607" i="1" s="1"/>
  <c r="F600" i="1" a="1"/>
  <c r="F600" i="1" s="1"/>
  <c r="F645" i="1" a="1"/>
  <c r="F645" i="1" s="1"/>
  <c r="F599" i="1" a="1"/>
  <c r="F599" i="1" s="1"/>
  <c r="F575" i="1" a="1"/>
  <c r="F575" i="1" s="1"/>
  <c r="F569" i="1" a="1"/>
  <c r="F569" i="1" s="1"/>
  <c r="F591" i="1" a="1"/>
  <c r="F591" i="1" s="1"/>
  <c r="F562" i="1" a="1"/>
  <c r="F562" i="1" s="1"/>
  <c r="F628" i="1" a="1"/>
  <c r="F628" i="1" s="1"/>
  <c r="F578" i="1" a="1"/>
  <c r="F578" i="1" s="1"/>
  <c r="F567" i="1" a="1"/>
  <c r="F567" i="1" s="1"/>
  <c r="F533" i="1" a="1"/>
  <c r="F533" i="1" s="1"/>
  <c r="F580" i="1" a="1"/>
  <c r="F580" i="1" s="1"/>
  <c r="F612" i="1" a="1"/>
  <c r="F612" i="1" s="1"/>
  <c r="F588" i="1" a="1"/>
  <c r="F588" i="1" s="1"/>
  <c r="F558" i="1" a="1"/>
  <c r="F558" i="1" s="1"/>
  <c r="F527" i="1" a="1"/>
  <c r="F527" i="1" s="1"/>
  <c r="F563" i="1" a="1"/>
  <c r="F563" i="1" s="1"/>
  <c r="F523" i="1" a="1"/>
  <c r="F523" i="1" s="1"/>
  <c r="F546" i="1" a="1"/>
  <c r="F546" i="1" s="1"/>
  <c r="F539" i="1" a="1"/>
  <c r="F539" i="1" s="1"/>
  <c r="F519" i="1" a="1"/>
  <c r="F519" i="1" s="1"/>
  <c r="F503" i="1" a="1"/>
  <c r="F503" i="1" s="1"/>
  <c r="F573" i="1" a="1"/>
  <c r="F573" i="1" s="1"/>
  <c r="F537" i="1" a="1"/>
  <c r="F537" i="1" s="1"/>
  <c r="F531" i="1" a="1"/>
  <c r="F531" i="1" s="1"/>
  <c r="F657" i="1" a="1"/>
  <c r="F657" i="1" s="1"/>
  <c r="F604" i="1" a="1"/>
  <c r="F604" i="1" s="1"/>
  <c r="F513" i="1" a="1"/>
  <c r="F513" i="1" s="1"/>
  <c r="F460" i="1" a="1"/>
  <c r="F460" i="1" s="1"/>
  <c r="F456" i="1" a="1"/>
  <c r="F456" i="1" s="1"/>
  <c r="F606" i="1" a="1"/>
  <c r="F606" i="1" s="1"/>
  <c r="F543" i="1" a="1"/>
  <c r="F543" i="1" s="1"/>
  <c r="F521" i="1" a="1"/>
  <c r="F521" i="1" s="1"/>
  <c r="F471" i="1" a="1"/>
  <c r="F471" i="1" s="1"/>
  <c r="F487" i="1" a="1"/>
  <c r="F487" i="1" s="1"/>
  <c r="F636" i="1" a="1"/>
  <c r="F636" i="1" s="1"/>
  <c r="F498" i="1" a="1"/>
  <c r="F498" i="1" s="1"/>
  <c r="F493" i="1" a="1"/>
  <c r="F493" i="1" s="1"/>
  <c r="F481" i="1" a="1"/>
  <c r="F481" i="1" s="1"/>
  <c r="F470" i="1" a="1"/>
  <c r="F470" i="1" s="1"/>
  <c r="F577" i="1" a="1"/>
  <c r="F577" i="1" s="1"/>
  <c r="F495" i="1" a="1"/>
  <c r="F495" i="1" s="1"/>
  <c r="F489" i="1" a="1"/>
  <c r="F489" i="1" s="1"/>
  <c r="F467" i="1" a="1"/>
  <c r="F467" i="1" s="1"/>
  <c r="F458" i="1" a="1"/>
  <c r="F458" i="1" s="1"/>
  <c r="F535" i="1" a="1"/>
  <c r="F535" i="1" s="1"/>
  <c r="F508" i="1" a="1"/>
  <c r="F508" i="1" s="1"/>
  <c r="F555" i="1" a="1"/>
  <c r="F555" i="1" s="1"/>
  <c r="F473" i="1" a="1"/>
  <c r="F473" i="1" s="1"/>
  <c r="F472" i="1" a="1"/>
  <c r="F472" i="1" s="1"/>
  <c r="L443" i="1" a="1"/>
  <c r="L443" i="1" s="1"/>
  <c r="F443" i="1" a="1"/>
  <c r="F443" i="1" s="1"/>
  <c r="F547" i="1" a="1"/>
  <c r="F547" i="1" s="1"/>
  <c r="F518" i="1" a="1"/>
  <c r="F518" i="1" s="1"/>
  <c r="F505" i="1" a="1"/>
  <c r="F505" i="1" s="1"/>
  <c r="F504" i="1" a="1"/>
  <c r="F504" i="1" s="1"/>
  <c r="F483" i="1" a="1"/>
  <c r="F483" i="1" s="1"/>
  <c r="F469" i="1" a="1"/>
  <c r="F469" i="1" s="1"/>
  <c r="F492" i="1" a="1"/>
  <c r="F492" i="1" s="1"/>
  <c r="F453" i="1" a="1"/>
  <c r="F453" i="1" s="1"/>
  <c r="F516" i="1" a="1"/>
  <c r="F516" i="1" s="1"/>
  <c r="F477" i="1" a="1"/>
  <c r="F477" i="1" s="1"/>
  <c r="F441" i="1" a="1"/>
  <c r="F441" i="1" s="1"/>
  <c r="F438" i="1" a="1"/>
  <c r="F438" i="1" s="1"/>
  <c r="L435" i="1" a="1"/>
  <c r="L435" i="1" s="1"/>
  <c r="L431" i="1" a="1"/>
  <c r="L431" i="1" s="1"/>
  <c r="F412" i="1" a="1"/>
  <c r="F412" i="1" s="1"/>
  <c r="F534" i="1" a="1"/>
  <c r="F534" i="1" s="1"/>
  <c r="F429" i="1" a="1"/>
  <c r="F429" i="1" s="1"/>
  <c r="L424" i="1" a="1"/>
  <c r="L424" i="1" s="1"/>
  <c r="L407" i="1" a="1"/>
  <c r="L407" i="1" s="1"/>
  <c r="F553" i="1" a="1"/>
  <c r="F553" i="1" s="1"/>
  <c r="F435" i="1" a="1"/>
  <c r="F435" i="1" s="1"/>
  <c r="F431" i="1" a="1"/>
  <c r="F431" i="1" s="1"/>
  <c r="L429" i="1" a="1"/>
  <c r="L429" i="1" s="1"/>
  <c r="F465" i="1" a="1"/>
  <c r="F465" i="1" s="1"/>
  <c r="L441" i="1" a="1"/>
  <c r="L441" i="1" s="1"/>
  <c r="L438" i="1" a="1"/>
  <c r="L438" i="1" s="1"/>
  <c r="F428" i="1" a="1"/>
  <c r="F428" i="1" s="1"/>
  <c r="F422" i="1" a="1"/>
  <c r="F422" i="1" s="1"/>
  <c r="F411" i="1" a="1"/>
  <c r="F411" i="1" s="1"/>
  <c r="L408" i="1" a="1"/>
  <c r="L408" i="1" s="1"/>
  <c r="L411" i="1" a="1"/>
  <c r="L411" i="1" s="1"/>
  <c r="F403" i="1" a="1"/>
  <c r="F403" i="1" s="1"/>
  <c r="L406" i="1" a="1"/>
  <c r="L406" i="1" s="1"/>
  <c r="F396" i="1" a="1"/>
  <c r="F396" i="1" s="1"/>
  <c r="L412" i="1" a="1"/>
  <c r="L412" i="1" s="1"/>
  <c r="F401" i="1" a="1"/>
  <c r="F401" i="1" s="1"/>
  <c r="L432" i="1" a="1"/>
  <c r="L432" i="1" s="1"/>
  <c r="L422" i="1" a="1"/>
  <c r="L422" i="1" s="1"/>
  <c r="F383" i="1" a="1"/>
  <c r="F383" i="1" s="1"/>
  <c r="F375" i="1" a="1"/>
  <c r="F375" i="1" s="1"/>
  <c r="F353" i="1" a="1"/>
  <c r="F353" i="1" s="1"/>
  <c r="F341" i="1" a="1"/>
  <c r="F341" i="1" s="1"/>
  <c r="L328" i="1" a="1"/>
  <c r="L328" i="1" s="1"/>
  <c r="L315" i="1" a="1"/>
  <c r="L315" i="1" s="1"/>
  <c r="L311" i="1" a="1"/>
  <c r="L311" i="1" s="1"/>
  <c r="F311" i="1" a="1"/>
  <c r="F311" i="1" s="1"/>
  <c r="F415" i="1" a="1"/>
  <c r="F415" i="1" s="1"/>
  <c r="L399" i="1" a="1"/>
  <c r="L399" i="1" s="1"/>
  <c r="F391" i="1" a="1"/>
  <c r="F391" i="1" s="1"/>
  <c r="L383" i="1" a="1"/>
  <c r="L383" i="1" s="1"/>
  <c r="L375" i="1" a="1"/>
  <c r="L375" i="1" s="1"/>
  <c r="L428" i="1" a="1"/>
  <c r="L428" i="1" s="1"/>
  <c r="L423" i="1" a="1"/>
  <c r="L423" i="1" s="1"/>
  <c r="F406" i="1" a="1"/>
  <c r="F406" i="1" s="1"/>
  <c r="F395" i="1" a="1"/>
  <c r="F395" i="1" s="1"/>
  <c r="L363" i="1" a="1"/>
  <c r="L363" i="1" s="1"/>
  <c r="L359" i="1" a="1"/>
  <c r="L359" i="1" s="1"/>
  <c r="F445" i="1" a="1"/>
  <c r="F445" i="1" s="1"/>
  <c r="L400" i="1" a="1"/>
  <c r="L400" i="1" s="1"/>
  <c r="F399" i="1" a="1"/>
  <c r="F399" i="1" s="1"/>
  <c r="L398" i="1" a="1"/>
  <c r="L398" i="1" s="1"/>
  <c r="L395" i="1" a="1"/>
  <c r="L395" i="1" s="1"/>
  <c r="L394" i="1" a="1"/>
  <c r="L394" i="1" s="1"/>
  <c r="L392" i="1" a="1"/>
  <c r="L392" i="1" s="1"/>
  <c r="F390" i="1" a="1"/>
  <c r="F390" i="1" s="1"/>
  <c r="F377" i="1" a="1"/>
  <c r="F377" i="1" s="1"/>
  <c r="F351" i="1" a="1"/>
  <c r="F351" i="1" s="1"/>
  <c r="F416" i="1" a="1"/>
  <c r="F416" i="1" s="1"/>
  <c r="F337" i="1" a="1"/>
  <c r="F337" i="1" s="1"/>
  <c r="F313" i="1" a="1"/>
  <c r="F313" i="1" s="1"/>
  <c r="F303" i="1" a="1"/>
  <c r="F303" i="1" s="1"/>
  <c r="L6" i="1" a="1"/>
  <c r="L6" i="1" s="1"/>
  <c r="L321" i="1" a="1"/>
  <c r="L321" i="1" s="1"/>
  <c r="F347" i="1" a="1"/>
  <c r="F347" i="1" s="1"/>
  <c r="L346" i="1" a="1"/>
  <c r="L346" i="1" s="1"/>
  <c r="F325" i="1" a="1"/>
  <c r="F325" i="1" s="1"/>
  <c r="F418" i="1" a="1"/>
  <c r="F418" i="1" s="1"/>
  <c r="L385" i="1" a="1"/>
  <c r="L385" i="1" s="1"/>
  <c r="F365" i="1" a="1"/>
  <c r="F365" i="1" s="1"/>
  <c r="F360" i="1" a="1"/>
  <c r="F360" i="1" s="1"/>
  <c r="L357" i="1" a="1"/>
  <c r="L357" i="1" s="1"/>
  <c r="L337" i="1" a="1"/>
  <c r="L337" i="1" s="1"/>
  <c r="L336" i="1" a="1"/>
  <c r="L336" i="1" s="1"/>
  <c r="L332" i="1" a="1"/>
  <c r="L332" i="1" s="1"/>
  <c r="F329" i="1" a="1"/>
  <c r="F329" i="1" s="1"/>
  <c r="F326" i="1" a="1"/>
  <c r="F326" i="1" s="1"/>
  <c r="L325" i="1" a="1"/>
  <c r="L325" i="1" s="1"/>
  <c r="L401" i="1" a="1"/>
  <c r="L401" i="1" s="1"/>
  <c r="L352" i="1" a="1"/>
  <c r="L352" i="1" s="1"/>
  <c r="F344" i="1" a="1"/>
  <c r="F344" i="1" s="1"/>
  <c r="F318" i="1" a="1"/>
  <c r="F318" i="1" s="1"/>
  <c r="F310" i="1" a="1"/>
  <c r="F310" i="1" s="1"/>
  <c r="F281" i="1" a="1"/>
  <c r="F281" i="1" s="1"/>
  <c r="F420" i="1" a="1"/>
  <c r="F420" i="1" s="1"/>
  <c r="L377" i="1" a="1"/>
  <c r="L377" i="1" s="1"/>
  <c r="F364" i="1" a="1"/>
  <c r="F364" i="1" s="1"/>
  <c r="F359" i="1" a="1"/>
  <c r="F359" i="1" s="1"/>
  <c r="L353" i="1" a="1"/>
  <c r="L353" i="1" s="1"/>
  <c r="F349" i="1" a="1"/>
  <c r="F349" i="1" s="1"/>
  <c r="L329" i="1" a="1"/>
  <c r="L329" i="1" s="1"/>
  <c r="L393" i="1" a="1"/>
  <c r="L393" i="1" s="1"/>
  <c r="F385" i="1" a="1"/>
  <c r="F385" i="1" s="1"/>
  <c r="F363" i="1" a="1"/>
  <c r="F363" i="1" s="1"/>
  <c r="F345" i="1" a="1"/>
  <c r="F345" i="1" s="1"/>
  <c r="F335" i="1" a="1"/>
  <c r="F335" i="1" s="1"/>
  <c r="F317" i="1" a="1"/>
  <c r="F317" i="1" s="1"/>
  <c r="F298" i="1" a="1"/>
  <c r="F298" i="1" s="1"/>
  <c r="F285" i="1" a="1"/>
  <c r="F285" i="1" s="1"/>
  <c r="L369" i="1" a="1"/>
  <c r="L369" i="1" s="1"/>
  <c r="F331" i="1" a="1"/>
  <c r="F331" i="1" s="1"/>
  <c r="L317" i="1" a="1"/>
  <c r="L317" i="1" s="1"/>
  <c r="F315" i="1" a="1"/>
  <c r="F315" i="1" s="1"/>
  <c r="F320" i="1" a="1"/>
  <c r="F320" i="1" s="1"/>
  <c r="L319" i="1" a="1"/>
  <c r="L319" i="1" s="1"/>
  <c r="L314" i="1" a="1"/>
  <c r="L314" i="1" s="1"/>
  <c r="L271" i="1" a="1"/>
  <c r="L271" i="1" s="1"/>
  <c r="F328" i="1" a="1"/>
  <c r="F328" i="1" s="1"/>
  <c r="L304" i="1" a="1"/>
  <c r="L304" i="1" s="1"/>
  <c r="L299" i="1" a="1"/>
  <c r="L299" i="1" s="1"/>
  <c r="L268" i="1" a="1"/>
  <c r="L268" i="1" s="1"/>
  <c r="L316" i="1" a="1"/>
  <c r="L316" i="1" s="1"/>
  <c r="F312" i="1" a="1"/>
  <c r="F312" i="1" s="1"/>
  <c r="F295" i="1" a="1"/>
  <c r="F295" i="1" s="1"/>
  <c r="L248" i="1" a="1"/>
  <c r="L248" i="1" s="1"/>
  <c r="F319" i="1" a="1"/>
  <c r="F319" i="1" s="1"/>
  <c r="F307" i="1" a="1"/>
  <c r="F307" i="1" s="1"/>
  <c r="F292" i="1" a="1"/>
  <c r="F292" i="1" s="1"/>
  <c r="L285" i="1" a="1"/>
  <c r="L285" i="1" s="1"/>
  <c r="L277" i="1" a="1"/>
  <c r="L277" i="1" s="1"/>
  <c r="F277" i="1" a="1"/>
  <c r="F277" i="1" s="1"/>
  <c r="L245" i="1" a="1"/>
  <c r="L245" i="1" s="1"/>
  <c r="F245" i="1" a="1"/>
  <c r="F245" i="1" s="1"/>
  <c r="L341" i="1" a="1"/>
  <c r="L341" i="1" s="1"/>
  <c r="L323" i="1" a="1"/>
  <c r="L323" i="1" s="1"/>
  <c r="L303" i="1" a="1"/>
  <c r="L303" i="1" s="1"/>
  <c r="L300" i="1" a="1"/>
  <c r="L300" i="1" s="1"/>
  <c r="L291" i="1" a="1"/>
  <c r="L291" i="1" s="1"/>
  <c r="L288" i="1" a="1"/>
  <c r="L288" i="1" s="1"/>
  <c r="L269" i="1" a="1"/>
  <c r="L269" i="1" s="1"/>
  <c r="F269" i="1" a="1"/>
  <c r="F269" i="1" s="1"/>
  <c r="L237" i="1" a="1"/>
  <c r="L237" i="1" s="1"/>
  <c r="F237" i="1" a="1"/>
  <c r="F237" i="1" s="1"/>
  <c r="F324" i="1" a="1"/>
  <c r="F324" i="1" s="1"/>
  <c r="F316" i="1" a="1"/>
  <c r="F316" i="1" s="1"/>
  <c r="L309" i="1" a="1"/>
  <c r="L309" i="1" s="1"/>
  <c r="F287" i="1" a="1"/>
  <c r="F287" i="1" s="1"/>
  <c r="F282" i="1" a="1"/>
  <c r="F282" i="1" s="1"/>
  <c r="F249" i="1" a="1"/>
  <c r="F249" i="1" s="1"/>
  <c r="L247" i="1" a="1"/>
  <c r="L247" i="1" s="1"/>
  <c r="L307" i="1" a="1"/>
  <c r="L307" i="1" s="1"/>
  <c r="F296" i="1" a="1"/>
  <c r="F296" i="1" s="1"/>
  <c r="L282" i="1" a="1"/>
  <c r="L282" i="1" s="1"/>
  <c r="L272" i="1" a="1"/>
  <c r="L272" i="1" s="1"/>
  <c r="L261" i="1" a="1"/>
  <c r="L261" i="1" s="1"/>
  <c r="F248" i="1" a="1"/>
  <c r="F248" i="1" s="1"/>
  <c r="L242" i="1" a="1"/>
  <c r="L242" i="1" s="1"/>
  <c r="F241" i="1" a="1"/>
  <c r="F241" i="1" s="1"/>
  <c r="L234" i="1" a="1"/>
  <c r="L234" i="1" s="1"/>
  <c r="F218" i="1" a="1"/>
  <c r="F218" i="1" s="1"/>
  <c r="L215" i="1" a="1"/>
  <c r="L215" i="1" s="1"/>
  <c r="L212" i="1" a="1"/>
  <c r="L212" i="1" s="1"/>
  <c r="F266" i="1" a="1"/>
  <c r="F266" i="1" s="1"/>
  <c r="F263" i="1" a="1"/>
  <c r="F263" i="1" s="1"/>
  <c r="L253" i="1" a="1"/>
  <c r="L253" i="1" s="1"/>
  <c r="F246" i="1" a="1"/>
  <c r="F246" i="1" s="1"/>
  <c r="L240" i="1" a="1"/>
  <c r="L240" i="1" s="1"/>
  <c r="L239" i="1" a="1"/>
  <c r="L239" i="1" s="1"/>
  <c r="F230" i="1" a="1"/>
  <c r="F230" i="1" s="1"/>
  <c r="L230" i="1" a="1"/>
  <c r="L230" i="1" s="1"/>
  <c r="L216" i="1" a="1"/>
  <c r="L216" i="1" s="1"/>
  <c r="F272" i="1" a="1"/>
  <c r="F272" i="1" s="1"/>
  <c r="L236" i="1" a="1"/>
  <c r="L236" i="1" s="1"/>
  <c r="F216" i="1" a="1"/>
  <c r="F216" i="1" s="1"/>
  <c r="F200" i="1" a="1"/>
  <c r="F200" i="1" s="1"/>
  <c r="L276" i="1" a="1"/>
  <c r="L276" i="1" s="1"/>
  <c r="F261" i="1" a="1"/>
  <c r="F261" i="1" s="1"/>
  <c r="L219" i="1" a="1"/>
  <c r="L219" i="1" s="1"/>
  <c r="F219" i="1" a="1"/>
  <c r="F219" i="1" s="1"/>
  <c r="F210" i="1" a="1"/>
  <c r="F210" i="1" s="1"/>
  <c r="F271" i="1" a="1"/>
  <c r="F271" i="1" s="1"/>
  <c r="F242" i="1" a="1"/>
  <c r="F242" i="1" s="1"/>
  <c r="L266" i="1" a="1"/>
  <c r="L266" i="1" s="1"/>
  <c r="L259" i="1" a="1"/>
  <c r="L259" i="1" s="1"/>
  <c r="F257" i="1" a="1"/>
  <c r="F257" i="1" s="1"/>
  <c r="L251" i="1" a="1"/>
  <c r="L251" i="1" s="1"/>
  <c r="L244" i="1" a="1"/>
  <c r="L244" i="1" s="1"/>
  <c r="F239" i="1" a="1"/>
  <c r="F239" i="1" s="1"/>
  <c r="F234" i="1" a="1"/>
  <c r="F234" i="1" s="1"/>
  <c r="L226" i="1" a="1"/>
  <c r="L226" i="1" s="1"/>
  <c r="L225" i="1" a="1"/>
  <c r="L225" i="1" s="1"/>
  <c r="L255" i="1" a="1"/>
  <c r="L255" i="1" s="1"/>
  <c r="F253" i="1" a="1"/>
  <c r="F253" i="1" s="1"/>
  <c r="F240" i="1" a="1"/>
  <c r="F240" i="1" s="1"/>
  <c r="F232" i="1" a="1"/>
  <c r="F232" i="1" s="1"/>
  <c r="L218" i="1" a="1"/>
  <c r="L218" i="1" s="1"/>
  <c r="F214" i="1" a="1"/>
  <c r="F214" i="1" s="1"/>
  <c r="F212" i="1" a="1"/>
  <c r="F212" i="1" s="1"/>
  <c r="F173" i="1" a="1"/>
  <c r="F173" i="1" s="1"/>
  <c r="F167" i="1" a="1"/>
  <c r="F167" i="1" s="1"/>
  <c r="F160" i="1" a="1"/>
  <c r="F160" i="1" s="1"/>
  <c r="L106" i="1" a="1"/>
  <c r="L106" i="1" s="1"/>
  <c r="E6" i="1" a="1"/>
  <c r="E6" i="1" s="1"/>
  <c r="L224" i="1" a="1"/>
  <c r="L224" i="1" s="1"/>
  <c r="F221" i="1" a="1"/>
  <c r="F221" i="1" s="1"/>
  <c r="L199" i="1" a="1"/>
  <c r="L199" i="1" s="1"/>
  <c r="F189" i="1" a="1"/>
  <c r="F189" i="1" s="1"/>
  <c r="L188" i="1" a="1"/>
  <c r="L188" i="1" s="1"/>
  <c r="F182" i="1" a="1"/>
  <c r="F182" i="1" s="1"/>
  <c r="F178" i="1" a="1"/>
  <c r="F178" i="1" s="1"/>
  <c r="L175" i="1" a="1"/>
  <c r="L175" i="1" s="1"/>
  <c r="L173" i="1" a="1"/>
  <c r="L173" i="1" s="1"/>
  <c r="L170" i="1" a="1"/>
  <c r="L170" i="1" s="1"/>
  <c r="L167" i="1" a="1"/>
  <c r="L167" i="1" s="1"/>
  <c r="L162" i="1" a="1"/>
  <c r="L162" i="1" s="1"/>
  <c r="F217" i="1" a="1"/>
  <c r="F217" i="1" s="1"/>
  <c r="F184" i="1" a="1"/>
  <c r="F184" i="1" s="1"/>
  <c r="F183" i="1" a="1"/>
  <c r="F183" i="1" s="1"/>
  <c r="F181" i="1" a="1"/>
  <c r="F181" i="1" s="1"/>
  <c r="F180" i="1" a="1"/>
  <c r="F180" i="1" s="1"/>
  <c r="F155" i="1" a="1"/>
  <c r="F155" i="1" s="1"/>
  <c r="F224" i="1" a="1"/>
  <c r="F224" i="1" s="1"/>
  <c r="F187" i="1" a="1"/>
  <c r="F187" i="1" s="1"/>
  <c r="L180" i="1" a="1"/>
  <c r="L180" i="1" s="1"/>
  <c r="F201" i="1" a="1"/>
  <c r="F201" i="1" s="1"/>
  <c r="F198" i="1" a="1"/>
  <c r="F198" i="1" s="1"/>
  <c r="F194" i="1" a="1"/>
  <c r="F194" i="1" s="1"/>
  <c r="L183" i="1" a="1"/>
  <c r="L183" i="1" s="1"/>
  <c r="L181" i="1" a="1"/>
  <c r="L181" i="1" s="1"/>
  <c r="L209" i="1" a="1"/>
  <c r="L209" i="1" s="1"/>
  <c r="F197" i="1" a="1"/>
  <c r="F197" i="1" s="1"/>
  <c r="F196" i="1" a="1"/>
  <c r="F196" i="1" s="1"/>
  <c r="L164" i="1" a="1"/>
  <c r="L164" i="1" s="1"/>
  <c r="F164" i="1" a="1"/>
  <c r="F164" i="1" s="1"/>
  <c r="L112" i="1" a="1"/>
  <c r="L112" i="1" s="1"/>
  <c r="L104" i="1" a="1"/>
  <c r="L104" i="1" s="1"/>
  <c r="F215" i="1" a="1"/>
  <c r="F215" i="1" s="1"/>
  <c r="L204" i="1" a="1"/>
  <c r="L204" i="1" s="1"/>
  <c r="F199" i="1" a="1"/>
  <c r="F199" i="1" s="1"/>
  <c r="L196" i="1" a="1"/>
  <c r="L196" i="1" s="1"/>
  <c r="F185" i="1" a="1"/>
  <c r="F185" i="1" s="1"/>
  <c r="F176" i="1" a="1"/>
  <c r="F176" i="1" s="1"/>
  <c r="L208" i="1" a="1"/>
  <c r="L208" i="1" s="1"/>
  <c r="F205" i="1" a="1"/>
  <c r="F205" i="1" s="1"/>
  <c r="F202" i="1" a="1"/>
  <c r="F202" i="1" s="1"/>
  <c r="L197" i="1" a="1"/>
  <c r="L197" i="1" s="1"/>
  <c r="L176" i="1" a="1"/>
  <c r="L176" i="1" s="1"/>
  <c r="F166" i="1" a="1"/>
  <c r="F166" i="1" s="1"/>
  <c r="F142" i="1" a="1"/>
  <c r="F142" i="1" s="1"/>
  <c r="F132" i="1" a="1"/>
  <c r="F132" i="1" s="1"/>
  <c r="F112" i="1" a="1"/>
  <c r="F112" i="1" s="1"/>
  <c r="L78" i="1" a="1"/>
  <c r="L78" i="1" s="1"/>
  <c r="F62" i="1" a="1"/>
  <c r="F62" i="1" s="1"/>
  <c r="L71" i="1" a="1"/>
  <c r="L71" i="1" s="1"/>
  <c r="F54" i="1" a="1"/>
  <c r="F54" i="1" s="1"/>
  <c r="L17" i="1" a="1"/>
  <c r="L17" i="1" s="1"/>
  <c r="K6" i="1" a="1"/>
  <c r="K6" i="1" s="1"/>
  <c r="F6" i="1" a="1"/>
  <c r="F6" i="1" s="1"/>
  <c r="L54" i="1" a="1"/>
  <c r="L54" i="1" s="1"/>
  <c r="F7" i="1" a="1"/>
  <c r="F7" i="1" s="1"/>
  <c r="F150" i="1" a="1"/>
  <c r="F150" i="1" s="1"/>
  <c r="L124" i="1" a="1"/>
  <c r="L124" i="1" s="1"/>
  <c r="F102" i="1" a="1"/>
  <c r="F102" i="1" s="1"/>
  <c r="F94" i="1" a="1"/>
  <c r="F94" i="1" s="1"/>
  <c r="F86" i="1" a="1"/>
  <c r="F86" i="1" s="1"/>
  <c r="L72" i="1" a="1"/>
  <c r="L72" i="1" s="1"/>
  <c r="L70" i="1" a="1"/>
  <c r="L70" i="1" s="1"/>
  <c r="F64" i="1" a="1"/>
  <c r="F64" i="1" s="1"/>
  <c r="F63" i="1" a="1"/>
  <c r="F63" i="1" s="1"/>
  <c r="F29" i="1" a="1"/>
  <c r="F29" i="1" s="1"/>
  <c r="F24" i="1" a="1"/>
  <c r="F24" i="1" s="1"/>
  <c r="L11" i="1" a="1"/>
  <c r="L11" i="1" s="1"/>
  <c r="L39" i="1" a="1"/>
  <c r="L39" i="1" s="1"/>
  <c r="L8" i="1" a="1"/>
  <c r="L8" i="1" s="1"/>
  <c r="F27" i="1" a="1"/>
  <c r="F27" i="1" s="1"/>
  <c r="F148" i="1" a="1"/>
  <c r="F148" i="1" s="1"/>
  <c r="L126" i="1" a="1"/>
  <c r="L126" i="1" s="1"/>
  <c r="L64" i="1" a="1"/>
  <c r="L64" i="1" s="1"/>
  <c r="L63" i="1" a="1"/>
  <c r="L63" i="1" s="1"/>
  <c r="L62" i="1" a="1"/>
  <c r="L62" i="1" s="1"/>
  <c r="F61" i="1" a="1"/>
  <c r="F61" i="1" s="1"/>
  <c r="F17" i="1" a="1"/>
  <c r="F17" i="1" s="1"/>
  <c r="F8" i="1" a="1"/>
  <c r="F8" i="1" s="1"/>
  <c r="L149" i="1" a="1"/>
  <c r="L149" i="1" s="1"/>
  <c r="L140" i="1" a="1"/>
  <c r="L140" i="1" s="1"/>
  <c r="F117" i="1" a="1"/>
  <c r="F117" i="1" s="1"/>
  <c r="L114" i="1" a="1"/>
  <c r="L114" i="1" s="1"/>
  <c r="F107" i="1" a="1"/>
  <c r="F107" i="1" s="1"/>
  <c r="F97" i="1" a="1"/>
  <c r="F97" i="1" s="1"/>
  <c r="F89" i="1" a="1"/>
  <c r="F89" i="1" s="1"/>
  <c r="L142" i="1" a="1"/>
  <c r="L142" i="1" s="1"/>
  <c r="L132" i="1" a="1"/>
  <c r="L132" i="1" s="1"/>
  <c r="F128" i="1" a="1"/>
  <c r="F128" i="1" s="1"/>
  <c r="F103" i="1" a="1"/>
  <c r="F103" i="1" s="1"/>
  <c r="L102" i="1" a="1"/>
  <c r="L102" i="1" s="1"/>
  <c r="L94" i="1" a="1"/>
  <c r="L94" i="1" s="1"/>
  <c r="L86" i="1" a="1"/>
  <c r="L86" i="1" s="1"/>
  <c r="F82" i="1" a="1"/>
  <c r="F82" i="1" s="1"/>
  <c r="L89" i="1" a="1"/>
  <c r="L89" i="1" s="1"/>
  <c r="F74" i="1" a="1"/>
  <c r="F74" i="1" s="1"/>
  <c r="L35" i="1" a="1"/>
  <c r="L35" i="1" s="1"/>
  <c r="F31" i="1" a="1"/>
  <c r="F31" i="1" s="1"/>
  <c r="F52" i="1" a="1"/>
  <c r="F52" i="1" s="1"/>
  <c r="F48" i="1" a="1"/>
  <c r="F48" i="1" s="1"/>
  <c r="L36" i="1" a="1"/>
  <c r="L36" i="1" s="1"/>
  <c r="L28" i="1" a="1"/>
  <c r="L28" i="1" s="1"/>
  <c r="F121" i="1" a="1"/>
  <c r="F121" i="1" s="1"/>
  <c r="L110" i="1" a="1"/>
  <c r="L110" i="1" s="1"/>
  <c r="L100" i="1" a="1"/>
  <c r="L100" i="1" s="1"/>
  <c r="L97" i="1" a="1"/>
  <c r="L97" i="1" s="1"/>
  <c r="F95" i="1" a="1"/>
  <c r="F95" i="1" s="1"/>
  <c r="L92" i="1" a="1"/>
  <c r="L92" i="1" s="1"/>
  <c r="F87" i="1" a="1"/>
  <c r="F87" i="1" s="1"/>
  <c r="F83" i="1" a="1"/>
  <c r="F83" i="1" s="1"/>
  <c r="F14" i="1" a="1"/>
  <c r="F14" i="1" s="1"/>
  <c r="F9" i="1" a="1"/>
  <c r="F9" i="1" s="1"/>
  <c r="F78" i="1" a="1"/>
  <c r="F78" i="1" s="1"/>
  <c r="F66" i="1" a="1"/>
  <c r="F66" i="1" s="1"/>
  <c r="F50" i="1" a="1"/>
  <c r="F50" i="1" s="1"/>
  <c r="L48" i="1" a="1"/>
  <c r="L48" i="1" s="1"/>
  <c r="L160" i="1" a="1"/>
  <c r="L160" i="1" s="1"/>
  <c r="L148" i="1" a="1"/>
  <c r="L148" i="1" s="1"/>
  <c r="F144" i="1" a="1"/>
  <c r="F144" i="1" s="1"/>
  <c r="F133" i="1" a="1"/>
  <c r="F133" i="1" s="1"/>
  <c r="F130" i="1" a="1"/>
  <c r="F130" i="1" s="1"/>
  <c r="L129" i="1" a="1"/>
  <c r="L129" i="1" s="1"/>
  <c r="F126" i="1" a="1"/>
  <c r="F126" i="1" s="1"/>
  <c r="F104" i="1" a="1"/>
  <c r="F104" i="1" s="1"/>
  <c r="L103" i="1" a="1"/>
  <c r="L103" i="1" s="1"/>
  <c r="L84" i="1" a="1"/>
  <c r="L84" i="1" s="1"/>
  <c r="F75" i="1" a="1"/>
  <c r="F75" i="1" s="1"/>
  <c r="L50" i="1" a="1"/>
  <c r="L50" i="1" s="1"/>
  <c r="F45" i="1" a="1"/>
  <c r="F45" i="1" s="1"/>
  <c r="F35" i="1" a="1"/>
  <c r="F35" i="1" s="1"/>
  <c r="F134" i="1" a="1"/>
  <c r="F134" i="1" s="1"/>
  <c r="L119" i="1" a="1"/>
  <c r="L119" i="1" s="1"/>
  <c r="F106" i="1" a="1"/>
  <c r="F106" i="1" s="1"/>
  <c r="F70" i="1" a="1"/>
  <c r="F70" i="1" s="1"/>
  <c r="L55" i="1" a="1"/>
  <c r="L55" i="1" s="1"/>
  <c r="F55" i="1" a="1"/>
  <c r="F55" i="1" s="1"/>
  <c r="L52" i="1" a="1"/>
  <c r="L52" i="1" s="1"/>
  <c r="F37" i="1" a="1"/>
  <c r="F37" i="1" s="1"/>
  <c r="F32" i="1" a="1"/>
  <c r="F32" i="1" s="1"/>
  <c r="F39" i="1" a="1"/>
  <c r="F39" i="1" s="1"/>
  <c r="F46" i="1" a="1"/>
  <c r="F46" i="1" s="1"/>
  <c r="L31" i="1" a="1"/>
  <c r="L31" i="1" s="1"/>
  <c r="G7" i="1" a="1"/>
  <c r="G7" i="1" s="1"/>
  <c r="D14" i="1" a="1"/>
  <c r="D14" i="1" s="1"/>
  <c r="C14" i="1" a="1"/>
  <c r="C14" i="1" s="1"/>
  <c r="R14" i="1" a="1"/>
  <c r="R14" i="1" s="1"/>
  <c r="I14" i="1" a="1"/>
  <c r="I14" i="1" s="1"/>
  <c r="J14" i="1" a="1"/>
  <c r="J14" i="1" s="1"/>
  <c r="G20" i="1" a="1"/>
  <c r="G20" i="1" s="1"/>
  <c r="J26" i="1" a="1"/>
  <c r="J26" i="1" s="1"/>
  <c r="R26" i="1" a="1"/>
  <c r="R26" i="1" s="1"/>
  <c r="I26" i="1" a="1"/>
  <c r="I26" i="1" s="1"/>
  <c r="D26" i="1" a="1"/>
  <c r="D26" i="1" s="1"/>
  <c r="C26" i="1" a="1"/>
  <c r="C26" i="1" s="1"/>
  <c r="I41" i="1" a="1"/>
  <c r="I41" i="1" s="1"/>
  <c r="J41" i="1" a="1"/>
  <c r="J41" i="1" s="1"/>
  <c r="D41" i="1" a="1"/>
  <c r="D41" i="1" s="1"/>
  <c r="R41" i="1" a="1"/>
  <c r="R41" i="1" s="1"/>
  <c r="C41" i="1" a="1"/>
  <c r="C41" i="1" s="1"/>
  <c r="E43" i="1" a="1"/>
  <c r="E43" i="1" s="1"/>
  <c r="L43" i="1" a="1"/>
  <c r="L43" i="1" s="1"/>
  <c r="F43" i="1" a="1"/>
  <c r="F43" i="1" s="1"/>
  <c r="K43" i="1" a="1"/>
  <c r="K43" i="1" s="1"/>
  <c r="L18" i="1" a="1"/>
  <c r="L18" i="1" s="1"/>
  <c r="L9" i="1" a="1"/>
  <c r="L9" i="1" s="1"/>
  <c r="E12" i="1" a="1"/>
  <c r="E12" i="1" s="1"/>
  <c r="L12" i="1" a="1"/>
  <c r="L12" i="1" s="1"/>
  <c r="K12" i="1" a="1"/>
  <c r="K12" i="1" s="1"/>
  <c r="F12" i="1" a="1"/>
  <c r="F12" i="1" s="1"/>
  <c r="J23" i="1" a="1"/>
  <c r="J23" i="1" s="1"/>
  <c r="R23" i="1" a="1"/>
  <c r="R23" i="1" s="1"/>
  <c r="I23" i="1" a="1"/>
  <c r="I23" i="1" s="1"/>
  <c r="D23" i="1" a="1"/>
  <c r="D23" i="1" s="1"/>
  <c r="C23" i="1" a="1"/>
  <c r="C23" i="1" s="1"/>
  <c r="G12" i="1" a="1"/>
  <c r="G12" i="1" s="1"/>
  <c r="J18" i="1" a="1"/>
  <c r="J18" i="1" s="1"/>
  <c r="R18" i="1" a="1"/>
  <c r="R18" i="1" s="1"/>
  <c r="I18" i="1" a="1"/>
  <c r="I18" i="1" s="1"/>
  <c r="D18" i="1" a="1"/>
  <c r="D18" i="1" s="1"/>
  <c r="C18" i="1" a="1"/>
  <c r="C18" i="1" s="1"/>
  <c r="D29" i="1" a="1"/>
  <c r="D29" i="1" s="1"/>
  <c r="G74" i="1" a="1"/>
  <c r="G74" i="1" s="1"/>
  <c r="G115" i="1" a="1"/>
  <c r="G115" i="1" s="1"/>
  <c r="D150" i="1" a="1"/>
  <c r="D150" i="1" s="1"/>
  <c r="G25" i="1" a="1"/>
  <c r="G25" i="1" s="1"/>
  <c r="D40" i="1" a="1"/>
  <c r="D40" i="1" s="1"/>
  <c r="G42" i="1" a="1"/>
  <c r="G42" i="1" s="1"/>
  <c r="E67" i="1" a="1"/>
  <c r="E67" i="1" s="1"/>
  <c r="L67" i="1" a="1"/>
  <c r="L67" i="1" s="1"/>
  <c r="K67" i="1" a="1"/>
  <c r="K67" i="1" s="1"/>
  <c r="F67" i="1" a="1"/>
  <c r="F67" i="1" s="1"/>
  <c r="G79" i="1" a="1"/>
  <c r="G79" i="1" s="1"/>
  <c r="L95" i="1" a="1"/>
  <c r="L95" i="1" s="1"/>
  <c r="G103" i="1" a="1"/>
  <c r="G103" i="1" s="1"/>
  <c r="L105" i="1" a="1"/>
  <c r="L105" i="1" s="1"/>
  <c r="G122" i="1" a="1"/>
  <c r="G122" i="1" s="1"/>
  <c r="L16" i="1" a="1"/>
  <c r="L16" i="1" s="1"/>
  <c r="G24" i="1" a="1"/>
  <c r="G24" i="1" s="1"/>
  <c r="F26" i="1" a="1"/>
  <c r="F26" i="1" s="1"/>
  <c r="L26" i="1" a="1"/>
  <c r="L26" i="1" s="1"/>
  <c r="K26" i="1" a="1"/>
  <c r="K26" i="1" s="1"/>
  <c r="E26" i="1" a="1"/>
  <c r="E26" i="1" s="1"/>
  <c r="E41" i="1" a="1"/>
  <c r="E41" i="1" s="1"/>
  <c r="L41" i="1" a="1"/>
  <c r="L41" i="1" s="1"/>
  <c r="F41" i="1" a="1"/>
  <c r="F41" i="1" s="1"/>
  <c r="K41" i="1" a="1"/>
  <c r="K41" i="1" s="1"/>
  <c r="G67" i="1" a="1"/>
  <c r="G67" i="1" s="1"/>
  <c r="F96" i="1" a="1"/>
  <c r="F96" i="1" s="1"/>
  <c r="L144" i="1" a="1"/>
  <c r="L144" i="1" s="1"/>
  <c r="G151" i="1" a="1"/>
  <c r="G151" i="1" s="1"/>
  <c r="R9" i="1" a="1"/>
  <c r="R9" i="1" s="1"/>
  <c r="D9" i="1" a="1"/>
  <c r="D9" i="1" s="1"/>
  <c r="I9" i="1" a="1"/>
  <c r="I9" i="1" s="1"/>
  <c r="C9" i="1" a="1"/>
  <c r="C9" i="1" s="1"/>
  <c r="D13" i="1" a="1"/>
  <c r="D13" i="1" s="1"/>
  <c r="J9" i="1" a="1"/>
  <c r="J9" i="1" s="1"/>
  <c r="G8" i="1" a="1"/>
  <c r="G8" i="1" s="1"/>
  <c r="G52" i="1" a="1"/>
  <c r="G52" i="1" s="1"/>
  <c r="I65" i="1" a="1"/>
  <c r="I65" i="1" s="1"/>
  <c r="J65" i="1" a="1"/>
  <c r="J65" i="1" s="1"/>
  <c r="D65" i="1" a="1"/>
  <c r="D65" i="1" s="1"/>
  <c r="C65" i="1" a="1"/>
  <c r="C65" i="1" s="1"/>
  <c r="R65" i="1" a="1"/>
  <c r="R65" i="1" s="1"/>
  <c r="D93" i="1" a="1"/>
  <c r="D93" i="1" s="1"/>
  <c r="F10" i="1" a="1"/>
  <c r="F10" i="1" s="1"/>
  <c r="D19" i="1" a="1"/>
  <c r="D19" i="1" s="1"/>
  <c r="D32" i="1" a="1"/>
  <c r="D32" i="1" s="1"/>
  <c r="J44" i="1" a="1"/>
  <c r="J44" i="1" s="1"/>
  <c r="E45" i="1" a="1"/>
  <c r="E45" i="1" s="1"/>
  <c r="L45" i="1" a="1"/>
  <c r="L45" i="1" s="1"/>
  <c r="K45" i="1" a="1"/>
  <c r="K45" i="1" s="1"/>
  <c r="D47" i="1" a="1"/>
  <c r="D47" i="1" s="1"/>
  <c r="C66" i="1" a="1"/>
  <c r="C66" i="1" s="1"/>
  <c r="I66" i="1" a="1"/>
  <c r="I66" i="1" s="1"/>
  <c r="F13" i="1" a="1"/>
  <c r="F13" i="1" s="1"/>
  <c r="D28" i="1" a="1"/>
  <c r="D28" i="1" s="1"/>
  <c r="E28" i="1" a="1"/>
  <c r="E28" i="1" s="1"/>
  <c r="F28" i="1" a="1"/>
  <c r="F28" i="1" s="1"/>
  <c r="E44" i="1" a="1"/>
  <c r="E44" i="1" s="1"/>
  <c r="L49" i="1" a="1"/>
  <c r="L49" i="1" s="1"/>
  <c r="D52" i="1" a="1"/>
  <c r="D52" i="1" s="1"/>
  <c r="L14" i="1" a="1"/>
  <c r="L14" i="1" s="1"/>
  <c r="E15" i="1" a="1"/>
  <c r="E15" i="1" s="1"/>
  <c r="C7" i="1" a="1"/>
  <c r="C7" i="1" s="1"/>
  <c r="D8" i="1" a="1"/>
  <c r="D8" i="1" s="1"/>
  <c r="I8" i="1" a="1"/>
  <c r="I8" i="1" s="1"/>
  <c r="E9" i="1" a="1"/>
  <c r="E9" i="1" s="1"/>
  <c r="L10" i="1" a="1"/>
  <c r="L10" i="1" s="1"/>
  <c r="C13" i="1" a="1"/>
  <c r="C13" i="1" s="1"/>
  <c r="E14" i="1" a="1"/>
  <c r="E14" i="1" s="1"/>
  <c r="L15" i="1" a="1"/>
  <c r="L15" i="1" s="1"/>
  <c r="L19" i="1" a="1"/>
  <c r="L19" i="1" s="1"/>
  <c r="R22" i="1" a="1"/>
  <c r="R22" i="1" s="1"/>
  <c r="F23" i="1" a="1"/>
  <c r="F23" i="1" s="1"/>
  <c r="K23" i="1" a="1"/>
  <c r="K23" i="1" s="1"/>
  <c r="J31" i="1" a="1"/>
  <c r="J31" i="1" s="1"/>
  <c r="R31" i="1" a="1"/>
  <c r="R31" i="1" s="1"/>
  <c r="J34" i="1" a="1"/>
  <c r="J34" i="1" s="1"/>
  <c r="J38" i="1" a="1"/>
  <c r="J38" i="1" s="1"/>
  <c r="C46" i="1" a="1"/>
  <c r="C46" i="1" s="1"/>
  <c r="R46" i="1" a="1"/>
  <c r="R46" i="1" s="1"/>
  <c r="J46" i="1" a="1"/>
  <c r="J46" i="1" s="1"/>
  <c r="E48" i="1" a="1"/>
  <c r="E48" i="1" s="1"/>
  <c r="D53" i="1" a="1"/>
  <c r="D53" i="1" s="1"/>
  <c r="J53" i="1" a="1"/>
  <c r="J53" i="1" s="1"/>
  <c r="I53" i="1" a="1"/>
  <c r="I53" i="1" s="1"/>
  <c r="C53" i="1" a="1"/>
  <c r="C53" i="1" s="1"/>
  <c r="C56" i="1" a="1"/>
  <c r="C56" i="1" s="1"/>
  <c r="R56" i="1" a="1"/>
  <c r="R56" i="1" s="1"/>
  <c r="J56" i="1" a="1"/>
  <c r="J56" i="1" s="1"/>
  <c r="I56" i="1" a="1"/>
  <c r="I56" i="1" s="1"/>
  <c r="D58" i="1" a="1"/>
  <c r="D58" i="1" s="1"/>
  <c r="J58" i="1" a="1"/>
  <c r="J58" i="1" s="1"/>
  <c r="C58" i="1" a="1"/>
  <c r="C58" i="1" s="1"/>
  <c r="I58" i="1" a="1"/>
  <c r="I58" i="1" s="1"/>
  <c r="J60" i="1" a="1"/>
  <c r="J60" i="1" s="1"/>
  <c r="E71" i="1" a="1"/>
  <c r="E71" i="1" s="1"/>
  <c r="K71" i="1" a="1"/>
  <c r="K71" i="1" s="1"/>
  <c r="F80" i="1" a="1"/>
  <c r="F80" i="1" s="1"/>
  <c r="F81" i="1" a="1"/>
  <c r="F81" i="1" s="1"/>
  <c r="L81" i="1" a="1"/>
  <c r="L81" i="1" s="1"/>
  <c r="D84" i="1" a="1"/>
  <c r="D84" i="1" s="1"/>
  <c r="J84" i="1" a="1"/>
  <c r="J84" i="1" s="1"/>
  <c r="E85" i="1" a="1"/>
  <c r="E85" i="1" s="1"/>
  <c r="L85" i="1" a="1"/>
  <c r="L85" i="1" s="1"/>
  <c r="K85" i="1" a="1"/>
  <c r="K85" i="1" s="1"/>
  <c r="F85" i="1" a="1"/>
  <c r="F85" i="1" s="1"/>
  <c r="E91" i="1" a="1"/>
  <c r="E91" i="1" s="1"/>
  <c r="L91" i="1" a="1"/>
  <c r="L91" i="1" s="1"/>
  <c r="F91" i="1" a="1"/>
  <c r="F91" i="1" s="1"/>
  <c r="E93" i="1" a="1"/>
  <c r="E93" i="1" s="1"/>
  <c r="L93" i="1" a="1"/>
  <c r="L93" i="1" s="1"/>
  <c r="K93" i="1" a="1"/>
  <c r="K93" i="1" s="1"/>
  <c r="F93" i="1" a="1"/>
  <c r="F93" i="1" s="1"/>
  <c r="E99" i="1" a="1"/>
  <c r="E99" i="1" s="1"/>
  <c r="L99" i="1" a="1"/>
  <c r="L99" i="1" s="1"/>
  <c r="F99" i="1" a="1"/>
  <c r="F99" i="1" s="1"/>
  <c r="E101" i="1" a="1"/>
  <c r="E101" i="1" s="1"/>
  <c r="L101" i="1" a="1"/>
  <c r="L101" i="1" s="1"/>
  <c r="K101" i="1" a="1"/>
  <c r="K101" i="1" s="1"/>
  <c r="F101" i="1" a="1"/>
  <c r="F101" i="1" s="1"/>
  <c r="C108" i="1" a="1"/>
  <c r="C108" i="1" s="1"/>
  <c r="I108" i="1" a="1"/>
  <c r="I108" i="1" s="1"/>
  <c r="D108" i="1" a="1"/>
  <c r="D108" i="1" s="1"/>
  <c r="L113" i="1" a="1"/>
  <c r="L113" i="1" s="1"/>
  <c r="G118" i="1" a="1"/>
  <c r="G118" i="1" s="1"/>
  <c r="E121" i="1" a="1"/>
  <c r="E121" i="1" s="1"/>
  <c r="L121" i="1" a="1"/>
  <c r="L121" i="1" s="1"/>
  <c r="E127" i="1" a="1"/>
  <c r="E127" i="1" s="1"/>
  <c r="K127" i="1" a="1"/>
  <c r="K127" i="1" s="1"/>
  <c r="F127" i="1" a="1"/>
  <c r="F127" i="1" s="1"/>
  <c r="L127" i="1" a="1"/>
  <c r="L127" i="1" s="1"/>
  <c r="K128" i="1" a="1"/>
  <c r="K128" i="1" s="1"/>
  <c r="E128" i="1" a="1"/>
  <c r="E128" i="1" s="1"/>
  <c r="D130" i="1" a="1"/>
  <c r="D130" i="1" s="1"/>
  <c r="C134" i="1" a="1"/>
  <c r="C134" i="1" s="1"/>
  <c r="R134" i="1" a="1"/>
  <c r="R134" i="1" s="1"/>
  <c r="I134" i="1" a="1"/>
  <c r="I134" i="1" s="1"/>
  <c r="D135" i="1" a="1"/>
  <c r="D135" i="1" s="1"/>
  <c r="F137" i="1" a="1"/>
  <c r="F137" i="1" s="1"/>
  <c r="D138" i="1" a="1"/>
  <c r="D138" i="1" s="1"/>
  <c r="I143" i="1" a="1"/>
  <c r="I143" i="1" s="1"/>
  <c r="R143" i="1" a="1"/>
  <c r="R143" i="1" s="1"/>
  <c r="C143" i="1" a="1"/>
  <c r="C143" i="1" s="1"/>
  <c r="E147" i="1" a="1"/>
  <c r="E147" i="1" s="1"/>
  <c r="L147" i="1" a="1"/>
  <c r="L147" i="1" s="1"/>
  <c r="F147" i="1" a="1"/>
  <c r="F147" i="1" s="1"/>
  <c r="E149" i="1" a="1"/>
  <c r="E149" i="1" s="1"/>
  <c r="K149" i="1" a="1"/>
  <c r="K149" i="1" s="1"/>
  <c r="J150" i="1" a="1"/>
  <c r="J150" i="1" s="1"/>
  <c r="E153" i="1" a="1"/>
  <c r="E153" i="1" s="1"/>
  <c r="L153" i="1" a="1"/>
  <c r="L153" i="1" s="1"/>
  <c r="F153" i="1" a="1"/>
  <c r="F153" i="1" s="1"/>
  <c r="K154" i="1" a="1"/>
  <c r="K154" i="1" s="1"/>
  <c r="F154" i="1" a="1"/>
  <c r="F154" i="1" s="1"/>
  <c r="L154" i="1" a="1"/>
  <c r="L154" i="1" s="1"/>
  <c r="E154" i="1" a="1"/>
  <c r="E154" i="1" s="1"/>
  <c r="J160" i="1" a="1"/>
  <c r="J160" i="1" s="1"/>
  <c r="J161" i="1" a="1"/>
  <c r="J161" i="1" s="1"/>
  <c r="E179" i="1" a="1"/>
  <c r="E179" i="1" s="1"/>
  <c r="K179" i="1" a="1"/>
  <c r="K179" i="1" s="1"/>
  <c r="F179" i="1" a="1"/>
  <c r="F179" i="1" s="1"/>
  <c r="L179" i="1" a="1"/>
  <c r="L179" i="1" s="1"/>
  <c r="G180" i="1" a="1"/>
  <c r="G180" i="1" s="1"/>
  <c r="G185" i="1" a="1"/>
  <c r="G185" i="1" s="1"/>
  <c r="D46" i="1" a="1"/>
  <c r="D46" i="1" s="1"/>
  <c r="D87" i="1" a="1"/>
  <c r="D87" i="1" s="1"/>
  <c r="D90" i="1" a="1"/>
  <c r="D90" i="1" s="1"/>
  <c r="I91" i="1" a="1"/>
  <c r="I91" i="1" s="1"/>
  <c r="D91" i="1" a="1"/>
  <c r="D91" i="1" s="1"/>
  <c r="C91" i="1" a="1"/>
  <c r="C91" i="1" s="1"/>
  <c r="R91" i="1" a="1"/>
  <c r="R91" i="1" s="1"/>
  <c r="J92" i="1" a="1"/>
  <c r="J92" i="1" s="1"/>
  <c r="D95" i="1" a="1"/>
  <c r="D95" i="1" s="1"/>
  <c r="D98" i="1" a="1"/>
  <c r="D98" i="1" s="1"/>
  <c r="I99" i="1" a="1"/>
  <c r="I99" i="1" s="1"/>
  <c r="D99" i="1" a="1"/>
  <c r="D99" i="1" s="1"/>
  <c r="C99" i="1" a="1"/>
  <c r="C99" i="1" s="1"/>
  <c r="R99" i="1" a="1"/>
  <c r="R99" i="1" s="1"/>
  <c r="J100" i="1" a="1"/>
  <c r="J100" i="1" s="1"/>
  <c r="E109" i="1" a="1"/>
  <c r="E109" i="1" s="1"/>
  <c r="K109" i="1" a="1"/>
  <c r="K109" i="1" s="1"/>
  <c r="F109" i="1" a="1"/>
  <c r="F109" i="1" s="1"/>
  <c r="E111" i="1" a="1"/>
  <c r="E111" i="1" s="1"/>
  <c r="F111" i="1" a="1"/>
  <c r="F111" i="1" s="1"/>
  <c r="L111" i="1" a="1"/>
  <c r="L111" i="1" s="1"/>
  <c r="K111" i="1" a="1"/>
  <c r="K111" i="1" s="1"/>
  <c r="I121" i="1" a="1"/>
  <c r="I121" i="1" s="1"/>
  <c r="R121" i="1" a="1"/>
  <c r="R121" i="1" s="1"/>
  <c r="C121" i="1" a="1"/>
  <c r="C121" i="1" s="1"/>
  <c r="G124" i="1" a="1"/>
  <c r="G124" i="1" s="1"/>
  <c r="J132" i="1" a="1"/>
  <c r="J132" i="1" s="1"/>
  <c r="E135" i="1" a="1"/>
  <c r="E135" i="1" s="1"/>
  <c r="L135" i="1" a="1"/>
  <c r="L135" i="1" s="1"/>
  <c r="F135" i="1" a="1"/>
  <c r="F135" i="1" s="1"/>
  <c r="G138" i="1" a="1"/>
  <c r="G138" i="1" s="1"/>
  <c r="D141" i="1" a="1"/>
  <c r="D141" i="1" s="1"/>
  <c r="C144" i="1" a="1"/>
  <c r="C144" i="1" s="1"/>
  <c r="R144" i="1" a="1"/>
  <c r="R144" i="1" s="1"/>
  <c r="I144" i="1" a="1"/>
  <c r="I144" i="1" s="1"/>
  <c r="H153" i="1" a="1"/>
  <c r="H153" i="1" s="1"/>
  <c r="G156" i="1" a="1"/>
  <c r="G156" i="1" s="1"/>
  <c r="G175" i="1" a="1"/>
  <c r="G175" i="1" s="1"/>
  <c r="F186" i="1" a="1"/>
  <c r="F186" i="1" s="1"/>
  <c r="D187" i="1" a="1"/>
  <c r="D187" i="1" s="1"/>
  <c r="L190" i="1" a="1"/>
  <c r="L190" i="1" s="1"/>
  <c r="L192" i="1" a="1"/>
  <c r="L192" i="1" s="1"/>
  <c r="L30" i="1" a="1"/>
  <c r="L30" i="1" s="1"/>
  <c r="G44" i="1" a="1"/>
  <c r="G44" i="1" s="1"/>
  <c r="D56" i="1" a="1"/>
  <c r="D56" i="1" s="1"/>
  <c r="I61" i="1" a="1"/>
  <c r="I61" i="1" s="1"/>
  <c r="C61" i="1" a="1"/>
  <c r="C61" i="1" s="1"/>
  <c r="R61" i="1" a="1"/>
  <c r="R61" i="1" s="1"/>
  <c r="C62" i="1" a="1"/>
  <c r="C62" i="1" s="1"/>
  <c r="R62" i="1" a="1"/>
  <c r="R62" i="1" s="1"/>
  <c r="J62" i="1" a="1"/>
  <c r="J62" i="1" s="1"/>
  <c r="K66" i="1" a="1"/>
  <c r="K66" i="1" s="1"/>
  <c r="L66" i="1" a="1"/>
  <c r="L66" i="1" s="1"/>
  <c r="E69" i="1" a="1"/>
  <c r="E69" i="1" s="1"/>
  <c r="L69" i="1" a="1"/>
  <c r="L69" i="1" s="1"/>
  <c r="K69" i="1" a="1"/>
  <c r="K69" i="1" s="1"/>
  <c r="F69" i="1" a="1"/>
  <c r="F69" i="1" s="1"/>
  <c r="E79" i="1" a="1"/>
  <c r="E79" i="1" s="1"/>
  <c r="K79" i="1" a="1"/>
  <c r="K79" i="1" s="1"/>
  <c r="J8" i="1" a="1"/>
  <c r="J8" i="1" s="1"/>
  <c r="K21" i="1" a="1"/>
  <c r="K21" i="1" s="1"/>
  <c r="F21" i="1" a="1"/>
  <c r="F21" i="1" s="1"/>
  <c r="D33" i="1" a="1"/>
  <c r="D33" i="1" s="1"/>
  <c r="G45" i="1" a="1"/>
  <c r="G45" i="1" s="1"/>
  <c r="I49" i="1" a="1"/>
  <c r="I49" i="1" s="1"/>
  <c r="J49" i="1" a="1"/>
  <c r="J49" i="1" s="1"/>
  <c r="D49" i="1" a="1"/>
  <c r="D49" i="1" s="1"/>
  <c r="I51" i="1" a="1"/>
  <c r="I51" i="1" s="1"/>
  <c r="D51" i="1" a="1"/>
  <c r="D51" i="1" s="1"/>
  <c r="C51" i="1" a="1"/>
  <c r="C51" i="1" s="1"/>
  <c r="E87" i="1" a="1"/>
  <c r="E87" i="1" s="1"/>
  <c r="K87" i="1" a="1"/>
  <c r="K87" i="1" s="1"/>
  <c r="C88" i="1" a="1"/>
  <c r="C88" i="1" s="1"/>
  <c r="R88" i="1" a="1"/>
  <c r="R88" i="1" s="1"/>
  <c r="J88" i="1" a="1"/>
  <c r="J88" i="1" s="1"/>
  <c r="I88" i="1" a="1"/>
  <c r="I88" i="1" s="1"/>
  <c r="D88" i="1" a="1"/>
  <c r="D88" i="1" s="1"/>
  <c r="E95" i="1" a="1"/>
  <c r="E95" i="1" s="1"/>
  <c r="K95" i="1" a="1"/>
  <c r="K95" i="1" s="1"/>
  <c r="C96" i="1" a="1"/>
  <c r="C96" i="1" s="1"/>
  <c r="R96" i="1" a="1"/>
  <c r="R96" i="1" s="1"/>
  <c r="J96" i="1" a="1"/>
  <c r="J96" i="1" s="1"/>
  <c r="I96" i="1" a="1"/>
  <c r="I96" i="1" s="1"/>
  <c r="D96" i="1" a="1"/>
  <c r="D96" i="1" s="1"/>
  <c r="K98" i="1" a="1"/>
  <c r="K98" i="1" s="1"/>
  <c r="L98" i="1" a="1"/>
  <c r="L98" i="1" s="1"/>
  <c r="F98" i="1" a="1"/>
  <c r="F98" i="1" s="1"/>
  <c r="D100" i="1" a="1"/>
  <c r="D100" i="1" s="1"/>
  <c r="D103" i="1" a="1"/>
  <c r="D103" i="1" s="1"/>
  <c r="D107" i="1" a="1"/>
  <c r="D107" i="1" s="1"/>
  <c r="I109" i="1" a="1"/>
  <c r="I109" i="1" s="1"/>
  <c r="R109" i="1" a="1"/>
  <c r="R109" i="1" s="1"/>
  <c r="J109" i="1" a="1"/>
  <c r="J109" i="1" s="1"/>
  <c r="D109" i="1" a="1"/>
  <c r="D109" i="1" s="1"/>
  <c r="C109" i="1" a="1"/>
  <c r="C109" i="1" s="1"/>
  <c r="I111" i="1" a="1"/>
  <c r="I111" i="1" s="1"/>
  <c r="R111" i="1" a="1"/>
  <c r="R111" i="1" s="1"/>
  <c r="C116" i="1" a="1"/>
  <c r="C116" i="1" s="1"/>
  <c r="R116" i="1" a="1"/>
  <c r="R116" i="1" s="1"/>
  <c r="D122" i="1" a="1"/>
  <c r="D122" i="1" s="1"/>
  <c r="I127" i="1" a="1"/>
  <c r="I127" i="1" s="1"/>
  <c r="R127" i="1" a="1"/>
  <c r="R127" i="1" s="1"/>
  <c r="C127" i="1" a="1"/>
  <c r="C127" i="1" s="1"/>
  <c r="D128" i="1" a="1"/>
  <c r="D128" i="1" s="1"/>
  <c r="E131" i="1" a="1"/>
  <c r="E131" i="1" s="1"/>
  <c r="L131" i="1" a="1"/>
  <c r="L131" i="1" s="1"/>
  <c r="F131" i="1" a="1"/>
  <c r="F131" i="1" s="1"/>
  <c r="E133" i="1" a="1"/>
  <c r="E133" i="1" s="1"/>
  <c r="K133" i="1" a="1"/>
  <c r="K133" i="1" s="1"/>
  <c r="J134" i="1" a="1"/>
  <c r="J134" i="1" s="1"/>
  <c r="G135" i="1" a="1"/>
  <c r="G135" i="1" s="1"/>
  <c r="J137" i="1" a="1"/>
  <c r="J137" i="1" s="1"/>
  <c r="E141" i="1" a="1"/>
  <c r="E141" i="1" s="1"/>
  <c r="L141" i="1" a="1"/>
  <c r="L141" i="1" s="1"/>
  <c r="F141" i="1" a="1"/>
  <c r="F141" i="1" s="1"/>
  <c r="J143" i="1" a="1"/>
  <c r="J143" i="1" s="1"/>
  <c r="E145" i="1" a="1"/>
  <c r="E145" i="1" s="1"/>
  <c r="K145" i="1" a="1"/>
  <c r="K145" i="1" s="1"/>
  <c r="J146" i="1" a="1"/>
  <c r="J146" i="1" s="1"/>
  <c r="D148" i="1" a="1"/>
  <c r="D148" i="1" s="1"/>
  <c r="J151" i="1" a="1"/>
  <c r="J151" i="1" s="1"/>
  <c r="D154" i="1" a="1"/>
  <c r="D154" i="1" s="1"/>
  <c r="I155" i="1" a="1"/>
  <c r="I155" i="1" s="1"/>
  <c r="R155" i="1" a="1"/>
  <c r="R155" i="1" s="1"/>
  <c r="J155" i="1" a="1"/>
  <c r="J155" i="1" s="1"/>
  <c r="C155" i="1" a="1"/>
  <c r="C155" i="1" s="1"/>
  <c r="E157" i="1" a="1"/>
  <c r="E157" i="1" s="1"/>
  <c r="F157" i="1" a="1"/>
  <c r="F157" i="1" s="1"/>
  <c r="L157" i="1" a="1"/>
  <c r="L157" i="1" s="1"/>
  <c r="G166" i="1" a="1"/>
  <c r="G166" i="1" s="1"/>
  <c r="L178" i="1" a="1"/>
  <c r="L178" i="1" s="1"/>
  <c r="E47" i="1" a="1"/>
  <c r="E47" i="1" s="1"/>
  <c r="K47" i="1" a="1"/>
  <c r="K47" i="1" s="1"/>
  <c r="J51" i="1" a="1"/>
  <c r="J51" i="1" s="1"/>
  <c r="E51" i="1" a="1"/>
  <c r="E51" i="1" s="1"/>
  <c r="L51" i="1" a="1"/>
  <c r="L51" i="1" s="1"/>
  <c r="C6" i="1" a="1"/>
  <c r="C6" i="1" s="1"/>
  <c r="J7" i="1" a="1"/>
  <c r="J7" i="1" s="1"/>
  <c r="H10" i="1" a="1"/>
  <c r="H10" i="1" s="1"/>
  <c r="D11" i="1" a="1"/>
  <c r="D11" i="1" s="1"/>
  <c r="H15" i="1" a="1"/>
  <c r="H15" i="1" s="1"/>
  <c r="D16" i="1" a="1"/>
  <c r="D16" i="1" s="1"/>
  <c r="K16" i="1" a="1"/>
  <c r="K16" i="1" s="1"/>
  <c r="F16" i="1" a="1"/>
  <c r="F16" i="1" s="1"/>
  <c r="D17" i="1" a="1"/>
  <c r="D17" i="1" s="1"/>
  <c r="R17" i="1" a="1"/>
  <c r="R17" i="1" s="1"/>
  <c r="J17" i="1" a="1"/>
  <c r="J17" i="1" s="1"/>
  <c r="D21" i="1" a="1"/>
  <c r="D21" i="1" s="1"/>
  <c r="L23" i="1" a="1"/>
  <c r="L23" i="1" s="1"/>
  <c r="D25" i="1" a="1"/>
  <c r="D25" i="1" s="1"/>
  <c r="E30" i="1" a="1"/>
  <c r="E30" i="1" s="1"/>
  <c r="J39" i="1" a="1"/>
  <c r="J39" i="1" s="1"/>
  <c r="C54" i="1" a="1"/>
  <c r="C54" i="1" s="1"/>
  <c r="R54" i="1" a="1"/>
  <c r="R54" i="1" s="1"/>
  <c r="J54" i="1" a="1"/>
  <c r="J54" i="1" s="1"/>
  <c r="L60" i="1" a="1"/>
  <c r="L60" i="1" s="1"/>
  <c r="D61" i="1" a="1"/>
  <c r="D61" i="1" s="1"/>
  <c r="J61" i="1" a="1"/>
  <c r="J61" i="1" s="1"/>
  <c r="I63" i="1" a="1"/>
  <c r="I63" i="1" s="1"/>
  <c r="J63" i="1" a="1"/>
  <c r="J63" i="1" s="1"/>
  <c r="C64" i="1" a="1"/>
  <c r="C64" i="1" s="1"/>
  <c r="R64" i="1" a="1"/>
  <c r="R64" i="1" s="1"/>
  <c r="J64" i="1" a="1"/>
  <c r="J64" i="1" s="1"/>
  <c r="I64" i="1" a="1"/>
  <c r="I64" i="1" s="1"/>
  <c r="D64" i="1" a="1"/>
  <c r="D64" i="1" s="1"/>
  <c r="G68" i="1" a="1"/>
  <c r="G68" i="1" s="1"/>
  <c r="K68" i="1" a="1"/>
  <c r="K68" i="1" s="1"/>
  <c r="F68" i="1" a="1"/>
  <c r="F68" i="1" s="1"/>
  <c r="C70" i="1" a="1"/>
  <c r="C70" i="1" s="1"/>
  <c r="R70" i="1" a="1"/>
  <c r="R70" i="1" s="1"/>
  <c r="J70" i="1" a="1"/>
  <c r="J70" i="1" s="1"/>
  <c r="K74" i="1" a="1"/>
  <c r="K74" i="1" s="1"/>
  <c r="L74" i="1" a="1"/>
  <c r="L74" i="1" s="1"/>
  <c r="E77" i="1" a="1"/>
  <c r="E77" i="1" s="1"/>
  <c r="L77" i="1" a="1"/>
  <c r="L77" i="1" s="1"/>
  <c r="K77" i="1" a="1"/>
  <c r="K77" i="1" s="1"/>
  <c r="F77" i="1" a="1"/>
  <c r="F77" i="1" s="1"/>
  <c r="K90" i="1" a="1"/>
  <c r="K90" i="1" s="1"/>
  <c r="L90" i="1" a="1"/>
  <c r="L90" i="1" s="1"/>
  <c r="F90" i="1" a="1"/>
  <c r="F90" i="1" s="1"/>
  <c r="D92" i="1" a="1"/>
  <c r="D92" i="1" s="1"/>
  <c r="I6" i="1" a="1"/>
  <c r="I6" i="1" s="1"/>
  <c r="R6" i="1" a="1"/>
  <c r="R6" i="1" s="1"/>
  <c r="H51" i="1" s="1" a="1"/>
  <c r="H51" i="1" s="1"/>
  <c r="E7" i="1" a="1"/>
  <c r="E7" i="1" s="1"/>
  <c r="F11" i="1" a="1"/>
  <c r="F11" i="1" s="1"/>
  <c r="D12" i="1" a="1"/>
  <c r="D12" i="1" s="1"/>
  <c r="J12" i="1" a="1"/>
  <c r="J12" i="1" s="1"/>
  <c r="E13" i="1" a="1"/>
  <c r="E13" i="1" s="1"/>
  <c r="J13" i="1" a="1"/>
  <c r="J13" i="1" s="1"/>
  <c r="C19" i="1" a="1"/>
  <c r="C19" i="1" s="1"/>
  <c r="E25" i="1" a="1"/>
  <c r="E25" i="1" s="1"/>
  <c r="J25" i="1" a="1"/>
  <c r="J25" i="1" s="1"/>
  <c r="K32" i="1" a="1"/>
  <c r="K32" i="1" s="1"/>
  <c r="L32" i="1" a="1"/>
  <c r="L32" i="1" s="1"/>
  <c r="E33" i="1" a="1"/>
  <c r="E33" i="1" s="1"/>
  <c r="J33" i="1" a="1"/>
  <c r="J33" i="1" s="1"/>
  <c r="L37" i="1" a="1"/>
  <c r="L37" i="1" s="1"/>
  <c r="D39" i="1" a="1"/>
  <c r="D39" i="1" s="1"/>
  <c r="D44" i="1" a="1"/>
  <c r="D44" i="1" s="1"/>
  <c r="E46" i="1" a="1"/>
  <c r="E46" i="1" s="1"/>
  <c r="L46" i="1" a="1"/>
  <c r="L46" i="1" s="1"/>
  <c r="I47" i="1" a="1"/>
  <c r="I47" i="1" s="1"/>
  <c r="J47" i="1" a="1"/>
  <c r="J47" i="1" s="1"/>
  <c r="K49" i="1" a="1"/>
  <c r="K49" i="1" s="1"/>
  <c r="K51" i="1" a="1"/>
  <c r="K51" i="1" s="1"/>
  <c r="D54" i="1" a="1"/>
  <c r="D54" i="1" s="1"/>
  <c r="E55" i="1" a="1"/>
  <c r="E55" i="1" s="1"/>
  <c r="K55" i="1" a="1"/>
  <c r="K55" i="1" s="1"/>
  <c r="F56" i="1" a="1"/>
  <c r="F56" i="1" s="1"/>
  <c r="L56" i="1" a="1"/>
  <c r="L56" i="1" s="1"/>
  <c r="C57" i="1" a="1"/>
  <c r="C57" i="1" s="1"/>
  <c r="F58" i="1" a="1"/>
  <c r="F58" i="1" s="1"/>
  <c r="L58" i="1" a="1"/>
  <c r="L58" i="1" s="1"/>
  <c r="J59" i="1" a="1"/>
  <c r="J59" i="1" s="1"/>
  <c r="F60" i="1" a="1"/>
  <c r="F60" i="1" s="1"/>
  <c r="I62" i="1" a="1"/>
  <c r="I62" i="1" s="1"/>
  <c r="C63" i="1" a="1"/>
  <c r="C63" i="1" s="1"/>
  <c r="R66" i="1" a="1"/>
  <c r="R66" i="1" s="1"/>
  <c r="I69" i="1" a="1"/>
  <c r="I69" i="1" s="1"/>
  <c r="C69" i="1" a="1"/>
  <c r="C69" i="1" s="1"/>
  <c r="R69" i="1" a="1"/>
  <c r="R69" i="1" s="1"/>
  <c r="I71" i="1" a="1"/>
  <c r="I71" i="1" s="1"/>
  <c r="J71" i="1" a="1"/>
  <c r="J71" i="1" s="1"/>
  <c r="C72" i="1" a="1"/>
  <c r="C72" i="1" s="1"/>
  <c r="R72" i="1" a="1"/>
  <c r="R72" i="1" s="1"/>
  <c r="J72" i="1" a="1"/>
  <c r="J72" i="1" s="1"/>
  <c r="I72" i="1" a="1"/>
  <c r="I72" i="1" s="1"/>
  <c r="D72" i="1" a="1"/>
  <c r="D72" i="1" s="1"/>
  <c r="K76" i="1" a="1"/>
  <c r="K76" i="1" s="1"/>
  <c r="F76" i="1" a="1"/>
  <c r="F76" i="1" s="1"/>
  <c r="C78" i="1" a="1"/>
  <c r="C78" i="1" s="1"/>
  <c r="R78" i="1" a="1"/>
  <c r="R78" i="1" s="1"/>
  <c r="J78" i="1" a="1"/>
  <c r="J78" i="1" s="1"/>
  <c r="K82" i="1" a="1"/>
  <c r="K82" i="1" s="1"/>
  <c r="L82" i="1" a="1"/>
  <c r="L82" i="1" s="1"/>
  <c r="I85" i="1" a="1"/>
  <c r="I85" i="1" s="1"/>
  <c r="C85" i="1" a="1"/>
  <c r="C85" i="1" s="1"/>
  <c r="R85" i="1" a="1"/>
  <c r="R85" i="1" s="1"/>
  <c r="J91" i="1" a="1"/>
  <c r="J91" i="1" s="1"/>
  <c r="I93" i="1" a="1"/>
  <c r="I93" i="1" s="1"/>
  <c r="C93" i="1" a="1"/>
  <c r="C93" i="1" s="1"/>
  <c r="R93" i="1" a="1"/>
  <c r="R93" i="1" s="1"/>
  <c r="J99" i="1" a="1"/>
  <c r="J99" i="1" s="1"/>
  <c r="I101" i="1" a="1"/>
  <c r="I101" i="1" s="1"/>
  <c r="C101" i="1" a="1"/>
  <c r="C101" i="1" s="1"/>
  <c r="R101" i="1" a="1"/>
  <c r="R101" i="1" s="1"/>
  <c r="E103" i="1" a="1"/>
  <c r="E103" i="1" s="1"/>
  <c r="K103" i="1" a="1"/>
  <c r="K103" i="1" s="1"/>
  <c r="C104" i="1" a="1"/>
  <c r="C104" i="1" s="1"/>
  <c r="R104" i="1" a="1"/>
  <c r="R104" i="1" s="1"/>
  <c r="J104" i="1" a="1"/>
  <c r="J104" i="1" s="1"/>
  <c r="I104" i="1" a="1"/>
  <c r="I104" i="1" s="1"/>
  <c r="D104" i="1" a="1"/>
  <c r="D104" i="1" s="1"/>
  <c r="J108" i="1" a="1"/>
  <c r="J108" i="1" s="1"/>
  <c r="F113" i="1" a="1"/>
  <c r="F113" i="1" s="1"/>
  <c r="J114" i="1" a="1"/>
  <c r="J114" i="1" s="1"/>
  <c r="I116" i="1" a="1"/>
  <c r="I116" i="1" s="1"/>
  <c r="D117" i="1" a="1"/>
  <c r="D117" i="1" s="1"/>
  <c r="E117" i="1" a="1"/>
  <c r="E117" i="1" s="1"/>
  <c r="L117" i="1" a="1"/>
  <c r="L117" i="1" s="1"/>
  <c r="D125" i="1" a="1"/>
  <c r="D125" i="1" s="1"/>
  <c r="H126" i="1" a="1"/>
  <c r="H126" i="1" s="1"/>
  <c r="C128" i="1" a="1"/>
  <c r="C128" i="1" s="1"/>
  <c r="R128" i="1" a="1"/>
  <c r="R128" i="1" s="1"/>
  <c r="I128" i="1" a="1"/>
  <c r="I128" i="1" s="1"/>
  <c r="K136" i="1" a="1"/>
  <c r="K136" i="1" s="1"/>
  <c r="L136" i="1" a="1"/>
  <c r="L136" i="1" s="1"/>
  <c r="F136" i="1" a="1"/>
  <c r="F136" i="1" s="1"/>
  <c r="G141" i="1" a="1"/>
  <c r="G141" i="1" s="1"/>
  <c r="F145" i="1" a="1"/>
  <c r="F145" i="1" s="1"/>
  <c r="G153" i="1" a="1"/>
  <c r="G153" i="1" s="1"/>
  <c r="D155" i="1" a="1"/>
  <c r="D155" i="1" s="1"/>
  <c r="D157" i="1" a="1"/>
  <c r="D157" i="1" s="1"/>
  <c r="E195" i="1" a="1"/>
  <c r="E195" i="1" s="1"/>
  <c r="K195" i="1" a="1"/>
  <c r="K195" i="1" s="1"/>
  <c r="F195" i="1" a="1"/>
  <c r="F195" i="1" s="1"/>
  <c r="L195" i="1" a="1"/>
  <c r="L195" i="1" s="1"/>
  <c r="G196" i="1" a="1"/>
  <c r="G196" i="1" s="1"/>
  <c r="H196" i="1" a="1"/>
  <c r="H196" i="1" s="1"/>
  <c r="J21" i="1" a="1"/>
  <c r="J21" i="1" s="1"/>
  <c r="D37" i="1" a="1"/>
  <c r="D37" i="1" s="1"/>
  <c r="F51" i="1" a="1"/>
  <c r="F51" i="1" s="1"/>
  <c r="J67" i="1" a="1"/>
  <c r="J67" i="1" s="1"/>
  <c r="I67" i="1" a="1"/>
  <c r="I67" i="1" s="1"/>
  <c r="D67" i="1" a="1"/>
  <c r="D67" i="1" s="1"/>
  <c r="C67" i="1" a="1"/>
  <c r="C67" i="1" s="1"/>
  <c r="I73" i="1" a="1"/>
  <c r="I73" i="1" s="1"/>
  <c r="J73" i="1" a="1"/>
  <c r="J73" i="1" s="1"/>
  <c r="D73" i="1" a="1"/>
  <c r="D73" i="1" s="1"/>
  <c r="E75" i="1" a="1"/>
  <c r="E75" i="1" s="1"/>
  <c r="L75" i="1" a="1"/>
  <c r="L75" i="1" s="1"/>
  <c r="I77" i="1" a="1"/>
  <c r="I77" i="1" s="1"/>
  <c r="C77" i="1" a="1"/>
  <c r="C77" i="1" s="1"/>
  <c r="R77" i="1" a="1"/>
  <c r="R77" i="1" s="1"/>
  <c r="I79" i="1" a="1"/>
  <c r="I79" i="1" s="1"/>
  <c r="J79" i="1" a="1"/>
  <c r="J79" i="1" s="1"/>
  <c r="C80" i="1" a="1"/>
  <c r="C80" i="1" s="1"/>
  <c r="R80" i="1" a="1"/>
  <c r="R80" i="1" s="1"/>
  <c r="J80" i="1" a="1"/>
  <c r="J80" i="1" s="1"/>
  <c r="I80" i="1" a="1"/>
  <c r="I80" i="1" s="1"/>
  <c r="D80" i="1" a="1"/>
  <c r="D80" i="1" s="1"/>
  <c r="H81" i="1" a="1"/>
  <c r="H81" i="1" s="1"/>
  <c r="G82" i="1" a="1"/>
  <c r="G82" i="1" s="1"/>
  <c r="H82" i="1" a="1"/>
  <c r="H82" i="1" s="1"/>
  <c r="G84" i="1" a="1"/>
  <c r="G84" i="1" s="1"/>
  <c r="H84" i="1" a="1"/>
  <c r="H84" i="1" s="1"/>
  <c r="H87" i="1" a="1"/>
  <c r="H87" i="1" s="1"/>
  <c r="H95" i="1" a="1"/>
  <c r="H95" i="1" s="1"/>
  <c r="E105" i="1" a="1"/>
  <c r="E105" i="1" s="1"/>
  <c r="K105" i="1" a="1"/>
  <c r="K105" i="1" s="1"/>
  <c r="F105" i="1" a="1"/>
  <c r="F105" i="1" s="1"/>
  <c r="E107" i="1" a="1"/>
  <c r="E107" i="1" s="1"/>
  <c r="L107" i="1" a="1"/>
  <c r="L107" i="1" s="1"/>
  <c r="K108" i="1" a="1"/>
  <c r="K108" i="1" s="1"/>
  <c r="L108" i="1" a="1"/>
  <c r="L108" i="1" s="1"/>
  <c r="J111" i="1" a="1"/>
  <c r="J111" i="1" s="1"/>
  <c r="I113" i="1" a="1"/>
  <c r="I113" i="1" s="1"/>
  <c r="R113" i="1" a="1"/>
  <c r="R113" i="1" s="1"/>
  <c r="J113" i="1" a="1"/>
  <c r="J113" i="1" s="1"/>
  <c r="D113" i="1" a="1"/>
  <c r="D113" i="1" s="1"/>
  <c r="C113" i="1" a="1"/>
  <c r="C113" i="1" s="1"/>
  <c r="E115" i="1" a="1"/>
  <c r="E115" i="1" s="1"/>
  <c r="L115" i="1" a="1"/>
  <c r="L115" i="1" s="1"/>
  <c r="K115" i="1" a="1"/>
  <c r="K115" i="1" s="1"/>
  <c r="F115" i="1" a="1"/>
  <c r="F115" i="1" s="1"/>
  <c r="J116" i="1" a="1"/>
  <c r="J116" i="1" s="1"/>
  <c r="J118" i="1" a="1"/>
  <c r="J118" i="1" s="1"/>
  <c r="I119" i="1" a="1"/>
  <c r="I119" i="1" s="1"/>
  <c r="R119" i="1" a="1"/>
  <c r="R119" i="1" s="1"/>
  <c r="D119" i="1" a="1"/>
  <c r="D119" i="1" s="1"/>
  <c r="C119" i="1" a="1"/>
  <c r="C119" i="1" s="1"/>
  <c r="J121" i="1" a="1"/>
  <c r="J121" i="1" s="1"/>
  <c r="H125" i="1" a="1"/>
  <c r="H125" i="1" s="1"/>
  <c r="E125" i="1" a="1"/>
  <c r="E125" i="1" s="1"/>
  <c r="L125" i="1" a="1"/>
  <c r="L125" i="1" s="1"/>
  <c r="F125" i="1" a="1"/>
  <c r="F125" i="1" s="1"/>
  <c r="J127" i="1" a="1"/>
  <c r="J127" i="1" s="1"/>
  <c r="E129" i="1" a="1"/>
  <c r="E129" i="1" s="1"/>
  <c r="K129" i="1" a="1"/>
  <c r="K129" i="1" s="1"/>
  <c r="J130" i="1" a="1"/>
  <c r="J130" i="1" s="1"/>
  <c r="D132" i="1" a="1"/>
  <c r="D132" i="1" s="1"/>
  <c r="J135" i="1" a="1"/>
  <c r="J135" i="1" s="1"/>
  <c r="J138" i="1" a="1"/>
  <c r="J138" i="1" s="1"/>
  <c r="E139" i="1" a="1"/>
  <c r="E139" i="1" s="1"/>
  <c r="L139" i="1" a="1"/>
  <c r="L139" i="1" s="1"/>
  <c r="F139" i="1" a="1"/>
  <c r="F139" i="1" s="1"/>
  <c r="J144" i="1" a="1"/>
  <c r="J144" i="1" s="1"/>
  <c r="K146" i="1" a="1"/>
  <c r="K146" i="1" s="1"/>
  <c r="E146" i="1" a="1"/>
  <c r="E146" i="1" s="1"/>
  <c r="D159" i="1" a="1"/>
  <c r="D159" i="1" s="1"/>
  <c r="G190" i="1" a="1"/>
  <c r="G190" i="1" s="1"/>
  <c r="H190" i="1" a="1"/>
  <c r="H190" i="1" s="1"/>
  <c r="L194" i="1" a="1"/>
  <c r="L194" i="1" s="1"/>
  <c r="G195" i="1" a="1"/>
  <c r="G195" i="1" s="1"/>
  <c r="H195" i="1" a="1"/>
  <c r="H195" i="1" s="1"/>
  <c r="D204" i="1" a="1"/>
  <c r="D204" i="1" s="1"/>
  <c r="H13" i="1" a="1"/>
  <c r="H13" i="1" s="1"/>
  <c r="J16" i="1" a="1"/>
  <c r="J16" i="1" s="1"/>
  <c r="J29" i="1" a="1"/>
  <c r="J29" i="1" s="1"/>
  <c r="R29" i="1" a="1"/>
  <c r="R29" i="1" s="1"/>
  <c r="I29" i="1" a="1"/>
  <c r="I29" i="1" s="1"/>
  <c r="F30" i="1" a="1"/>
  <c r="F30" i="1" s="1"/>
  <c r="K30" i="1" a="1"/>
  <c r="K30" i="1" s="1"/>
  <c r="J42" i="1" a="1"/>
  <c r="J42" i="1" s="1"/>
  <c r="C42" i="1" a="1"/>
  <c r="C42" i="1" s="1"/>
  <c r="I42" i="1" a="1"/>
  <c r="I42" i="1" s="1"/>
  <c r="J10" i="1" a="1"/>
  <c r="J10" i="1" s="1"/>
  <c r="J19" i="1" a="1"/>
  <c r="J19" i="1" s="1"/>
  <c r="I20" i="1" a="1"/>
  <c r="I20" i="1" s="1"/>
  <c r="C20" i="1" a="1"/>
  <c r="C20" i="1" s="1"/>
  <c r="F33" i="1" a="1"/>
  <c r="F33" i="1" s="1"/>
  <c r="R37" i="1" a="1"/>
  <c r="R37" i="1" s="1"/>
  <c r="C37" i="1" a="1"/>
  <c r="C37" i="1" s="1"/>
  <c r="H38" i="1" a="1"/>
  <c r="H38" i="1" s="1"/>
  <c r="G38" i="1" a="1"/>
  <c r="G38" i="1" s="1"/>
  <c r="L38" i="1" a="1"/>
  <c r="L38" i="1" s="1"/>
  <c r="F38" i="1" a="1"/>
  <c r="F38" i="1" s="1"/>
  <c r="D63" i="1" a="1"/>
  <c r="D63" i="1" s="1"/>
  <c r="J66" i="1" a="1"/>
  <c r="J66" i="1" s="1"/>
  <c r="J69" i="1" a="1"/>
  <c r="J69" i="1" s="1"/>
  <c r="D70" i="1" a="1"/>
  <c r="D70" i="1" s="1"/>
  <c r="C73" i="1" a="1"/>
  <c r="C73" i="1" s="1"/>
  <c r="C74" i="1" a="1"/>
  <c r="C74" i="1" s="1"/>
  <c r="I74" i="1" a="1"/>
  <c r="I74" i="1" s="1"/>
  <c r="J75" i="1" a="1"/>
  <c r="J75" i="1" s="1"/>
  <c r="I75" i="1" a="1"/>
  <c r="I75" i="1" s="1"/>
  <c r="D75" i="1" a="1"/>
  <c r="D75" i="1" s="1"/>
  <c r="C75" i="1" a="1"/>
  <c r="C75" i="1" s="1"/>
  <c r="C79" i="1" a="1"/>
  <c r="C79" i="1" s="1"/>
  <c r="I81" i="1" a="1"/>
  <c r="I81" i="1" s="1"/>
  <c r="J81" i="1" a="1"/>
  <c r="J81" i="1" s="1"/>
  <c r="D81" i="1" a="1"/>
  <c r="D81" i="1" s="1"/>
  <c r="E83" i="1" a="1"/>
  <c r="E83" i="1" s="1"/>
  <c r="L83" i="1" a="1"/>
  <c r="L83" i="1" s="1"/>
  <c r="J85" i="1" a="1"/>
  <c r="J85" i="1" s="1"/>
  <c r="I87" i="1" a="1"/>
  <c r="I87" i="1" s="1"/>
  <c r="J87" i="1" a="1"/>
  <c r="J87" i="1" s="1"/>
  <c r="G92" i="1" a="1"/>
  <c r="G92" i="1" s="1"/>
  <c r="H92" i="1" a="1"/>
  <c r="H92" i="1" s="1"/>
  <c r="J93" i="1" a="1"/>
  <c r="J93" i="1" s="1"/>
  <c r="I95" i="1" a="1"/>
  <c r="I95" i="1" s="1"/>
  <c r="J95" i="1" a="1"/>
  <c r="J95" i="1" s="1"/>
  <c r="G100" i="1" a="1"/>
  <c r="G100" i="1" s="1"/>
  <c r="H100" i="1" a="1"/>
  <c r="H100" i="1" s="1"/>
  <c r="J101" i="1" a="1"/>
  <c r="J101" i="1" s="1"/>
  <c r="I107" i="1" a="1"/>
  <c r="I107" i="1" s="1"/>
  <c r="C107" i="1" a="1"/>
  <c r="C107" i="1" s="1"/>
  <c r="R107" i="1" a="1"/>
  <c r="R107" i="1" s="1"/>
  <c r="K120" i="1" a="1"/>
  <c r="K120" i="1" s="1"/>
  <c r="E120" i="1" a="1"/>
  <c r="E120" i="1" s="1"/>
  <c r="L120" i="1" a="1"/>
  <c r="L120" i="1" s="1"/>
  <c r="F120" i="1" a="1"/>
  <c r="F120" i="1" s="1"/>
  <c r="G125" i="1" a="1"/>
  <c r="G125" i="1" s="1"/>
  <c r="F129" i="1" a="1"/>
  <c r="F129" i="1" s="1"/>
  <c r="D134" i="1" a="1"/>
  <c r="D134" i="1" s="1"/>
  <c r="K135" i="1" a="1"/>
  <c r="K135" i="1" s="1"/>
  <c r="J141" i="1" a="1"/>
  <c r="J141" i="1" s="1"/>
  <c r="K147" i="1" a="1"/>
  <c r="K147" i="1" s="1"/>
  <c r="C148" i="1" a="1"/>
  <c r="C148" i="1" s="1"/>
  <c r="I148" i="1" a="1"/>
  <c r="I148" i="1" s="1"/>
  <c r="K153" i="1" a="1"/>
  <c r="K153" i="1" s="1"/>
  <c r="H158" i="1" a="1"/>
  <c r="H158" i="1" s="1"/>
  <c r="G174" i="1" a="1"/>
  <c r="G174" i="1" s="1"/>
  <c r="H174" i="1" a="1"/>
  <c r="H174" i="1" s="1"/>
  <c r="J11" i="1" a="1"/>
  <c r="J11" i="1" s="1"/>
  <c r="K13" i="1" a="1"/>
  <c r="K13" i="1" s="1"/>
  <c r="D15" i="1" a="1"/>
  <c r="D15" i="1" s="1"/>
  <c r="J20" i="1" a="1"/>
  <c r="J20" i="1" s="1"/>
  <c r="E20" i="1" a="1"/>
  <c r="E20" i="1" s="1"/>
  <c r="L20" i="1" a="1"/>
  <c r="L20" i="1" s="1"/>
  <c r="F49" i="1" a="1"/>
  <c r="F49" i="1" s="1"/>
  <c r="G50" i="1" a="1"/>
  <c r="G50" i="1" s="1"/>
  <c r="H50" i="1" a="1"/>
  <c r="H50" i="1" s="1"/>
  <c r="J15" i="1" a="1"/>
  <c r="J15" i="1" s="1"/>
  <c r="E19" i="1" a="1"/>
  <c r="E19" i="1" s="1"/>
  <c r="C24" i="1" a="1"/>
  <c r="C24" i="1" s="1"/>
  <c r="I24" i="1" a="1"/>
  <c r="I24" i="1" s="1"/>
  <c r="F25" i="1" a="1"/>
  <c r="F25" i="1" s="1"/>
  <c r="K25" i="1" a="1"/>
  <c r="K25" i="1" s="1"/>
  <c r="D27" i="1" a="1"/>
  <c r="D27" i="1" s="1"/>
  <c r="G13" i="1" a="1"/>
  <c r="G13" i="1" s="1"/>
  <c r="F20" i="1" a="1"/>
  <c r="F20" i="1" s="1"/>
  <c r="K20" i="1" a="1"/>
  <c r="K20" i="1" s="1"/>
  <c r="L21" i="1" a="1"/>
  <c r="L21" i="1" s="1"/>
  <c r="C22" i="1" a="1"/>
  <c r="C22" i="1" s="1"/>
  <c r="J28" i="1" a="1"/>
  <c r="J28" i="1" s="1"/>
  <c r="I28" i="1" a="1"/>
  <c r="I28" i="1" s="1"/>
  <c r="R28" i="1" a="1"/>
  <c r="R28" i="1" s="1"/>
  <c r="C31" i="1" a="1"/>
  <c r="C31" i="1" s="1"/>
  <c r="J37" i="1" a="1"/>
  <c r="J37" i="1" s="1"/>
  <c r="L44" i="1" a="1"/>
  <c r="L44" i="1" s="1"/>
  <c r="D45" i="1" a="1"/>
  <c r="D45" i="1" s="1"/>
  <c r="F47" i="1" a="1"/>
  <c r="F47" i="1" s="1"/>
  <c r="L47" i="1" a="1"/>
  <c r="L47" i="1" s="1"/>
  <c r="C48" i="1" a="1"/>
  <c r="C48" i="1" s="1"/>
  <c r="R48" i="1" a="1"/>
  <c r="R48" i="1" s="1"/>
  <c r="J48" i="1" a="1"/>
  <c r="J48" i="1" s="1"/>
  <c r="I48" i="1" a="1"/>
  <c r="I48" i="1" s="1"/>
  <c r="D50" i="1" a="1"/>
  <c r="D50" i="1" s="1"/>
  <c r="F65" i="1" a="1"/>
  <c r="F65" i="1" s="1"/>
  <c r="L65" i="1" a="1"/>
  <c r="L65" i="1" s="1"/>
  <c r="D66" i="1" a="1"/>
  <c r="D66" i="1" s="1"/>
  <c r="D68" i="1" a="1"/>
  <c r="D68" i="1" s="1"/>
  <c r="D71" i="1" a="1"/>
  <c r="D71" i="1" s="1"/>
  <c r="J74" i="1" a="1"/>
  <c r="J74" i="1" s="1"/>
  <c r="J77" i="1" a="1"/>
  <c r="J77" i="1" s="1"/>
  <c r="D78" i="1" a="1"/>
  <c r="D78" i="1" s="1"/>
  <c r="C81" i="1" a="1"/>
  <c r="C81" i="1" s="1"/>
  <c r="K81" i="1" a="1"/>
  <c r="K81" i="1" s="1"/>
  <c r="C82" i="1" a="1"/>
  <c r="C82" i="1" s="1"/>
  <c r="I82" i="1" a="1"/>
  <c r="I82" i="1" s="1"/>
  <c r="K88" i="1" a="1"/>
  <c r="K88" i="1" s="1"/>
  <c r="L88" i="1" a="1"/>
  <c r="L88" i="1" s="1"/>
  <c r="H89" i="1" a="1"/>
  <c r="H89" i="1" s="1"/>
  <c r="G89" i="1" a="1"/>
  <c r="G89" i="1" s="1"/>
  <c r="K96" i="1" a="1"/>
  <c r="K96" i="1" s="1"/>
  <c r="L96" i="1" a="1"/>
  <c r="L96" i="1" s="1"/>
  <c r="H97" i="1" a="1"/>
  <c r="H97" i="1" s="1"/>
  <c r="G97" i="1" a="1"/>
  <c r="G97" i="1" s="1"/>
  <c r="I103" i="1" a="1"/>
  <c r="I103" i="1" s="1"/>
  <c r="J103" i="1" a="1"/>
  <c r="J103" i="1" s="1"/>
  <c r="L109" i="1" a="1"/>
  <c r="L109" i="1" s="1"/>
  <c r="C111" i="1" a="1"/>
  <c r="C111" i="1" s="1"/>
  <c r="K114" i="1" a="1"/>
  <c r="K114" i="1" s="1"/>
  <c r="F114" i="1" a="1"/>
  <c r="F114" i="1" s="1"/>
  <c r="K118" i="1" a="1"/>
  <c r="K118" i="1" s="1"/>
  <c r="F118" i="1" a="1"/>
  <c r="F118" i="1" s="1"/>
  <c r="L118" i="1" a="1"/>
  <c r="L118" i="1" s="1"/>
  <c r="J119" i="1" a="1"/>
  <c r="J119" i="1" s="1"/>
  <c r="J122" i="1" a="1"/>
  <c r="J122" i="1" s="1"/>
  <c r="E123" i="1" a="1"/>
  <c r="E123" i="1" s="1"/>
  <c r="L123" i="1" a="1"/>
  <c r="L123" i="1" s="1"/>
  <c r="F123" i="1" a="1"/>
  <c r="F123" i="1" s="1"/>
  <c r="J128" i="1" a="1"/>
  <c r="J128" i="1" s="1"/>
  <c r="K130" i="1" a="1"/>
  <c r="K130" i="1" s="1"/>
  <c r="E130" i="1" a="1"/>
  <c r="E130" i="1" s="1"/>
  <c r="L133" i="1" a="1"/>
  <c r="L133" i="1" s="1"/>
  <c r="D137" i="1" a="1"/>
  <c r="D137" i="1" s="1"/>
  <c r="E137" i="1" a="1"/>
  <c r="E137" i="1" s="1"/>
  <c r="L137" i="1" a="1"/>
  <c r="L137" i="1" s="1"/>
  <c r="D143" i="1" a="1"/>
  <c r="D143" i="1" s="1"/>
  <c r="E143" i="1" a="1"/>
  <c r="E143" i="1" s="1"/>
  <c r="K143" i="1" a="1"/>
  <c r="K143" i="1" s="1"/>
  <c r="F143" i="1" a="1"/>
  <c r="F143" i="1" s="1"/>
  <c r="L143" i="1" a="1"/>
  <c r="L143" i="1" s="1"/>
  <c r="K144" i="1" a="1"/>
  <c r="K144" i="1" s="1"/>
  <c r="E144" i="1" a="1"/>
  <c r="E144" i="1" s="1"/>
  <c r="D146" i="1" a="1"/>
  <c r="D146" i="1" s="1"/>
  <c r="H148" i="1" a="1"/>
  <c r="H148" i="1" s="1"/>
  <c r="C150" i="1" a="1"/>
  <c r="C150" i="1" s="1"/>
  <c r="R150" i="1" a="1"/>
  <c r="R150" i="1" s="1"/>
  <c r="I150" i="1" a="1"/>
  <c r="I150" i="1" s="1"/>
  <c r="K152" i="1" a="1"/>
  <c r="K152" i="1" s="1"/>
  <c r="L152" i="1" a="1"/>
  <c r="L152" i="1" s="1"/>
  <c r="F152" i="1" a="1"/>
  <c r="F152" i="1" s="1"/>
  <c r="H169" i="1" a="1"/>
  <c r="H169" i="1" s="1"/>
  <c r="G169" i="1" a="1"/>
  <c r="G169" i="1" s="1"/>
  <c r="G183" i="1" a="1"/>
  <c r="G183" i="1" s="1"/>
  <c r="H183" i="1" a="1"/>
  <c r="H183" i="1" s="1"/>
  <c r="D845" i="1" a="1"/>
  <c r="D845" i="1" s="1"/>
  <c r="D842" i="1" a="1"/>
  <c r="D842" i="1" s="1"/>
  <c r="D837" i="1" a="1"/>
  <c r="D837" i="1" s="1"/>
  <c r="D844" i="1" a="1"/>
  <c r="D844" i="1" s="1"/>
  <c r="D833" i="1" a="1"/>
  <c r="D833" i="1" s="1"/>
  <c r="D796" i="1" a="1"/>
  <c r="D796" i="1" s="1"/>
  <c r="D824" i="1" a="1"/>
  <c r="D824" i="1" s="1"/>
  <c r="D801" i="1" a="1"/>
  <c r="D801" i="1" s="1"/>
  <c r="D838" i="1" a="1"/>
  <c r="D838" i="1" s="1"/>
  <c r="D830" i="1" a="1"/>
  <c r="D830" i="1" s="1"/>
  <c r="D798" i="1" a="1"/>
  <c r="D798" i="1" s="1"/>
  <c r="D793" i="1" a="1"/>
  <c r="D793" i="1" s="1"/>
  <c r="D790" i="1" a="1"/>
  <c r="D790" i="1" s="1"/>
  <c r="D780" i="1" a="1"/>
  <c r="D780" i="1" s="1"/>
  <c r="D778" i="1" a="1"/>
  <c r="D778" i="1" s="1"/>
  <c r="D776" i="1" a="1"/>
  <c r="D776" i="1" s="1"/>
  <c r="D782" i="1" a="1"/>
  <c r="D782" i="1" s="1"/>
  <c r="D791" i="1" a="1"/>
  <c r="D791" i="1" s="1"/>
  <c r="D805" i="1" a="1"/>
  <c r="D805" i="1" s="1"/>
  <c r="D803" i="1" a="1"/>
  <c r="D803" i="1" s="1"/>
  <c r="D762" i="1" a="1"/>
  <c r="D762" i="1" s="1"/>
  <c r="D761" i="1" a="1"/>
  <c r="D761" i="1" s="1"/>
  <c r="D777" i="1" a="1"/>
  <c r="D777" i="1" s="1"/>
  <c r="D735" i="1" a="1"/>
  <c r="D735" i="1" s="1"/>
  <c r="D816" i="1" a="1"/>
  <c r="D816" i="1" s="1"/>
  <c r="D769" i="1" a="1"/>
  <c r="D769" i="1" s="1"/>
  <c r="D757" i="1" a="1"/>
  <c r="D757" i="1" s="1"/>
  <c r="D772" i="1" a="1"/>
  <c r="D772" i="1" s="1"/>
  <c r="D814" i="1" a="1"/>
  <c r="D814" i="1" s="1"/>
  <c r="D800" i="1" a="1"/>
  <c r="D800" i="1" s="1"/>
  <c r="D727" i="1" a="1"/>
  <c r="D727" i="1" s="1"/>
  <c r="D731" i="1" a="1"/>
  <c r="D731" i="1" s="1"/>
  <c r="D630" i="1" a="1"/>
  <c r="D630" i="1" s="1"/>
  <c r="D743" i="1" a="1"/>
  <c r="D743" i="1" s="1"/>
  <c r="D657" i="1" a="1"/>
  <c r="D657" i="1" s="1"/>
  <c r="D640" i="1" a="1"/>
  <c r="D640" i="1" s="1"/>
  <c r="D729" i="1" a="1"/>
  <c r="D729" i="1" s="1"/>
  <c r="D643" i="1" a="1"/>
  <c r="D643" i="1" s="1"/>
  <c r="D611" i="1" a="1"/>
  <c r="D611" i="1" s="1"/>
  <c r="D685" i="1" a="1"/>
  <c r="D685" i="1" s="1"/>
  <c r="D679" i="1" a="1"/>
  <c r="D679" i="1" s="1"/>
  <c r="D677" i="1" a="1"/>
  <c r="D677" i="1" s="1"/>
  <c r="D658" i="1" a="1"/>
  <c r="D658" i="1" s="1"/>
  <c r="D620" i="1" a="1"/>
  <c r="D620" i="1" s="1"/>
  <c r="D628" i="1" a="1"/>
  <c r="D628" i="1" s="1"/>
  <c r="D614" i="1" a="1"/>
  <c r="D614" i="1" s="1"/>
  <c r="D667" i="1" a="1"/>
  <c r="D667" i="1" s="1"/>
  <c r="D663" i="1" a="1"/>
  <c r="D663" i="1" s="1"/>
  <c r="D661" i="1" a="1"/>
  <c r="D661" i="1" s="1"/>
  <c r="D656" i="1" a="1"/>
  <c r="D656" i="1" s="1"/>
  <c r="D646" i="1" a="1"/>
  <c r="D646" i="1" s="1"/>
  <c r="D608" i="1" a="1"/>
  <c r="D608" i="1" s="1"/>
  <c r="D604" i="1" a="1"/>
  <c r="D604" i="1" s="1"/>
  <c r="D600" i="1" a="1"/>
  <c r="D600" i="1" s="1"/>
  <c r="D596" i="1" a="1"/>
  <c r="D596" i="1" s="1"/>
  <c r="D592" i="1" a="1"/>
  <c r="D592" i="1" s="1"/>
  <c r="D588" i="1" a="1"/>
  <c r="D588" i="1" s="1"/>
  <c r="D799" i="1" a="1"/>
  <c r="D799" i="1" s="1"/>
  <c r="D721" i="1" a="1"/>
  <c r="D721" i="1" s="1"/>
  <c r="D642" i="1" a="1"/>
  <c r="D642" i="1" s="1"/>
  <c r="D652" i="1" a="1"/>
  <c r="D652" i="1" s="1"/>
  <c r="D636" i="1" a="1"/>
  <c r="D636" i="1" s="1"/>
  <c r="D578" i="1" a="1"/>
  <c r="D578" i="1" s="1"/>
  <c r="D671" i="1" a="1"/>
  <c r="D671" i="1" s="1"/>
  <c r="D580" i="1" a="1"/>
  <c r="D580" i="1" s="1"/>
  <c r="D829" i="1" a="1"/>
  <c r="D829" i="1" s="1"/>
  <c r="D669" i="1" a="1"/>
  <c r="D669" i="1" s="1"/>
  <c r="D645" i="1" a="1"/>
  <c r="D645" i="1" s="1"/>
  <c r="D623" i="1" a="1"/>
  <c r="D623" i="1" s="1"/>
  <c r="D539" i="1" a="1"/>
  <c r="D539" i="1" s="1"/>
  <c r="D767" i="1" a="1"/>
  <c r="D767" i="1" s="1"/>
  <c r="D602" i="1" a="1"/>
  <c r="D602" i="1" s="1"/>
  <c r="D582" i="1" a="1"/>
  <c r="D582" i="1" s="1"/>
  <c r="D563" i="1" a="1"/>
  <c r="D563" i="1" s="1"/>
  <c r="D542" i="1" a="1"/>
  <c r="D542" i="1" s="1"/>
  <c r="D526" i="1" a="1"/>
  <c r="D526" i="1" s="1"/>
  <c r="D619" i="1" a="1"/>
  <c r="D619" i="1" s="1"/>
  <c r="D555" i="1" a="1"/>
  <c r="D555" i="1" s="1"/>
  <c r="D547" i="1" a="1"/>
  <c r="D547" i="1" s="1"/>
  <c r="D541" i="1" a="1"/>
  <c r="D541" i="1" s="1"/>
  <c r="D525" i="1" a="1"/>
  <c r="D525" i="1" s="1"/>
  <c r="D626" i="1" a="1"/>
  <c r="D626" i="1" s="1"/>
  <c r="D616" i="1" a="1"/>
  <c r="D616" i="1" s="1"/>
  <c r="D610" i="1" a="1"/>
  <c r="D610" i="1" s="1"/>
  <c r="D575" i="1" a="1"/>
  <c r="D575" i="1" s="1"/>
  <c r="D567" i="1" a="1"/>
  <c r="D567" i="1" s="1"/>
  <c r="D559" i="1" a="1"/>
  <c r="D559" i="1" s="1"/>
  <c r="D543" i="1" a="1"/>
  <c r="D543" i="1" s="1"/>
  <c r="D576" i="1" a="1"/>
  <c r="D576" i="1" s="1"/>
  <c r="D565" i="1" a="1"/>
  <c r="D565" i="1" s="1"/>
  <c r="D524" i="1" a="1"/>
  <c r="D524" i="1" s="1"/>
  <c r="D510" i="1" a="1"/>
  <c r="D510" i="1" s="1"/>
  <c r="D568" i="1" a="1"/>
  <c r="D568" i="1" s="1"/>
  <c r="D544" i="1" a="1"/>
  <c r="D544" i="1" s="1"/>
  <c r="D527" i="1" a="1"/>
  <c r="D527" i="1" s="1"/>
  <c r="D490" i="1" a="1"/>
  <c r="D490" i="1" s="1"/>
  <c r="D529" i="1" a="1"/>
  <c r="D529" i="1" s="1"/>
  <c r="D631" i="1" a="1"/>
  <c r="D631" i="1" s="1"/>
  <c r="D517" i="1" a="1"/>
  <c r="D517" i="1" s="1"/>
  <c r="D507" i="1" a="1"/>
  <c r="D507" i="1" s="1"/>
  <c r="D493" i="1" a="1"/>
  <c r="D493" i="1" s="1"/>
  <c r="D447" i="1" a="1"/>
  <c r="D447" i="1" s="1"/>
  <c r="D445" i="1" a="1"/>
  <c r="D445" i="1" s="1"/>
  <c r="D546" i="1" a="1"/>
  <c r="D546" i="1" s="1"/>
  <c r="D506" i="1" a="1"/>
  <c r="D506" i="1" s="1"/>
  <c r="D556" i="1" a="1"/>
  <c r="D556" i="1" s="1"/>
  <c r="D508" i="1" a="1"/>
  <c r="D508" i="1" s="1"/>
  <c r="D496" i="1" a="1"/>
  <c r="D496" i="1" s="1"/>
  <c r="D540" i="1" a="1"/>
  <c r="D540" i="1" s="1"/>
  <c r="D497" i="1" a="1"/>
  <c r="D497" i="1" s="1"/>
  <c r="J435" i="1" a="1"/>
  <c r="J435" i="1" s="1"/>
  <c r="D528" i="1" a="1"/>
  <c r="D528" i="1" s="1"/>
  <c r="D521" i="1" a="1"/>
  <c r="D521" i="1" s="1"/>
  <c r="J429" i="1" a="1"/>
  <c r="J429" i="1" s="1"/>
  <c r="D584" i="1" a="1"/>
  <c r="D584" i="1" s="1"/>
  <c r="D489" i="1" a="1"/>
  <c r="D489" i="1" s="1"/>
  <c r="D480" i="1" a="1"/>
  <c r="D480" i="1" s="1"/>
  <c r="D454" i="1" a="1"/>
  <c r="D454" i="1" s="1"/>
  <c r="J445" i="1" a="1"/>
  <c r="J445" i="1" s="1"/>
  <c r="J439" i="1" a="1"/>
  <c r="J439" i="1" s="1"/>
  <c r="D472" i="1" a="1"/>
  <c r="D472" i="1" s="1"/>
  <c r="D456" i="1" a="1"/>
  <c r="D456" i="1" s="1"/>
  <c r="J433" i="1" a="1"/>
  <c r="J433" i="1" s="1"/>
  <c r="D615" i="1" a="1"/>
  <c r="D615" i="1" s="1"/>
  <c r="D613" i="1" a="1"/>
  <c r="D613" i="1" s="1"/>
  <c r="D586" i="1" a="1"/>
  <c r="D586" i="1" s="1"/>
  <c r="D532" i="1" a="1"/>
  <c r="D532" i="1" s="1"/>
  <c r="D505" i="1" a="1"/>
  <c r="D505" i="1" s="1"/>
  <c r="D485" i="1" a="1"/>
  <c r="D485" i="1" s="1"/>
  <c r="J443" i="1" a="1"/>
  <c r="J443" i="1" s="1"/>
  <c r="D624" i="1" a="1"/>
  <c r="D624" i="1" s="1"/>
  <c r="D479" i="1" a="1"/>
  <c r="D479" i="1" s="1"/>
  <c r="D474" i="1" a="1"/>
  <c r="D474" i="1" s="1"/>
  <c r="D443" i="1" a="1"/>
  <c r="D443" i="1" s="1"/>
  <c r="J440" i="1" a="1"/>
  <c r="J440" i="1" s="1"/>
  <c r="D460" i="1" a="1"/>
  <c r="D460" i="1" s="1"/>
  <c r="D436" i="1" a="1"/>
  <c r="D436" i="1" s="1"/>
  <c r="D435" i="1" a="1"/>
  <c r="D435" i="1" s="1"/>
  <c r="J430" i="1" a="1"/>
  <c r="J430" i="1" s="1"/>
  <c r="J427" i="1" a="1"/>
  <c r="J427" i="1" s="1"/>
  <c r="D564" i="1" a="1"/>
  <c r="D564" i="1" s="1"/>
  <c r="D440" i="1" a="1"/>
  <c r="D440" i="1" s="1"/>
  <c r="D432" i="1" a="1"/>
  <c r="D432" i="1" s="1"/>
  <c r="D423" i="1" a="1"/>
  <c r="D423" i="1" s="1"/>
  <c r="D419" i="1" a="1"/>
  <c r="D419" i="1" s="1"/>
  <c r="J413" i="1" a="1"/>
  <c r="J413" i="1" s="1"/>
  <c r="D548" i="1" a="1"/>
  <c r="D548" i="1" s="1"/>
  <c r="D476" i="1" a="1"/>
  <c r="D476" i="1" s="1"/>
  <c r="D439" i="1" a="1"/>
  <c r="D439" i="1" s="1"/>
  <c r="J436" i="1" a="1"/>
  <c r="J436" i="1" s="1"/>
  <c r="D561" i="1" a="1"/>
  <c r="D561" i="1" s="1"/>
  <c r="D429" i="1" a="1"/>
  <c r="D429" i="1" s="1"/>
  <c r="J424" i="1" a="1"/>
  <c r="J424" i="1" s="1"/>
  <c r="D424" i="1" a="1"/>
  <c r="D424" i="1" s="1"/>
  <c r="D421" i="1" a="1"/>
  <c r="D421" i="1" s="1"/>
  <c r="D511" i="1" a="1"/>
  <c r="D511" i="1" s="1"/>
  <c r="J406" i="1" a="1"/>
  <c r="J406" i="1" s="1"/>
  <c r="D406" i="1" a="1"/>
  <c r="D406" i="1" s="1"/>
  <c r="D448" i="1" a="1"/>
  <c r="D448" i="1" s="1"/>
  <c r="D463" i="1" a="1"/>
  <c r="D463" i="1" s="1"/>
  <c r="D433" i="1" a="1"/>
  <c r="D433" i="1" s="1"/>
  <c r="J421" i="1" a="1"/>
  <c r="J421" i="1" s="1"/>
  <c r="D425" i="1" a="1"/>
  <c r="D425" i="1" s="1"/>
  <c r="J419" i="1" a="1"/>
  <c r="J419" i="1" s="1"/>
  <c r="J417" i="1" a="1"/>
  <c r="J417" i="1" s="1"/>
  <c r="D407" i="1" a="1"/>
  <c r="D407" i="1" s="1"/>
  <c r="J401" i="1" a="1"/>
  <c r="J401" i="1" s="1"/>
  <c r="J391" i="1" a="1"/>
  <c r="J391" i="1" s="1"/>
  <c r="D413" i="1" a="1"/>
  <c r="D413" i="1" s="1"/>
  <c r="J404" i="1" a="1"/>
  <c r="J404" i="1" s="1"/>
  <c r="D393" i="1" a="1"/>
  <c r="D393" i="1" s="1"/>
  <c r="J414" i="1" a="1"/>
  <c r="J414" i="1" s="1"/>
  <c r="D405" i="1" a="1"/>
  <c r="D405" i="1" s="1"/>
  <c r="D363" i="1" a="1"/>
  <c r="D363" i="1" s="1"/>
  <c r="D359" i="1" a="1"/>
  <c r="D359" i="1" s="1"/>
  <c r="J343" i="1" a="1"/>
  <c r="J343" i="1" s="1"/>
  <c r="J425" i="1" a="1"/>
  <c r="J425" i="1" s="1"/>
  <c r="J400" i="1" a="1"/>
  <c r="J400" i="1" s="1"/>
  <c r="J398" i="1" a="1"/>
  <c r="J398" i="1" s="1"/>
  <c r="J415" i="1" a="1"/>
  <c r="J415" i="1" s="1"/>
  <c r="D384" i="1" a="1"/>
  <c r="D384" i="1" s="1"/>
  <c r="J381" i="1" a="1"/>
  <c r="J381" i="1" s="1"/>
  <c r="D376" i="1" a="1"/>
  <c r="D376" i="1" s="1"/>
  <c r="J373" i="1" a="1"/>
  <c r="J373" i="1" s="1"/>
  <c r="J357" i="1" a="1"/>
  <c r="J357" i="1" s="1"/>
  <c r="J327" i="1" a="1"/>
  <c r="J327" i="1" s="1"/>
  <c r="J293" i="1" a="1"/>
  <c r="J293" i="1" s="1"/>
  <c r="J432" i="1" a="1"/>
  <c r="J432" i="1" s="1"/>
  <c r="D411" i="1" a="1"/>
  <c r="D411" i="1" s="1"/>
  <c r="D409" i="1" a="1"/>
  <c r="D409" i="1" s="1"/>
  <c r="J405" i="1" a="1"/>
  <c r="J405" i="1" s="1"/>
  <c r="J384" i="1" a="1"/>
  <c r="J384" i="1" s="1"/>
  <c r="D381" i="1" a="1"/>
  <c r="D381" i="1" s="1"/>
  <c r="J376" i="1" a="1"/>
  <c r="J376" i="1" s="1"/>
  <c r="D373" i="1" a="1"/>
  <c r="D373" i="1" s="1"/>
  <c r="D369" i="1" a="1"/>
  <c r="D369" i="1" s="1"/>
  <c r="J397" i="1" a="1"/>
  <c r="J397" i="1" s="1"/>
  <c r="D427" i="1" a="1"/>
  <c r="D427" i="1" s="1"/>
  <c r="D420" i="1" a="1"/>
  <c r="D420" i="1" s="1"/>
  <c r="D391" i="1" a="1"/>
  <c r="D391" i="1" s="1"/>
  <c r="D383" i="1" a="1"/>
  <c r="D383" i="1" s="1"/>
  <c r="D375" i="1" a="1"/>
  <c r="D375" i="1" s="1"/>
  <c r="J359" i="1" a="1"/>
  <c r="J359" i="1" s="1"/>
  <c r="J325" i="1" a="1"/>
  <c r="J325" i="1" s="1"/>
  <c r="J295" i="1" a="1"/>
  <c r="J295" i="1" s="1"/>
  <c r="D392" i="1" a="1"/>
  <c r="D392" i="1" s="1"/>
  <c r="D390" i="1" a="1"/>
  <c r="D390" i="1" s="1"/>
  <c r="J380" i="1" a="1"/>
  <c r="J380" i="1" s="1"/>
  <c r="J372" i="1" a="1"/>
  <c r="J372" i="1" s="1"/>
  <c r="D387" i="1" a="1"/>
  <c r="D387" i="1" s="1"/>
  <c r="J379" i="1" a="1"/>
  <c r="J379" i="1" s="1"/>
  <c r="D378" i="1" a="1"/>
  <c r="D378" i="1" s="1"/>
  <c r="D368" i="1" a="1"/>
  <c r="D368" i="1" s="1"/>
  <c r="J360" i="1" a="1"/>
  <c r="J360" i="1" s="1"/>
  <c r="D355" i="1" a="1"/>
  <c r="D355" i="1" s="1"/>
  <c r="D354" i="1" a="1"/>
  <c r="D354" i="1" s="1"/>
  <c r="D349" i="1" a="1"/>
  <c r="D349" i="1" s="1"/>
  <c r="J348" i="1" a="1"/>
  <c r="J348" i="1" s="1"/>
  <c r="J344" i="1" a="1"/>
  <c r="J344" i="1" s="1"/>
  <c r="D367" i="1" a="1"/>
  <c r="D367" i="1" s="1"/>
  <c r="D331" i="1" a="1"/>
  <c r="D331" i="1" s="1"/>
  <c r="J299" i="1" a="1"/>
  <c r="J299" i="1" s="1"/>
  <c r="D6" i="1" a="1"/>
  <c r="D6" i="1" s="1"/>
  <c r="D322" i="1" a="1"/>
  <c r="D322" i="1" s="1"/>
  <c r="D396" i="1" a="1"/>
  <c r="D396" i="1" s="1"/>
  <c r="J388" i="1" a="1"/>
  <c r="J388" i="1" s="1"/>
  <c r="D379" i="1" a="1"/>
  <c r="D379" i="1" s="1"/>
  <c r="J371" i="1" a="1"/>
  <c r="J371" i="1" s="1"/>
  <c r="D366" i="1" a="1"/>
  <c r="D366" i="1" s="1"/>
  <c r="D357" i="1" a="1"/>
  <c r="D357" i="1" s="1"/>
  <c r="D351" i="1" a="1"/>
  <c r="D351" i="1" s="1"/>
  <c r="J341" i="1" a="1"/>
  <c r="J341" i="1" s="1"/>
  <c r="J323" i="1" a="1"/>
  <c r="J323" i="1" s="1"/>
  <c r="J364" i="1" a="1"/>
  <c r="J364" i="1" s="1"/>
  <c r="D352" i="1" a="1"/>
  <c r="D352" i="1" s="1"/>
  <c r="J340" i="1" a="1"/>
  <c r="J340" i="1" s="1"/>
  <c r="D337" i="1" a="1"/>
  <c r="D337" i="1" s="1"/>
  <c r="J331" i="1" a="1"/>
  <c r="J331" i="1" s="1"/>
  <c r="J363" i="1" a="1"/>
  <c r="J363" i="1" s="1"/>
  <c r="D312" i="1" a="1"/>
  <c r="D312" i="1" s="1"/>
  <c r="J407" i="1" a="1"/>
  <c r="J407" i="1" s="1"/>
  <c r="J383" i="1" a="1"/>
  <c r="J383" i="1" s="1"/>
  <c r="J375" i="1" a="1"/>
  <c r="J375" i="1" s="1"/>
  <c r="D371" i="1" a="1"/>
  <c r="D371" i="1" s="1"/>
  <c r="J367" i="1" a="1"/>
  <c r="J367" i="1" s="1"/>
  <c r="D353" i="1" a="1"/>
  <c r="D353" i="1" s="1"/>
  <c r="J342" i="1" a="1"/>
  <c r="J342" i="1" s="1"/>
  <c r="D338" i="1" a="1"/>
  <c r="D338" i="1" s="1"/>
  <c r="J336" i="1" a="1"/>
  <c r="J336" i="1" s="1"/>
  <c r="D334" i="1" a="1"/>
  <c r="D334" i="1" s="1"/>
  <c r="J347" i="1" a="1"/>
  <c r="J347" i="1" s="1"/>
  <c r="D344" i="1" a="1"/>
  <c r="D344" i="1" s="1"/>
  <c r="J302" i="1" a="1"/>
  <c r="J302" i="1" s="1"/>
  <c r="J281" i="1" a="1"/>
  <c r="J281" i="1" s="1"/>
  <c r="J423" i="1" a="1"/>
  <c r="J423" i="1" s="1"/>
  <c r="J390" i="1" a="1"/>
  <c r="J390" i="1" s="1"/>
  <c r="D327" i="1" a="1"/>
  <c r="D327" i="1" s="1"/>
  <c r="J326" i="1" a="1"/>
  <c r="J326" i="1" s="1"/>
  <c r="J310" i="1" a="1"/>
  <c r="J310" i="1" s="1"/>
  <c r="J309" i="1" a="1"/>
  <c r="J309" i="1" s="1"/>
  <c r="J328" i="1" a="1"/>
  <c r="J328" i="1" s="1"/>
  <c r="D321" i="1" a="1"/>
  <c r="D321" i="1" s="1"/>
  <c r="D306" i="1" a="1"/>
  <c r="D306" i="1" s="1"/>
  <c r="J292" i="1" a="1"/>
  <c r="J292" i="1" s="1"/>
  <c r="D282" i="1" a="1"/>
  <c r="D282" i="1" s="1"/>
  <c r="D281" i="1" a="1"/>
  <c r="D281" i="1" s="1"/>
  <c r="D267" i="1" a="1"/>
  <c r="D267" i="1" s="1"/>
  <c r="J247" i="1" a="1"/>
  <c r="J247" i="1" s="1"/>
  <c r="J283" i="1" a="1"/>
  <c r="J283" i="1" s="1"/>
  <c r="J282" i="1" a="1"/>
  <c r="J282" i="1" s="1"/>
  <c r="D274" i="1" a="1"/>
  <c r="D274" i="1" s="1"/>
  <c r="D269" i="1" a="1"/>
  <c r="D269" i="1" s="1"/>
  <c r="D305" i="1" a="1"/>
  <c r="D305" i="1" s="1"/>
  <c r="D280" i="1" a="1"/>
  <c r="D280" i="1" s="1"/>
  <c r="J271" i="1" a="1"/>
  <c r="J271" i="1" s="1"/>
  <c r="J261" i="1" a="1"/>
  <c r="J261" i="1" s="1"/>
  <c r="D259" i="1" a="1"/>
  <c r="D259" i="1" s="1"/>
  <c r="J311" i="1" a="1"/>
  <c r="J311" i="1" s="1"/>
  <c r="D261" i="1" a="1"/>
  <c r="D261" i="1" s="1"/>
  <c r="J251" i="1" a="1"/>
  <c r="J251" i="1" s="1"/>
  <c r="J316" i="1" a="1"/>
  <c r="J316" i="1" s="1"/>
  <c r="D295" i="1" a="1"/>
  <c r="D295" i="1" s="1"/>
  <c r="J290" i="1" a="1"/>
  <c r="J290" i="1" s="1"/>
  <c r="D335" i="1" a="1"/>
  <c r="D335" i="1" s="1"/>
  <c r="J308" i="1" a="1"/>
  <c r="J308" i="1" s="1"/>
  <c r="J296" i="1" a="1"/>
  <c r="J296" i="1" s="1"/>
  <c r="J275" i="1" a="1"/>
  <c r="J275" i="1" s="1"/>
  <c r="D253" i="1" a="1"/>
  <c r="D253" i="1" s="1"/>
  <c r="J243" i="1" a="1"/>
  <c r="J243" i="1" s="1"/>
  <c r="D231" i="1" a="1"/>
  <c r="D231" i="1" s="1"/>
  <c r="D325" i="1" a="1"/>
  <c r="D325" i="1" s="1"/>
  <c r="D302" i="1" a="1"/>
  <c r="D302" i="1" s="1"/>
  <c r="D293" i="1" a="1"/>
  <c r="D293" i="1" s="1"/>
  <c r="D275" i="1" a="1"/>
  <c r="D275" i="1" s="1"/>
  <c r="J260" i="1" a="1"/>
  <c r="J260" i="1" s="1"/>
  <c r="J255" i="1" a="1"/>
  <c r="J255" i="1" s="1"/>
  <c r="D243" i="1" a="1"/>
  <c r="D243" i="1" s="1"/>
  <c r="J315" i="1" a="1"/>
  <c r="J315" i="1" s="1"/>
  <c r="J312" i="1" a="1"/>
  <c r="J312" i="1" s="1"/>
  <c r="D301" i="1" a="1"/>
  <c r="D301" i="1" s="1"/>
  <c r="D299" i="1" a="1"/>
  <c r="D299" i="1" s="1"/>
  <c r="J289" i="1" a="1"/>
  <c r="J289" i="1" s="1"/>
  <c r="D286" i="1" a="1"/>
  <c r="D286" i="1" s="1"/>
  <c r="D283" i="1" a="1"/>
  <c r="D283" i="1" s="1"/>
  <c r="J264" i="1" a="1"/>
  <c r="J264" i="1" s="1"/>
  <c r="D250" i="1" a="1"/>
  <c r="D250" i="1" s="1"/>
  <c r="J238" i="1" a="1"/>
  <c r="J238" i="1" s="1"/>
  <c r="D234" i="1" a="1"/>
  <c r="D234" i="1" s="1"/>
  <c r="J217" i="1" a="1"/>
  <c r="J217" i="1" s="1"/>
  <c r="J214" i="1" a="1"/>
  <c r="J214" i="1" s="1"/>
  <c r="J272" i="1" a="1"/>
  <c r="J272" i="1" s="1"/>
  <c r="D249" i="1" a="1"/>
  <c r="D249" i="1" s="1"/>
  <c r="D240" i="1" a="1"/>
  <c r="D240" i="1" s="1"/>
  <c r="D232" i="1" a="1"/>
  <c r="D232" i="1" s="1"/>
  <c r="J227" i="1" a="1"/>
  <c r="J227" i="1" s="1"/>
  <c r="J224" i="1" a="1"/>
  <c r="J224" i="1" s="1"/>
  <c r="D224" i="1" a="1"/>
  <c r="D224" i="1" s="1"/>
  <c r="J221" i="1" a="1"/>
  <c r="J221" i="1" s="1"/>
  <c r="D221" i="1" a="1"/>
  <c r="D221" i="1" s="1"/>
  <c r="D217" i="1" a="1"/>
  <c r="D217" i="1" s="1"/>
  <c r="D285" i="1" a="1"/>
  <c r="D285" i="1" s="1"/>
  <c r="D235" i="1" a="1"/>
  <c r="D235" i="1" s="1"/>
  <c r="D233" i="1" a="1"/>
  <c r="D233" i="1" s="1"/>
  <c r="J232" i="1" a="1"/>
  <c r="J232" i="1" s="1"/>
  <c r="J220" i="1" a="1"/>
  <c r="J220" i="1" s="1"/>
  <c r="D220" i="1" a="1"/>
  <c r="D220" i="1" s="1"/>
  <c r="J268" i="1" a="1"/>
  <c r="J268" i="1" s="1"/>
  <c r="D264" i="1" a="1"/>
  <c r="D264" i="1" s="1"/>
  <c r="D262" i="1" a="1"/>
  <c r="D262" i="1" s="1"/>
  <c r="J253" i="1" a="1"/>
  <c r="J253" i="1" s="1"/>
  <c r="J240" i="1" a="1"/>
  <c r="J240" i="1" s="1"/>
  <c r="J235" i="1" a="1"/>
  <c r="J235" i="1" s="1"/>
  <c r="J233" i="1" a="1"/>
  <c r="J233" i="1" s="1"/>
  <c r="J215" i="1" a="1"/>
  <c r="J215" i="1" s="1"/>
  <c r="J212" i="1" a="1"/>
  <c r="J212" i="1" s="1"/>
  <c r="J199" i="1" a="1"/>
  <c r="J199" i="1" s="1"/>
  <c r="D272" i="1" a="1"/>
  <c r="D272" i="1" s="1"/>
  <c r="J267" i="1" a="1"/>
  <c r="J267" i="1" s="1"/>
  <c r="D254" i="1" a="1"/>
  <c r="D254" i="1" s="1"/>
  <c r="J231" i="1" a="1"/>
  <c r="J231" i="1" s="1"/>
  <c r="D230" i="1" a="1"/>
  <c r="D230" i="1" s="1"/>
  <c r="J223" i="1" a="1"/>
  <c r="J223" i="1" s="1"/>
  <c r="D223" i="1" a="1"/>
  <c r="D223" i="1" s="1"/>
  <c r="D215" i="1" a="1"/>
  <c r="D215" i="1" s="1"/>
  <c r="D212" i="1" a="1"/>
  <c r="D212" i="1" s="1"/>
  <c r="J209" i="1" a="1"/>
  <c r="J209" i="1" s="1"/>
  <c r="D288" i="1" a="1"/>
  <c r="D288" i="1" s="1"/>
  <c r="D251" i="1" a="1"/>
  <c r="D251" i="1" s="1"/>
  <c r="J230" i="1" a="1"/>
  <c r="J230" i="1" s="1"/>
  <c r="J246" i="1" a="1"/>
  <c r="J246" i="1" s="1"/>
  <c r="J237" i="1" a="1"/>
  <c r="J237" i="1" s="1"/>
  <c r="J229" i="1" a="1"/>
  <c r="J229" i="1" s="1"/>
  <c r="J259" i="1" a="1"/>
  <c r="J259" i="1" s="1"/>
  <c r="D257" i="1" a="1"/>
  <c r="D257" i="1" s="1"/>
  <c r="J228" i="1" a="1"/>
  <c r="J228" i="1" s="1"/>
  <c r="D213" i="1" a="1"/>
  <c r="D213" i="1" s="1"/>
  <c r="D210" i="1" a="1"/>
  <c r="D210" i="1" s="1"/>
  <c r="D197" i="1" a="1"/>
  <c r="D197" i="1" s="1"/>
  <c r="D194" i="1" a="1"/>
  <c r="D194" i="1" s="1"/>
  <c r="D181" i="1" a="1"/>
  <c r="D181" i="1" s="1"/>
  <c r="D178" i="1" a="1"/>
  <c r="D178" i="1" s="1"/>
  <c r="J219" i="1" a="1"/>
  <c r="J219" i="1" s="1"/>
  <c r="D199" i="1" a="1"/>
  <c r="D199" i="1" s="1"/>
  <c r="J198" i="1" a="1"/>
  <c r="J198" i="1" s="1"/>
  <c r="D196" i="1" a="1"/>
  <c r="D196" i="1" s="1"/>
  <c r="D185" i="1" a="1"/>
  <c r="D185" i="1" s="1"/>
  <c r="D168" i="1" a="1"/>
  <c r="D168" i="1" s="1"/>
  <c r="J164" i="1" a="1"/>
  <c r="J164" i="1" s="1"/>
  <c r="D164" i="1" a="1"/>
  <c r="D164" i="1" s="1"/>
  <c r="J140" i="1" a="1"/>
  <c r="J140" i="1" s="1"/>
  <c r="D140" i="1" a="1"/>
  <c r="D140" i="1" s="1"/>
  <c r="J124" i="1" a="1"/>
  <c r="J124" i="1" s="1"/>
  <c r="D124" i="1" a="1"/>
  <c r="D124" i="1" s="1"/>
  <c r="J112" i="1" a="1"/>
  <c r="J112" i="1" s="1"/>
  <c r="D214" i="1" a="1"/>
  <c r="D214" i="1" s="1"/>
  <c r="J213" i="1" a="1"/>
  <c r="J213" i="1" s="1"/>
  <c r="J210" i="1" a="1"/>
  <c r="J210" i="1" s="1"/>
  <c r="J208" i="1" a="1"/>
  <c r="J208" i="1" s="1"/>
  <c r="D207" i="1" a="1"/>
  <c r="D207" i="1" s="1"/>
  <c r="J206" i="1" a="1"/>
  <c r="J206" i="1" s="1"/>
  <c r="J201" i="1" a="1"/>
  <c r="J201" i="1" s="1"/>
  <c r="D200" i="1" a="1"/>
  <c r="D200" i="1" s="1"/>
  <c r="J197" i="1" a="1"/>
  <c r="J197" i="1" s="1"/>
  <c r="J196" i="1" a="1"/>
  <c r="J196" i="1" s="1"/>
  <c r="J195" i="1" a="1"/>
  <c r="J195" i="1" s="1"/>
  <c r="D186" i="1" a="1"/>
  <c r="D186" i="1" s="1"/>
  <c r="D219" i="1" a="1"/>
  <c r="D219" i="1" s="1"/>
  <c r="J211" i="1" a="1"/>
  <c r="J211" i="1" s="1"/>
  <c r="J185" i="1" a="1"/>
  <c r="J185" i="1" s="1"/>
  <c r="J176" i="1" a="1"/>
  <c r="J176" i="1" s="1"/>
  <c r="D175" i="1" a="1"/>
  <c r="D175" i="1" s="1"/>
  <c r="D171" i="1" a="1"/>
  <c r="D171" i="1" s="1"/>
  <c r="D167" i="1" a="1"/>
  <c r="D167" i="1" s="1"/>
  <c r="D166" i="1" a="1"/>
  <c r="D166" i="1" s="1"/>
  <c r="D162" i="1" a="1"/>
  <c r="D162" i="1" s="1"/>
  <c r="D152" i="1" a="1"/>
  <c r="D152" i="1" s="1"/>
  <c r="J145" i="1" a="1"/>
  <c r="J145" i="1" s="1"/>
  <c r="J142" i="1" a="1"/>
  <c r="J142" i="1" s="1"/>
  <c r="D139" i="1" a="1"/>
  <c r="D139" i="1" s="1"/>
  <c r="D136" i="1" a="1"/>
  <c r="D136" i="1" s="1"/>
  <c r="J129" i="1" a="1"/>
  <c r="J129" i="1" s="1"/>
  <c r="J126" i="1" a="1"/>
  <c r="J126" i="1" s="1"/>
  <c r="D123" i="1" a="1"/>
  <c r="D123" i="1" s="1"/>
  <c r="D112" i="1" a="1"/>
  <c r="D112" i="1" s="1"/>
  <c r="J175" i="1" a="1"/>
  <c r="J175" i="1" s="1"/>
  <c r="J167" i="1" a="1"/>
  <c r="J167" i="1" s="1"/>
  <c r="J166" i="1" a="1"/>
  <c r="J166" i="1" s="1"/>
  <c r="J163" i="1" a="1"/>
  <c r="J163" i="1" s="1"/>
  <c r="J162" i="1" a="1"/>
  <c r="J162" i="1" s="1"/>
  <c r="J149" i="1" a="1"/>
  <c r="J149" i="1" s="1"/>
  <c r="D149" i="1" a="1"/>
  <c r="D149" i="1" s="1"/>
  <c r="J133" i="1" a="1"/>
  <c r="J133" i="1" s="1"/>
  <c r="D133" i="1" a="1"/>
  <c r="D133" i="1" s="1"/>
  <c r="D120" i="1" a="1"/>
  <c r="D120" i="1" s="1"/>
  <c r="J110" i="1" a="1"/>
  <c r="J110" i="1" s="1"/>
  <c r="J192" i="1" a="1"/>
  <c r="J192" i="1" s="1"/>
  <c r="D184" i="1" a="1"/>
  <c r="D184" i="1" s="1"/>
  <c r="D183" i="1" a="1"/>
  <c r="D183" i="1" s="1"/>
  <c r="D182" i="1" a="1"/>
  <c r="D182" i="1" s="1"/>
  <c r="J178" i="1" a="1"/>
  <c r="J178" i="1" s="1"/>
  <c r="J177" i="1" a="1"/>
  <c r="J177" i="1" s="1"/>
  <c r="J172" i="1" a="1"/>
  <c r="J172" i="1" s="1"/>
  <c r="J169" i="1" a="1"/>
  <c r="J169" i="1" s="1"/>
  <c r="D165" i="1" a="1"/>
  <c r="D165" i="1" s="1"/>
  <c r="D216" i="1" a="1"/>
  <c r="D216" i="1" s="1"/>
  <c r="J182" i="1" a="1"/>
  <c r="J182" i="1" s="1"/>
  <c r="D180" i="1" a="1"/>
  <c r="D180" i="1" s="1"/>
  <c r="J165" i="1" a="1"/>
  <c r="J165" i="1" s="1"/>
  <c r="J159" i="1" a="1"/>
  <c r="J159" i="1" s="1"/>
  <c r="D110" i="1" a="1"/>
  <c r="D110" i="1" s="1"/>
  <c r="D225" i="1" a="1"/>
  <c r="D225" i="1" s="1"/>
  <c r="D201" i="1" a="1"/>
  <c r="D201" i="1" s="1"/>
  <c r="J183" i="1" a="1"/>
  <c r="J183" i="1" s="1"/>
  <c r="J181" i="1" a="1"/>
  <c r="J181" i="1" s="1"/>
  <c r="J180" i="1" a="1"/>
  <c r="J180" i="1" s="1"/>
  <c r="J156" i="1" a="1"/>
  <c r="J156" i="1" s="1"/>
  <c r="J153" i="1" a="1"/>
  <c r="J153" i="1" s="1"/>
  <c r="D203" i="1" a="1"/>
  <c r="D203" i="1" s="1"/>
  <c r="D198" i="1" a="1"/>
  <c r="D198" i="1" s="1"/>
  <c r="J194" i="1" a="1"/>
  <c r="J194" i="1" s="1"/>
  <c r="J193" i="1" a="1"/>
  <c r="J193" i="1" s="1"/>
  <c r="D191" i="1" a="1"/>
  <c r="D191" i="1" s="1"/>
  <c r="D7" i="1" a="1"/>
  <c r="D7" i="1" s="1"/>
  <c r="D10" i="1" a="1"/>
  <c r="D10" i="1" s="1"/>
  <c r="J24" i="1" a="1"/>
  <c r="J24" i="1" s="1"/>
  <c r="C40" i="1" a="1"/>
  <c r="C40" i="1" s="1"/>
  <c r="R40" i="1" a="1"/>
  <c r="R40" i="1" s="1"/>
  <c r="J40" i="1" a="1"/>
  <c r="J40" i="1" s="1"/>
  <c r="I40" i="1" a="1"/>
  <c r="I40" i="1" s="1"/>
  <c r="D42" i="1" a="1"/>
  <c r="D42" i="1" s="1"/>
  <c r="I57" i="1" a="1"/>
  <c r="I57" i="1" s="1"/>
  <c r="J57" i="1" a="1"/>
  <c r="J57" i="1" s="1"/>
  <c r="D57" i="1" a="1"/>
  <c r="D57" i="1" s="1"/>
  <c r="I59" i="1" a="1"/>
  <c r="I59" i="1" s="1"/>
  <c r="D59" i="1" a="1"/>
  <c r="D59" i="1" s="1"/>
  <c r="C59" i="1" a="1"/>
  <c r="C59" i="1" s="1"/>
  <c r="D62" i="1" a="1"/>
  <c r="D62" i="1" s="1"/>
  <c r="I55" i="1" a="1"/>
  <c r="I55" i="1" s="1"/>
  <c r="J55" i="1" a="1"/>
  <c r="J55" i="1" s="1"/>
  <c r="G60" i="1" a="1"/>
  <c r="G60" i="1" s="1"/>
  <c r="H60" i="1" a="1"/>
  <c r="H60" i="1" s="1"/>
  <c r="E10" i="1" a="1"/>
  <c r="E10" i="1" s="1"/>
  <c r="F18" i="1" a="1"/>
  <c r="F18" i="1" s="1"/>
  <c r="E18" i="1" a="1"/>
  <c r="E18" i="1" s="1"/>
  <c r="L27" i="1" a="1"/>
  <c r="L27" i="1" s="1"/>
  <c r="J32" i="1" a="1"/>
  <c r="J32" i="1" s="1"/>
  <c r="L33" i="1" a="1"/>
  <c r="L33" i="1" s="1"/>
  <c r="D35" i="1" a="1"/>
  <c r="D35" i="1" s="1"/>
  <c r="E40" i="1" a="1"/>
  <c r="E40" i="1" s="1"/>
  <c r="J45" i="1" a="1"/>
  <c r="J45" i="1" s="1"/>
  <c r="I45" i="1" a="1"/>
  <c r="I45" i="1" s="1"/>
  <c r="C45" i="1" a="1"/>
  <c r="C45" i="1" s="1"/>
  <c r="J50" i="1" a="1"/>
  <c r="J50" i="1" s="1"/>
  <c r="C50" i="1" a="1"/>
  <c r="C50" i="1" s="1"/>
  <c r="I50" i="1" a="1"/>
  <c r="I50" i="1" s="1"/>
  <c r="J52" i="1" a="1"/>
  <c r="J52" i="1" s="1"/>
  <c r="E53" i="1" a="1"/>
  <c r="E53" i="1" s="1"/>
  <c r="L53" i="1" a="1"/>
  <c r="L53" i="1" s="1"/>
  <c r="K53" i="1" a="1"/>
  <c r="K53" i="1" s="1"/>
  <c r="D55" i="1" a="1"/>
  <c r="D55" i="1" s="1"/>
  <c r="J68" i="1" a="1"/>
  <c r="J68" i="1" s="1"/>
  <c r="D69" i="1" a="1"/>
  <c r="D69" i="1" s="1"/>
  <c r="J83" i="1" a="1"/>
  <c r="J83" i="1" s="1"/>
  <c r="I83" i="1" a="1"/>
  <c r="I83" i="1" s="1"/>
  <c r="D83" i="1" a="1"/>
  <c r="D83" i="1" s="1"/>
  <c r="C83" i="1" a="1"/>
  <c r="C83" i="1" s="1"/>
  <c r="K10" i="1" a="1"/>
  <c r="K10" i="1" s="1"/>
  <c r="F15" i="1" a="1"/>
  <c r="F15" i="1" s="1"/>
  <c r="F19" i="1" a="1"/>
  <c r="F19" i="1" s="1"/>
  <c r="I22" i="1" a="1"/>
  <c r="I22" i="1" s="1"/>
  <c r="L22" i="1" a="1"/>
  <c r="L22" i="1" s="1"/>
  <c r="F22" i="1" a="1"/>
  <c r="F22" i="1" s="1"/>
  <c r="L24" i="1" a="1"/>
  <c r="L24" i="1" s="1"/>
  <c r="E27" i="1" a="1"/>
  <c r="E27" i="1" s="1"/>
  <c r="J27" i="1" a="1"/>
  <c r="J27" i="1" s="1"/>
  <c r="K28" i="1" a="1"/>
  <c r="K28" i="1" s="1"/>
  <c r="D31" i="1" a="1"/>
  <c r="D31" i="1" s="1"/>
  <c r="D34" i="1" a="1"/>
  <c r="D34" i="1" s="1"/>
  <c r="I34" i="1" a="1"/>
  <c r="I34" i="1" s="1"/>
  <c r="R34" i="1" a="1"/>
  <c r="R34" i="1" s="1"/>
  <c r="R35" i="1" a="1"/>
  <c r="R35" i="1" s="1"/>
  <c r="J35" i="1" a="1"/>
  <c r="J35" i="1" s="1"/>
  <c r="F36" i="1" a="1"/>
  <c r="F36" i="1" s="1"/>
  <c r="K36" i="1" a="1"/>
  <c r="K36" i="1" s="1"/>
  <c r="K37" i="1" a="1"/>
  <c r="K37" i="1" s="1"/>
  <c r="D38" i="1" a="1"/>
  <c r="D38" i="1" s="1"/>
  <c r="K39" i="1" a="1"/>
  <c r="K39" i="1" s="1"/>
  <c r="E39" i="1" a="1"/>
  <c r="E39" i="1" s="1"/>
  <c r="F40" i="1" a="1"/>
  <c r="F40" i="1" s="1"/>
  <c r="L40" i="1" a="1"/>
  <c r="L40" i="1" s="1"/>
  <c r="F42" i="1" a="1"/>
  <c r="F42" i="1" s="1"/>
  <c r="L42" i="1" a="1"/>
  <c r="L42" i="1" s="1"/>
  <c r="F44" i="1" a="1"/>
  <c r="F44" i="1" s="1"/>
  <c r="D48" i="1" a="1"/>
  <c r="D48" i="1" s="1"/>
  <c r="E50" i="1" a="1"/>
  <c r="E50" i="1" s="1"/>
  <c r="E52" i="1" a="1"/>
  <c r="E52" i="1" s="1"/>
  <c r="R53" i="1" a="1"/>
  <c r="R53" i="1" s="1"/>
  <c r="R58" i="1" a="1"/>
  <c r="R58" i="1" s="1"/>
  <c r="D60" i="1" a="1"/>
  <c r="D60" i="1" s="1"/>
  <c r="E63" i="1" a="1"/>
  <c r="E63" i="1" s="1"/>
  <c r="K63" i="1" a="1"/>
  <c r="K63" i="1" s="1"/>
  <c r="E66" i="1" a="1"/>
  <c r="E66" i="1" s="1"/>
  <c r="L68" i="1" a="1"/>
  <c r="L68" i="1" s="1"/>
  <c r="F71" i="1" a="1"/>
  <c r="F71" i="1" s="1"/>
  <c r="F72" i="1" a="1"/>
  <c r="F72" i="1" s="1"/>
  <c r="D74" i="1" a="1"/>
  <c r="D74" i="1" s="1"/>
  <c r="K75" i="1" a="1"/>
  <c r="K75" i="1" s="1"/>
  <c r="D76" i="1" a="1"/>
  <c r="D76" i="1" s="1"/>
  <c r="J76" i="1" a="1"/>
  <c r="J76" i="1" s="1"/>
  <c r="D77" i="1" a="1"/>
  <c r="D77" i="1" s="1"/>
  <c r="D79" i="1" a="1"/>
  <c r="D79" i="1" s="1"/>
  <c r="L79" i="1" a="1"/>
  <c r="L79" i="1" s="1"/>
  <c r="E80" i="1" a="1"/>
  <c r="E80" i="1" s="1"/>
  <c r="L80" i="1" a="1"/>
  <c r="L80" i="1" s="1"/>
  <c r="J82" i="1" a="1"/>
  <c r="J82" i="1" s="1"/>
  <c r="C86" i="1" a="1"/>
  <c r="C86" i="1" s="1"/>
  <c r="R86" i="1" a="1"/>
  <c r="R86" i="1" s="1"/>
  <c r="J86" i="1" a="1"/>
  <c r="J86" i="1" s="1"/>
  <c r="D86" i="1" a="1"/>
  <c r="D86" i="1" s="1"/>
  <c r="E88" i="1" a="1"/>
  <c r="E88" i="1" s="1"/>
  <c r="I89" i="1" a="1"/>
  <c r="I89" i="1" s="1"/>
  <c r="J89" i="1" a="1"/>
  <c r="J89" i="1" s="1"/>
  <c r="D89" i="1" a="1"/>
  <c r="D89" i="1" s="1"/>
  <c r="J90" i="1" a="1"/>
  <c r="J90" i="1" s="1"/>
  <c r="C94" i="1" a="1"/>
  <c r="C94" i="1" s="1"/>
  <c r="R94" i="1" a="1"/>
  <c r="R94" i="1" s="1"/>
  <c r="J94" i="1" a="1"/>
  <c r="J94" i="1" s="1"/>
  <c r="D94" i="1" a="1"/>
  <c r="D94" i="1" s="1"/>
  <c r="E96" i="1" a="1"/>
  <c r="E96" i="1" s="1"/>
  <c r="I97" i="1" a="1"/>
  <c r="I97" i="1" s="1"/>
  <c r="J97" i="1" a="1"/>
  <c r="J97" i="1" s="1"/>
  <c r="D97" i="1" a="1"/>
  <c r="D97" i="1" s="1"/>
  <c r="J98" i="1" a="1"/>
  <c r="J98" i="1" s="1"/>
  <c r="C102" i="1" a="1"/>
  <c r="C102" i="1" s="1"/>
  <c r="R102" i="1" a="1"/>
  <c r="R102" i="1" s="1"/>
  <c r="J102" i="1" a="1"/>
  <c r="J102" i="1" s="1"/>
  <c r="D102" i="1" a="1"/>
  <c r="D102" i="1" s="1"/>
  <c r="I105" i="1" a="1"/>
  <c r="I105" i="1" s="1"/>
  <c r="J105" i="1" a="1"/>
  <c r="J105" i="1" s="1"/>
  <c r="D105" i="1" a="1"/>
  <c r="D105" i="1" s="1"/>
  <c r="J107" i="1" a="1"/>
  <c r="J107" i="1" s="1"/>
  <c r="E108" i="1" a="1"/>
  <c r="E108" i="1" s="1"/>
  <c r="R108" i="1" a="1"/>
  <c r="R108" i="1" s="1"/>
  <c r="D111" i="1" a="1"/>
  <c r="D111" i="1" s="1"/>
  <c r="G112" i="1" a="1"/>
  <c r="G112" i="1" s="1"/>
  <c r="H112" i="1" a="1"/>
  <c r="H112" i="1" s="1"/>
  <c r="K113" i="1" a="1"/>
  <c r="K113" i="1" s="1"/>
  <c r="E114" i="1" a="1"/>
  <c r="E114" i="1" s="1"/>
  <c r="J115" i="1" a="1"/>
  <c r="J115" i="1" s="1"/>
  <c r="I115" i="1" a="1"/>
  <c r="I115" i="1" s="1"/>
  <c r="D115" i="1" a="1"/>
  <c r="D115" i="1" s="1"/>
  <c r="D116" i="1" a="1"/>
  <c r="D116" i="1" s="1"/>
  <c r="F116" i="1" a="1"/>
  <c r="F116" i="1" s="1"/>
  <c r="D118" i="1" a="1"/>
  <c r="D118" i="1" s="1"/>
  <c r="J125" i="1" a="1"/>
  <c r="J125" i="1" s="1"/>
  <c r="L128" i="1" a="1"/>
  <c r="L128" i="1" s="1"/>
  <c r="H129" i="1" a="1"/>
  <c r="H129" i="1" s="1"/>
  <c r="K131" i="1" a="1"/>
  <c r="K131" i="1" s="1"/>
  <c r="C132" i="1" a="1"/>
  <c r="C132" i="1" s="1"/>
  <c r="I132" i="1" a="1"/>
  <c r="I132" i="1" s="1"/>
  <c r="I137" i="1" a="1"/>
  <c r="I137" i="1" s="1"/>
  <c r="R137" i="1" a="1"/>
  <c r="R137" i="1" s="1"/>
  <c r="C137" i="1" a="1"/>
  <c r="C137" i="1" s="1"/>
  <c r="G140" i="1" a="1"/>
  <c r="G140" i="1" s="1"/>
  <c r="H140" i="1" a="1"/>
  <c r="H140" i="1" s="1"/>
  <c r="L145" i="1" a="1"/>
  <c r="L145" i="1" s="1"/>
  <c r="F146" i="1" a="1"/>
  <c r="F146" i="1" s="1"/>
  <c r="J148" i="1" a="1"/>
  <c r="J148" i="1" s="1"/>
  <c r="F149" i="1" a="1"/>
  <c r="F149" i="1" s="1"/>
  <c r="E151" i="1" a="1"/>
  <c r="E151" i="1" s="1"/>
  <c r="L151" i="1" a="1"/>
  <c r="L151" i="1" s="1"/>
  <c r="F151" i="1" a="1"/>
  <c r="F151" i="1" s="1"/>
  <c r="K156" i="1" a="1"/>
  <c r="K156" i="1" s="1"/>
  <c r="F156" i="1" a="1"/>
  <c r="F156" i="1" s="1"/>
  <c r="E156" i="1" a="1"/>
  <c r="E156" i="1" s="1"/>
  <c r="K158" i="1" a="1"/>
  <c r="K158" i="1" s="1"/>
  <c r="F158" i="1" a="1"/>
  <c r="F158" i="1" s="1"/>
  <c r="E158" i="1" a="1"/>
  <c r="E158" i="1" s="1"/>
  <c r="L158" i="1" a="1"/>
  <c r="L158" i="1" s="1"/>
  <c r="H167" i="1" a="1"/>
  <c r="H167" i="1" s="1"/>
  <c r="G167" i="1" a="1"/>
  <c r="G167" i="1" s="1"/>
  <c r="L193" i="1" a="1"/>
  <c r="L193" i="1" s="1"/>
  <c r="G198" i="1" a="1"/>
  <c r="G198" i="1" s="1"/>
  <c r="H198" i="1" a="1"/>
  <c r="H198" i="1" s="1"/>
  <c r="H159" i="1" a="1"/>
  <c r="H159" i="1" s="1"/>
  <c r="K162" i="1" a="1"/>
  <c r="K162" i="1" s="1"/>
  <c r="E162" i="1" a="1"/>
  <c r="E162" i="1" s="1"/>
  <c r="F163" i="1" a="1"/>
  <c r="F163" i="1" s="1"/>
  <c r="K168" i="1" a="1"/>
  <c r="K168" i="1" s="1"/>
  <c r="L168" i="1" a="1"/>
  <c r="L168" i="1" s="1"/>
  <c r="K172" i="1" a="1"/>
  <c r="K172" i="1" s="1"/>
  <c r="F172" i="1" a="1"/>
  <c r="F172" i="1" s="1"/>
  <c r="K174" i="1" a="1"/>
  <c r="K174" i="1" s="1"/>
  <c r="F174" i="1" a="1"/>
  <c r="F174" i="1" s="1"/>
  <c r="I179" i="1" a="1"/>
  <c r="I179" i="1" s="1"/>
  <c r="D179" i="1" a="1"/>
  <c r="D179" i="1" s="1"/>
  <c r="K188" i="1" a="1"/>
  <c r="K188" i="1" s="1"/>
  <c r="F188" i="1" a="1"/>
  <c r="F188" i="1" s="1"/>
  <c r="I189" i="1" a="1"/>
  <c r="I189" i="1" s="1"/>
  <c r="R189" i="1" a="1"/>
  <c r="R189" i="1" s="1"/>
  <c r="J189" i="1" a="1"/>
  <c r="J189" i="1" s="1"/>
  <c r="C200" i="1" a="1"/>
  <c r="C200" i="1" s="1"/>
  <c r="R200" i="1" a="1"/>
  <c r="R200" i="1" s="1"/>
  <c r="J200" i="1" a="1"/>
  <c r="J200" i="1" s="1"/>
  <c r="C202" i="1" a="1"/>
  <c r="C202" i="1" s="1"/>
  <c r="R202" i="1" a="1"/>
  <c r="R202" i="1" s="1"/>
  <c r="J202" i="1" a="1"/>
  <c r="J202" i="1" s="1"/>
  <c r="I202" i="1" a="1"/>
  <c r="I202" i="1" s="1"/>
  <c r="D202" i="1" a="1"/>
  <c r="D202" i="1" s="1"/>
  <c r="E203" i="1" a="1"/>
  <c r="E203" i="1" s="1"/>
  <c r="L203" i="1" a="1"/>
  <c r="L203" i="1" s="1"/>
  <c r="K203" i="1" a="1"/>
  <c r="K203" i="1" s="1"/>
  <c r="F203" i="1" a="1"/>
  <c r="F203" i="1" s="1"/>
  <c r="I205" i="1" a="1"/>
  <c r="I205" i="1" s="1"/>
  <c r="R205" i="1" a="1"/>
  <c r="R205" i="1" s="1"/>
  <c r="J205" i="1" a="1"/>
  <c r="J205" i="1" s="1"/>
  <c r="D205" i="1" a="1"/>
  <c r="D205" i="1" s="1"/>
  <c r="E207" i="1" a="1"/>
  <c r="E207" i="1" s="1"/>
  <c r="K207" i="1" a="1"/>
  <c r="K207" i="1" s="1"/>
  <c r="F207" i="1" a="1"/>
  <c r="F207" i="1" s="1"/>
  <c r="G232" i="1" a="1"/>
  <c r="G232" i="1" s="1"/>
  <c r="H232" i="1" a="1"/>
  <c r="H232" i="1" s="1"/>
  <c r="L274" i="1" a="1"/>
  <c r="L274" i="1" s="1"/>
  <c r="I153" i="1" a="1"/>
  <c r="I153" i="1" s="1"/>
  <c r="C153" i="1" a="1"/>
  <c r="C153" i="1" s="1"/>
  <c r="C154" i="1" a="1"/>
  <c r="C154" i="1" s="1"/>
  <c r="R154" i="1" a="1"/>
  <c r="R154" i="1" s="1"/>
  <c r="J154" i="1" a="1"/>
  <c r="J154" i="1" s="1"/>
  <c r="I157" i="1" a="1"/>
  <c r="I157" i="1" s="1"/>
  <c r="R157" i="1" a="1"/>
  <c r="R157" i="1" s="1"/>
  <c r="J157" i="1" a="1"/>
  <c r="J157" i="1" s="1"/>
  <c r="C158" i="1" a="1"/>
  <c r="C158" i="1" s="1"/>
  <c r="I158" i="1" a="1"/>
  <c r="I158" i="1" s="1"/>
  <c r="D158" i="1" a="1"/>
  <c r="D158" i="1" s="1"/>
  <c r="E159" i="1" a="1"/>
  <c r="E159" i="1" s="1"/>
  <c r="K159" i="1" a="1"/>
  <c r="K159" i="1" s="1"/>
  <c r="F159" i="1" a="1"/>
  <c r="F159" i="1" s="1"/>
  <c r="E161" i="1" a="1"/>
  <c r="E161" i="1" s="1"/>
  <c r="K161" i="1" a="1"/>
  <c r="K161" i="1" s="1"/>
  <c r="F161" i="1" a="1"/>
  <c r="F161" i="1" s="1"/>
  <c r="F168" i="1" a="1"/>
  <c r="F168" i="1" s="1"/>
  <c r="E169" i="1" a="1"/>
  <c r="E169" i="1" s="1"/>
  <c r="L169" i="1" a="1"/>
  <c r="L169" i="1" s="1"/>
  <c r="E171" i="1" a="1"/>
  <c r="E171" i="1" s="1"/>
  <c r="L171" i="1" a="1"/>
  <c r="L171" i="1" s="1"/>
  <c r="H177" i="1" a="1"/>
  <c r="H177" i="1" s="1"/>
  <c r="E177" i="1" a="1"/>
  <c r="E177" i="1" s="1"/>
  <c r="K177" i="1" a="1"/>
  <c r="K177" i="1" s="1"/>
  <c r="F177" i="1" a="1"/>
  <c r="F177" i="1" s="1"/>
  <c r="J179" i="1" a="1"/>
  <c r="J179" i="1" s="1"/>
  <c r="H192" i="1" a="1"/>
  <c r="H192" i="1" s="1"/>
  <c r="C192" i="1" a="1"/>
  <c r="C192" i="1" s="1"/>
  <c r="I192" i="1" a="1"/>
  <c r="I192" i="1" s="1"/>
  <c r="D192" i="1" a="1"/>
  <c r="D192" i="1" s="1"/>
  <c r="K206" i="1" a="1"/>
  <c r="K206" i="1" s="1"/>
  <c r="F206" i="1" a="1"/>
  <c r="F206" i="1" s="1"/>
  <c r="E206" i="1" a="1"/>
  <c r="E206" i="1" s="1"/>
  <c r="I207" i="1" a="1"/>
  <c r="I207" i="1" s="1"/>
  <c r="R207" i="1" a="1"/>
  <c r="R207" i="1" s="1"/>
  <c r="J207" i="1" a="1"/>
  <c r="J207" i="1" s="1"/>
  <c r="G247" i="1" a="1"/>
  <c r="G247" i="1" s="1"/>
  <c r="H247" i="1" a="1"/>
  <c r="H247" i="1" s="1"/>
  <c r="J263" i="1" a="1"/>
  <c r="J263" i="1" s="1"/>
  <c r="I106" i="1" a="1"/>
  <c r="I106" i="1" s="1"/>
  <c r="K110" i="1" a="1"/>
  <c r="K110" i="1" s="1"/>
  <c r="F110" i="1" a="1"/>
  <c r="F110" i="1" s="1"/>
  <c r="I135" i="1" a="1"/>
  <c r="I135" i="1" s="1"/>
  <c r="C135" i="1" a="1"/>
  <c r="C135" i="1" s="1"/>
  <c r="C152" i="1" a="1"/>
  <c r="C152" i="1" s="1"/>
  <c r="R152" i="1" a="1"/>
  <c r="R152" i="1" s="1"/>
  <c r="J152" i="1" a="1"/>
  <c r="J152" i="1" s="1"/>
  <c r="D153" i="1" a="1"/>
  <c r="D153" i="1" s="1"/>
  <c r="D156" i="1" a="1"/>
  <c r="D156" i="1" s="1"/>
  <c r="C157" i="1" a="1"/>
  <c r="C157" i="1" s="1"/>
  <c r="J158" i="1" a="1"/>
  <c r="J158" i="1" s="1"/>
  <c r="C160" i="1" a="1"/>
  <c r="C160" i="1" s="1"/>
  <c r="I160" i="1" a="1"/>
  <c r="I160" i="1" s="1"/>
  <c r="D160" i="1" a="1"/>
  <c r="D160" i="1" s="1"/>
  <c r="I161" i="1" a="1"/>
  <c r="I161" i="1" s="1"/>
  <c r="D161" i="1" a="1"/>
  <c r="D161" i="1" s="1"/>
  <c r="H163" i="1" a="1"/>
  <c r="H163" i="1" s="1"/>
  <c r="I171" i="1" a="1"/>
  <c r="I171" i="1" s="1"/>
  <c r="R171" i="1" a="1"/>
  <c r="R171" i="1" s="1"/>
  <c r="J171" i="1" a="1"/>
  <c r="J171" i="1" s="1"/>
  <c r="I172" i="1" a="1"/>
  <c r="I172" i="1" s="1"/>
  <c r="R172" i="1" a="1"/>
  <c r="R172" i="1" s="1"/>
  <c r="I177" i="1" a="1"/>
  <c r="I177" i="1" s="1"/>
  <c r="D177" i="1" a="1"/>
  <c r="D177" i="1" s="1"/>
  <c r="K181" i="1" a="1"/>
  <c r="K181" i="1" s="1"/>
  <c r="K183" i="1" a="1"/>
  <c r="K183" i="1" s="1"/>
  <c r="E185" i="1" a="1"/>
  <c r="E185" i="1" s="1"/>
  <c r="L185" i="1" a="1"/>
  <c r="L185" i="1" s="1"/>
  <c r="C186" i="1" a="1"/>
  <c r="C186" i="1" s="1"/>
  <c r="R186" i="1" a="1"/>
  <c r="R186" i="1" s="1"/>
  <c r="J186" i="1" a="1"/>
  <c r="J186" i="1" s="1"/>
  <c r="I200" i="1" a="1"/>
  <c r="I200" i="1" s="1"/>
  <c r="I203" i="1" a="1"/>
  <c r="I203" i="1" s="1"/>
  <c r="R203" i="1" a="1"/>
  <c r="R203" i="1" s="1"/>
  <c r="J203" i="1" a="1"/>
  <c r="J203" i="1" s="1"/>
  <c r="C203" i="1" a="1"/>
  <c r="C203" i="1" s="1"/>
  <c r="H211" i="1" a="1"/>
  <c r="H211" i="1" s="1"/>
  <c r="G211" i="1" a="1"/>
  <c r="G211" i="1" s="1"/>
  <c r="E211" i="1" a="1"/>
  <c r="E211" i="1" s="1"/>
  <c r="K211" i="1" a="1"/>
  <c r="K211" i="1" s="1"/>
  <c r="F211" i="1" a="1"/>
  <c r="F211" i="1" s="1"/>
  <c r="E213" i="1" a="1"/>
  <c r="E213" i="1" s="1"/>
  <c r="L213" i="1" a="1"/>
  <c r="L213" i="1" s="1"/>
  <c r="K213" i="1" a="1"/>
  <c r="K213" i="1" s="1"/>
  <c r="F213" i="1" a="1"/>
  <c r="F213" i="1" s="1"/>
  <c r="K220" i="1" a="1"/>
  <c r="K220" i="1" s="1"/>
  <c r="L220" i="1" a="1"/>
  <c r="L220" i="1" s="1"/>
  <c r="E220" i="1" a="1"/>
  <c r="E220" i="1" s="1"/>
  <c r="F220" i="1" a="1"/>
  <c r="F220" i="1" s="1"/>
  <c r="E221" i="1" a="1"/>
  <c r="E221" i="1" s="1"/>
  <c r="K221" i="1" a="1"/>
  <c r="K221" i="1" s="1"/>
  <c r="E223" i="1" a="1"/>
  <c r="E223" i="1" s="1"/>
  <c r="L223" i="1" a="1"/>
  <c r="L223" i="1" s="1"/>
  <c r="F223" i="1" a="1"/>
  <c r="F223" i="1" s="1"/>
  <c r="K223" i="1" a="1"/>
  <c r="K223" i="1" s="1"/>
  <c r="I169" i="1" a="1"/>
  <c r="I169" i="1" s="1"/>
  <c r="C169" i="1" a="1"/>
  <c r="C169" i="1" s="1"/>
  <c r="C170" i="1" a="1"/>
  <c r="C170" i="1" s="1"/>
  <c r="R170" i="1" a="1"/>
  <c r="R170" i="1" s="1"/>
  <c r="J170" i="1" a="1"/>
  <c r="J170" i="1" s="1"/>
  <c r="I173" i="1" a="1"/>
  <c r="I173" i="1" s="1"/>
  <c r="R173" i="1" a="1"/>
  <c r="R173" i="1" s="1"/>
  <c r="J173" i="1" a="1"/>
  <c r="J173" i="1" s="1"/>
  <c r="C174" i="1" a="1"/>
  <c r="C174" i="1" s="1"/>
  <c r="I174" i="1" a="1"/>
  <c r="I174" i="1" s="1"/>
  <c r="D174" i="1" a="1"/>
  <c r="D174" i="1" s="1"/>
  <c r="E175" i="1" a="1"/>
  <c r="E175" i="1" s="1"/>
  <c r="K175" i="1" a="1"/>
  <c r="K175" i="1" s="1"/>
  <c r="F175" i="1" a="1"/>
  <c r="F175" i="1" s="1"/>
  <c r="C179" i="1" a="1"/>
  <c r="C179" i="1" s="1"/>
  <c r="C188" i="1" a="1"/>
  <c r="C188" i="1" s="1"/>
  <c r="R188" i="1" a="1"/>
  <c r="R188" i="1" s="1"/>
  <c r="J188" i="1" a="1"/>
  <c r="J188" i="1" s="1"/>
  <c r="C189" i="1" a="1"/>
  <c r="C189" i="1" s="1"/>
  <c r="K190" i="1" a="1"/>
  <c r="K190" i="1" s="1"/>
  <c r="F190" i="1" a="1"/>
  <c r="F190" i="1" s="1"/>
  <c r="E191" i="1" a="1"/>
  <c r="E191" i="1" s="1"/>
  <c r="K191" i="1" a="1"/>
  <c r="K191" i="1" s="1"/>
  <c r="F191" i="1" a="1"/>
  <c r="F191" i="1" s="1"/>
  <c r="K194" i="1" a="1"/>
  <c r="K194" i="1" s="1"/>
  <c r="E194" i="1" a="1"/>
  <c r="E194" i="1" s="1"/>
  <c r="H201" i="1" a="1"/>
  <c r="H201" i="1" s="1"/>
  <c r="E201" i="1" a="1"/>
  <c r="E201" i="1" s="1"/>
  <c r="L201" i="1" a="1"/>
  <c r="L201" i="1" s="1"/>
  <c r="K204" i="1" a="1"/>
  <c r="K204" i="1" s="1"/>
  <c r="F204" i="1" a="1"/>
  <c r="F204" i="1" s="1"/>
  <c r="G206" i="1" a="1"/>
  <c r="G206" i="1" s="1"/>
  <c r="H206" i="1" a="1"/>
  <c r="H206" i="1" s="1"/>
  <c r="H210" i="1" a="1"/>
  <c r="H210" i="1" s="1"/>
  <c r="H217" i="1" a="1"/>
  <c r="H217" i="1" s="1"/>
  <c r="H221" i="1" a="1"/>
  <c r="H221" i="1" s="1"/>
  <c r="G221" i="1" a="1"/>
  <c r="G221" i="1" s="1"/>
  <c r="E227" i="1" a="1"/>
  <c r="E227" i="1" s="1"/>
  <c r="F227" i="1" a="1"/>
  <c r="F227" i="1" s="1"/>
  <c r="L227" i="1" a="1"/>
  <c r="L227" i="1" s="1"/>
  <c r="K227" i="1" a="1"/>
  <c r="K227" i="1" s="1"/>
  <c r="E233" i="1" a="1"/>
  <c r="E233" i="1" s="1"/>
  <c r="L233" i="1" a="1"/>
  <c r="L233" i="1" s="1"/>
  <c r="K233" i="1" a="1"/>
  <c r="K233" i="1" s="1"/>
  <c r="F233" i="1" a="1"/>
  <c r="F233" i="1" s="1"/>
  <c r="I244" i="1" a="1"/>
  <c r="I244" i="1" s="1"/>
  <c r="R244" i="1" a="1"/>
  <c r="R244" i="1" s="1"/>
  <c r="D244" i="1" a="1"/>
  <c r="D244" i="1" s="1"/>
  <c r="C244" i="1" a="1"/>
  <c r="C244" i="1" s="1"/>
  <c r="J244" i="1" a="1"/>
  <c r="J244" i="1" s="1"/>
  <c r="F84" i="1" a="1"/>
  <c r="F84" i="1" s="1"/>
  <c r="F92" i="1" a="1"/>
  <c r="F92" i="1" s="1"/>
  <c r="F100" i="1" a="1"/>
  <c r="F100" i="1" s="1"/>
  <c r="E106" i="1" a="1"/>
  <c r="E106" i="1" s="1"/>
  <c r="J106" i="1" a="1"/>
  <c r="J106" i="1" s="1"/>
  <c r="E110" i="1" a="1"/>
  <c r="E110" i="1" s="1"/>
  <c r="C114" i="1" a="1"/>
  <c r="C114" i="1" s="1"/>
  <c r="D114" i="1" a="1"/>
  <c r="D114" i="1" s="1"/>
  <c r="J117" i="1" a="1"/>
  <c r="J117" i="1" s="1"/>
  <c r="R117" i="1" a="1"/>
  <c r="R117" i="1" s="1"/>
  <c r="C120" i="1" a="1"/>
  <c r="C120" i="1" s="1"/>
  <c r="R120" i="1" a="1"/>
  <c r="R120" i="1" s="1"/>
  <c r="J120" i="1" a="1"/>
  <c r="J120" i="1" s="1"/>
  <c r="F122" i="1" a="1"/>
  <c r="F122" i="1" s="1"/>
  <c r="L122" i="1" a="1"/>
  <c r="L122" i="1" s="1"/>
  <c r="I123" i="1" a="1"/>
  <c r="I123" i="1" s="1"/>
  <c r="R123" i="1" a="1"/>
  <c r="R123" i="1" s="1"/>
  <c r="J123" i="1" a="1"/>
  <c r="J123" i="1" s="1"/>
  <c r="K124" i="1" a="1"/>
  <c r="K124" i="1" s="1"/>
  <c r="F124" i="1" a="1"/>
  <c r="F124" i="1" s="1"/>
  <c r="D131" i="1" a="1"/>
  <c r="D131" i="1" s="1"/>
  <c r="J131" i="1" a="1"/>
  <c r="J131" i="1" s="1"/>
  <c r="R131" i="1" a="1"/>
  <c r="R131" i="1" s="1"/>
  <c r="K134" i="1" a="1"/>
  <c r="K134" i="1" s="1"/>
  <c r="L134" i="1" a="1"/>
  <c r="L134" i="1" s="1"/>
  <c r="C136" i="1" a="1"/>
  <c r="C136" i="1" s="1"/>
  <c r="R136" i="1" a="1"/>
  <c r="R136" i="1" s="1"/>
  <c r="J136" i="1" a="1"/>
  <c r="J136" i="1" s="1"/>
  <c r="F138" i="1" a="1"/>
  <c r="F138" i="1" s="1"/>
  <c r="L138" i="1" a="1"/>
  <c r="L138" i="1" s="1"/>
  <c r="I139" i="1" a="1"/>
  <c r="I139" i="1" s="1"/>
  <c r="R139" i="1" a="1"/>
  <c r="R139" i="1" s="1"/>
  <c r="J139" i="1" a="1"/>
  <c r="J139" i="1" s="1"/>
  <c r="K140" i="1" a="1"/>
  <c r="K140" i="1" s="1"/>
  <c r="F140" i="1" a="1"/>
  <c r="F140" i="1" s="1"/>
  <c r="D147" i="1" a="1"/>
  <c r="D147" i="1" s="1"/>
  <c r="J147" i="1" a="1"/>
  <c r="J147" i="1" s="1"/>
  <c r="R147" i="1" a="1"/>
  <c r="R147" i="1" s="1"/>
  <c r="K150" i="1" a="1"/>
  <c r="K150" i="1" s="1"/>
  <c r="L150" i="1" a="1"/>
  <c r="L150" i="1" s="1"/>
  <c r="L159" i="1" a="1"/>
  <c r="L159" i="1" s="1"/>
  <c r="I163" i="1" a="1"/>
  <c r="I163" i="1" s="1"/>
  <c r="D163" i="1" a="1"/>
  <c r="D163" i="1" s="1"/>
  <c r="L165" i="1" a="1"/>
  <c r="L165" i="1" s="1"/>
  <c r="C168" i="1" a="1"/>
  <c r="C168" i="1" s="1"/>
  <c r="R168" i="1" a="1"/>
  <c r="R168" i="1" s="1"/>
  <c r="J168" i="1" a="1"/>
  <c r="J168" i="1" s="1"/>
  <c r="D169" i="1" a="1"/>
  <c r="D169" i="1" s="1"/>
  <c r="C171" i="1" a="1"/>
  <c r="C171" i="1" s="1"/>
  <c r="D172" i="1" a="1"/>
  <c r="D172" i="1" s="1"/>
  <c r="C173" i="1" a="1"/>
  <c r="C173" i="1" s="1"/>
  <c r="J174" i="1" a="1"/>
  <c r="J174" i="1" s="1"/>
  <c r="C176" i="1" a="1"/>
  <c r="C176" i="1" s="1"/>
  <c r="I176" i="1" a="1"/>
  <c r="I176" i="1" s="1"/>
  <c r="D176" i="1" a="1"/>
  <c r="D176" i="1" s="1"/>
  <c r="E187" i="1" a="1"/>
  <c r="E187" i="1" s="1"/>
  <c r="L187" i="1" a="1"/>
  <c r="L187" i="1" s="1"/>
  <c r="I188" i="1" a="1"/>
  <c r="I188" i="1" s="1"/>
  <c r="D189" i="1" a="1"/>
  <c r="D189" i="1" s="1"/>
  <c r="I191" i="1" a="1"/>
  <c r="I191" i="1" s="1"/>
  <c r="R191" i="1" a="1"/>
  <c r="R191" i="1" s="1"/>
  <c r="J191" i="1" a="1"/>
  <c r="J191" i="1" s="1"/>
  <c r="G201" i="1" a="1"/>
  <c r="G201" i="1" s="1"/>
  <c r="K202" i="1" a="1"/>
  <c r="K202" i="1" s="1"/>
  <c r="L202" i="1" a="1"/>
  <c r="L202" i="1" s="1"/>
  <c r="E204" i="1" a="1"/>
  <c r="E204" i="1" s="1"/>
  <c r="L207" i="1" a="1"/>
  <c r="L207" i="1" s="1"/>
  <c r="C208" i="1" a="1"/>
  <c r="C208" i="1" s="1"/>
  <c r="I208" i="1" a="1"/>
  <c r="I208" i="1" s="1"/>
  <c r="D208" i="1" a="1"/>
  <c r="D208" i="1" s="1"/>
  <c r="H213" i="1" a="1"/>
  <c r="H213" i="1" s="1"/>
  <c r="H227" i="1" a="1"/>
  <c r="H227" i="1" s="1"/>
  <c r="G227" i="1" a="1"/>
  <c r="G227" i="1" s="1"/>
  <c r="E229" i="1" a="1"/>
  <c r="E229" i="1" s="1"/>
  <c r="K229" i="1" a="1"/>
  <c r="K229" i="1" s="1"/>
  <c r="F229" i="1" a="1"/>
  <c r="F229" i="1" s="1"/>
  <c r="L229" i="1" a="1"/>
  <c r="L229" i="1" s="1"/>
  <c r="G230" i="1" a="1"/>
  <c r="G230" i="1" s="1"/>
  <c r="H230" i="1" a="1"/>
  <c r="H230" i="1" s="1"/>
  <c r="G233" i="1" a="1"/>
  <c r="G233" i="1" s="1"/>
  <c r="H233" i="1" a="1"/>
  <c r="H233" i="1" s="1"/>
  <c r="H238" i="1" a="1"/>
  <c r="H238" i="1" s="1"/>
  <c r="G238" i="1" a="1"/>
  <c r="G238" i="1" s="1"/>
  <c r="K61" i="1" a="1"/>
  <c r="K61" i="1" s="1"/>
  <c r="C106" i="1" a="1"/>
  <c r="C106" i="1" s="1"/>
  <c r="D106" i="1" a="1"/>
  <c r="D106" i="1" s="1"/>
  <c r="K116" i="1" a="1"/>
  <c r="K116" i="1" s="1"/>
  <c r="L116" i="1" a="1"/>
  <c r="L116" i="1" s="1"/>
  <c r="C126" i="1" a="1"/>
  <c r="C126" i="1" s="1"/>
  <c r="I126" i="1" a="1"/>
  <c r="I126" i="1" s="1"/>
  <c r="D126" i="1" a="1"/>
  <c r="D126" i="1" s="1"/>
  <c r="I129" i="1" a="1"/>
  <c r="I129" i="1" s="1"/>
  <c r="D129" i="1" a="1"/>
  <c r="D129" i="1" s="1"/>
  <c r="C142" i="1" a="1"/>
  <c r="C142" i="1" s="1"/>
  <c r="I142" i="1" a="1"/>
  <c r="I142" i="1" s="1"/>
  <c r="D142" i="1" a="1"/>
  <c r="D142" i="1" s="1"/>
  <c r="I145" i="1" a="1"/>
  <c r="I145" i="1" s="1"/>
  <c r="D145" i="1" a="1"/>
  <c r="D145" i="1" s="1"/>
  <c r="L161" i="1" a="1"/>
  <c r="L161" i="1" s="1"/>
  <c r="H164" i="1" a="1"/>
  <c r="H164" i="1" s="1"/>
  <c r="F165" i="1" a="1"/>
  <c r="F165" i="1" s="1"/>
  <c r="K169" i="1" a="1"/>
  <c r="K169" i="1" s="1"/>
  <c r="D170" i="1" a="1"/>
  <c r="D170" i="1" s="1"/>
  <c r="K171" i="1" a="1"/>
  <c r="K171" i="1" s="1"/>
  <c r="L172" i="1" a="1"/>
  <c r="L172" i="1" s="1"/>
  <c r="D173" i="1" a="1"/>
  <c r="D173" i="1" s="1"/>
  <c r="L177" i="1" a="1"/>
  <c r="L177" i="1" s="1"/>
  <c r="I195" i="1" a="1"/>
  <c r="I195" i="1" s="1"/>
  <c r="D195" i="1" a="1"/>
  <c r="D195" i="1" s="1"/>
  <c r="G214" i="1" a="1"/>
  <c r="G214" i="1" s="1"/>
  <c r="H214" i="1" a="1"/>
  <c r="H214" i="1" s="1"/>
  <c r="G271" i="1" a="1"/>
  <c r="G271" i="1" s="1"/>
  <c r="H271" i="1" a="1"/>
  <c r="H271" i="1" s="1"/>
  <c r="L174" i="1" a="1"/>
  <c r="L174" i="1" s="1"/>
  <c r="K178" i="1" a="1"/>
  <c r="K178" i="1" s="1"/>
  <c r="E178" i="1" a="1"/>
  <c r="E178" i="1" s="1"/>
  <c r="K186" i="1" a="1"/>
  <c r="K186" i="1" s="1"/>
  <c r="L186" i="1" a="1"/>
  <c r="L186" i="1" s="1"/>
  <c r="I187" i="1" a="1"/>
  <c r="I187" i="1" s="1"/>
  <c r="R187" i="1" a="1"/>
  <c r="R187" i="1" s="1"/>
  <c r="J187" i="1" a="1"/>
  <c r="J187" i="1" s="1"/>
  <c r="C187" i="1" a="1"/>
  <c r="C187" i="1" s="1"/>
  <c r="C190" i="1" a="1"/>
  <c r="C190" i="1" s="1"/>
  <c r="I190" i="1" a="1"/>
  <c r="I190" i="1" s="1"/>
  <c r="D190" i="1" a="1"/>
  <c r="D190" i="1" s="1"/>
  <c r="K192" i="1" a="1"/>
  <c r="K192" i="1" s="1"/>
  <c r="F192" i="1" a="1"/>
  <c r="F192" i="1" s="1"/>
  <c r="H193" i="1" a="1"/>
  <c r="H193" i="1" s="1"/>
  <c r="E193" i="1" a="1"/>
  <c r="E193" i="1" s="1"/>
  <c r="K193" i="1" a="1"/>
  <c r="K193" i="1" s="1"/>
  <c r="F193" i="1" a="1"/>
  <c r="F193" i="1" s="1"/>
  <c r="C204" i="1" a="1"/>
  <c r="C204" i="1" s="1"/>
  <c r="R204" i="1" a="1"/>
  <c r="R204" i="1" s="1"/>
  <c r="J204" i="1" a="1"/>
  <c r="J204" i="1" s="1"/>
  <c r="C205" i="1" a="1"/>
  <c r="C205" i="1" s="1"/>
  <c r="H209" i="1" a="1"/>
  <c r="H209" i="1" s="1"/>
  <c r="L211" i="1" a="1"/>
  <c r="L211" i="1" s="1"/>
  <c r="F228" i="1" a="1"/>
  <c r="F228" i="1" s="1"/>
  <c r="L61" i="1" a="1"/>
  <c r="L61" i="1" s="1"/>
  <c r="I90" i="1" a="1"/>
  <c r="I90" i="1" s="1"/>
  <c r="I98" i="1" a="1"/>
  <c r="I98" i="1" s="1"/>
  <c r="E119" i="1" a="1"/>
  <c r="E119" i="1" s="1"/>
  <c r="F119" i="1" a="1"/>
  <c r="F119" i="1" s="1"/>
  <c r="E155" i="1" a="1"/>
  <c r="E155" i="1" s="1"/>
  <c r="L155" i="1" a="1"/>
  <c r="L155" i="1" s="1"/>
  <c r="G159" i="1" a="1"/>
  <c r="G159" i="1" s="1"/>
  <c r="F162" i="1" a="1"/>
  <c r="F162" i="1" s="1"/>
  <c r="L163" i="1" a="1"/>
  <c r="L163" i="1" s="1"/>
  <c r="H165" i="1" a="1"/>
  <c r="H165" i="1" s="1"/>
  <c r="F169" i="1" a="1"/>
  <c r="F169" i="1" s="1"/>
  <c r="F170" i="1" a="1"/>
  <c r="F170" i="1" s="1"/>
  <c r="F171" i="1" a="1"/>
  <c r="F171" i="1" s="1"/>
  <c r="E174" i="1" a="1"/>
  <c r="E174" i="1" s="1"/>
  <c r="R179" i="1" a="1"/>
  <c r="R179" i="1" s="1"/>
  <c r="C184" i="1" a="1"/>
  <c r="C184" i="1" s="1"/>
  <c r="R184" i="1" a="1"/>
  <c r="R184" i="1" s="1"/>
  <c r="J184" i="1" a="1"/>
  <c r="J184" i="1" s="1"/>
  <c r="E186" i="1" a="1"/>
  <c r="E186" i="1" s="1"/>
  <c r="D188" i="1" a="1"/>
  <c r="D188" i="1" s="1"/>
  <c r="E189" i="1" a="1"/>
  <c r="E189" i="1" s="1"/>
  <c r="L189" i="1" a="1"/>
  <c r="L189" i="1" s="1"/>
  <c r="J190" i="1" a="1"/>
  <c r="J190" i="1" s="1"/>
  <c r="L191" i="1" a="1"/>
  <c r="L191" i="1" s="1"/>
  <c r="E192" i="1" a="1"/>
  <c r="E192" i="1" s="1"/>
  <c r="I193" i="1" a="1"/>
  <c r="I193" i="1" s="1"/>
  <c r="D193" i="1" a="1"/>
  <c r="D193" i="1" s="1"/>
  <c r="K201" i="1" a="1"/>
  <c r="K201" i="1" s="1"/>
  <c r="I204" i="1" a="1"/>
  <c r="I204" i="1" s="1"/>
  <c r="E205" i="1" a="1"/>
  <c r="E205" i="1" s="1"/>
  <c r="L205" i="1" a="1"/>
  <c r="L205" i="1" s="1"/>
  <c r="L206" i="1" a="1"/>
  <c r="L206" i="1" s="1"/>
  <c r="L221" i="1" a="1"/>
  <c r="L221" i="1" s="1"/>
  <c r="C222" i="1" a="1"/>
  <c r="C222" i="1" s="1"/>
  <c r="R222" i="1" a="1"/>
  <c r="R222" i="1" s="1"/>
  <c r="J222" i="1" a="1"/>
  <c r="J222" i="1" s="1"/>
  <c r="D222" i="1" a="1"/>
  <c r="D222" i="1" s="1"/>
  <c r="H240" i="1" a="1"/>
  <c r="H240" i="1" s="1"/>
  <c r="G240" i="1" a="1"/>
  <c r="G240" i="1" s="1"/>
  <c r="D242" i="1" a="1"/>
  <c r="D242" i="1" s="1"/>
  <c r="D277" i="1" a="1"/>
  <c r="D277" i="1" s="1"/>
  <c r="F208" i="1" a="1"/>
  <c r="F208" i="1" s="1"/>
  <c r="E214" i="1" a="1"/>
  <c r="E214" i="1" s="1"/>
  <c r="E224" i="1" a="1"/>
  <c r="E224" i="1" s="1"/>
  <c r="D226" i="1" a="1"/>
  <c r="D226" i="1" s="1"/>
  <c r="R229" i="1" a="1"/>
  <c r="R229" i="1" s="1"/>
  <c r="K232" i="1" a="1"/>
  <c r="K232" i="1" s="1"/>
  <c r="L232" i="1" a="1"/>
  <c r="L232" i="1" s="1"/>
  <c r="E232" i="1" a="1"/>
  <c r="E232" i="1" s="1"/>
  <c r="K235" i="1" a="1"/>
  <c r="K235" i="1" s="1"/>
  <c r="F235" i="1" a="1"/>
  <c r="F235" i="1" s="1"/>
  <c r="L235" i="1" a="1"/>
  <c r="L235" i="1" s="1"/>
  <c r="I236" i="1" a="1"/>
  <c r="I236" i="1" s="1"/>
  <c r="R236" i="1" a="1"/>
  <c r="R236" i="1" s="1"/>
  <c r="D236" i="1" a="1"/>
  <c r="D236" i="1" s="1"/>
  <c r="C236" i="1" a="1"/>
  <c r="C236" i="1" s="1"/>
  <c r="I237" i="1" a="1"/>
  <c r="I237" i="1" s="1"/>
  <c r="H243" i="1" a="1"/>
  <c r="H243" i="1" s="1"/>
  <c r="I246" i="1" a="1"/>
  <c r="I246" i="1" s="1"/>
  <c r="C246" i="1" a="1"/>
  <c r="C246" i="1" s="1"/>
  <c r="D246" i="1" a="1"/>
  <c r="D246" i="1" s="1"/>
  <c r="K263" i="1" a="1"/>
  <c r="K263" i="1" s="1"/>
  <c r="L263" i="1" a="1"/>
  <c r="L263" i="1" s="1"/>
  <c r="E263" i="1" a="1"/>
  <c r="E263" i="1" s="1"/>
  <c r="I268" i="1" a="1"/>
  <c r="I268" i="1" s="1"/>
  <c r="R268" i="1" a="1"/>
  <c r="R268" i="1" s="1"/>
  <c r="D268" i="1" a="1"/>
  <c r="D268" i="1" s="1"/>
  <c r="C268" i="1" a="1"/>
  <c r="C268" i="1" s="1"/>
  <c r="C273" i="1" a="1"/>
  <c r="C273" i="1" s="1"/>
  <c r="R273" i="1" a="1"/>
  <c r="R273" i="1" s="1"/>
  <c r="J273" i="1" a="1"/>
  <c r="J273" i="1" s="1"/>
  <c r="D273" i="1" a="1"/>
  <c r="D273" i="1" s="1"/>
  <c r="F274" i="1" a="1"/>
  <c r="F274" i="1" s="1"/>
  <c r="E302" i="1" a="1"/>
  <c r="E302" i="1" s="1"/>
  <c r="L302" i="1" a="1"/>
  <c r="L302" i="1" s="1"/>
  <c r="K302" i="1" a="1"/>
  <c r="K302" i="1" s="1"/>
  <c r="F302" i="1" a="1"/>
  <c r="F302" i="1" s="1"/>
  <c r="G235" i="1" a="1"/>
  <c r="G235" i="1" s="1"/>
  <c r="H235" i="1" a="1"/>
  <c r="H235" i="1" s="1"/>
  <c r="E254" i="1" a="1"/>
  <c r="E254" i="1" s="1"/>
  <c r="L254" i="1" a="1"/>
  <c r="L254" i="1" s="1"/>
  <c r="K254" i="1" a="1"/>
  <c r="K254" i="1" s="1"/>
  <c r="G258" i="1" a="1"/>
  <c r="G258" i="1" s="1"/>
  <c r="H258" i="1" a="1"/>
  <c r="H258" i="1" s="1"/>
  <c r="E258" i="1" a="1"/>
  <c r="E258" i="1" s="1"/>
  <c r="L258" i="1" a="1"/>
  <c r="L258" i="1" s="1"/>
  <c r="F258" i="1" a="1"/>
  <c r="F258" i="1" s="1"/>
  <c r="I270" i="1" a="1"/>
  <c r="I270" i="1" s="1"/>
  <c r="C270" i="1" a="1"/>
  <c r="C270" i="1" s="1"/>
  <c r="D270" i="1" a="1"/>
  <c r="D270" i="1" s="1"/>
  <c r="R270" i="1" a="1"/>
  <c r="R270" i="1" s="1"/>
  <c r="J270" i="1" a="1"/>
  <c r="J270" i="1" s="1"/>
  <c r="G283" i="1" a="1"/>
  <c r="G283" i="1" s="1"/>
  <c r="H283" i="1" a="1"/>
  <c r="H283" i="1" s="1"/>
  <c r="G289" i="1" a="1"/>
  <c r="G289" i="1" s="1"/>
  <c r="H289" i="1" a="1"/>
  <c r="H289" i="1" s="1"/>
  <c r="G299" i="1" a="1"/>
  <c r="G299" i="1" s="1"/>
  <c r="H299" i="1" a="1"/>
  <c r="H299" i="1" s="1"/>
  <c r="G302" i="1" a="1"/>
  <c r="G302" i="1" s="1"/>
  <c r="H302" i="1" a="1"/>
  <c r="H302" i="1" s="1"/>
  <c r="L312" i="1" a="1"/>
  <c r="L312" i="1" s="1"/>
  <c r="C151" i="1" a="1"/>
  <c r="C151" i="1" s="1"/>
  <c r="L166" i="1" a="1"/>
  <c r="L166" i="1" s="1"/>
  <c r="C167" i="1" a="1"/>
  <c r="C167" i="1" s="1"/>
  <c r="L182" i="1" a="1"/>
  <c r="L182" i="1" s="1"/>
  <c r="C183" i="1" a="1"/>
  <c r="C183" i="1" s="1"/>
  <c r="L198" i="1" a="1"/>
  <c r="L198" i="1" s="1"/>
  <c r="C199" i="1" a="1"/>
  <c r="C199" i="1" s="1"/>
  <c r="D206" i="1" a="1"/>
  <c r="D206" i="1" s="1"/>
  <c r="I206" i="1" a="1"/>
  <c r="I206" i="1" s="1"/>
  <c r="D209" i="1" a="1"/>
  <c r="D209" i="1" s="1"/>
  <c r="E210" i="1" a="1"/>
  <c r="E210" i="1" s="1"/>
  <c r="L214" i="1" a="1"/>
  <c r="L214" i="1" s="1"/>
  <c r="C215" i="1" a="1"/>
  <c r="C215" i="1" s="1"/>
  <c r="J216" i="1" a="1"/>
  <c r="J216" i="1" s="1"/>
  <c r="R216" i="1" a="1"/>
  <c r="R216" i="1" s="1"/>
  <c r="L217" i="1" a="1"/>
  <c r="L217" i="1" s="1"/>
  <c r="K219" i="1" a="1"/>
  <c r="K219" i="1" s="1"/>
  <c r="H220" i="1" a="1"/>
  <c r="H220" i="1" s="1"/>
  <c r="C223" i="1" a="1"/>
  <c r="C223" i="1" s="1"/>
  <c r="R223" i="1" a="1"/>
  <c r="R223" i="1" s="1"/>
  <c r="L228" i="1" a="1"/>
  <c r="L228" i="1" s="1"/>
  <c r="D229" i="1" a="1"/>
  <c r="D229" i="1" s="1"/>
  <c r="J236" i="1" a="1"/>
  <c r="J236" i="1" s="1"/>
  <c r="D237" i="1" a="1"/>
  <c r="D237" i="1" s="1"/>
  <c r="E240" i="1" a="1"/>
  <c r="E240" i="1" s="1"/>
  <c r="K240" i="1" a="1"/>
  <c r="K240" i="1" s="1"/>
  <c r="K255" i="1" a="1"/>
  <c r="K255" i="1" s="1"/>
  <c r="F255" i="1" a="1"/>
  <c r="F255" i="1" s="1"/>
  <c r="E255" i="1" a="1"/>
  <c r="E255" i="1" s="1"/>
  <c r="G261" i="1" a="1"/>
  <c r="G261" i="1" s="1"/>
  <c r="H261" i="1" a="1"/>
  <c r="H261" i="1" s="1"/>
  <c r="E262" i="1" a="1"/>
  <c r="E262" i="1" s="1"/>
  <c r="L262" i="1" a="1"/>
  <c r="L262" i="1" s="1"/>
  <c r="F262" i="1" a="1"/>
  <c r="F262" i="1" s="1"/>
  <c r="K262" i="1" a="1"/>
  <c r="K262" i="1" s="1"/>
  <c r="K265" i="1" a="1"/>
  <c r="K265" i="1" s="1"/>
  <c r="L265" i="1" a="1"/>
  <c r="L265" i="1" s="1"/>
  <c r="F265" i="1" a="1"/>
  <c r="F265" i="1" s="1"/>
  <c r="E265" i="1" a="1"/>
  <c r="E265" i="1" s="1"/>
  <c r="I277" i="1" a="1"/>
  <c r="I277" i="1" s="1"/>
  <c r="E278" i="1" a="1"/>
  <c r="E278" i="1" s="1"/>
  <c r="L278" i="1" a="1"/>
  <c r="L278" i="1" s="1"/>
  <c r="F278" i="1" a="1"/>
  <c r="F278" i="1" s="1"/>
  <c r="C279" i="1" a="1"/>
  <c r="C279" i="1" s="1"/>
  <c r="D279" i="1" a="1"/>
  <c r="D279" i="1" s="1"/>
  <c r="J279" i="1" a="1"/>
  <c r="J279" i="1" s="1"/>
  <c r="R279" i="1" a="1"/>
  <c r="R279" i="1" s="1"/>
  <c r="G217" i="1" a="1"/>
  <c r="G217" i="1" s="1"/>
  <c r="E222" i="1" a="1"/>
  <c r="E222" i="1" s="1"/>
  <c r="K226" i="1" a="1"/>
  <c r="K226" i="1" s="1"/>
  <c r="F226" i="1" a="1"/>
  <c r="F226" i="1" s="1"/>
  <c r="I234" i="1" a="1"/>
  <c r="I234" i="1" s="1"/>
  <c r="C234" i="1" a="1"/>
  <c r="C234" i="1" s="1"/>
  <c r="J234" i="1" a="1"/>
  <c r="J234" i="1" s="1"/>
  <c r="R234" i="1" a="1"/>
  <c r="R234" i="1" s="1"/>
  <c r="E238" i="1" a="1"/>
  <c r="E238" i="1" s="1"/>
  <c r="L238" i="1" a="1"/>
  <c r="L238" i="1" s="1"/>
  <c r="F238" i="1" a="1"/>
  <c r="F238" i="1" s="1"/>
  <c r="C239" i="1" a="1"/>
  <c r="C239" i="1" s="1"/>
  <c r="D239" i="1" a="1"/>
  <c r="D239" i="1" s="1"/>
  <c r="R239" i="1" a="1"/>
  <c r="R239" i="1" s="1"/>
  <c r="I242" i="1" a="1"/>
  <c r="I242" i="1" s="1"/>
  <c r="J242" i="1" a="1"/>
  <c r="J242" i="1" s="1"/>
  <c r="R242" i="1" a="1"/>
  <c r="R242" i="1" s="1"/>
  <c r="C242" i="1" a="1"/>
  <c r="C242" i="1" s="1"/>
  <c r="G245" i="1" a="1"/>
  <c r="G245" i="1" s="1"/>
  <c r="H245" i="1" a="1"/>
  <c r="H245" i="1" s="1"/>
  <c r="E252" i="1" a="1"/>
  <c r="E252" i="1" s="1"/>
  <c r="F252" i="1" a="1"/>
  <c r="F252" i="1" s="1"/>
  <c r="L252" i="1" a="1"/>
  <c r="L252" i="1" s="1"/>
  <c r="I254" i="1" a="1"/>
  <c r="I254" i="1" s="1"/>
  <c r="C254" i="1" a="1"/>
  <c r="C254" i="1" s="1"/>
  <c r="R254" i="1" a="1"/>
  <c r="R254" i="1" s="1"/>
  <c r="J254" i="1" a="1"/>
  <c r="J254" i="1" s="1"/>
  <c r="L264" i="1" a="1"/>
  <c r="L264" i="1" s="1"/>
  <c r="H272" i="1" a="1"/>
  <c r="H272" i="1" s="1"/>
  <c r="G272" i="1" a="1"/>
  <c r="G272" i="1" s="1"/>
  <c r="J285" i="1" a="1"/>
  <c r="J285" i="1" s="1"/>
  <c r="C287" i="1" a="1"/>
  <c r="C287" i="1" s="1"/>
  <c r="D287" i="1" a="1"/>
  <c r="D287" i="1" s="1"/>
  <c r="R287" i="1" a="1"/>
  <c r="R287" i="1" s="1"/>
  <c r="J287" i="1" a="1"/>
  <c r="J287" i="1" s="1"/>
  <c r="I287" i="1" a="1"/>
  <c r="I287" i="1" s="1"/>
  <c r="F301" i="1" a="1"/>
  <c r="F301" i="1" s="1"/>
  <c r="L210" i="1" a="1"/>
  <c r="L210" i="1" s="1"/>
  <c r="C211" i="1" a="1"/>
  <c r="C211" i="1" s="1"/>
  <c r="D218" i="1" a="1"/>
  <c r="D218" i="1" s="1"/>
  <c r="I218" i="1" a="1"/>
  <c r="I218" i="1" s="1"/>
  <c r="F222" i="1" a="1"/>
  <c r="F222" i="1" s="1"/>
  <c r="L222" i="1" a="1"/>
  <c r="L222" i="1" s="1"/>
  <c r="K228" i="1" a="1"/>
  <c r="K228" i="1" s="1"/>
  <c r="E228" i="1" a="1"/>
  <c r="E228" i="1" s="1"/>
  <c r="K231" i="1" a="1"/>
  <c r="K231" i="1" s="1"/>
  <c r="J239" i="1" a="1"/>
  <c r="J239" i="1" s="1"/>
  <c r="K241" i="1" a="1"/>
  <c r="K241" i="1" s="1"/>
  <c r="L241" i="1" a="1"/>
  <c r="L241" i="1" s="1"/>
  <c r="C245" i="1" a="1"/>
  <c r="C245" i="1" s="1"/>
  <c r="J245" i="1" a="1"/>
  <c r="J245" i="1" s="1"/>
  <c r="F254" i="1" a="1"/>
  <c r="F254" i="1" s="1"/>
  <c r="I262" i="1" a="1"/>
  <c r="I262" i="1" s="1"/>
  <c r="C262" i="1" a="1"/>
  <c r="C262" i="1" s="1"/>
  <c r="R262" i="1" a="1"/>
  <c r="R262" i="1" s="1"/>
  <c r="J262" i="1" a="1"/>
  <c r="J262" i="1" s="1"/>
  <c r="C263" i="1" a="1"/>
  <c r="C263" i="1" s="1"/>
  <c r="D263" i="1" a="1"/>
  <c r="D263" i="1" s="1"/>
  <c r="R263" i="1" a="1"/>
  <c r="R263" i="1" s="1"/>
  <c r="I263" i="1" a="1"/>
  <c r="I263" i="1" s="1"/>
  <c r="H264" i="1" a="1"/>
  <c r="H264" i="1" s="1"/>
  <c r="G264" i="1" a="1"/>
  <c r="G264" i="1" s="1"/>
  <c r="E266" i="1" a="1"/>
  <c r="E266" i="1" s="1"/>
  <c r="K266" i="1" a="1"/>
  <c r="K266" i="1" s="1"/>
  <c r="E286" i="1" a="1"/>
  <c r="E286" i="1" s="1"/>
  <c r="K286" i="1" a="1"/>
  <c r="K286" i="1" s="1"/>
  <c r="F286" i="1" a="1"/>
  <c r="F286" i="1" s="1"/>
  <c r="L286" i="1" a="1"/>
  <c r="L286" i="1" s="1"/>
  <c r="G292" i="1" a="1"/>
  <c r="G292" i="1" s="1"/>
  <c r="H292" i="1" a="1"/>
  <c r="H292" i="1" s="1"/>
  <c r="L184" i="1" a="1"/>
  <c r="L184" i="1" s="1"/>
  <c r="C185" i="1" a="1"/>
  <c r="C185" i="1" s="1"/>
  <c r="L200" i="1" a="1"/>
  <c r="L200" i="1" s="1"/>
  <c r="F209" i="1" a="1"/>
  <c r="F209" i="1" s="1"/>
  <c r="K209" i="1" a="1"/>
  <c r="K209" i="1" s="1"/>
  <c r="D211" i="1" a="1"/>
  <c r="D211" i="1" s="1"/>
  <c r="J218" i="1" a="1"/>
  <c r="J218" i="1" s="1"/>
  <c r="R218" i="1" a="1"/>
  <c r="R218" i="1" s="1"/>
  <c r="I224" i="1" a="1"/>
  <c r="I224" i="1" s="1"/>
  <c r="R224" i="1" a="1"/>
  <c r="R224" i="1" s="1"/>
  <c r="E225" i="1" a="1"/>
  <c r="E225" i="1" s="1"/>
  <c r="K225" i="1" a="1"/>
  <c r="K225" i="1" s="1"/>
  <c r="F225" i="1" a="1"/>
  <c r="F225" i="1" s="1"/>
  <c r="R226" i="1" a="1"/>
  <c r="R226" i="1" s="1"/>
  <c r="L231" i="1" a="1"/>
  <c r="L231" i="1" s="1"/>
  <c r="I233" i="1" a="1"/>
  <c r="I233" i="1" s="1"/>
  <c r="C233" i="1" a="1"/>
  <c r="C233" i="1" s="1"/>
  <c r="E246" i="1" a="1"/>
  <c r="E246" i="1" s="1"/>
  <c r="L246" i="1" a="1"/>
  <c r="L246" i="1" s="1"/>
  <c r="H251" i="1" a="1"/>
  <c r="H251" i="1" s="1"/>
  <c r="E256" i="1" a="1"/>
  <c r="E256" i="1" s="1"/>
  <c r="K256" i="1" a="1"/>
  <c r="K256" i="1" s="1"/>
  <c r="L256" i="1" a="1"/>
  <c r="L256" i="1" s="1"/>
  <c r="F256" i="1" a="1"/>
  <c r="F256" i="1" s="1"/>
  <c r="K258" i="1" a="1"/>
  <c r="K258" i="1" s="1"/>
  <c r="G259" i="1" a="1"/>
  <c r="G259" i="1" s="1"/>
  <c r="H259" i="1" a="1"/>
  <c r="H259" i="1" s="1"/>
  <c r="I266" i="1" a="1"/>
  <c r="I266" i="1" s="1"/>
  <c r="J266" i="1" a="1"/>
  <c r="J266" i="1" s="1"/>
  <c r="D266" i="1" a="1"/>
  <c r="D266" i="1" s="1"/>
  <c r="R266" i="1" a="1"/>
  <c r="R266" i="1" s="1"/>
  <c r="C266" i="1" a="1"/>
  <c r="C266" i="1" s="1"/>
  <c r="K273" i="1" a="1"/>
  <c r="K273" i="1" s="1"/>
  <c r="L273" i="1" a="1"/>
  <c r="L273" i="1" s="1"/>
  <c r="F273" i="1" a="1"/>
  <c r="F273" i="1" s="1"/>
  <c r="E273" i="1" a="1"/>
  <c r="E273" i="1" s="1"/>
  <c r="E274" i="1" a="1"/>
  <c r="E274" i="1" s="1"/>
  <c r="K274" i="1" a="1"/>
  <c r="K274" i="1" s="1"/>
  <c r="K275" i="1" a="1"/>
  <c r="K275" i="1" s="1"/>
  <c r="F275" i="1" a="1"/>
  <c r="F275" i="1" s="1"/>
  <c r="L275" i="1" a="1"/>
  <c r="L275" i="1" s="1"/>
  <c r="E275" i="1" a="1"/>
  <c r="E275" i="1" s="1"/>
  <c r="I278" i="1" a="1"/>
  <c r="I278" i="1" s="1"/>
  <c r="R278" i="1" a="1"/>
  <c r="R278" i="1" s="1"/>
  <c r="C278" i="1" a="1"/>
  <c r="C278" i="1" s="1"/>
  <c r="D278" i="1" a="1"/>
  <c r="D278" i="1" s="1"/>
  <c r="J278" i="1" a="1"/>
  <c r="J278" i="1" s="1"/>
  <c r="E280" i="1" a="1"/>
  <c r="E280" i="1" s="1"/>
  <c r="K280" i="1" a="1"/>
  <c r="K280" i="1" s="1"/>
  <c r="F280" i="1" a="1"/>
  <c r="F280" i="1" s="1"/>
  <c r="L280" i="1" a="1"/>
  <c r="L280" i="1" s="1"/>
  <c r="J303" i="1" a="1"/>
  <c r="J303" i="1" s="1"/>
  <c r="D314" i="1" a="1"/>
  <c r="D314" i="1" s="1"/>
  <c r="I225" i="1" a="1"/>
  <c r="I225" i="1" s="1"/>
  <c r="R225" i="1" a="1"/>
  <c r="R225" i="1" s="1"/>
  <c r="J225" i="1" a="1"/>
  <c r="J225" i="1" s="1"/>
  <c r="I227" i="1" a="1"/>
  <c r="I227" i="1" s="1"/>
  <c r="D227" i="1" a="1"/>
  <c r="D227" i="1" s="1"/>
  <c r="F231" i="1" a="1"/>
  <c r="F231" i="1" s="1"/>
  <c r="R237" i="1" a="1"/>
  <c r="R237" i="1" s="1"/>
  <c r="I238" i="1" a="1"/>
  <c r="I238" i="1" s="1"/>
  <c r="C238" i="1" a="1"/>
  <c r="C238" i="1" s="1"/>
  <c r="D238" i="1" a="1"/>
  <c r="D238" i="1" s="1"/>
  <c r="E241" i="1" a="1"/>
  <c r="E241" i="1" s="1"/>
  <c r="K243" i="1" a="1"/>
  <c r="K243" i="1" s="1"/>
  <c r="F243" i="1" a="1"/>
  <c r="F243" i="1" s="1"/>
  <c r="L243" i="1" a="1"/>
  <c r="L243" i="1" s="1"/>
  <c r="E243" i="1" a="1"/>
  <c r="E243" i="1" s="1"/>
  <c r="I245" i="1" a="1"/>
  <c r="I245" i="1" s="1"/>
  <c r="I248" i="1" a="1"/>
  <c r="I248" i="1" s="1"/>
  <c r="R248" i="1" a="1"/>
  <c r="R248" i="1" s="1"/>
  <c r="J248" i="1" a="1"/>
  <c r="J248" i="1" s="1"/>
  <c r="D248" i="1" a="1"/>
  <c r="D248" i="1" s="1"/>
  <c r="C248" i="1" a="1"/>
  <c r="C248" i="1" s="1"/>
  <c r="G250" i="1" a="1"/>
  <c r="G250" i="1" s="1"/>
  <c r="H250" i="1" a="1"/>
  <c r="H250" i="1" s="1"/>
  <c r="E250" i="1" a="1"/>
  <c r="E250" i="1" s="1"/>
  <c r="L250" i="1" a="1"/>
  <c r="L250" i="1" s="1"/>
  <c r="F250" i="1" a="1"/>
  <c r="F250" i="1" s="1"/>
  <c r="K250" i="1" a="1"/>
  <c r="K250" i="1" s="1"/>
  <c r="I252" i="1" a="1"/>
  <c r="I252" i="1" s="1"/>
  <c r="R252" i="1" a="1"/>
  <c r="R252" i="1" s="1"/>
  <c r="D252" i="1" a="1"/>
  <c r="D252" i="1" s="1"/>
  <c r="J252" i="1" a="1"/>
  <c r="J252" i="1" s="1"/>
  <c r="K267" i="1" a="1"/>
  <c r="K267" i="1" s="1"/>
  <c r="F267" i="1" a="1"/>
  <c r="F267" i="1" s="1"/>
  <c r="L267" i="1" a="1"/>
  <c r="L267" i="1" s="1"/>
  <c r="E270" i="1" a="1"/>
  <c r="E270" i="1" s="1"/>
  <c r="L270" i="1" a="1"/>
  <c r="L270" i="1" s="1"/>
  <c r="F270" i="1" a="1"/>
  <c r="F270" i="1" s="1"/>
  <c r="G275" i="1" a="1"/>
  <c r="G275" i="1" s="1"/>
  <c r="H275" i="1" a="1"/>
  <c r="H275" i="1" s="1"/>
  <c r="I279" i="1" a="1"/>
  <c r="I279" i="1" s="1"/>
  <c r="K279" i="1" a="1"/>
  <c r="K279" i="1" s="1"/>
  <c r="F279" i="1" a="1"/>
  <c r="F279" i="1" s="1"/>
  <c r="L279" i="1" a="1"/>
  <c r="L279" i="1" s="1"/>
  <c r="E279" i="1" a="1"/>
  <c r="E279" i="1" s="1"/>
  <c r="G281" i="1" a="1"/>
  <c r="G281" i="1" s="1"/>
  <c r="H281" i="1" a="1"/>
  <c r="H281" i="1" s="1"/>
  <c r="I284" i="1" a="1"/>
  <c r="I284" i="1" s="1"/>
  <c r="R284" i="1" a="1"/>
  <c r="R284" i="1" s="1"/>
  <c r="C284" i="1" a="1"/>
  <c r="C284" i="1" s="1"/>
  <c r="J284" i="1" a="1"/>
  <c r="J284" i="1" s="1"/>
  <c r="D284" i="1" a="1"/>
  <c r="D284" i="1" s="1"/>
  <c r="G317" i="1" a="1"/>
  <c r="G317" i="1" s="1"/>
  <c r="H317" i="1" a="1"/>
  <c r="H317" i="1" s="1"/>
  <c r="I221" i="1" a="1"/>
  <c r="I221" i="1" s="1"/>
  <c r="C221" i="1" a="1"/>
  <c r="C221" i="1" s="1"/>
  <c r="J226" i="1" a="1"/>
  <c r="J226" i="1" s="1"/>
  <c r="C241" i="1" a="1"/>
  <c r="C241" i="1" s="1"/>
  <c r="R241" i="1" a="1"/>
  <c r="R241" i="1" s="1"/>
  <c r="J241" i="1" a="1"/>
  <c r="J241" i="1" s="1"/>
  <c r="D241" i="1" a="1"/>
  <c r="D241" i="1" s="1"/>
  <c r="D245" i="1" a="1"/>
  <c r="D245" i="1" s="1"/>
  <c r="H246" i="1" a="1"/>
  <c r="H246" i="1" s="1"/>
  <c r="E260" i="1" a="1"/>
  <c r="E260" i="1" s="1"/>
  <c r="F260" i="1" a="1"/>
  <c r="F260" i="1" s="1"/>
  <c r="L260" i="1" a="1"/>
  <c r="L260" i="1" s="1"/>
  <c r="K260" i="1" a="1"/>
  <c r="K260" i="1" s="1"/>
  <c r="E267" i="1" a="1"/>
  <c r="E267" i="1" s="1"/>
  <c r="G267" i="1" a="1"/>
  <c r="G267" i="1" s="1"/>
  <c r="H267" i="1" a="1"/>
  <c r="H267" i="1" s="1"/>
  <c r="I276" i="1" a="1"/>
  <c r="I276" i="1" s="1"/>
  <c r="R276" i="1" a="1"/>
  <c r="R276" i="1" s="1"/>
  <c r="D276" i="1" a="1"/>
  <c r="D276" i="1" s="1"/>
  <c r="J276" i="1" a="1"/>
  <c r="J276" i="1" s="1"/>
  <c r="C276" i="1" a="1"/>
  <c r="C276" i="1" s="1"/>
  <c r="C277" i="1" a="1"/>
  <c r="C277" i="1" s="1"/>
  <c r="R277" i="1" a="1"/>
  <c r="R277" i="1" s="1"/>
  <c r="J277" i="1" a="1"/>
  <c r="J277" i="1" s="1"/>
  <c r="L320" i="1" a="1"/>
  <c r="L320" i="1" s="1"/>
  <c r="E284" i="1" a="1"/>
  <c r="E284" i="1" s="1"/>
  <c r="F284" i="1" a="1"/>
  <c r="F284" i="1" s="1"/>
  <c r="I288" i="1" a="1"/>
  <c r="I288" i="1" s="1"/>
  <c r="C288" i="1" a="1"/>
  <c r="C288" i="1" s="1"/>
  <c r="R288" i="1" a="1"/>
  <c r="R288" i="1" s="1"/>
  <c r="C291" i="1" a="1"/>
  <c r="C291" i="1" s="1"/>
  <c r="I291" i="1" a="1"/>
  <c r="I291" i="1" s="1"/>
  <c r="R291" i="1" a="1"/>
  <c r="R291" i="1" s="1"/>
  <c r="D291" i="1" a="1"/>
  <c r="D291" i="1" s="1"/>
  <c r="I294" i="1" a="1"/>
  <c r="I294" i="1" s="1"/>
  <c r="C294" i="1" a="1"/>
  <c r="C294" i="1" s="1"/>
  <c r="D294" i="1" a="1"/>
  <c r="D294" i="1" s="1"/>
  <c r="K297" i="1" a="1"/>
  <c r="K297" i="1" s="1"/>
  <c r="E297" i="1" a="1"/>
  <c r="E297" i="1" s="1"/>
  <c r="I300" i="1" a="1"/>
  <c r="I300" i="1" s="1"/>
  <c r="D300" i="1" a="1"/>
  <c r="D300" i="1" s="1"/>
  <c r="C301" i="1" a="1"/>
  <c r="C301" i="1" s="1"/>
  <c r="R301" i="1" a="1"/>
  <c r="R301" i="1" s="1"/>
  <c r="J301" i="1" a="1"/>
  <c r="J301" i="1" s="1"/>
  <c r="E306" i="1" a="1"/>
  <c r="E306" i="1" s="1"/>
  <c r="F306" i="1" a="1"/>
  <c r="F306" i="1" s="1"/>
  <c r="H308" i="1" a="1"/>
  <c r="H308" i="1" s="1"/>
  <c r="E308" i="1" a="1"/>
  <c r="E308" i="1" s="1"/>
  <c r="K308" i="1" a="1"/>
  <c r="K308" i="1" s="1"/>
  <c r="F308" i="1" a="1"/>
  <c r="F308" i="1" s="1"/>
  <c r="I318" i="1" a="1"/>
  <c r="I318" i="1" s="1"/>
  <c r="C318" i="1" a="1"/>
  <c r="C318" i="1" s="1"/>
  <c r="R318" i="1" a="1"/>
  <c r="R318" i="1" s="1"/>
  <c r="J318" i="1" a="1"/>
  <c r="J318" i="1" s="1"/>
  <c r="D318" i="1" a="1"/>
  <c r="D318" i="1" s="1"/>
  <c r="E342" i="1" a="1"/>
  <c r="E342" i="1" s="1"/>
  <c r="L342" i="1" a="1"/>
  <c r="L342" i="1" s="1"/>
  <c r="F342" i="1" a="1"/>
  <c r="F342" i="1" s="1"/>
  <c r="K342" i="1" a="1"/>
  <c r="K342" i="1" s="1"/>
  <c r="E358" i="1" a="1"/>
  <c r="E358" i="1" s="1"/>
  <c r="L358" i="1" a="1"/>
  <c r="L358" i="1" s="1"/>
  <c r="K358" i="1" a="1"/>
  <c r="K358" i="1" s="1"/>
  <c r="F358" i="1" a="1"/>
  <c r="F358" i="1" s="1"/>
  <c r="J387" i="1" a="1"/>
  <c r="J387" i="1" s="1"/>
  <c r="E248" i="1" a="1"/>
  <c r="E248" i="1" s="1"/>
  <c r="K248" i="1" a="1"/>
  <c r="K248" i="1" s="1"/>
  <c r="G253" i="1" a="1"/>
  <c r="G253" i="1" s="1"/>
  <c r="H253" i="1" a="1"/>
  <c r="H253" i="1" s="1"/>
  <c r="C255" i="1" a="1"/>
  <c r="C255" i="1" s="1"/>
  <c r="D255" i="1" a="1"/>
  <c r="D255" i="1" s="1"/>
  <c r="I258" i="1" a="1"/>
  <c r="I258" i="1" s="1"/>
  <c r="J258" i="1" a="1"/>
  <c r="J258" i="1" s="1"/>
  <c r="I260" i="1" a="1"/>
  <c r="I260" i="1" s="1"/>
  <c r="R260" i="1" a="1"/>
  <c r="R260" i="1" s="1"/>
  <c r="D260" i="1" a="1"/>
  <c r="D260" i="1" s="1"/>
  <c r="F264" i="1" a="1"/>
  <c r="F264" i="1" s="1"/>
  <c r="C265" i="1" a="1"/>
  <c r="C265" i="1" s="1"/>
  <c r="R265" i="1" a="1"/>
  <c r="R265" i="1" s="1"/>
  <c r="J265" i="1" a="1"/>
  <c r="J265" i="1" s="1"/>
  <c r="J288" i="1" a="1"/>
  <c r="J288" i="1" s="1"/>
  <c r="K289" i="1" a="1"/>
  <c r="K289" i="1" s="1"/>
  <c r="L289" i="1" a="1"/>
  <c r="L289" i="1" s="1"/>
  <c r="G290" i="1" a="1"/>
  <c r="G290" i="1" s="1"/>
  <c r="H290" i="1" a="1"/>
  <c r="H290" i="1" s="1"/>
  <c r="E290" i="1" a="1"/>
  <c r="E290" i="1" s="1"/>
  <c r="K290" i="1" a="1"/>
  <c r="K290" i="1" s="1"/>
  <c r="F290" i="1" a="1"/>
  <c r="F290" i="1" s="1"/>
  <c r="L293" i="1" a="1"/>
  <c r="L293" i="1" s="1"/>
  <c r="J300" i="1" a="1"/>
  <c r="J300" i="1" s="1"/>
  <c r="E304" i="1" a="1"/>
  <c r="E304" i="1" s="1"/>
  <c r="K304" i="1" a="1"/>
  <c r="K304" i="1" s="1"/>
  <c r="F304" i="1" a="1"/>
  <c r="F304" i="1" s="1"/>
  <c r="I306" i="1" a="1"/>
  <c r="I306" i="1" s="1"/>
  <c r="J306" i="1" a="1"/>
  <c r="J306" i="1" s="1"/>
  <c r="C306" i="1" a="1"/>
  <c r="C306" i="1" s="1"/>
  <c r="R306" i="1" a="1"/>
  <c r="R306" i="1" s="1"/>
  <c r="I316" i="1" a="1"/>
  <c r="I316" i="1" s="1"/>
  <c r="D316" i="1" a="1"/>
  <c r="D316" i="1" s="1"/>
  <c r="R316" i="1" a="1"/>
  <c r="R316" i="1" s="1"/>
  <c r="L339" i="1" a="1"/>
  <c r="L339" i="1" s="1"/>
  <c r="H358" i="1" a="1"/>
  <c r="H358" i="1" s="1"/>
  <c r="G358" i="1" a="1"/>
  <c r="G358" i="1" s="1"/>
  <c r="D228" i="1" a="1"/>
  <c r="D228" i="1" s="1"/>
  <c r="I228" i="1" a="1"/>
  <c r="I228" i="1" s="1"/>
  <c r="E236" i="1" a="1"/>
  <c r="E236" i="1" s="1"/>
  <c r="F236" i="1" a="1"/>
  <c r="F236" i="1" s="1"/>
  <c r="F247" i="1" a="1"/>
  <c r="F247" i="1" s="1"/>
  <c r="K249" i="1" a="1"/>
  <c r="K249" i="1" s="1"/>
  <c r="L249" i="1" a="1"/>
  <c r="L249" i="1" s="1"/>
  <c r="K251" i="1" a="1"/>
  <c r="K251" i="1" s="1"/>
  <c r="F251" i="1" a="1"/>
  <c r="F251" i="1" s="1"/>
  <c r="D258" i="1" a="1"/>
  <c r="D258" i="1" s="1"/>
  <c r="D265" i="1" a="1"/>
  <c r="D265" i="1" s="1"/>
  <c r="E268" i="1" a="1"/>
  <c r="E268" i="1" s="1"/>
  <c r="F268" i="1" a="1"/>
  <c r="F268" i="1" s="1"/>
  <c r="K283" i="1" a="1"/>
  <c r="K283" i="1" s="1"/>
  <c r="F283" i="1" a="1"/>
  <c r="F283" i="1" s="1"/>
  <c r="L283" i="1" a="1"/>
  <c r="L283" i="1" s="1"/>
  <c r="K288" i="1" a="1"/>
  <c r="K288" i="1" s="1"/>
  <c r="I290" i="1" a="1"/>
  <c r="I290" i="1" s="1"/>
  <c r="D290" i="1" a="1"/>
  <c r="D290" i="1" s="1"/>
  <c r="C290" i="1" a="1"/>
  <c r="C290" i="1" s="1"/>
  <c r="J291" i="1" a="1"/>
  <c r="J291" i="1" s="1"/>
  <c r="J294" i="1" a="1"/>
  <c r="J294" i="1" s="1"/>
  <c r="K299" i="1" a="1"/>
  <c r="K299" i="1" s="1"/>
  <c r="F299" i="1" a="1"/>
  <c r="F299" i="1" s="1"/>
  <c r="E314" i="1" a="1"/>
  <c r="E314" i="1" s="1"/>
  <c r="K314" i="1" a="1"/>
  <c r="K314" i="1" s="1"/>
  <c r="F314" i="1" a="1"/>
  <c r="F314" i="1" s="1"/>
  <c r="G319" i="1" a="1"/>
  <c r="G319" i="1" s="1"/>
  <c r="H319" i="1" a="1"/>
  <c r="H319" i="1" s="1"/>
  <c r="H332" i="1" a="1"/>
  <c r="H332" i="1" s="1"/>
  <c r="H342" i="1" a="1"/>
  <c r="H342" i="1" s="1"/>
  <c r="G342" i="1" a="1"/>
  <c r="G342" i="1" s="1"/>
  <c r="K293" i="1" a="1"/>
  <c r="K293" i="1" s="1"/>
  <c r="F293" i="1" a="1"/>
  <c r="F293" i="1" s="1"/>
  <c r="F297" i="1" a="1"/>
  <c r="F297" i="1" s="1"/>
  <c r="C297" i="1" a="1"/>
  <c r="C297" i="1" s="1"/>
  <c r="R297" i="1" a="1"/>
  <c r="R297" i="1" s="1"/>
  <c r="J297" i="1" a="1"/>
  <c r="J297" i="1" s="1"/>
  <c r="D297" i="1" a="1"/>
  <c r="D297" i="1" s="1"/>
  <c r="I304" i="1" a="1"/>
  <c r="I304" i="1" s="1"/>
  <c r="D304" i="1" a="1"/>
  <c r="D304" i="1" s="1"/>
  <c r="R304" i="1" a="1"/>
  <c r="R304" i="1" s="1"/>
  <c r="K305" i="1" a="1"/>
  <c r="K305" i="1" s="1"/>
  <c r="L305" i="1" a="1"/>
  <c r="L305" i="1" s="1"/>
  <c r="E305" i="1" a="1"/>
  <c r="E305" i="1" s="1"/>
  <c r="I314" i="1" a="1"/>
  <c r="I314" i="1" s="1"/>
  <c r="J314" i="1" a="1"/>
  <c r="J314" i="1" s="1"/>
  <c r="C314" i="1" a="1"/>
  <c r="C314" i="1" s="1"/>
  <c r="R314" i="1" a="1"/>
  <c r="R314" i="1" s="1"/>
  <c r="C317" i="1" a="1"/>
  <c r="C317" i="1" s="1"/>
  <c r="J317" i="1" a="1"/>
  <c r="J317" i="1" s="1"/>
  <c r="D317" i="1" a="1"/>
  <c r="D317" i="1" s="1"/>
  <c r="D339" i="1" a="1"/>
  <c r="D339" i="1" s="1"/>
  <c r="K236" i="1" a="1"/>
  <c r="K236" i="1" s="1"/>
  <c r="E244" i="1" a="1"/>
  <c r="E244" i="1" s="1"/>
  <c r="F244" i="1" a="1"/>
  <c r="F244" i="1" s="1"/>
  <c r="D256" i="1" a="1"/>
  <c r="D256" i="1" s="1"/>
  <c r="J256" i="1" a="1"/>
  <c r="J256" i="1" s="1"/>
  <c r="R256" i="1" a="1"/>
  <c r="R256" i="1" s="1"/>
  <c r="K257" i="1" a="1"/>
  <c r="K257" i="1" s="1"/>
  <c r="L257" i="1" a="1"/>
  <c r="L257" i="1" s="1"/>
  <c r="K259" i="1" a="1"/>
  <c r="K259" i="1" s="1"/>
  <c r="F259" i="1" a="1"/>
  <c r="F259" i="1" s="1"/>
  <c r="K268" i="1" a="1"/>
  <c r="K268" i="1" s="1"/>
  <c r="C274" i="1" a="1"/>
  <c r="C274" i="1" s="1"/>
  <c r="E276" i="1" a="1"/>
  <c r="E276" i="1" s="1"/>
  <c r="F276" i="1" a="1"/>
  <c r="F276" i="1" s="1"/>
  <c r="C280" i="1" a="1"/>
  <c r="C280" i="1" s="1"/>
  <c r="J280" i="1" a="1"/>
  <c r="J280" i="1" s="1"/>
  <c r="R280" i="1" a="1"/>
  <c r="R280" i="1" s="1"/>
  <c r="F289" i="1" a="1"/>
  <c r="F289" i="1" s="1"/>
  <c r="E292" i="1" a="1"/>
  <c r="E292" i="1" s="1"/>
  <c r="L292" i="1" a="1"/>
  <c r="L292" i="1" s="1"/>
  <c r="G293" i="1" a="1"/>
  <c r="G293" i="1" s="1"/>
  <c r="H293" i="1" a="1"/>
  <c r="H293" i="1" s="1"/>
  <c r="I301" i="1" a="1"/>
  <c r="I301" i="1" s="1"/>
  <c r="K306" i="1" a="1"/>
  <c r="K306" i="1" s="1"/>
  <c r="L308" i="1" a="1"/>
  <c r="L308" i="1" s="1"/>
  <c r="G309" i="1" a="1"/>
  <c r="G309" i="1" s="1"/>
  <c r="H309" i="1" a="1"/>
  <c r="H309" i="1" s="1"/>
  <c r="E312" i="1" a="1"/>
  <c r="E312" i="1" s="1"/>
  <c r="K312" i="1" a="1"/>
  <c r="K312" i="1" s="1"/>
  <c r="E320" i="1" a="1"/>
  <c r="E320" i="1" s="1"/>
  <c r="K320" i="1" a="1"/>
  <c r="K320" i="1" s="1"/>
  <c r="G331" i="1" a="1"/>
  <c r="G331" i="1" s="1"/>
  <c r="H331" i="1" a="1"/>
  <c r="H331" i="1" s="1"/>
  <c r="G344" i="1" a="1"/>
  <c r="G344" i="1" s="1"/>
  <c r="H344" i="1" a="1"/>
  <c r="H344" i="1" s="1"/>
  <c r="F350" i="1" a="1"/>
  <c r="F350" i="1" s="1"/>
  <c r="C249" i="1" a="1"/>
  <c r="C249" i="1" s="1"/>
  <c r="R249" i="1" a="1"/>
  <c r="R249" i="1" s="1"/>
  <c r="J249" i="1" a="1"/>
  <c r="J249" i="1" s="1"/>
  <c r="C264" i="1" a="1"/>
  <c r="C264" i="1" s="1"/>
  <c r="E264" i="1" a="1"/>
  <c r="E264" i="1" s="1"/>
  <c r="K264" i="1" a="1"/>
  <c r="K264" i="1" s="1"/>
  <c r="R269" i="1" a="1"/>
  <c r="R269" i="1" s="1"/>
  <c r="C271" i="1" a="1"/>
  <c r="C271" i="1" s="1"/>
  <c r="D271" i="1" a="1"/>
  <c r="D271" i="1" s="1"/>
  <c r="I274" i="1" a="1"/>
  <c r="I274" i="1" s="1"/>
  <c r="J274" i="1" a="1"/>
  <c r="J274" i="1" s="1"/>
  <c r="K284" i="1" a="1"/>
  <c r="K284" i="1" s="1"/>
  <c r="J286" i="1" a="1"/>
  <c r="J286" i="1" s="1"/>
  <c r="R286" i="1" a="1"/>
  <c r="R286" i="1" s="1"/>
  <c r="F288" i="1" a="1"/>
  <c r="F288" i="1" s="1"/>
  <c r="C289" i="1" a="1"/>
  <c r="C289" i="1" s="1"/>
  <c r="I289" i="1" a="1"/>
  <c r="I289" i="1" s="1"/>
  <c r="D289" i="1" a="1"/>
  <c r="D289" i="1" s="1"/>
  <c r="L290" i="1" a="1"/>
  <c r="L290" i="1" s="1"/>
  <c r="G295" i="1" a="1"/>
  <c r="G295" i="1" s="1"/>
  <c r="H295" i="1" a="1"/>
  <c r="H295" i="1" s="1"/>
  <c r="I297" i="1" a="1"/>
  <c r="I297" i="1" s="1"/>
  <c r="C300" i="1" a="1"/>
  <c r="C300" i="1" s="1"/>
  <c r="K301" i="1" a="1"/>
  <c r="K301" i="1" s="1"/>
  <c r="L301" i="1" a="1"/>
  <c r="L301" i="1" s="1"/>
  <c r="E301" i="1" a="1"/>
  <c r="E301" i="1" s="1"/>
  <c r="J304" i="1" a="1"/>
  <c r="J304" i="1" s="1"/>
  <c r="L306" i="1" a="1"/>
  <c r="L306" i="1" s="1"/>
  <c r="I317" i="1" a="1"/>
  <c r="I317" i="1" s="1"/>
  <c r="H354" i="1" a="1"/>
  <c r="H354" i="1" s="1"/>
  <c r="G354" i="1" a="1"/>
  <c r="G354" i="1" s="1"/>
  <c r="L368" i="1" a="1"/>
  <c r="L368" i="1" s="1"/>
  <c r="L284" i="1" a="1"/>
  <c r="L284" i="1" s="1"/>
  <c r="K291" i="1" a="1"/>
  <c r="K291" i="1" s="1"/>
  <c r="F291" i="1" a="1"/>
  <c r="F291" i="1" s="1"/>
  <c r="E291" i="1" a="1"/>
  <c r="E291" i="1" s="1"/>
  <c r="E294" i="1" a="1"/>
  <c r="E294" i="1" s="1"/>
  <c r="L294" i="1" a="1"/>
  <c r="L294" i="1" s="1"/>
  <c r="F294" i="1" a="1"/>
  <c r="F294" i="1" s="1"/>
  <c r="I298" i="1" a="1"/>
  <c r="I298" i="1" s="1"/>
  <c r="J298" i="1" a="1"/>
  <c r="J298" i="1" s="1"/>
  <c r="R298" i="1" a="1"/>
  <c r="R298" i="1" s="1"/>
  <c r="D298" i="1" a="1"/>
  <c r="D298" i="1" s="1"/>
  <c r="C298" i="1" a="1"/>
  <c r="C298" i="1" s="1"/>
  <c r="E300" i="1" a="1"/>
  <c r="E300" i="1" s="1"/>
  <c r="F300" i="1" a="1"/>
  <c r="F300" i="1" s="1"/>
  <c r="K300" i="1" a="1"/>
  <c r="K300" i="1" s="1"/>
  <c r="F305" i="1" a="1"/>
  <c r="F305" i="1" s="1"/>
  <c r="I324" i="1" a="1"/>
  <c r="I324" i="1" s="1"/>
  <c r="D324" i="1" a="1"/>
  <c r="D324" i="1" s="1"/>
  <c r="J324" i="1" a="1"/>
  <c r="J324" i="1" s="1"/>
  <c r="R324" i="1" a="1"/>
  <c r="R324" i="1" s="1"/>
  <c r="H326" i="1" a="1"/>
  <c r="H326" i="1" s="1"/>
  <c r="C333" i="1" a="1"/>
  <c r="C333" i="1" s="1"/>
  <c r="R333" i="1" a="1"/>
  <c r="R333" i="1" s="1"/>
  <c r="D333" i="1" a="1"/>
  <c r="D333" i="1" s="1"/>
  <c r="J333" i="1" a="1"/>
  <c r="J333" i="1" s="1"/>
  <c r="I333" i="1" a="1"/>
  <c r="I333" i="1" s="1"/>
  <c r="H338" i="1" a="1"/>
  <c r="H338" i="1" s="1"/>
  <c r="G356" i="1" a="1"/>
  <c r="G356" i="1" s="1"/>
  <c r="H356" i="1" a="1"/>
  <c r="H356" i="1" s="1"/>
  <c r="D386" i="1" a="1"/>
  <c r="D386" i="1" s="1"/>
  <c r="C247" i="1" a="1"/>
  <c r="C247" i="1" s="1"/>
  <c r="D247" i="1" a="1"/>
  <c r="D247" i="1" s="1"/>
  <c r="I250" i="1" a="1"/>
  <c r="I250" i="1" s="1"/>
  <c r="J250" i="1" a="1"/>
  <c r="J250" i="1" s="1"/>
  <c r="C257" i="1" a="1"/>
  <c r="C257" i="1" s="1"/>
  <c r="R257" i="1" a="1"/>
  <c r="R257" i="1" s="1"/>
  <c r="J257" i="1" a="1"/>
  <c r="J257" i="1" s="1"/>
  <c r="J269" i="1" a="1"/>
  <c r="J269" i="1" s="1"/>
  <c r="E272" i="1" a="1"/>
  <c r="E272" i="1" s="1"/>
  <c r="K272" i="1" a="1"/>
  <c r="K272" i="1" s="1"/>
  <c r="C285" i="1" a="1"/>
  <c r="C285" i="1" s="1"/>
  <c r="R285" i="1" a="1"/>
  <c r="R285" i="1" s="1"/>
  <c r="I285" i="1" a="1"/>
  <c r="I285" i="1" s="1"/>
  <c r="I292" i="1" a="1"/>
  <c r="I292" i="1" s="1"/>
  <c r="D292" i="1" a="1"/>
  <c r="D292" i="1" s="1"/>
  <c r="R294" i="1" a="1"/>
  <c r="R294" i="1" s="1"/>
  <c r="L297" i="1" a="1"/>
  <c r="L297" i="1" s="1"/>
  <c r="R300" i="1" a="1"/>
  <c r="R300" i="1" s="1"/>
  <c r="C303" i="1" a="1"/>
  <c r="C303" i="1" s="1"/>
  <c r="R303" i="1" a="1"/>
  <c r="R303" i="1" s="1"/>
  <c r="D303" i="1" a="1"/>
  <c r="D303" i="1" s="1"/>
  <c r="I303" i="1" a="1"/>
  <c r="I303" i="1" s="1"/>
  <c r="H310" i="1" a="1"/>
  <c r="H310" i="1" s="1"/>
  <c r="H315" i="1" a="1"/>
  <c r="H315" i="1" s="1"/>
  <c r="C321" i="1" a="1"/>
  <c r="C321" i="1" s="1"/>
  <c r="R321" i="1" a="1"/>
  <c r="R321" i="1" s="1"/>
  <c r="J321" i="1" a="1"/>
  <c r="J321" i="1" s="1"/>
  <c r="H322" i="1" a="1"/>
  <c r="H322" i="1" s="1"/>
  <c r="G322" i="1" a="1"/>
  <c r="G322" i="1" s="1"/>
  <c r="G323" i="1" a="1"/>
  <c r="G323" i="1" s="1"/>
  <c r="H323" i="1" a="1"/>
  <c r="H323" i="1" s="1"/>
  <c r="G325" i="1" a="1"/>
  <c r="G325" i="1" s="1"/>
  <c r="H325" i="1" a="1"/>
  <c r="H325" i="1" s="1"/>
  <c r="G327" i="1" a="1"/>
  <c r="G327" i="1" s="1"/>
  <c r="H327" i="1" a="1"/>
  <c r="H327" i="1" s="1"/>
  <c r="G340" i="1" a="1"/>
  <c r="G340" i="1" s="1"/>
  <c r="H340" i="1" a="1"/>
  <c r="H340" i="1" s="1"/>
  <c r="I350" i="1" a="1"/>
  <c r="I350" i="1" s="1"/>
  <c r="C350" i="1" a="1"/>
  <c r="C350" i="1" s="1"/>
  <c r="R350" i="1" a="1"/>
  <c r="R350" i="1" s="1"/>
  <c r="J350" i="1" a="1"/>
  <c r="J350" i="1" s="1"/>
  <c r="D350" i="1" a="1"/>
  <c r="D350" i="1" s="1"/>
  <c r="I310" i="1" a="1"/>
  <c r="I310" i="1" s="1"/>
  <c r="C310" i="1" a="1"/>
  <c r="C310" i="1" s="1"/>
  <c r="C311" i="1" a="1"/>
  <c r="C311" i="1" s="1"/>
  <c r="I311" i="1" a="1"/>
  <c r="I311" i="1" s="1"/>
  <c r="D311" i="1" a="1"/>
  <c r="D311" i="1" s="1"/>
  <c r="H312" i="1" a="1"/>
  <c r="H312" i="1" s="1"/>
  <c r="C313" i="1" a="1"/>
  <c r="C313" i="1" s="1"/>
  <c r="R313" i="1" a="1"/>
  <c r="R313" i="1" s="1"/>
  <c r="J313" i="1" a="1"/>
  <c r="J313" i="1" s="1"/>
  <c r="I313" i="1" a="1"/>
  <c r="I313" i="1" s="1"/>
  <c r="D313" i="1" a="1"/>
  <c r="D313" i="1" s="1"/>
  <c r="H328" i="1" a="1"/>
  <c r="H328" i="1" s="1"/>
  <c r="G328" i="1" a="1"/>
  <c r="G328" i="1" s="1"/>
  <c r="K331" i="1" a="1"/>
  <c r="K331" i="1" s="1"/>
  <c r="L331" i="1" a="1"/>
  <c r="L331" i="1" s="1"/>
  <c r="E336" i="1" a="1"/>
  <c r="E336" i="1" s="1"/>
  <c r="K336" i="1" a="1"/>
  <c r="K336" i="1" s="1"/>
  <c r="F336" i="1" a="1"/>
  <c r="F336" i="1" s="1"/>
  <c r="K338" i="1" a="1"/>
  <c r="K338" i="1" s="1"/>
  <c r="H343" i="1" a="1"/>
  <c r="H343" i="1" s="1"/>
  <c r="K345" i="1" a="1"/>
  <c r="K345" i="1" s="1"/>
  <c r="L345" i="1" a="1"/>
  <c r="L345" i="1" s="1"/>
  <c r="E346" i="1" a="1"/>
  <c r="E346" i="1" s="1"/>
  <c r="K346" i="1" a="1"/>
  <c r="K346" i="1" s="1"/>
  <c r="F346" i="1" a="1"/>
  <c r="F346" i="1" s="1"/>
  <c r="D347" i="1" a="1"/>
  <c r="D347" i="1" s="1"/>
  <c r="K348" i="1" a="1"/>
  <c r="K348" i="1" s="1"/>
  <c r="I352" i="1" a="1"/>
  <c r="I352" i="1" s="1"/>
  <c r="R352" i="1" a="1"/>
  <c r="R352" i="1" s="1"/>
  <c r="J352" i="1" a="1"/>
  <c r="J352" i="1" s="1"/>
  <c r="F354" i="1" a="1"/>
  <c r="F354" i="1" s="1"/>
  <c r="E356" i="1" a="1"/>
  <c r="E356" i="1" s="1"/>
  <c r="K356" i="1" a="1"/>
  <c r="K356" i="1" s="1"/>
  <c r="F356" i="1" a="1"/>
  <c r="F356" i="1" s="1"/>
  <c r="L356" i="1" a="1"/>
  <c r="L356" i="1" s="1"/>
  <c r="G363" i="1" a="1"/>
  <c r="G363" i="1" s="1"/>
  <c r="H363" i="1" a="1"/>
  <c r="H363" i="1" s="1"/>
  <c r="C389" i="1" a="1"/>
  <c r="C389" i="1" s="1"/>
  <c r="R389" i="1" a="1"/>
  <c r="R389" i="1" s="1"/>
  <c r="I389" i="1" a="1"/>
  <c r="I389" i="1" s="1"/>
  <c r="D389" i="1" a="1"/>
  <c r="D389" i="1" s="1"/>
  <c r="J389" i="1" a="1"/>
  <c r="J389" i="1" s="1"/>
  <c r="L404" i="1" a="1"/>
  <c r="L404" i="1" s="1"/>
  <c r="E404" i="1" a="1"/>
  <c r="E404" i="1" s="1"/>
  <c r="F404" i="1" a="1"/>
  <c r="F404" i="1" s="1"/>
  <c r="K295" i="1" a="1"/>
  <c r="K295" i="1" s="1"/>
  <c r="E295" i="1" a="1"/>
  <c r="E295" i="1" s="1"/>
  <c r="L296" i="1" a="1"/>
  <c r="L296" i="1" s="1"/>
  <c r="I302" i="1" a="1"/>
  <c r="I302" i="1" s="1"/>
  <c r="C302" i="1" a="1"/>
  <c r="C302" i="1" s="1"/>
  <c r="K307" i="1" a="1"/>
  <c r="K307" i="1" s="1"/>
  <c r="E307" i="1" a="1"/>
  <c r="E307" i="1" s="1"/>
  <c r="D310" i="1" a="1"/>
  <c r="D310" i="1" s="1"/>
  <c r="D319" i="1" a="1"/>
  <c r="D319" i="1" s="1"/>
  <c r="J319" i="1" a="1"/>
  <c r="J319" i="1" s="1"/>
  <c r="I320" i="1" a="1"/>
  <c r="I320" i="1" s="1"/>
  <c r="R320" i="1" a="1"/>
  <c r="R320" i="1" s="1"/>
  <c r="J320" i="1" a="1"/>
  <c r="J320" i="1" s="1"/>
  <c r="K327" i="1" a="1"/>
  <c r="K327" i="1" s="1"/>
  <c r="L327" i="1" a="1"/>
  <c r="L327" i="1" s="1"/>
  <c r="F327" i="1" a="1"/>
  <c r="F327" i="1" s="1"/>
  <c r="E327" i="1" a="1"/>
  <c r="E327" i="1" s="1"/>
  <c r="I328" i="1" a="1"/>
  <c r="I328" i="1" s="1"/>
  <c r="C328" i="1" a="1"/>
  <c r="C328" i="1" s="1"/>
  <c r="D328" i="1" a="1"/>
  <c r="D328" i="1" s="1"/>
  <c r="J332" i="1" a="1"/>
  <c r="J332" i="1" s="1"/>
  <c r="R336" i="1" a="1"/>
  <c r="R336" i="1" s="1"/>
  <c r="L338" i="1" a="1"/>
  <c r="L338" i="1" s="1"/>
  <c r="I342" i="1" a="1"/>
  <c r="I342" i="1" s="1"/>
  <c r="C342" i="1" a="1"/>
  <c r="C342" i="1" s="1"/>
  <c r="D342" i="1" a="1"/>
  <c r="D342" i="1" s="1"/>
  <c r="I346" i="1" a="1"/>
  <c r="I346" i="1" s="1"/>
  <c r="J346" i="1" a="1"/>
  <c r="J346" i="1" s="1"/>
  <c r="R346" i="1" a="1"/>
  <c r="R346" i="1" s="1"/>
  <c r="D346" i="1" a="1"/>
  <c r="D346" i="1" s="1"/>
  <c r="C346" i="1" a="1"/>
  <c r="C346" i="1" s="1"/>
  <c r="L348" i="1" a="1"/>
  <c r="L348" i="1" s="1"/>
  <c r="C351" i="1" a="1"/>
  <c r="C351" i="1" s="1"/>
  <c r="R351" i="1" a="1"/>
  <c r="R351" i="1" s="1"/>
  <c r="K355" i="1" a="1"/>
  <c r="K355" i="1" s="1"/>
  <c r="E355" i="1" a="1"/>
  <c r="E355" i="1" s="1"/>
  <c r="F355" i="1" a="1"/>
  <c r="F355" i="1" s="1"/>
  <c r="I368" i="1" a="1"/>
  <c r="I368" i="1" s="1"/>
  <c r="R368" i="1" a="1"/>
  <c r="R368" i="1" s="1"/>
  <c r="J368" i="1" a="1"/>
  <c r="J368" i="1" s="1"/>
  <c r="C368" i="1" a="1"/>
  <c r="C368" i="1" s="1"/>
  <c r="E370" i="1" a="1"/>
  <c r="E370" i="1" s="1"/>
  <c r="L370" i="1" a="1"/>
  <c r="L370" i="1" s="1"/>
  <c r="F370" i="1" a="1"/>
  <c r="F370" i="1" s="1"/>
  <c r="K370" i="1" a="1"/>
  <c r="K370" i="1" s="1"/>
  <c r="C371" i="1" a="1"/>
  <c r="C371" i="1" s="1"/>
  <c r="I371" i="1" a="1"/>
  <c r="I371" i="1" s="1"/>
  <c r="R371" i="1" a="1"/>
  <c r="R371" i="1" s="1"/>
  <c r="F387" i="1" a="1"/>
  <c r="F387" i="1" s="1"/>
  <c r="L421" i="1" a="1"/>
  <c r="L421" i="1" s="1"/>
  <c r="K421" i="1" a="1"/>
  <c r="K421" i="1" s="1"/>
  <c r="F421" i="1" a="1"/>
  <c r="F421" i="1" s="1"/>
  <c r="E421" i="1" a="1"/>
  <c r="E421" i="1" s="1"/>
  <c r="I332" i="1" a="1"/>
  <c r="I332" i="1" s="1"/>
  <c r="D332" i="1" a="1"/>
  <c r="D332" i="1" s="1"/>
  <c r="C335" i="1" a="1"/>
  <c r="C335" i="1" s="1"/>
  <c r="R335" i="1" a="1"/>
  <c r="R335" i="1" s="1"/>
  <c r="K339" i="1" a="1"/>
  <c r="K339" i="1" s="1"/>
  <c r="F339" i="1" a="1"/>
  <c r="F339" i="1" s="1"/>
  <c r="E339" i="1" a="1"/>
  <c r="E339" i="1" s="1"/>
  <c r="E340" i="1" a="1"/>
  <c r="E340" i="1" s="1"/>
  <c r="L340" i="1" a="1"/>
  <c r="L340" i="1" s="1"/>
  <c r="K340" i="1" a="1"/>
  <c r="K340" i="1" s="1"/>
  <c r="F340" i="1" a="1"/>
  <c r="F340" i="1" s="1"/>
  <c r="G341" i="1" a="1"/>
  <c r="G341" i="1" s="1"/>
  <c r="H341" i="1" a="1"/>
  <c r="H341" i="1" s="1"/>
  <c r="C345" i="1" a="1"/>
  <c r="C345" i="1" s="1"/>
  <c r="R345" i="1" a="1"/>
  <c r="R345" i="1" s="1"/>
  <c r="J345" i="1" a="1"/>
  <c r="J345" i="1" s="1"/>
  <c r="I345" i="1" a="1"/>
  <c r="I345" i="1" s="1"/>
  <c r="D345" i="1" a="1"/>
  <c r="D345" i="1" s="1"/>
  <c r="K349" i="1" a="1"/>
  <c r="K349" i="1" s="1"/>
  <c r="L349" i="1" a="1"/>
  <c r="L349" i="1" s="1"/>
  <c r="E350" i="1" a="1"/>
  <c r="E350" i="1" s="1"/>
  <c r="L350" i="1" a="1"/>
  <c r="L350" i="1" s="1"/>
  <c r="I356" i="1" a="1"/>
  <c r="I356" i="1" s="1"/>
  <c r="D356" i="1" a="1"/>
  <c r="D356" i="1" s="1"/>
  <c r="J356" i="1" a="1"/>
  <c r="J356" i="1" s="1"/>
  <c r="G359" i="1" a="1"/>
  <c r="G359" i="1" s="1"/>
  <c r="H359" i="1" a="1"/>
  <c r="H359" i="1" s="1"/>
  <c r="L360" i="1" a="1"/>
  <c r="L360" i="1" s="1"/>
  <c r="C365" i="1" a="1"/>
  <c r="C365" i="1" s="1"/>
  <c r="R365" i="1" a="1"/>
  <c r="R365" i="1" s="1"/>
  <c r="I365" i="1" a="1"/>
  <c r="I365" i="1" s="1"/>
  <c r="D365" i="1" a="1"/>
  <c r="D365" i="1" s="1"/>
  <c r="I370" i="1" a="1"/>
  <c r="I370" i="1" s="1"/>
  <c r="J370" i="1" a="1"/>
  <c r="J370" i="1" s="1"/>
  <c r="R370" i="1" a="1"/>
  <c r="R370" i="1" s="1"/>
  <c r="C379" i="1" a="1"/>
  <c r="C379" i="1" s="1"/>
  <c r="I379" i="1" a="1"/>
  <c r="I379" i="1" s="1"/>
  <c r="R379" i="1" a="1"/>
  <c r="R379" i="1" s="1"/>
  <c r="I388" i="1" a="1"/>
  <c r="I388" i="1" s="1"/>
  <c r="R388" i="1" a="1"/>
  <c r="R388" i="1" s="1"/>
  <c r="C388" i="1" a="1"/>
  <c r="C388" i="1" s="1"/>
  <c r="D388" i="1" a="1"/>
  <c r="D388" i="1" s="1"/>
  <c r="R394" i="1" a="1"/>
  <c r="R394" i="1" s="1"/>
  <c r="J394" i="1" a="1"/>
  <c r="J394" i="1" s="1"/>
  <c r="D394" i="1" a="1"/>
  <c r="D394" i="1" s="1"/>
  <c r="C394" i="1" a="1"/>
  <c r="C394" i="1" s="1"/>
  <c r="I394" i="1" a="1"/>
  <c r="I394" i="1" s="1"/>
  <c r="G404" i="1" a="1"/>
  <c r="G404" i="1" s="1"/>
  <c r="H404" i="1" a="1"/>
  <c r="H404" i="1" s="1"/>
  <c r="E287" i="1" a="1"/>
  <c r="E287" i="1" s="1"/>
  <c r="I296" i="1" a="1"/>
  <c r="I296" i="1" s="1"/>
  <c r="D296" i="1" a="1"/>
  <c r="D296" i="1" s="1"/>
  <c r="E298" i="1" a="1"/>
  <c r="E298" i="1" s="1"/>
  <c r="L298" i="1" a="1"/>
  <c r="L298" i="1" s="1"/>
  <c r="C307" i="1" a="1"/>
  <c r="C307" i="1" s="1"/>
  <c r="I307" i="1" a="1"/>
  <c r="I307" i="1" s="1"/>
  <c r="R307" i="1" a="1"/>
  <c r="R307" i="1" s="1"/>
  <c r="J307" i="1" a="1"/>
  <c r="J307" i="1" s="1"/>
  <c r="C315" i="1" a="1"/>
  <c r="C315" i="1" s="1"/>
  <c r="I315" i="1" a="1"/>
  <c r="I315" i="1" s="1"/>
  <c r="D315" i="1" a="1"/>
  <c r="D315" i="1" s="1"/>
  <c r="D320" i="1" a="1"/>
  <c r="D320" i="1" s="1"/>
  <c r="I322" i="1" a="1"/>
  <c r="I322" i="1" s="1"/>
  <c r="J322" i="1" a="1"/>
  <c r="J322" i="1" s="1"/>
  <c r="K323" i="1" a="1"/>
  <c r="K323" i="1" s="1"/>
  <c r="F323" i="1" a="1"/>
  <c r="F323" i="1" s="1"/>
  <c r="E330" i="1" a="1"/>
  <c r="E330" i="1" s="1"/>
  <c r="K330" i="1" a="1"/>
  <c r="K330" i="1" s="1"/>
  <c r="F330" i="1" a="1"/>
  <c r="F330" i="1" s="1"/>
  <c r="L330" i="1" a="1"/>
  <c r="L330" i="1" s="1"/>
  <c r="C332" i="1" a="1"/>
  <c r="C332" i="1" s="1"/>
  <c r="K332" i="1" a="1"/>
  <c r="K332" i="1" s="1"/>
  <c r="C336" i="1" a="1"/>
  <c r="C336" i="1" s="1"/>
  <c r="F338" i="1" a="1"/>
  <c r="F338" i="1" s="1"/>
  <c r="C341" i="1" a="1"/>
  <c r="C341" i="1" s="1"/>
  <c r="I341" i="1" a="1"/>
  <c r="I341" i="1" s="1"/>
  <c r="D341" i="1" a="1"/>
  <c r="D341" i="1" s="1"/>
  <c r="E344" i="1" a="1"/>
  <c r="E344" i="1" s="1"/>
  <c r="K344" i="1" a="1"/>
  <c r="K344" i="1" s="1"/>
  <c r="L344" i="1" a="1"/>
  <c r="L344" i="1" s="1"/>
  <c r="F348" i="1" a="1"/>
  <c r="F348" i="1" s="1"/>
  <c r="R349" i="1" a="1"/>
  <c r="R349" i="1" s="1"/>
  <c r="J351" i="1" a="1"/>
  <c r="J351" i="1" s="1"/>
  <c r="C355" i="1" a="1"/>
  <c r="C355" i="1" s="1"/>
  <c r="I355" i="1" a="1"/>
  <c r="I355" i="1" s="1"/>
  <c r="R355" i="1" a="1"/>
  <c r="R355" i="1" s="1"/>
  <c r="J355" i="1" a="1"/>
  <c r="J355" i="1" s="1"/>
  <c r="K361" i="1" a="1"/>
  <c r="K361" i="1" s="1"/>
  <c r="L361" i="1" a="1"/>
  <c r="L361" i="1" s="1"/>
  <c r="E361" i="1" a="1"/>
  <c r="E361" i="1" s="1"/>
  <c r="I364" i="1" a="1"/>
  <c r="I364" i="1" s="1"/>
  <c r="D364" i="1" a="1"/>
  <c r="D364" i="1" s="1"/>
  <c r="R364" i="1" a="1"/>
  <c r="R364" i="1" s="1"/>
  <c r="C364" i="1" a="1"/>
  <c r="C364" i="1" s="1"/>
  <c r="D370" i="1" a="1"/>
  <c r="D370" i="1" s="1"/>
  <c r="G373" i="1" a="1"/>
  <c r="G373" i="1" s="1"/>
  <c r="H373" i="1" a="1"/>
  <c r="H373" i="1" s="1"/>
  <c r="K373" i="1" a="1"/>
  <c r="K373" i="1" s="1"/>
  <c r="F373" i="1" a="1"/>
  <c r="F373" i="1" s="1"/>
  <c r="L373" i="1" a="1"/>
  <c r="L373" i="1" s="1"/>
  <c r="G381" i="1" a="1"/>
  <c r="G381" i="1" s="1"/>
  <c r="H381" i="1" a="1"/>
  <c r="H381" i="1" s="1"/>
  <c r="K381" i="1" a="1"/>
  <c r="K381" i="1" s="1"/>
  <c r="F381" i="1" a="1"/>
  <c r="F381" i="1" s="1"/>
  <c r="L381" i="1" a="1"/>
  <c r="L381" i="1" s="1"/>
  <c r="E390" i="1" a="1"/>
  <c r="E390" i="1" s="1"/>
  <c r="L390" i="1" a="1"/>
  <c r="L390" i="1" s="1"/>
  <c r="K390" i="1" a="1"/>
  <c r="K390" i="1" s="1"/>
  <c r="H392" i="1" a="1"/>
  <c r="H392" i="1" s="1"/>
  <c r="H412" i="1" a="1"/>
  <c r="H412" i="1" s="1"/>
  <c r="G412" i="1" a="1"/>
  <c r="G412" i="1" s="1"/>
  <c r="H419" i="1" a="1"/>
  <c r="H419" i="1" s="1"/>
  <c r="G419" i="1" a="1"/>
  <c r="G419" i="1" s="1"/>
  <c r="E326" i="1" a="1"/>
  <c r="E326" i="1" s="1"/>
  <c r="L326" i="1" a="1"/>
  <c r="L326" i="1" s="1"/>
  <c r="K329" i="1" a="1"/>
  <c r="K329" i="1" s="1"/>
  <c r="E329" i="1" a="1"/>
  <c r="E329" i="1" s="1"/>
  <c r="I330" i="1" a="1"/>
  <c r="I330" i="1" s="1"/>
  <c r="J330" i="1" a="1"/>
  <c r="J330" i="1" s="1"/>
  <c r="R330" i="1" a="1"/>
  <c r="R330" i="1" s="1"/>
  <c r="D330" i="1" a="1"/>
  <c r="D330" i="1" s="1"/>
  <c r="E334" i="1" a="1"/>
  <c r="E334" i="1" s="1"/>
  <c r="L334" i="1" a="1"/>
  <c r="L334" i="1" s="1"/>
  <c r="K334" i="1" a="1"/>
  <c r="K334" i="1" s="1"/>
  <c r="F334" i="1" a="1"/>
  <c r="F334" i="1" s="1"/>
  <c r="I335" i="1" a="1"/>
  <c r="I335" i="1" s="1"/>
  <c r="D336" i="1" a="1"/>
  <c r="D336" i="1" s="1"/>
  <c r="G338" i="1" a="1"/>
  <c r="G338" i="1" s="1"/>
  <c r="C339" i="1" a="1"/>
  <c r="C339" i="1" s="1"/>
  <c r="I339" i="1" a="1"/>
  <c r="I339" i="1" s="1"/>
  <c r="R339" i="1" a="1"/>
  <c r="R339" i="1" s="1"/>
  <c r="J339" i="1" a="1"/>
  <c r="J339" i="1" s="1"/>
  <c r="I340" i="1" a="1"/>
  <c r="I340" i="1" s="1"/>
  <c r="D340" i="1" a="1"/>
  <c r="D340" i="1" s="1"/>
  <c r="C340" i="1" a="1"/>
  <c r="C340" i="1" s="1"/>
  <c r="L351" i="1" a="1"/>
  <c r="L351" i="1" s="1"/>
  <c r="I354" i="1" a="1"/>
  <c r="I354" i="1" s="1"/>
  <c r="J354" i="1" a="1"/>
  <c r="J354" i="1" s="1"/>
  <c r="I358" i="1" a="1"/>
  <c r="I358" i="1" s="1"/>
  <c r="C358" i="1" a="1"/>
  <c r="C358" i="1" s="1"/>
  <c r="D358" i="1" a="1"/>
  <c r="D358" i="1" s="1"/>
  <c r="H360" i="1" a="1"/>
  <c r="H360" i="1" s="1"/>
  <c r="G360" i="1" a="1"/>
  <c r="G360" i="1" s="1"/>
  <c r="E366" i="1" a="1"/>
  <c r="E366" i="1" s="1"/>
  <c r="L366" i="1" a="1"/>
  <c r="L366" i="1" s="1"/>
  <c r="K366" i="1" a="1"/>
  <c r="K366" i="1" s="1"/>
  <c r="F366" i="1" a="1"/>
  <c r="F366" i="1" s="1"/>
  <c r="K367" i="1" a="1"/>
  <c r="K367" i="1" s="1"/>
  <c r="L367" i="1" a="1"/>
  <c r="L367" i="1" s="1"/>
  <c r="F367" i="1" a="1"/>
  <c r="F367" i="1" s="1"/>
  <c r="I374" i="1" a="1"/>
  <c r="I374" i="1" s="1"/>
  <c r="C374" i="1" a="1"/>
  <c r="C374" i="1" s="1"/>
  <c r="R374" i="1" a="1"/>
  <c r="R374" i="1" s="1"/>
  <c r="J374" i="1" a="1"/>
  <c r="J374" i="1" s="1"/>
  <c r="D374" i="1" a="1"/>
  <c r="D374" i="1" s="1"/>
  <c r="E376" i="1" a="1"/>
  <c r="E376" i="1" s="1"/>
  <c r="K376" i="1" a="1"/>
  <c r="K376" i="1" s="1"/>
  <c r="L376" i="1" a="1"/>
  <c r="L376" i="1" s="1"/>
  <c r="F376" i="1" a="1"/>
  <c r="F376" i="1" s="1"/>
  <c r="E378" i="1" a="1"/>
  <c r="E378" i="1" s="1"/>
  <c r="L378" i="1" a="1"/>
  <c r="L378" i="1" s="1"/>
  <c r="F378" i="1" a="1"/>
  <c r="F378" i="1" s="1"/>
  <c r="K378" i="1" a="1"/>
  <c r="K378" i="1" s="1"/>
  <c r="I382" i="1" a="1"/>
  <c r="I382" i="1" s="1"/>
  <c r="C382" i="1" a="1"/>
  <c r="C382" i="1" s="1"/>
  <c r="R382" i="1" a="1"/>
  <c r="R382" i="1" s="1"/>
  <c r="J382" i="1" a="1"/>
  <c r="J382" i="1" s="1"/>
  <c r="D382" i="1" a="1"/>
  <c r="D382" i="1" s="1"/>
  <c r="C387" i="1" a="1"/>
  <c r="C387" i="1" s="1"/>
  <c r="I387" i="1" a="1"/>
  <c r="I387" i="1" s="1"/>
  <c r="R387" i="1" a="1"/>
  <c r="R387" i="1" s="1"/>
  <c r="H390" i="1" a="1"/>
  <c r="H390" i="1" s="1"/>
  <c r="G390" i="1" a="1"/>
  <c r="G390" i="1" s="1"/>
  <c r="G406" i="1" a="1"/>
  <c r="G406" i="1" s="1"/>
  <c r="H406" i="1" a="1"/>
  <c r="H406" i="1" s="1"/>
  <c r="C323" i="1" a="1"/>
  <c r="C323" i="1" s="1"/>
  <c r="I323" i="1" a="1"/>
  <c r="I323" i="1" s="1"/>
  <c r="E324" i="1" a="1"/>
  <c r="E324" i="1" s="1"/>
  <c r="L324" i="1" a="1"/>
  <c r="L324" i="1" s="1"/>
  <c r="K333" i="1" a="1"/>
  <c r="K333" i="1" s="1"/>
  <c r="L333" i="1" a="1"/>
  <c r="L333" i="1" s="1"/>
  <c r="J335" i="1" a="1"/>
  <c r="J335" i="1" s="1"/>
  <c r="E362" i="1" a="1"/>
  <c r="E362" i="1" s="1"/>
  <c r="L362" i="1" a="1"/>
  <c r="L362" i="1" s="1"/>
  <c r="K362" i="1" a="1"/>
  <c r="K362" i="1" s="1"/>
  <c r="F362" i="1" a="1"/>
  <c r="F362" i="1" s="1"/>
  <c r="I378" i="1" a="1"/>
  <c r="I378" i="1" s="1"/>
  <c r="J378" i="1" a="1"/>
  <c r="J378" i="1" s="1"/>
  <c r="R378" i="1" a="1"/>
  <c r="R378" i="1" s="1"/>
  <c r="C378" i="1" a="1"/>
  <c r="C378" i="1" s="1"/>
  <c r="L405" i="1" a="1"/>
  <c r="L405" i="1" s="1"/>
  <c r="K405" i="1" a="1"/>
  <c r="K405" i="1" s="1"/>
  <c r="F405" i="1" a="1"/>
  <c r="F405" i="1" s="1"/>
  <c r="E405" i="1" a="1"/>
  <c r="E405" i="1" s="1"/>
  <c r="K281" i="1" a="1"/>
  <c r="K281" i="1" s="1"/>
  <c r="L281" i="1" a="1"/>
  <c r="L281" i="1" s="1"/>
  <c r="L287" i="1" a="1"/>
  <c r="L287" i="1" s="1"/>
  <c r="L295" i="1" a="1"/>
  <c r="L295" i="1" s="1"/>
  <c r="D307" i="1" a="1"/>
  <c r="D307" i="1" s="1"/>
  <c r="I308" i="1" a="1"/>
  <c r="I308" i="1" s="1"/>
  <c r="D308" i="1" a="1"/>
  <c r="D308" i="1" s="1"/>
  <c r="C308" i="1" a="1"/>
  <c r="C308" i="1" s="1"/>
  <c r="C309" i="1" a="1"/>
  <c r="C309" i="1" s="1"/>
  <c r="I309" i="1" a="1"/>
  <c r="I309" i="1" s="1"/>
  <c r="D309" i="1" a="1"/>
  <c r="D309" i="1" s="1"/>
  <c r="E310" i="1" a="1"/>
  <c r="E310" i="1" s="1"/>
  <c r="L310" i="1" a="1"/>
  <c r="L310" i="1" s="1"/>
  <c r="G312" i="1" a="1"/>
  <c r="G312" i="1" s="1"/>
  <c r="K313" i="1" a="1"/>
  <c r="K313" i="1" s="1"/>
  <c r="L313" i="1" a="1"/>
  <c r="L313" i="1" s="1"/>
  <c r="E318" i="1" a="1"/>
  <c r="E318" i="1" s="1"/>
  <c r="L318" i="1" a="1"/>
  <c r="L318" i="1" s="1"/>
  <c r="F322" i="1" a="1"/>
  <c r="F322" i="1" s="1"/>
  <c r="L322" i="1" a="1"/>
  <c r="L322" i="1" s="1"/>
  <c r="D323" i="1" a="1"/>
  <c r="D323" i="1" s="1"/>
  <c r="I326" i="1" a="1"/>
  <c r="I326" i="1" s="1"/>
  <c r="C326" i="1" a="1"/>
  <c r="C326" i="1" s="1"/>
  <c r="D326" i="1" a="1"/>
  <c r="D326" i="1" s="1"/>
  <c r="C329" i="1" a="1"/>
  <c r="C329" i="1" s="1"/>
  <c r="R329" i="1" a="1"/>
  <c r="R329" i="1" s="1"/>
  <c r="J329" i="1" a="1"/>
  <c r="J329" i="1" s="1"/>
  <c r="I329" i="1" a="1"/>
  <c r="I329" i="1" s="1"/>
  <c r="D329" i="1" a="1"/>
  <c r="D329" i="1" s="1"/>
  <c r="F332" i="1" a="1"/>
  <c r="F332" i="1" s="1"/>
  <c r="F333" i="1" a="1"/>
  <c r="F333" i="1" s="1"/>
  <c r="I334" i="1" a="1"/>
  <c r="I334" i="1" s="1"/>
  <c r="C334" i="1" a="1"/>
  <c r="C334" i="1" s="1"/>
  <c r="R334" i="1" a="1"/>
  <c r="R334" i="1" s="1"/>
  <c r="J334" i="1" a="1"/>
  <c r="J334" i="1" s="1"/>
  <c r="L335" i="1" a="1"/>
  <c r="L335" i="1" s="1"/>
  <c r="I338" i="1" a="1"/>
  <c r="I338" i="1" s="1"/>
  <c r="J338" i="1" a="1"/>
  <c r="J338" i="1" s="1"/>
  <c r="I348" i="1" a="1"/>
  <c r="I348" i="1" s="1"/>
  <c r="D348" i="1" a="1"/>
  <c r="D348" i="1" s="1"/>
  <c r="R348" i="1" a="1"/>
  <c r="R348" i="1" s="1"/>
  <c r="J349" i="1" a="1"/>
  <c r="J349" i="1" s="1"/>
  <c r="K350" i="1" a="1"/>
  <c r="K350" i="1" s="1"/>
  <c r="E351" i="1" a="1"/>
  <c r="E351" i="1" s="1"/>
  <c r="E352" i="1" a="1"/>
  <c r="E352" i="1" s="1"/>
  <c r="K352" i="1" a="1"/>
  <c r="K352" i="1" s="1"/>
  <c r="F352" i="1" a="1"/>
  <c r="F352" i="1" s="1"/>
  <c r="C353" i="1" a="1"/>
  <c r="C353" i="1" s="1"/>
  <c r="R353" i="1" a="1"/>
  <c r="R353" i="1" s="1"/>
  <c r="J353" i="1" a="1"/>
  <c r="J353" i="1" s="1"/>
  <c r="C354" i="1" a="1"/>
  <c r="C354" i="1" s="1"/>
  <c r="L355" i="1" a="1"/>
  <c r="L355" i="1" s="1"/>
  <c r="K357" i="1" a="1"/>
  <c r="K357" i="1" s="1"/>
  <c r="F357" i="1" a="1"/>
  <c r="F357" i="1" s="1"/>
  <c r="E357" i="1" a="1"/>
  <c r="E357" i="1" s="1"/>
  <c r="J358" i="1" a="1"/>
  <c r="J358" i="1" s="1"/>
  <c r="F361" i="1" a="1"/>
  <c r="F361" i="1" s="1"/>
  <c r="I362" i="1" a="1"/>
  <c r="I362" i="1" s="1"/>
  <c r="J362" i="1" a="1"/>
  <c r="J362" i="1" s="1"/>
  <c r="C362" i="1" a="1"/>
  <c r="C362" i="1" s="1"/>
  <c r="R362" i="1" a="1"/>
  <c r="R362" i="1" s="1"/>
  <c r="D362" i="1" a="1"/>
  <c r="D362" i="1" s="1"/>
  <c r="L364" i="1" a="1"/>
  <c r="L364" i="1" s="1"/>
  <c r="J365" i="1" a="1"/>
  <c r="J365" i="1" s="1"/>
  <c r="C367" i="1" a="1"/>
  <c r="C367" i="1" s="1"/>
  <c r="R367" i="1" a="1"/>
  <c r="R367" i="1" s="1"/>
  <c r="F371" i="1" a="1"/>
  <c r="F371" i="1" s="1"/>
  <c r="E384" i="1" a="1"/>
  <c r="E384" i="1" s="1"/>
  <c r="K384" i="1" a="1"/>
  <c r="K384" i="1" s="1"/>
  <c r="L384" i="1" a="1"/>
  <c r="L384" i="1" s="1"/>
  <c r="F384" i="1" a="1"/>
  <c r="F384" i="1" s="1"/>
  <c r="E386" i="1" a="1"/>
  <c r="E386" i="1" s="1"/>
  <c r="L386" i="1" a="1"/>
  <c r="L386" i="1" s="1"/>
  <c r="F386" i="1" a="1"/>
  <c r="F386" i="1" s="1"/>
  <c r="K386" i="1" a="1"/>
  <c r="K386" i="1" s="1"/>
  <c r="G392" i="1" a="1"/>
  <c r="G392" i="1" s="1"/>
  <c r="L402" i="1" a="1"/>
  <c r="L402" i="1" s="1"/>
  <c r="E402" i="1" a="1"/>
  <c r="E402" i="1" s="1"/>
  <c r="K402" i="1" a="1"/>
  <c r="K402" i="1" s="1"/>
  <c r="F402" i="1" a="1"/>
  <c r="F402" i="1" s="1"/>
  <c r="G405" i="1" a="1"/>
  <c r="G405" i="1" s="1"/>
  <c r="H405" i="1" a="1"/>
  <c r="H405" i="1" s="1"/>
  <c r="L354" i="1" a="1"/>
  <c r="L354" i="1" s="1"/>
  <c r="G357" i="1" a="1"/>
  <c r="G357" i="1" s="1"/>
  <c r="H357" i="1" a="1"/>
  <c r="H357" i="1" s="1"/>
  <c r="E368" i="1" a="1"/>
  <c r="E368" i="1" s="1"/>
  <c r="K368" i="1" a="1"/>
  <c r="K368" i="1" s="1"/>
  <c r="F368" i="1" a="1"/>
  <c r="F368" i="1" s="1"/>
  <c r="F379" i="1" a="1"/>
  <c r="F379" i="1" s="1"/>
  <c r="I386" i="1" a="1"/>
  <c r="I386" i="1" s="1"/>
  <c r="J386" i="1" a="1"/>
  <c r="J386" i="1" s="1"/>
  <c r="R386" i="1" a="1"/>
  <c r="R386" i="1" s="1"/>
  <c r="C386" i="1" a="1"/>
  <c r="C386" i="1" s="1"/>
  <c r="K404" i="1" a="1"/>
  <c r="K404" i="1" s="1"/>
  <c r="J396" i="1" a="1"/>
  <c r="J396" i="1" s="1"/>
  <c r="I396" i="1" a="1"/>
  <c r="I396" i="1" s="1"/>
  <c r="R396" i="1" a="1"/>
  <c r="R396" i="1" s="1"/>
  <c r="C396" i="1" a="1"/>
  <c r="C396" i="1" s="1"/>
  <c r="L414" i="1" a="1"/>
  <c r="L414" i="1" s="1"/>
  <c r="K414" i="1" a="1"/>
  <c r="K414" i="1" s="1"/>
  <c r="E414" i="1" a="1"/>
  <c r="E414" i="1" s="1"/>
  <c r="F414" i="1" a="1"/>
  <c r="F414" i="1" s="1"/>
  <c r="H424" i="1" a="1"/>
  <c r="H424" i="1" s="1"/>
  <c r="E451" i="1" a="1"/>
  <c r="E451" i="1" s="1"/>
  <c r="F451" i="1" a="1"/>
  <c r="F451" i="1" s="1"/>
  <c r="C299" i="1" a="1"/>
  <c r="C299" i="1" s="1"/>
  <c r="I299" i="1" a="1"/>
  <c r="I299" i="1" s="1"/>
  <c r="F309" i="1" a="1"/>
  <c r="F309" i="1" s="1"/>
  <c r="F321" i="1" a="1"/>
  <c r="F321" i="1" s="1"/>
  <c r="E325" i="1" a="1"/>
  <c r="E325" i="1" s="1"/>
  <c r="E328" i="1" a="1"/>
  <c r="E328" i="1" s="1"/>
  <c r="K328" i="1" a="1"/>
  <c r="K328" i="1" s="1"/>
  <c r="C337" i="1" a="1"/>
  <c r="C337" i="1" s="1"/>
  <c r="R337" i="1" a="1"/>
  <c r="R337" i="1" s="1"/>
  <c r="J337" i="1" a="1"/>
  <c r="J337" i="1" s="1"/>
  <c r="F343" i="1" a="1"/>
  <c r="F343" i="1" s="1"/>
  <c r="L343" i="1" a="1"/>
  <c r="L343" i="1" s="1"/>
  <c r="C344" i="1" a="1"/>
  <c r="C344" i="1" s="1"/>
  <c r="L347" i="1" a="1"/>
  <c r="L347" i="1" s="1"/>
  <c r="E359" i="1" a="1"/>
  <c r="E359" i="1" s="1"/>
  <c r="C363" i="1" a="1"/>
  <c r="C363" i="1" s="1"/>
  <c r="I363" i="1" a="1"/>
  <c r="I363" i="1" s="1"/>
  <c r="L365" i="1" a="1"/>
  <c r="L365" i="1" s="1"/>
  <c r="I372" i="1" a="1"/>
  <c r="I372" i="1" s="1"/>
  <c r="D372" i="1" a="1"/>
  <c r="D372" i="1" s="1"/>
  <c r="E377" i="1" a="1"/>
  <c r="E377" i="1" s="1"/>
  <c r="I380" i="1" a="1"/>
  <c r="I380" i="1" s="1"/>
  <c r="D380" i="1" a="1"/>
  <c r="D380" i="1" s="1"/>
  <c r="E385" i="1" a="1"/>
  <c r="E385" i="1" s="1"/>
  <c r="F388" i="1" a="1"/>
  <c r="F388" i="1" s="1"/>
  <c r="L388" i="1" a="1"/>
  <c r="L388" i="1" s="1"/>
  <c r="L391" i="1" a="1"/>
  <c r="L391" i="1" s="1"/>
  <c r="F397" i="1" a="1"/>
  <c r="F397" i="1" s="1"/>
  <c r="I397" i="1" a="1"/>
  <c r="I397" i="1" s="1"/>
  <c r="R397" i="1" a="1"/>
  <c r="R397" i="1" s="1"/>
  <c r="D397" i="1" a="1"/>
  <c r="D397" i="1" s="1"/>
  <c r="I399" i="1" a="1"/>
  <c r="I399" i="1" s="1"/>
  <c r="D399" i="1" a="1"/>
  <c r="D399" i="1" s="1"/>
  <c r="R399" i="1" a="1"/>
  <c r="R399" i="1" s="1"/>
  <c r="J399" i="1" a="1"/>
  <c r="J399" i="1" s="1"/>
  <c r="C399" i="1" a="1"/>
  <c r="C399" i="1" s="1"/>
  <c r="F400" i="1" a="1"/>
  <c r="F400" i="1" s="1"/>
  <c r="K400" i="1" a="1"/>
  <c r="K400" i="1" s="1"/>
  <c r="E400" i="1" a="1"/>
  <c r="E400" i="1" s="1"/>
  <c r="K406" i="1" a="1"/>
  <c r="K406" i="1" s="1"/>
  <c r="E406" i="1" a="1"/>
  <c r="E406" i="1" s="1"/>
  <c r="F410" i="1" a="1"/>
  <c r="F410" i="1" s="1"/>
  <c r="E410" i="1" a="1"/>
  <c r="E410" i="1" s="1"/>
  <c r="L410" i="1" a="1"/>
  <c r="L410" i="1" s="1"/>
  <c r="K410" i="1" a="1"/>
  <c r="K410" i="1" s="1"/>
  <c r="D422" i="1" a="1"/>
  <c r="D422" i="1" s="1"/>
  <c r="G425" i="1" a="1"/>
  <c r="G425" i="1" s="1"/>
  <c r="H425" i="1" a="1"/>
  <c r="H425" i="1" s="1"/>
  <c r="J431" i="1" a="1"/>
  <c r="J431" i="1" s="1"/>
  <c r="D361" i="1" a="1"/>
  <c r="D361" i="1" s="1"/>
  <c r="J366" i="1" a="1"/>
  <c r="J366" i="1" s="1"/>
  <c r="K371" i="1" a="1"/>
  <c r="K371" i="1" s="1"/>
  <c r="L371" i="1" a="1"/>
  <c r="L371" i="1" s="1"/>
  <c r="F372" i="1" a="1"/>
  <c r="F372" i="1" s="1"/>
  <c r="L372" i="1" a="1"/>
  <c r="L372" i="1" s="1"/>
  <c r="K379" i="1" a="1"/>
  <c r="K379" i="1" s="1"/>
  <c r="L379" i="1" a="1"/>
  <c r="L379" i="1" s="1"/>
  <c r="F380" i="1" a="1"/>
  <c r="F380" i="1" s="1"/>
  <c r="L380" i="1" a="1"/>
  <c r="L380" i="1" s="1"/>
  <c r="K387" i="1" a="1"/>
  <c r="K387" i="1" s="1"/>
  <c r="L387" i="1" a="1"/>
  <c r="L387" i="1" s="1"/>
  <c r="K389" i="1" a="1"/>
  <c r="K389" i="1" s="1"/>
  <c r="L389" i="1" a="1"/>
  <c r="L389" i="1" s="1"/>
  <c r="F389" i="1" a="1"/>
  <c r="F389" i="1" s="1"/>
  <c r="H400" i="1" a="1"/>
  <c r="H400" i="1" s="1"/>
  <c r="G400" i="1" a="1"/>
  <c r="G400" i="1" s="1"/>
  <c r="H409" i="1" a="1"/>
  <c r="H409" i="1" s="1"/>
  <c r="D410" i="1" a="1"/>
  <c r="D410" i="1" s="1"/>
  <c r="J412" i="1" a="1"/>
  <c r="J412" i="1" s="1"/>
  <c r="I412" i="1" a="1"/>
  <c r="I412" i="1" s="1"/>
  <c r="D412" i="1" a="1"/>
  <c r="D412" i="1" s="1"/>
  <c r="G421" i="1" a="1"/>
  <c r="G421" i="1" s="1"/>
  <c r="H421" i="1" a="1"/>
  <c r="H421" i="1" s="1"/>
  <c r="D500" i="1" a="1"/>
  <c r="D500" i="1" s="1"/>
  <c r="R500" i="1" a="1"/>
  <c r="R500" i="1" s="1"/>
  <c r="C500" i="1" a="1"/>
  <c r="C500" i="1" s="1"/>
  <c r="C361" i="1" a="1"/>
  <c r="C361" i="1" s="1"/>
  <c r="R361" i="1" a="1"/>
  <c r="R361" i="1" s="1"/>
  <c r="J361" i="1" a="1"/>
  <c r="J361" i="1" s="1"/>
  <c r="I366" i="1" a="1"/>
  <c r="I366" i="1" s="1"/>
  <c r="C366" i="1" a="1"/>
  <c r="C366" i="1" s="1"/>
  <c r="I392" i="1" a="1"/>
  <c r="I392" i="1" s="1"/>
  <c r="R395" i="1" a="1"/>
  <c r="R395" i="1" s="1"/>
  <c r="J395" i="1" a="1"/>
  <c r="J395" i="1" s="1"/>
  <c r="D395" i="1" a="1"/>
  <c r="D395" i="1" s="1"/>
  <c r="I395" i="1" a="1"/>
  <c r="I395" i="1" s="1"/>
  <c r="C395" i="1" a="1"/>
  <c r="C395" i="1" s="1"/>
  <c r="K397" i="1" a="1"/>
  <c r="K397" i="1" s="1"/>
  <c r="G398" i="1" a="1"/>
  <c r="G398" i="1" s="1"/>
  <c r="H398" i="1" a="1"/>
  <c r="H398" i="1" s="1"/>
  <c r="F398" i="1" a="1"/>
  <c r="F398" i="1" s="1"/>
  <c r="K398" i="1" a="1"/>
  <c r="K398" i="1" s="1"/>
  <c r="E398" i="1" a="1"/>
  <c r="E398" i="1" s="1"/>
  <c r="D400" i="1" a="1"/>
  <c r="D400" i="1" s="1"/>
  <c r="I400" i="1" a="1"/>
  <c r="I400" i="1" s="1"/>
  <c r="E296" i="1" a="1"/>
  <c r="E296" i="1" s="1"/>
  <c r="K296" i="1" a="1"/>
  <c r="K296" i="1" s="1"/>
  <c r="C305" i="1" a="1"/>
  <c r="C305" i="1" s="1"/>
  <c r="R305" i="1" a="1"/>
  <c r="R305" i="1" s="1"/>
  <c r="J305" i="1" a="1"/>
  <c r="J305" i="1" s="1"/>
  <c r="C331" i="1" a="1"/>
  <c r="C331" i="1" s="1"/>
  <c r="I331" i="1" a="1"/>
  <c r="I331" i="1" s="1"/>
  <c r="D343" i="1" a="1"/>
  <c r="D343" i="1" s="1"/>
  <c r="I343" i="1" a="1"/>
  <c r="I343" i="1" s="1"/>
  <c r="D360" i="1" a="1"/>
  <c r="D360" i="1" s="1"/>
  <c r="E360" i="1" a="1"/>
  <c r="E360" i="1" s="1"/>
  <c r="K360" i="1" a="1"/>
  <c r="K360" i="1" s="1"/>
  <c r="C369" i="1" a="1"/>
  <c r="C369" i="1" s="1"/>
  <c r="R369" i="1" a="1"/>
  <c r="R369" i="1" s="1"/>
  <c r="J369" i="1" a="1"/>
  <c r="J369" i="1" s="1"/>
  <c r="E374" i="1" a="1"/>
  <c r="E374" i="1" s="1"/>
  <c r="L374" i="1" a="1"/>
  <c r="L374" i="1" s="1"/>
  <c r="F374" i="1" a="1"/>
  <c r="F374" i="1" s="1"/>
  <c r="E382" i="1" a="1"/>
  <c r="E382" i="1" s="1"/>
  <c r="L382" i="1" a="1"/>
  <c r="L382" i="1" s="1"/>
  <c r="F382" i="1" a="1"/>
  <c r="F382" i="1" s="1"/>
  <c r="G391" i="1" a="1"/>
  <c r="G391" i="1" s="1"/>
  <c r="H391" i="1" a="1"/>
  <c r="H391" i="1" s="1"/>
  <c r="J392" i="1" a="1"/>
  <c r="J392" i="1" s="1"/>
  <c r="F393" i="1" a="1"/>
  <c r="F393" i="1" s="1"/>
  <c r="L397" i="1" a="1"/>
  <c r="L397" i="1" s="1"/>
  <c r="H401" i="1" a="1"/>
  <c r="H401" i="1" s="1"/>
  <c r="R408" i="1" a="1"/>
  <c r="R408" i="1" s="1"/>
  <c r="C408" i="1" a="1"/>
  <c r="C408" i="1" s="1"/>
  <c r="D408" i="1" a="1"/>
  <c r="D408" i="1" s="1"/>
  <c r="J408" i="1" a="1"/>
  <c r="J408" i="1" s="1"/>
  <c r="I408" i="1" a="1"/>
  <c r="I408" i="1" s="1"/>
  <c r="G409" i="1" a="1"/>
  <c r="G409" i="1" s="1"/>
  <c r="E413" i="1" a="1"/>
  <c r="E413" i="1" s="1"/>
  <c r="L413" i="1" a="1"/>
  <c r="L413" i="1" s="1"/>
  <c r="F413" i="1" a="1"/>
  <c r="F413" i="1" s="1"/>
  <c r="K413" i="1" a="1"/>
  <c r="K413" i="1" s="1"/>
  <c r="C402" i="1" a="1"/>
  <c r="C402" i="1" s="1"/>
  <c r="J402" i="1" a="1"/>
  <c r="J402" i="1" s="1"/>
  <c r="D402" i="1" a="1"/>
  <c r="D402" i="1" s="1"/>
  <c r="R402" i="1" a="1"/>
  <c r="R402" i="1" s="1"/>
  <c r="C403" i="1" a="1"/>
  <c r="C403" i="1" s="1"/>
  <c r="R403" i="1" a="1"/>
  <c r="R403" i="1" s="1"/>
  <c r="I403" i="1" a="1"/>
  <c r="I403" i="1" s="1"/>
  <c r="J403" i="1" a="1"/>
  <c r="J403" i="1" s="1"/>
  <c r="D403" i="1" a="1"/>
  <c r="D403" i="1" s="1"/>
  <c r="H416" i="1" a="1"/>
  <c r="H416" i="1" s="1"/>
  <c r="C418" i="1" a="1"/>
  <c r="C418" i="1" s="1"/>
  <c r="R418" i="1" a="1"/>
  <c r="R418" i="1" s="1"/>
  <c r="I418" i="1" a="1"/>
  <c r="I418" i="1" s="1"/>
  <c r="J418" i="1" a="1"/>
  <c r="J418" i="1" s="1"/>
  <c r="D418" i="1" a="1"/>
  <c r="D418" i="1" s="1"/>
  <c r="G420" i="1" a="1"/>
  <c r="G420" i="1" s="1"/>
  <c r="H420" i="1" a="1"/>
  <c r="H420" i="1" s="1"/>
  <c r="G427" i="1" a="1"/>
  <c r="G427" i="1" s="1"/>
  <c r="H427" i="1" a="1"/>
  <c r="H427" i="1" s="1"/>
  <c r="K427" i="1" a="1"/>
  <c r="K427" i="1" s="1"/>
  <c r="L427" i="1" a="1"/>
  <c r="L427" i="1" s="1"/>
  <c r="E427" i="1" a="1"/>
  <c r="E427" i="1" s="1"/>
  <c r="F427" i="1" a="1"/>
  <c r="F427" i="1" s="1"/>
  <c r="G435" i="1" a="1"/>
  <c r="G435" i="1" s="1"/>
  <c r="H435" i="1" a="1"/>
  <c r="H435" i="1" s="1"/>
  <c r="E455" i="1" a="1"/>
  <c r="E455" i="1" s="1"/>
  <c r="F455" i="1" a="1"/>
  <c r="F455" i="1" s="1"/>
  <c r="C347" i="1" a="1"/>
  <c r="C347" i="1" s="1"/>
  <c r="I347" i="1" a="1"/>
  <c r="I347" i="1" s="1"/>
  <c r="F369" i="1" a="1"/>
  <c r="F369" i="1" s="1"/>
  <c r="E371" i="1" a="1"/>
  <c r="E371" i="1" s="1"/>
  <c r="H375" i="1" a="1"/>
  <c r="H375" i="1" s="1"/>
  <c r="C377" i="1" a="1"/>
  <c r="C377" i="1" s="1"/>
  <c r="R377" i="1" a="1"/>
  <c r="R377" i="1" s="1"/>
  <c r="J377" i="1" a="1"/>
  <c r="J377" i="1" s="1"/>
  <c r="D377" i="1" a="1"/>
  <c r="D377" i="1" s="1"/>
  <c r="E379" i="1" a="1"/>
  <c r="E379" i="1" s="1"/>
  <c r="H383" i="1" a="1"/>
  <c r="H383" i="1" s="1"/>
  <c r="C385" i="1" a="1"/>
  <c r="C385" i="1" s="1"/>
  <c r="R385" i="1" a="1"/>
  <c r="R385" i="1" s="1"/>
  <c r="J385" i="1" a="1"/>
  <c r="J385" i="1" s="1"/>
  <c r="D385" i="1" a="1"/>
  <c r="D385" i="1" s="1"/>
  <c r="E387" i="1" a="1"/>
  <c r="E387" i="1" s="1"/>
  <c r="I390" i="1" a="1"/>
  <c r="I390" i="1" s="1"/>
  <c r="C390" i="1" a="1"/>
  <c r="C390" i="1" s="1"/>
  <c r="F394" i="1" a="1"/>
  <c r="F394" i="1" s="1"/>
  <c r="E394" i="1" a="1"/>
  <c r="E394" i="1" s="1"/>
  <c r="K394" i="1" a="1"/>
  <c r="K394" i="1" s="1"/>
  <c r="K395" i="1" a="1"/>
  <c r="K395" i="1" s="1"/>
  <c r="G401" i="1" a="1"/>
  <c r="G401" i="1" s="1"/>
  <c r="H407" i="1" a="1"/>
  <c r="H407" i="1" s="1"/>
  <c r="D416" i="1" a="1"/>
  <c r="D416" i="1" s="1"/>
  <c r="J416" i="1" a="1"/>
  <c r="J416" i="1" s="1"/>
  <c r="I416" i="1" a="1"/>
  <c r="I416" i="1" s="1"/>
  <c r="C416" i="1" a="1"/>
  <c r="C416" i="1" s="1"/>
  <c r="C420" i="1" a="1"/>
  <c r="C420" i="1" s="1"/>
  <c r="J420" i="1" a="1"/>
  <c r="J420" i="1" s="1"/>
  <c r="I420" i="1" a="1"/>
  <c r="I420" i="1" s="1"/>
  <c r="I434" i="1" a="1"/>
  <c r="I434" i="1" s="1"/>
  <c r="C434" i="1" a="1"/>
  <c r="C434" i="1" s="1"/>
  <c r="D434" i="1" a="1"/>
  <c r="D434" i="1" s="1"/>
  <c r="R434" i="1" a="1"/>
  <c r="R434" i="1" s="1"/>
  <c r="J434" i="1" a="1"/>
  <c r="J434" i="1" s="1"/>
  <c r="L396" i="1" a="1"/>
  <c r="L396" i="1" s="1"/>
  <c r="L403" i="1" a="1"/>
  <c r="L403" i="1" s="1"/>
  <c r="H415" i="1" a="1"/>
  <c r="H415" i="1" s="1"/>
  <c r="D417" i="1" a="1"/>
  <c r="D417" i="1" s="1"/>
  <c r="C417" i="1" a="1"/>
  <c r="C417" i="1" s="1"/>
  <c r="R417" i="1" a="1"/>
  <c r="R417" i="1" s="1"/>
  <c r="I417" i="1" a="1"/>
  <c r="I417" i="1" s="1"/>
  <c r="L420" i="1" a="1"/>
  <c r="L420" i="1" s="1"/>
  <c r="K420" i="1" a="1"/>
  <c r="K420" i="1" s="1"/>
  <c r="E420" i="1" a="1"/>
  <c r="E420" i="1" s="1"/>
  <c r="J422" i="1" a="1"/>
  <c r="J422" i="1" s="1"/>
  <c r="E430" i="1" a="1"/>
  <c r="E430" i="1" s="1"/>
  <c r="L430" i="1" a="1"/>
  <c r="L430" i="1" s="1"/>
  <c r="K430" i="1" a="1"/>
  <c r="K430" i="1" s="1"/>
  <c r="F430" i="1" a="1"/>
  <c r="F430" i="1" s="1"/>
  <c r="F474" i="1" a="1"/>
  <c r="F474" i="1" s="1"/>
  <c r="K392" i="1" a="1"/>
  <c r="K392" i="1" s="1"/>
  <c r="F392" i="1" a="1"/>
  <c r="F392" i="1" s="1"/>
  <c r="I398" i="1" a="1"/>
  <c r="I398" i="1" s="1"/>
  <c r="D398" i="1" a="1"/>
  <c r="D398" i="1" s="1"/>
  <c r="R410" i="1" a="1"/>
  <c r="R410" i="1" s="1"/>
  <c r="J410" i="1" a="1"/>
  <c r="J410" i="1" s="1"/>
  <c r="I410" i="1" a="1"/>
  <c r="I410" i="1" s="1"/>
  <c r="H413" i="1" a="1"/>
  <c r="H413" i="1" s="1"/>
  <c r="L415" i="1" a="1"/>
  <c r="L415" i="1" s="1"/>
  <c r="G433" i="1" a="1"/>
  <c r="G433" i="1" s="1"/>
  <c r="H433" i="1" a="1"/>
  <c r="H433" i="1" s="1"/>
  <c r="K437" i="1" a="1"/>
  <c r="K437" i="1" s="1"/>
  <c r="L437" i="1" a="1"/>
  <c r="L437" i="1" s="1"/>
  <c r="F437" i="1" a="1"/>
  <c r="F437" i="1" s="1"/>
  <c r="I438" i="1" a="1"/>
  <c r="I438" i="1" s="1"/>
  <c r="R438" i="1" a="1"/>
  <c r="R438" i="1" s="1"/>
  <c r="J438" i="1" a="1"/>
  <c r="J438" i="1" s="1"/>
  <c r="D438" i="1" a="1"/>
  <c r="D438" i="1" s="1"/>
  <c r="C438" i="1" a="1"/>
  <c r="C438" i="1" s="1"/>
  <c r="J441" i="1" a="1"/>
  <c r="J441" i="1" s="1"/>
  <c r="E442" i="1" a="1"/>
  <c r="E442" i="1" s="1"/>
  <c r="K442" i="1" a="1"/>
  <c r="K442" i="1" s="1"/>
  <c r="F442" i="1" a="1"/>
  <c r="F442" i="1" s="1"/>
  <c r="L442" i="1" a="1"/>
  <c r="L442" i="1" s="1"/>
  <c r="C512" i="1" a="1"/>
  <c r="C512" i="1" s="1"/>
  <c r="R512" i="1" a="1"/>
  <c r="R512" i="1" s="1"/>
  <c r="D512" i="1" a="1"/>
  <c r="D512" i="1" s="1"/>
  <c r="D401" i="1" a="1"/>
  <c r="D401" i="1" s="1"/>
  <c r="C401" i="1" a="1"/>
  <c r="C401" i="1" s="1"/>
  <c r="D404" i="1" a="1"/>
  <c r="D404" i="1" s="1"/>
  <c r="F409" i="1" a="1"/>
  <c r="F409" i="1" s="1"/>
  <c r="L409" i="1" a="1"/>
  <c r="L409" i="1" s="1"/>
  <c r="E409" i="1" a="1"/>
  <c r="E409" i="1" s="1"/>
  <c r="K423" i="1" a="1"/>
  <c r="K423" i="1" s="1"/>
  <c r="F423" i="1" a="1"/>
  <c r="F423" i="1" s="1"/>
  <c r="K425" i="1" a="1"/>
  <c r="K425" i="1" s="1"/>
  <c r="L425" i="1" a="1"/>
  <c r="L425" i="1" s="1"/>
  <c r="F425" i="1" a="1"/>
  <c r="F425" i="1" s="1"/>
  <c r="F462" i="1" a="1"/>
  <c r="F462" i="1" s="1"/>
  <c r="E462" i="1" a="1"/>
  <c r="E462" i="1" s="1"/>
  <c r="I414" i="1" a="1"/>
  <c r="I414" i="1" s="1"/>
  <c r="D414" i="1" a="1"/>
  <c r="D414" i="1" s="1"/>
  <c r="R414" i="1" a="1"/>
  <c r="R414" i="1" s="1"/>
  <c r="E426" i="1" a="1"/>
  <c r="E426" i="1" s="1"/>
  <c r="L426" i="1" a="1"/>
  <c r="L426" i="1" s="1"/>
  <c r="F426" i="1" a="1"/>
  <c r="F426" i="1" s="1"/>
  <c r="K426" i="1" a="1"/>
  <c r="K426" i="1" s="1"/>
  <c r="G429" i="1" a="1"/>
  <c r="G429" i="1" s="1"/>
  <c r="H429" i="1" a="1"/>
  <c r="H429" i="1" s="1"/>
  <c r="G437" i="1" a="1"/>
  <c r="G437" i="1" s="1"/>
  <c r="H437" i="1" a="1"/>
  <c r="H437" i="1" s="1"/>
  <c r="K408" i="1" a="1"/>
  <c r="K408" i="1" s="1"/>
  <c r="F408" i="1" a="1"/>
  <c r="F408" i="1" s="1"/>
  <c r="E411" i="1" a="1"/>
  <c r="E411" i="1" s="1"/>
  <c r="K411" i="1" a="1"/>
  <c r="K411" i="1" s="1"/>
  <c r="L416" i="1" a="1"/>
  <c r="L416" i="1" s="1"/>
  <c r="K416" i="1" a="1"/>
  <c r="K416" i="1" s="1"/>
  <c r="E416" i="1" a="1"/>
  <c r="E416" i="1" s="1"/>
  <c r="L417" i="1" a="1"/>
  <c r="L417" i="1" s="1"/>
  <c r="F417" i="1" a="1"/>
  <c r="F417" i="1" s="1"/>
  <c r="E417" i="1" a="1"/>
  <c r="E417" i="1" s="1"/>
  <c r="R422" i="1" a="1"/>
  <c r="R422" i="1" s="1"/>
  <c r="I422" i="1" a="1"/>
  <c r="I422" i="1" s="1"/>
  <c r="I428" i="1" a="1"/>
  <c r="I428" i="1" s="1"/>
  <c r="J428" i="1" a="1"/>
  <c r="J428" i="1" s="1"/>
  <c r="D428" i="1" a="1"/>
  <c r="D428" i="1" s="1"/>
  <c r="R428" i="1" a="1"/>
  <c r="R428" i="1" s="1"/>
  <c r="C428" i="1" a="1"/>
  <c r="C428" i="1" s="1"/>
  <c r="R459" i="1" a="1"/>
  <c r="R459" i="1" s="1"/>
  <c r="D459" i="1" a="1"/>
  <c r="D459" i="1" s="1"/>
  <c r="C459" i="1" a="1"/>
  <c r="C459" i="1" s="1"/>
  <c r="L418" i="1" a="1"/>
  <c r="L418" i="1" s="1"/>
  <c r="L419" i="1" a="1"/>
  <c r="L419" i="1" s="1"/>
  <c r="F419" i="1" a="1"/>
  <c r="F419" i="1" s="1"/>
  <c r="K419" i="1" a="1"/>
  <c r="K419" i="1" s="1"/>
  <c r="I426" i="1" a="1"/>
  <c r="I426" i="1" s="1"/>
  <c r="D426" i="1" a="1"/>
  <c r="D426" i="1" s="1"/>
  <c r="R426" i="1" a="1"/>
  <c r="R426" i="1" s="1"/>
  <c r="J426" i="1" a="1"/>
  <c r="J426" i="1" s="1"/>
  <c r="C426" i="1" a="1"/>
  <c r="C426" i="1" s="1"/>
  <c r="C431" i="1" a="1"/>
  <c r="C431" i="1" s="1"/>
  <c r="I431" i="1" a="1"/>
  <c r="I431" i="1" s="1"/>
  <c r="D431" i="1" a="1"/>
  <c r="D431" i="1" s="1"/>
  <c r="R431" i="1" a="1"/>
  <c r="R431" i="1" s="1"/>
  <c r="E434" i="1" a="1"/>
  <c r="E434" i="1" s="1"/>
  <c r="L434" i="1" a="1"/>
  <c r="L434" i="1" s="1"/>
  <c r="K434" i="1" a="1"/>
  <c r="K434" i="1" s="1"/>
  <c r="F434" i="1" a="1"/>
  <c r="F434" i="1" s="1"/>
  <c r="H444" i="1" a="1"/>
  <c r="H444" i="1" s="1"/>
  <c r="G444" i="1" a="1"/>
  <c r="G444" i="1" s="1"/>
  <c r="H445" i="1" a="1"/>
  <c r="H445" i="1" s="1"/>
  <c r="G445" i="1" a="1"/>
  <c r="G445" i="1" s="1"/>
  <c r="C446" i="1" a="1"/>
  <c r="C446" i="1" s="1"/>
  <c r="R446" i="1" a="1"/>
  <c r="R446" i="1" s="1"/>
  <c r="D446" i="1" a="1"/>
  <c r="D446" i="1" s="1"/>
  <c r="R478" i="1" a="1"/>
  <c r="R478" i="1" s="1"/>
  <c r="D478" i="1" a="1"/>
  <c r="D478" i="1" s="1"/>
  <c r="C478" i="1" a="1"/>
  <c r="C478" i="1" s="1"/>
  <c r="K407" i="1" a="1"/>
  <c r="K407" i="1" s="1"/>
  <c r="F407" i="1" a="1"/>
  <c r="F407" i="1" s="1"/>
  <c r="R411" i="1" a="1"/>
  <c r="R411" i="1" s="1"/>
  <c r="J411" i="1" a="1"/>
  <c r="J411" i="1" s="1"/>
  <c r="C421" i="1" a="1"/>
  <c r="C421" i="1" s="1"/>
  <c r="I421" i="1" a="1"/>
  <c r="I421" i="1" s="1"/>
  <c r="K428" i="1" a="1"/>
  <c r="K428" i="1" s="1"/>
  <c r="D437" i="1" a="1"/>
  <c r="D437" i="1" s="1"/>
  <c r="E444" i="1" a="1"/>
  <c r="E444" i="1" s="1"/>
  <c r="L444" i="1" a="1"/>
  <c r="L444" i="1" s="1"/>
  <c r="K444" i="1" a="1"/>
  <c r="K444" i="1" s="1"/>
  <c r="F444" i="1" a="1"/>
  <c r="F444" i="1" s="1"/>
  <c r="F461" i="1" a="1"/>
  <c r="F461" i="1" s="1"/>
  <c r="E461" i="1" a="1"/>
  <c r="E461" i="1" s="1"/>
  <c r="D468" i="1" a="1"/>
  <c r="D468" i="1" s="1"/>
  <c r="R468" i="1" a="1"/>
  <c r="R468" i="1" s="1"/>
  <c r="C494" i="1" a="1"/>
  <c r="C494" i="1" s="1"/>
  <c r="D494" i="1" a="1"/>
  <c r="D494" i="1" s="1"/>
  <c r="R494" i="1" a="1"/>
  <c r="R494" i="1" s="1"/>
  <c r="F506" i="1" a="1"/>
  <c r="F506" i="1" s="1"/>
  <c r="E506" i="1" a="1"/>
  <c r="E506" i="1" s="1"/>
  <c r="D430" i="1" a="1"/>
  <c r="D430" i="1" s="1"/>
  <c r="I432" i="1" a="1"/>
  <c r="I432" i="1" s="1"/>
  <c r="R432" i="1" a="1"/>
  <c r="R432" i="1" s="1"/>
  <c r="K439" i="1" a="1"/>
  <c r="K439" i="1" s="1"/>
  <c r="L439" i="1" a="1"/>
  <c r="L439" i="1" s="1"/>
  <c r="F439" i="1" a="1"/>
  <c r="F439" i="1" s="1"/>
  <c r="E439" i="1" a="1"/>
  <c r="E439" i="1" s="1"/>
  <c r="D466" i="1" a="1"/>
  <c r="D466" i="1" s="1"/>
  <c r="C466" i="1" a="1"/>
  <c r="C466" i="1" s="1"/>
  <c r="R466" i="1" a="1"/>
  <c r="R466" i="1" s="1"/>
  <c r="F482" i="1" a="1"/>
  <c r="F482" i="1" s="1"/>
  <c r="E482" i="1" a="1"/>
  <c r="E482" i="1" s="1"/>
  <c r="F500" i="1" a="1"/>
  <c r="F500" i="1" s="1"/>
  <c r="E500" i="1" a="1"/>
  <c r="E500" i="1" s="1"/>
  <c r="R501" i="1" a="1"/>
  <c r="R501" i="1" s="1"/>
  <c r="C501" i="1" a="1"/>
  <c r="C501" i="1" s="1"/>
  <c r="D501" i="1" a="1"/>
  <c r="D501" i="1" s="1"/>
  <c r="R535" i="1" a="1"/>
  <c r="R535" i="1" s="1"/>
  <c r="C535" i="1" a="1"/>
  <c r="C535" i="1" s="1"/>
  <c r="D535" i="1" a="1"/>
  <c r="D535" i="1" s="1"/>
  <c r="D552" i="1" a="1"/>
  <c r="D552" i="1" s="1"/>
  <c r="E592" i="1" a="1"/>
  <c r="E592" i="1" s="1"/>
  <c r="F592" i="1" a="1"/>
  <c r="F592" i="1" s="1"/>
  <c r="K433" i="1" a="1"/>
  <c r="K433" i="1" s="1"/>
  <c r="L433" i="1" a="1"/>
  <c r="L433" i="1" s="1"/>
  <c r="F433" i="1" a="1"/>
  <c r="F433" i="1" s="1"/>
  <c r="E433" i="1" a="1"/>
  <c r="E433" i="1" s="1"/>
  <c r="G443" i="1" a="1"/>
  <c r="G443" i="1" s="1"/>
  <c r="H443" i="1" a="1"/>
  <c r="H443" i="1" s="1"/>
  <c r="I444" i="1" a="1"/>
  <c r="I444" i="1" s="1"/>
  <c r="J444" i="1" a="1"/>
  <c r="J444" i="1" s="1"/>
  <c r="D444" i="1" a="1"/>
  <c r="D444" i="1" s="1"/>
  <c r="C444" i="1" a="1"/>
  <c r="C444" i="1" s="1"/>
  <c r="R469" i="1" a="1"/>
  <c r="R469" i="1" s="1"/>
  <c r="C469" i="1" a="1"/>
  <c r="C469" i="1" s="1"/>
  <c r="D469" i="1" a="1"/>
  <c r="D469" i="1" s="1"/>
  <c r="F484" i="1" a="1"/>
  <c r="F484" i="1" s="1"/>
  <c r="E484" i="1" a="1"/>
  <c r="E484" i="1" s="1"/>
  <c r="R491" i="1" a="1"/>
  <c r="R491" i="1" s="1"/>
  <c r="C491" i="1" a="1"/>
  <c r="C491" i="1" s="1"/>
  <c r="D491" i="1" a="1"/>
  <c r="D491" i="1" s="1"/>
  <c r="D518" i="1" a="1"/>
  <c r="D518" i="1" s="1"/>
  <c r="R518" i="1" a="1"/>
  <c r="R518" i="1" s="1"/>
  <c r="R522" i="1" a="1"/>
  <c r="R522" i="1" s="1"/>
  <c r="C522" i="1" a="1"/>
  <c r="C522" i="1" s="1"/>
  <c r="D522" i="1" a="1"/>
  <c r="D522" i="1" s="1"/>
  <c r="I415" i="1" a="1"/>
  <c r="I415" i="1" s="1"/>
  <c r="D415" i="1" a="1"/>
  <c r="D415" i="1" s="1"/>
  <c r="K424" i="1" a="1"/>
  <c r="K424" i="1" s="1"/>
  <c r="F424" i="1" a="1"/>
  <c r="F424" i="1" s="1"/>
  <c r="R430" i="1" a="1"/>
  <c r="R430" i="1" s="1"/>
  <c r="E440" i="1" a="1"/>
  <c r="E440" i="1" s="1"/>
  <c r="L440" i="1" a="1"/>
  <c r="L440" i="1" s="1"/>
  <c r="I442" i="1" a="1"/>
  <c r="I442" i="1" s="1"/>
  <c r="R442" i="1" a="1"/>
  <c r="R442" i="1" s="1"/>
  <c r="J442" i="1" a="1"/>
  <c r="J442" i="1" s="1"/>
  <c r="D442" i="1" a="1"/>
  <c r="D442" i="1" s="1"/>
  <c r="C450" i="1" a="1"/>
  <c r="C450" i="1" s="1"/>
  <c r="R450" i="1" a="1"/>
  <c r="R450" i="1" s="1"/>
  <c r="D450" i="1" a="1"/>
  <c r="D450" i="1" s="1"/>
  <c r="R462" i="1" a="1"/>
  <c r="R462" i="1" s="1"/>
  <c r="D462" i="1" a="1"/>
  <c r="D462" i="1" s="1"/>
  <c r="F466" i="1" a="1"/>
  <c r="F466" i="1" s="1"/>
  <c r="E480" i="1" a="1"/>
  <c r="E480" i="1" s="1"/>
  <c r="F480" i="1" a="1"/>
  <c r="F480" i="1" s="1"/>
  <c r="R482" i="1" a="1"/>
  <c r="R482" i="1" s="1"/>
  <c r="D482" i="1" a="1"/>
  <c r="D482" i="1" s="1"/>
  <c r="C482" i="1" a="1"/>
  <c r="C482" i="1" s="1"/>
  <c r="F488" i="1" a="1"/>
  <c r="F488" i="1" s="1"/>
  <c r="E488" i="1" a="1"/>
  <c r="E488" i="1" s="1"/>
  <c r="F490" i="1" a="1"/>
  <c r="F490" i="1" s="1"/>
  <c r="E490" i="1" a="1"/>
  <c r="E490" i="1" s="1"/>
  <c r="D566" i="1" a="1"/>
  <c r="D566" i="1" s="1"/>
  <c r="C566" i="1" a="1"/>
  <c r="C566" i="1" s="1"/>
  <c r="R566" i="1" a="1"/>
  <c r="R566" i="1" s="1"/>
  <c r="R569" i="1" a="1"/>
  <c r="R569" i="1" s="1"/>
  <c r="C569" i="1" a="1"/>
  <c r="C569" i="1" s="1"/>
  <c r="D569" i="1" a="1"/>
  <c r="D569" i="1" s="1"/>
  <c r="E432" i="1" a="1"/>
  <c r="E432" i="1" s="1"/>
  <c r="K432" i="1" a="1"/>
  <c r="K432" i="1" s="1"/>
  <c r="F432" i="1" a="1"/>
  <c r="F432" i="1" s="1"/>
  <c r="E436" i="1" a="1"/>
  <c r="E436" i="1" s="1"/>
  <c r="L436" i="1" a="1"/>
  <c r="L436" i="1" s="1"/>
  <c r="K436" i="1" a="1"/>
  <c r="K436" i="1" s="1"/>
  <c r="F436" i="1" a="1"/>
  <c r="F436" i="1" s="1"/>
  <c r="J437" i="1" a="1"/>
  <c r="J437" i="1" s="1"/>
  <c r="H440" i="1" a="1"/>
  <c r="H440" i="1" s="1"/>
  <c r="G440" i="1" a="1"/>
  <c r="G440" i="1" s="1"/>
  <c r="C441" i="1" a="1"/>
  <c r="C441" i="1" s="1"/>
  <c r="R441" i="1" a="1"/>
  <c r="R441" i="1" s="1"/>
  <c r="I441" i="1" a="1"/>
  <c r="I441" i="1" s="1"/>
  <c r="D441" i="1" a="1"/>
  <c r="D441" i="1" s="1"/>
  <c r="C442" i="1" a="1"/>
  <c r="C442" i="1" s="1"/>
  <c r="F468" i="1" a="1"/>
  <c r="F468" i="1" s="1"/>
  <c r="E468" i="1" a="1"/>
  <c r="E468" i="1" s="1"/>
  <c r="R483" i="1" a="1"/>
  <c r="R483" i="1" s="1"/>
  <c r="D483" i="1" a="1"/>
  <c r="D483" i="1" s="1"/>
  <c r="C483" i="1" a="1"/>
  <c r="C483" i="1" s="1"/>
  <c r="E499" i="1" a="1"/>
  <c r="E499" i="1" s="1"/>
  <c r="F499" i="1" a="1"/>
  <c r="F499" i="1" s="1"/>
  <c r="E502" i="1" a="1"/>
  <c r="E502" i="1" s="1"/>
  <c r="F502" i="1" a="1"/>
  <c r="F502" i="1" s="1"/>
  <c r="R503" i="1" a="1"/>
  <c r="R503" i="1" s="1"/>
  <c r="C503" i="1" a="1"/>
  <c r="C503" i="1" s="1"/>
  <c r="C518" i="1" a="1"/>
  <c r="C518" i="1" s="1"/>
  <c r="F440" i="1" a="1"/>
  <c r="F440" i="1" s="1"/>
  <c r="D455" i="1" a="1"/>
  <c r="D455" i="1" s="1"/>
  <c r="C455" i="1" a="1"/>
  <c r="C455" i="1" s="1"/>
  <c r="R455" i="1" a="1"/>
  <c r="R455" i="1" s="1"/>
  <c r="R471" i="1" a="1"/>
  <c r="R471" i="1" s="1"/>
  <c r="D471" i="1" a="1"/>
  <c r="D471" i="1" s="1"/>
  <c r="C471" i="1" a="1"/>
  <c r="C471" i="1" s="1"/>
  <c r="F501" i="1" a="1"/>
  <c r="F501" i="1" s="1"/>
  <c r="D503" i="1" a="1"/>
  <c r="D503" i="1" s="1"/>
  <c r="R514" i="1" a="1"/>
  <c r="R514" i="1" s="1"/>
  <c r="D514" i="1" a="1"/>
  <c r="D514" i="1" s="1"/>
  <c r="R487" i="1" a="1"/>
  <c r="R487" i="1" s="1"/>
  <c r="C487" i="1" a="1"/>
  <c r="C487" i="1" s="1"/>
  <c r="D487" i="1" a="1"/>
  <c r="D487" i="1" s="1"/>
  <c r="F494" i="1" a="1"/>
  <c r="F494" i="1" s="1"/>
  <c r="R504" i="1" a="1"/>
  <c r="R504" i="1" s="1"/>
  <c r="C504" i="1" a="1"/>
  <c r="C504" i="1" s="1"/>
  <c r="D504" i="1" a="1"/>
  <c r="D504" i="1" s="1"/>
  <c r="F510" i="1" a="1"/>
  <c r="F510" i="1" s="1"/>
  <c r="F526" i="1" a="1"/>
  <c r="F526" i="1" s="1"/>
  <c r="F538" i="1" a="1"/>
  <c r="F538" i="1" s="1"/>
  <c r="E538" i="1" a="1"/>
  <c r="E538" i="1" s="1"/>
  <c r="R551" i="1" a="1"/>
  <c r="R551" i="1" s="1"/>
  <c r="D551" i="1" a="1"/>
  <c r="D551" i="1" s="1"/>
  <c r="C570" i="1" a="1"/>
  <c r="C570" i="1" s="1"/>
  <c r="R570" i="1" a="1"/>
  <c r="R570" i="1" s="1"/>
  <c r="D570" i="1" a="1"/>
  <c r="D570" i="1" s="1"/>
  <c r="E618" i="1" a="1"/>
  <c r="E618" i="1" s="1"/>
  <c r="F618" i="1" a="1"/>
  <c r="F618" i="1" s="1"/>
  <c r="D654" i="1" a="1"/>
  <c r="D654" i="1" s="1"/>
  <c r="R654" i="1" a="1"/>
  <c r="R654" i="1" s="1"/>
  <c r="C654" i="1" a="1"/>
  <c r="C654" i="1" s="1"/>
  <c r="L445" i="1" a="1"/>
  <c r="L445" i="1" s="1"/>
  <c r="K445" i="1" a="1"/>
  <c r="K445" i="1" s="1"/>
  <c r="D453" i="1" a="1"/>
  <c r="D453" i="1" s="1"/>
  <c r="C453" i="1" a="1"/>
  <c r="C453" i="1" s="1"/>
  <c r="F454" i="1" a="1"/>
  <c r="F454" i="1" s="1"/>
  <c r="E454" i="1" a="1"/>
  <c r="E454" i="1" s="1"/>
  <c r="R457" i="1" a="1"/>
  <c r="R457" i="1" s="1"/>
  <c r="D457" i="1" a="1"/>
  <c r="D457" i="1" s="1"/>
  <c r="R461" i="1" a="1"/>
  <c r="R461" i="1" s="1"/>
  <c r="C461" i="1" a="1"/>
  <c r="C461" i="1" s="1"/>
  <c r="F464" i="1" a="1"/>
  <c r="F464" i="1" s="1"/>
  <c r="R467" i="1" a="1"/>
  <c r="R467" i="1" s="1"/>
  <c r="D467" i="1" a="1"/>
  <c r="D467" i="1" s="1"/>
  <c r="R472" i="1" a="1"/>
  <c r="R472" i="1" s="1"/>
  <c r="C472" i="1" a="1"/>
  <c r="C472" i="1" s="1"/>
  <c r="F479" i="1" a="1"/>
  <c r="F479" i="1" s="1"/>
  <c r="E479" i="1" a="1"/>
  <c r="E479" i="1" s="1"/>
  <c r="R481" i="1" a="1"/>
  <c r="R481" i="1" s="1"/>
  <c r="D481" i="1" a="1"/>
  <c r="D481" i="1" s="1"/>
  <c r="D484" i="1" a="1"/>
  <c r="D484" i="1" s="1"/>
  <c r="R484" i="1" a="1"/>
  <c r="R484" i="1" s="1"/>
  <c r="E486" i="1" a="1"/>
  <c r="E486" i="1" s="1"/>
  <c r="F486" i="1" a="1"/>
  <c r="F486" i="1" s="1"/>
  <c r="R495" i="1" a="1"/>
  <c r="R495" i="1" s="1"/>
  <c r="C495" i="1" a="1"/>
  <c r="C495" i="1" s="1"/>
  <c r="D495" i="1" a="1"/>
  <c r="D495" i="1" s="1"/>
  <c r="R513" i="1" a="1"/>
  <c r="R513" i="1" s="1"/>
  <c r="D513" i="1" a="1"/>
  <c r="D513" i="1" s="1"/>
  <c r="R531" i="1" a="1"/>
  <c r="R531" i="1" s="1"/>
  <c r="C531" i="1" a="1"/>
  <c r="C531" i="1" s="1"/>
  <c r="D531" i="1" a="1"/>
  <c r="D531" i="1" s="1"/>
  <c r="E536" i="1" a="1"/>
  <c r="E536" i="1" s="1"/>
  <c r="F536" i="1" a="1"/>
  <c r="F536" i="1" s="1"/>
  <c r="R538" i="1" a="1"/>
  <c r="R538" i="1" s="1"/>
  <c r="D538" i="1" a="1"/>
  <c r="D538" i="1" s="1"/>
  <c r="C538" i="1" a="1"/>
  <c r="C538" i="1" s="1"/>
  <c r="C562" i="1" a="1"/>
  <c r="C562" i="1" s="1"/>
  <c r="R562" i="1" a="1"/>
  <c r="R562" i="1" s="1"/>
  <c r="D562" i="1" a="1"/>
  <c r="D562" i="1" s="1"/>
  <c r="F583" i="1" a="1"/>
  <c r="F583" i="1" s="1"/>
  <c r="R612" i="1" a="1"/>
  <c r="R612" i="1" s="1"/>
  <c r="C612" i="1" a="1"/>
  <c r="C612" i="1" s="1"/>
  <c r="D612" i="1" a="1"/>
  <c r="D612" i="1" s="1"/>
  <c r="D622" i="1" a="1"/>
  <c r="D622" i="1" s="1"/>
  <c r="R622" i="1" a="1"/>
  <c r="R622" i="1" s="1"/>
  <c r="C622" i="1" a="1"/>
  <c r="C622" i="1" s="1"/>
  <c r="R436" i="1" a="1"/>
  <c r="R436" i="1" s="1"/>
  <c r="R439" i="1" a="1"/>
  <c r="R439" i="1" s="1"/>
  <c r="D451" i="1" a="1"/>
  <c r="D451" i="1" s="1"/>
  <c r="C451" i="1" a="1"/>
  <c r="C451" i="1" s="1"/>
  <c r="F452" i="1" a="1"/>
  <c r="F452" i="1" s="1"/>
  <c r="E452" i="1" a="1"/>
  <c r="E452" i="1" s="1"/>
  <c r="R456" i="1" a="1"/>
  <c r="R456" i="1" s="1"/>
  <c r="C456" i="1" a="1"/>
  <c r="C456" i="1" s="1"/>
  <c r="R465" i="1" a="1"/>
  <c r="R465" i="1" s="1"/>
  <c r="C465" i="1" a="1"/>
  <c r="C465" i="1" s="1"/>
  <c r="D465" i="1" a="1"/>
  <c r="D465" i="1" s="1"/>
  <c r="F476" i="1" a="1"/>
  <c r="F476" i="1" s="1"/>
  <c r="R477" i="1" a="1"/>
  <c r="R477" i="1" s="1"/>
  <c r="C477" i="1" a="1"/>
  <c r="C477" i="1" s="1"/>
  <c r="D502" i="1" a="1"/>
  <c r="D502" i="1" s="1"/>
  <c r="R502" i="1" a="1"/>
  <c r="R502" i="1" s="1"/>
  <c r="F514" i="1" a="1"/>
  <c r="F514" i="1" s="1"/>
  <c r="E514" i="1" a="1"/>
  <c r="E514" i="1" s="1"/>
  <c r="C516" i="1" a="1"/>
  <c r="C516" i="1" s="1"/>
  <c r="D516" i="1" a="1"/>
  <c r="D516" i="1" s="1"/>
  <c r="F561" i="1" a="1"/>
  <c r="F561" i="1" s="1"/>
  <c r="R571" i="1" a="1"/>
  <c r="R571" i="1" s="1"/>
  <c r="D571" i="1" a="1"/>
  <c r="D571" i="1" s="1"/>
  <c r="C571" i="1" a="1"/>
  <c r="C571" i="1" s="1"/>
  <c r="R597" i="1" a="1"/>
  <c r="R597" i="1" s="1"/>
  <c r="D597" i="1" a="1"/>
  <c r="D597" i="1" s="1"/>
  <c r="C597" i="1" a="1"/>
  <c r="C597" i="1" s="1"/>
  <c r="E663" i="1" a="1"/>
  <c r="E663" i="1" s="1"/>
  <c r="Y650" i="1" a="1"/>
  <c r="Y650" i="1" s="1"/>
  <c r="R650" i="1" a="1"/>
  <c r="R650" i="1" s="1"/>
  <c r="Y608" i="1" a="1"/>
  <c r="Y608" i="1" s="1"/>
  <c r="Y579" i="1" a="1"/>
  <c r="Y579" i="1" s="1"/>
  <c r="Y633" i="1" a="1"/>
  <c r="Y633" i="1" s="1"/>
  <c r="Y590" i="1" a="1"/>
  <c r="Y590" i="1" s="1"/>
  <c r="F683" i="1" s="1" a="1"/>
  <c r="F683" i="1" s="1"/>
  <c r="R608" i="1" a="1"/>
  <c r="R608" i="1" s="1"/>
  <c r="R590" i="1" a="1"/>
  <c r="R590" i="1" s="1"/>
  <c r="Y625" i="1" a="1"/>
  <c r="Y625" i="1" s="1"/>
  <c r="F446" i="1" a="1"/>
  <c r="F446" i="1" s="1"/>
  <c r="E446" i="1" a="1"/>
  <c r="E446" i="1" s="1"/>
  <c r="F447" i="1" a="1"/>
  <c r="F447" i="1" s="1"/>
  <c r="F449" i="1" a="1"/>
  <c r="F449" i="1" s="1"/>
  <c r="D449" i="1" a="1"/>
  <c r="D449" i="1" s="1"/>
  <c r="C449" i="1" a="1"/>
  <c r="C449" i="1" s="1"/>
  <c r="F450" i="1" a="1"/>
  <c r="F450" i="1" s="1"/>
  <c r="E450" i="1" a="1"/>
  <c r="E450" i="1" s="1"/>
  <c r="C457" i="1" a="1"/>
  <c r="C457" i="1" s="1"/>
  <c r="D458" i="1" a="1"/>
  <c r="D458" i="1" s="1"/>
  <c r="F459" i="1" a="1"/>
  <c r="F459" i="1" s="1"/>
  <c r="E459" i="1" a="1"/>
  <c r="E459" i="1" s="1"/>
  <c r="F463" i="1" a="1"/>
  <c r="F463" i="1" s="1"/>
  <c r="C467" i="1" a="1"/>
  <c r="C467" i="1" s="1"/>
  <c r="C480" i="1" a="1"/>
  <c r="C480" i="1" s="1"/>
  <c r="R480" i="1" a="1"/>
  <c r="R480" i="1" s="1"/>
  <c r="F497" i="1" a="1"/>
  <c r="F497" i="1" s="1"/>
  <c r="F509" i="1" a="1"/>
  <c r="F509" i="1" s="1"/>
  <c r="E509" i="1" a="1"/>
  <c r="E509" i="1" s="1"/>
  <c r="F512" i="1" a="1"/>
  <c r="F512" i="1" s="1"/>
  <c r="E530" i="1" a="1"/>
  <c r="E530" i="1" s="1"/>
  <c r="F530" i="1" a="1"/>
  <c r="F530" i="1" s="1"/>
  <c r="C551" i="1" a="1"/>
  <c r="C551" i="1" s="1"/>
  <c r="F584" i="1" a="1"/>
  <c r="F584" i="1" s="1"/>
  <c r="J393" i="1" a="1"/>
  <c r="J393" i="1" s="1"/>
  <c r="J409" i="1" a="1"/>
  <c r="J409" i="1" s="1"/>
  <c r="E429" i="1" a="1"/>
  <c r="E429" i="1" s="1"/>
  <c r="E445" i="1" a="1"/>
  <c r="E445" i="1" s="1"/>
  <c r="F448" i="1" a="1"/>
  <c r="F448" i="1" s="1"/>
  <c r="E448" i="1" a="1"/>
  <c r="E448" i="1" s="1"/>
  <c r="D452" i="1" a="1"/>
  <c r="D452" i="1" s="1"/>
  <c r="R452" i="1" a="1"/>
  <c r="R452" i="1" s="1"/>
  <c r="R460" i="1" a="1"/>
  <c r="R460" i="1" s="1"/>
  <c r="C460" i="1" a="1"/>
  <c r="C460" i="1" s="1"/>
  <c r="D461" i="1" a="1"/>
  <c r="D461" i="1" s="1"/>
  <c r="R464" i="1" a="1"/>
  <c r="R464" i="1" s="1"/>
  <c r="C464" i="1" a="1"/>
  <c r="C464" i="1" s="1"/>
  <c r="D464" i="1" a="1"/>
  <c r="D464" i="1" s="1"/>
  <c r="E466" i="1" a="1"/>
  <c r="E466" i="1" s="1"/>
  <c r="D470" i="1" a="1"/>
  <c r="D470" i="1" s="1"/>
  <c r="R470" i="1" a="1"/>
  <c r="R470" i="1" s="1"/>
  <c r="C470" i="1" a="1"/>
  <c r="C470" i="1" s="1"/>
  <c r="D477" i="1" a="1"/>
  <c r="D477" i="1" s="1"/>
  <c r="E478" i="1" a="1"/>
  <c r="E478" i="1" s="1"/>
  <c r="F478" i="1" a="1"/>
  <c r="F478" i="1" s="1"/>
  <c r="C481" i="1" a="1"/>
  <c r="C481" i="1" s="1"/>
  <c r="R488" i="1" a="1"/>
  <c r="R488" i="1" s="1"/>
  <c r="D488" i="1" a="1"/>
  <c r="D488" i="1" s="1"/>
  <c r="F496" i="1" a="1"/>
  <c r="F496" i="1" s="1"/>
  <c r="D498" i="1" a="1"/>
  <c r="D498" i="1" s="1"/>
  <c r="C498" i="1" a="1"/>
  <c r="C498" i="1" s="1"/>
  <c r="D509" i="1" a="1"/>
  <c r="D509" i="1" s="1"/>
  <c r="R519" i="1" a="1"/>
  <c r="R519" i="1" s="1"/>
  <c r="D519" i="1" a="1"/>
  <c r="D519" i="1" s="1"/>
  <c r="R561" i="1" a="1"/>
  <c r="R561" i="1" s="1"/>
  <c r="C561" i="1" a="1"/>
  <c r="C561" i="1" s="1"/>
  <c r="C579" i="1" a="1"/>
  <c r="C579" i="1" s="1"/>
  <c r="R583" i="1" a="1"/>
  <c r="R583" i="1" s="1"/>
  <c r="D583" i="1" a="1"/>
  <c r="D583" i="1" s="1"/>
  <c r="E435" i="1" a="1"/>
  <c r="E435" i="1" s="1"/>
  <c r="C440" i="1" a="1"/>
  <c r="C440" i="1" s="1"/>
  <c r="F457" i="1" a="1"/>
  <c r="F457" i="1" s="1"/>
  <c r="R479" i="1" a="1"/>
  <c r="R479" i="1" s="1"/>
  <c r="C479" i="1" a="1"/>
  <c r="C479" i="1" s="1"/>
  <c r="C484" i="1" a="1"/>
  <c r="C484" i="1" s="1"/>
  <c r="F485" i="1" a="1"/>
  <c r="F485" i="1" s="1"/>
  <c r="D486" i="1" a="1"/>
  <c r="D486" i="1" s="1"/>
  <c r="R486" i="1" a="1"/>
  <c r="R486" i="1" s="1"/>
  <c r="C486" i="1" a="1"/>
  <c r="C486" i="1" s="1"/>
  <c r="F491" i="1" a="1"/>
  <c r="F491" i="1" s="1"/>
  <c r="R497" i="1" a="1"/>
  <c r="R497" i="1" s="1"/>
  <c r="C497" i="1" a="1"/>
  <c r="C497" i="1" s="1"/>
  <c r="E510" i="1" a="1"/>
  <c r="E510" i="1" s="1"/>
  <c r="C513" i="1" a="1"/>
  <c r="C513" i="1" s="1"/>
  <c r="E515" i="1" a="1"/>
  <c r="E515" i="1" s="1"/>
  <c r="F515" i="1" a="1"/>
  <c r="F515" i="1" s="1"/>
  <c r="R523" i="1" a="1"/>
  <c r="R523" i="1" s="1"/>
  <c r="C523" i="1" a="1"/>
  <c r="C523" i="1" s="1"/>
  <c r="D523" i="1" a="1"/>
  <c r="D523" i="1" s="1"/>
  <c r="F524" i="1" a="1"/>
  <c r="F524" i="1" s="1"/>
  <c r="E524" i="1" a="1"/>
  <c r="E524" i="1" s="1"/>
  <c r="E526" i="1" a="1"/>
  <c r="E526" i="1" s="1"/>
  <c r="D579" i="1" a="1"/>
  <c r="D579" i="1" s="1"/>
  <c r="R489" i="1" a="1"/>
  <c r="R489" i="1" s="1"/>
  <c r="C489" i="1" a="1"/>
  <c r="C489" i="1" s="1"/>
  <c r="R508" i="1" a="1"/>
  <c r="R508" i="1" s="1"/>
  <c r="C508" i="1" a="1"/>
  <c r="C508" i="1" s="1"/>
  <c r="R511" i="1" a="1"/>
  <c r="R511" i="1" s="1"/>
  <c r="C511" i="1" a="1"/>
  <c r="C511" i="1" s="1"/>
  <c r="E532" i="1" a="1"/>
  <c r="E532" i="1" s="1"/>
  <c r="F532" i="1" a="1"/>
  <c r="F532" i="1" s="1"/>
  <c r="C540" i="1" a="1"/>
  <c r="C540" i="1" s="1"/>
  <c r="E586" i="1" a="1"/>
  <c r="E586" i="1" s="1"/>
  <c r="F586" i="1" a="1"/>
  <c r="F586" i="1" s="1"/>
  <c r="R631" i="1" a="1"/>
  <c r="R631" i="1" s="1"/>
  <c r="C631" i="1" a="1"/>
  <c r="C631" i="1" s="1"/>
  <c r="D633" i="1" a="1"/>
  <c r="D633" i="1" s="1"/>
  <c r="R633" i="1" a="1"/>
  <c r="R633" i="1" s="1"/>
  <c r="C633" i="1" a="1"/>
  <c r="C633" i="1" s="1"/>
  <c r="D473" i="1" a="1"/>
  <c r="D473" i="1" s="1"/>
  <c r="D475" i="1" a="1"/>
  <c r="D475" i="1" s="1"/>
  <c r="D492" i="1" a="1"/>
  <c r="D492" i="1" s="1"/>
  <c r="C507" i="1" a="1"/>
  <c r="C507" i="1" s="1"/>
  <c r="F517" i="1" a="1"/>
  <c r="F517" i="1" s="1"/>
  <c r="F525" i="1" a="1"/>
  <c r="F525" i="1" s="1"/>
  <c r="C528" i="1" a="1"/>
  <c r="C528" i="1" s="1"/>
  <c r="R528" i="1" a="1"/>
  <c r="R528" i="1" s="1"/>
  <c r="F545" i="1" a="1"/>
  <c r="F545" i="1" s="1"/>
  <c r="F550" i="1" a="1"/>
  <c r="F550" i="1" s="1"/>
  <c r="F559" i="1" a="1"/>
  <c r="F559" i="1" s="1"/>
  <c r="E559" i="1" a="1"/>
  <c r="E559" i="1" s="1"/>
  <c r="F475" i="1" a="1"/>
  <c r="F475" i="1" s="1"/>
  <c r="F507" i="1" a="1"/>
  <c r="F507" i="1" s="1"/>
  <c r="F522" i="1" a="1"/>
  <c r="F522" i="1" s="1"/>
  <c r="F529" i="1" a="1"/>
  <c r="F529" i="1" s="1"/>
  <c r="D536" i="1" a="1"/>
  <c r="D536" i="1" s="1"/>
  <c r="R536" i="1" a="1"/>
  <c r="R536" i="1" s="1"/>
  <c r="C536" i="1" a="1"/>
  <c r="C536" i="1" s="1"/>
  <c r="R593" i="1" a="1"/>
  <c r="R593" i="1" s="1"/>
  <c r="D593" i="1" a="1"/>
  <c r="D593" i="1" s="1"/>
  <c r="C593" i="1" a="1"/>
  <c r="C593" i="1" s="1"/>
  <c r="R605" i="1" a="1"/>
  <c r="R605" i="1" s="1"/>
  <c r="D605" i="1" a="1"/>
  <c r="D605" i="1" s="1"/>
  <c r="C605" i="1" a="1"/>
  <c r="C605" i="1" s="1"/>
  <c r="R680" i="1" a="1"/>
  <c r="R680" i="1" s="1"/>
  <c r="D680" i="1" a="1"/>
  <c r="D680" i="1" s="1"/>
  <c r="C680" i="1" a="1"/>
  <c r="C680" i="1" s="1"/>
  <c r="F520" i="1" a="1"/>
  <c r="F520" i="1" s="1"/>
  <c r="E520" i="1" a="1"/>
  <c r="E520" i="1" s="1"/>
  <c r="R533" i="1" a="1"/>
  <c r="R533" i="1" s="1"/>
  <c r="D533" i="1" a="1"/>
  <c r="D533" i="1" s="1"/>
  <c r="C533" i="1" a="1"/>
  <c r="C533" i="1" s="1"/>
  <c r="D550" i="1" a="1"/>
  <c r="D550" i="1" s="1"/>
  <c r="C550" i="1" a="1"/>
  <c r="C550" i="1" s="1"/>
  <c r="R550" i="1" a="1"/>
  <c r="R550" i="1" s="1"/>
  <c r="F609" i="1" a="1"/>
  <c r="F609" i="1" s="1"/>
  <c r="E631" i="1" a="1"/>
  <c r="E631" i="1" s="1"/>
  <c r="D534" i="1" a="1"/>
  <c r="D534" i="1" s="1"/>
  <c r="C534" i="1" a="1"/>
  <c r="C534" i="1" s="1"/>
  <c r="F551" i="1" a="1"/>
  <c r="F551" i="1" s="1"/>
  <c r="E551" i="1" a="1"/>
  <c r="E551" i="1" s="1"/>
  <c r="D560" i="1" a="1"/>
  <c r="D560" i="1" s="1"/>
  <c r="F570" i="1" a="1"/>
  <c r="F570" i="1" s="1"/>
  <c r="E570" i="1" a="1"/>
  <c r="E570" i="1" s="1"/>
  <c r="R572" i="1" a="1"/>
  <c r="R572" i="1" s="1"/>
  <c r="D572" i="1" a="1"/>
  <c r="D572" i="1" s="1"/>
  <c r="E603" i="1" a="1"/>
  <c r="E603" i="1" s="1"/>
  <c r="F603" i="1" a="1"/>
  <c r="F603" i="1" s="1"/>
  <c r="E635" i="1" a="1"/>
  <c r="E635" i="1" s="1"/>
  <c r="R703" i="1" a="1"/>
  <c r="R703" i="1" s="1"/>
  <c r="D703" i="1" a="1"/>
  <c r="D703" i="1" s="1"/>
  <c r="C703" i="1" a="1"/>
  <c r="C703" i="1" s="1"/>
  <c r="R499" i="1" a="1"/>
  <c r="R499" i="1" s="1"/>
  <c r="D499" i="1" a="1"/>
  <c r="D499" i="1" s="1"/>
  <c r="R515" i="1" a="1"/>
  <c r="R515" i="1" s="1"/>
  <c r="C515" i="1" a="1"/>
  <c r="C515" i="1" s="1"/>
  <c r="D515" i="1" a="1"/>
  <c r="D515" i="1" s="1"/>
  <c r="D520" i="1" a="1"/>
  <c r="D520" i="1" s="1"/>
  <c r="R520" i="1" a="1"/>
  <c r="R520" i="1" s="1"/>
  <c r="F528" i="1" a="1"/>
  <c r="F528" i="1" s="1"/>
  <c r="C530" i="1" a="1"/>
  <c r="C530" i="1" s="1"/>
  <c r="R530" i="1" a="1"/>
  <c r="R530" i="1" s="1"/>
  <c r="D530" i="1" a="1"/>
  <c r="D530" i="1" s="1"/>
  <c r="R532" i="1" a="1"/>
  <c r="R532" i="1" s="1"/>
  <c r="C532" i="1" a="1"/>
  <c r="C532" i="1" s="1"/>
  <c r="F542" i="1" a="1"/>
  <c r="F542" i="1" s="1"/>
  <c r="E542" i="1" a="1"/>
  <c r="E542" i="1" s="1"/>
  <c r="R543" i="1" a="1"/>
  <c r="R543" i="1" s="1"/>
  <c r="C543" i="1" a="1"/>
  <c r="C543" i="1" s="1"/>
  <c r="C560" i="1" a="1"/>
  <c r="C560" i="1" s="1"/>
  <c r="F566" i="1" a="1"/>
  <c r="F566" i="1" s="1"/>
  <c r="E566" i="1" a="1"/>
  <c r="E566" i="1" s="1"/>
  <c r="R573" i="1" a="1"/>
  <c r="R573" i="1" s="1"/>
  <c r="D573" i="1" a="1"/>
  <c r="D573" i="1" s="1"/>
  <c r="C573" i="1" a="1"/>
  <c r="C573" i="1" s="1"/>
  <c r="F574" i="1" a="1"/>
  <c r="F574" i="1" s="1"/>
  <c r="R581" i="1" a="1"/>
  <c r="R581" i="1" s="1"/>
  <c r="D581" i="1" a="1"/>
  <c r="D581" i="1" s="1"/>
  <c r="C581" i="1" a="1"/>
  <c r="C581" i="1" s="1"/>
  <c r="R635" i="1" a="1"/>
  <c r="R635" i="1" s="1"/>
  <c r="D635" i="1" a="1"/>
  <c r="D635" i="1" s="1"/>
  <c r="C635" i="1" a="1"/>
  <c r="C635" i="1" s="1"/>
  <c r="D673" i="1" a="1"/>
  <c r="D673" i="1" s="1"/>
  <c r="R673" i="1" a="1"/>
  <c r="R673" i="1" s="1"/>
  <c r="C673" i="1" a="1"/>
  <c r="C673" i="1" s="1"/>
  <c r="R695" i="1" a="1"/>
  <c r="R695" i="1" s="1"/>
  <c r="D695" i="1" a="1"/>
  <c r="D695" i="1" s="1"/>
  <c r="C695" i="1" a="1"/>
  <c r="C695" i="1" s="1"/>
  <c r="D724" i="1" a="1"/>
  <c r="D724" i="1" s="1"/>
  <c r="R724" i="1" a="1"/>
  <c r="R724" i="1" s="1"/>
  <c r="C724" i="1" a="1"/>
  <c r="C724" i="1" s="1"/>
  <c r="F511" i="1" a="1"/>
  <c r="F511" i="1" s="1"/>
  <c r="F554" i="1" a="1"/>
  <c r="F554" i="1" s="1"/>
  <c r="F560" i="1" a="1"/>
  <c r="F560" i="1" s="1"/>
  <c r="E560" i="1" a="1"/>
  <c r="E560" i="1" s="1"/>
  <c r="C567" i="1" a="1"/>
  <c r="C567" i="1" s="1"/>
  <c r="F572" i="1" a="1"/>
  <c r="F572" i="1" s="1"/>
  <c r="E595" i="1" a="1"/>
  <c r="E595" i="1" s="1"/>
  <c r="F595" i="1" a="1"/>
  <c r="F595" i="1" s="1"/>
  <c r="E602" i="1" a="1"/>
  <c r="E602" i="1" s="1"/>
  <c r="F602" i="1" a="1"/>
  <c r="F602" i="1" s="1"/>
  <c r="F541" i="1" a="1"/>
  <c r="F541" i="1" s="1"/>
  <c r="F544" i="1" a="1"/>
  <c r="F544" i="1" s="1"/>
  <c r="E544" i="1" a="1"/>
  <c r="E544" i="1" s="1"/>
  <c r="R548" i="1" a="1"/>
  <c r="R548" i="1" s="1"/>
  <c r="C548" i="1" a="1"/>
  <c r="C548" i="1" s="1"/>
  <c r="E552" i="1" a="1"/>
  <c r="E552" i="1" s="1"/>
  <c r="F552" i="1" a="1"/>
  <c r="F552" i="1" s="1"/>
  <c r="D577" i="1" a="1"/>
  <c r="D577" i="1" s="1"/>
  <c r="C577" i="1" a="1"/>
  <c r="C577" i="1" s="1"/>
  <c r="R589" i="1" a="1"/>
  <c r="R589" i="1" s="1"/>
  <c r="D589" i="1" a="1"/>
  <c r="D589" i="1" s="1"/>
  <c r="C589" i="1" a="1"/>
  <c r="C589" i="1" s="1"/>
  <c r="C609" i="1" a="1"/>
  <c r="C609" i="1" s="1"/>
  <c r="R609" i="1" a="1"/>
  <c r="R609" i="1" s="1"/>
  <c r="D609" i="1" a="1"/>
  <c r="D609" i="1" s="1"/>
  <c r="R627" i="1" a="1"/>
  <c r="R627" i="1" s="1"/>
  <c r="D627" i="1" a="1"/>
  <c r="D627" i="1" s="1"/>
  <c r="C627" i="1" a="1"/>
  <c r="C627" i="1" s="1"/>
  <c r="E723" i="1" a="1"/>
  <c r="E723" i="1" s="1"/>
  <c r="E748" i="1" a="1"/>
  <c r="E748" i="1" s="1"/>
  <c r="R549" i="1" a="1"/>
  <c r="R549" i="1" s="1"/>
  <c r="D549" i="1" a="1"/>
  <c r="D549" i="1" s="1"/>
  <c r="C549" i="1" a="1"/>
  <c r="C549" i="1" s="1"/>
  <c r="R558" i="1" a="1"/>
  <c r="R558" i="1" s="1"/>
  <c r="D558" i="1" a="1"/>
  <c r="D558" i="1" s="1"/>
  <c r="F565" i="1" a="1"/>
  <c r="F565" i="1" s="1"/>
  <c r="E565" i="1" a="1"/>
  <c r="E565" i="1" s="1"/>
  <c r="F571" i="1" a="1"/>
  <c r="F571" i="1" s="1"/>
  <c r="E571" i="1" a="1"/>
  <c r="E571" i="1" s="1"/>
  <c r="F576" i="1" a="1"/>
  <c r="F576" i="1" s="1"/>
  <c r="F581" i="1" a="1"/>
  <c r="F581" i="1" s="1"/>
  <c r="R585" i="1" a="1"/>
  <c r="R585" i="1" s="1"/>
  <c r="D585" i="1" a="1"/>
  <c r="D585" i="1" s="1"/>
  <c r="C585" i="1" a="1"/>
  <c r="C585" i="1" s="1"/>
  <c r="R587" i="1" a="1"/>
  <c r="R587" i="1" s="1"/>
  <c r="D587" i="1" a="1"/>
  <c r="D587" i="1" s="1"/>
  <c r="C587" i="1" a="1"/>
  <c r="C587" i="1" s="1"/>
  <c r="F610" i="1" a="1"/>
  <c r="F610" i="1" s="1"/>
  <c r="E620" i="1" a="1"/>
  <c r="E620" i="1" s="1"/>
  <c r="F620" i="1" a="1"/>
  <c r="F620" i="1" s="1"/>
  <c r="E623" i="1" a="1"/>
  <c r="E623" i="1" s="1"/>
  <c r="F627" i="1" a="1"/>
  <c r="F627" i="1" s="1"/>
  <c r="E627" i="1" a="1"/>
  <c r="E627" i="1" s="1"/>
  <c r="F641" i="1" a="1"/>
  <c r="F641" i="1" s="1"/>
  <c r="E641" i="1" a="1"/>
  <c r="E641" i="1" s="1"/>
  <c r="E709" i="1" a="1"/>
  <c r="E709" i="1" s="1"/>
  <c r="R529" i="1" a="1"/>
  <c r="R529" i="1" s="1"/>
  <c r="C529" i="1" a="1"/>
  <c r="C529" i="1" s="1"/>
  <c r="F540" i="1" a="1"/>
  <c r="F540" i="1" s="1"/>
  <c r="E540" i="1" a="1"/>
  <c r="E540" i="1" s="1"/>
  <c r="R553" i="1" a="1"/>
  <c r="R553" i="1" s="1"/>
  <c r="D553" i="1" a="1"/>
  <c r="D553" i="1" s="1"/>
  <c r="C553" i="1" a="1"/>
  <c r="C553" i="1" s="1"/>
  <c r="F556" i="1" a="1"/>
  <c r="F556" i="1" s="1"/>
  <c r="E556" i="1" a="1"/>
  <c r="E556" i="1" s="1"/>
  <c r="F557" i="1" a="1"/>
  <c r="F557" i="1" s="1"/>
  <c r="R615" i="1" a="1"/>
  <c r="R615" i="1" s="1"/>
  <c r="C615" i="1" a="1"/>
  <c r="C615" i="1" s="1"/>
  <c r="F632" i="1" a="1"/>
  <c r="F632" i="1" s="1"/>
  <c r="E632" i="1" a="1"/>
  <c r="E632" i="1" s="1"/>
  <c r="E634" i="1" a="1"/>
  <c r="E634" i="1" s="1"/>
  <c r="D637" i="1" a="1"/>
  <c r="D637" i="1" s="1"/>
  <c r="C637" i="1" a="1"/>
  <c r="C637" i="1" s="1"/>
  <c r="R637" i="1" a="1"/>
  <c r="R637" i="1" s="1"/>
  <c r="C641" i="1" a="1"/>
  <c r="C641" i="1" s="1"/>
  <c r="R641" i="1" a="1"/>
  <c r="R641" i="1" s="1"/>
  <c r="D641" i="1" a="1"/>
  <c r="D641" i="1" s="1"/>
  <c r="E643" i="1" a="1"/>
  <c r="E643" i="1" s="1"/>
  <c r="E659" i="1" a="1"/>
  <c r="E659" i="1" s="1"/>
  <c r="C675" i="1" a="1"/>
  <c r="C675" i="1" s="1"/>
  <c r="D675" i="1" a="1"/>
  <c r="D675" i="1" s="1"/>
  <c r="R675" i="1" a="1"/>
  <c r="R675" i="1" s="1"/>
  <c r="E691" i="1" a="1"/>
  <c r="E691" i="1" s="1"/>
  <c r="R537" i="1" a="1"/>
  <c r="R537" i="1" s="1"/>
  <c r="D537" i="1" a="1"/>
  <c r="D537" i="1" s="1"/>
  <c r="R545" i="1" a="1"/>
  <c r="R545" i="1" s="1"/>
  <c r="C545" i="1" a="1"/>
  <c r="C545" i="1" s="1"/>
  <c r="F548" i="1" a="1"/>
  <c r="F548" i="1" s="1"/>
  <c r="F549" i="1" a="1"/>
  <c r="F549" i="1" s="1"/>
  <c r="R554" i="1" a="1"/>
  <c r="R554" i="1" s="1"/>
  <c r="D554" i="1" a="1"/>
  <c r="D554" i="1" s="1"/>
  <c r="C554" i="1" a="1"/>
  <c r="C554" i="1" s="1"/>
  <c r="D574" i="1" a="1"/>
  <c r="D574" i="1" s="1"/>
  <c r="R574" i="1" a="1"/>
  <c r="R574" i="1" s="1"/>
  <c r="R598" i="1" a="1"/>
  <c r="R598" i="1" s="1"/>
  <c r="D598" i="1" a="1"/>
  <c r="D598" i="1" s="1"/>
  <c r="R599" i="1" a="1"/>
  <c r="R599" i="1" s="1"/>
  <c r="D599" i="1" a="1"/>
  <c r="D599" i="1" s="1"/>
  <c r="C599" i="1" a="1"/>
  <c r="C599" i="1" s="1"/>
  <c r="R601" i="1" a="1"/>
  <c r="R601" i="1" s="1"/>
  <c r="D601" i="1" a="1"/>
  <c r="D601" i="1" s="1"/>
  <c r="R606" i="1" a="1"/>
  <c r="R606" i="1" s="1"/>
  <c r="D606" i="1" a="1"/>
  <c r="D606" i="1" s="1"/>
  <c r="R607" i="1" a="1"/>
  <c r="R607" i="1" s="1"/>
  <c r="D607" i="1" a="1"/>
  <c r="D607" i="1" s="1"/>
  <c r="C607" i="1" a="1"/>
  <c r="C607" i="1" s="1"/>
  <c r="D617" i="1" a="1"/>
  <c r="D617" i="1" s="1"/>
  <c r="R617" i="1" a="1"/>
  <c r="R617" i="1" s="1"/>
  <c r="C617" i="1" a="1"/>
  <c r="C617" i="1" s="1"/>
  <c r="R668" i="1" a="1"/>
  <c r="R668" i="1" s="1"/>
  <c r="D668" i="1" a="1"/>
  <c r="D668" i="1" s="1"/>
  <c r="C668" i="1" a="1"/>
  <c r="C668" i="1" s="1"/>
  <c r="R705" i="1" a="1"/>
  <c r="R705" i="1" s="1"/>
  <c r="D705" i="1" a="1"/>
  <c r="D705" i="1" s="1"/>
  <c r="C705" i="1" a="1"/>
  <c r="C705" i="1" s="1"/>
  <c r="D827" i="1" a="1"/>
  <c r="D827" i="1" s="1"/>
  <c r="C827" i="1" a="1"/>
  <c r="C827" i="1" s="1"/>
  <c r="R827" i="1" a="1"/>
  <c r="R827" i="1" s="1"/>
  <c r="R828" i="1" a="1"/>
  <c r="R828" i="1" s="1"/>
  <c r="D828" i="1" a="1"/>
  <c r="D828" i="1" s="1"/>
  <c r="C828" i="1" a="1"/>
  <c r="C828" i="1" s="1"/>
  <c r="E829" i="1" a="1"/>
  <c r="E829" i="1" s="1"/>
  <c r="R834" i="1" a="1"/>
  <c r="R834" i="1" s="1"/>
  <c r="C834" i="1" a="1"/>
  <c r="C834" i="1" s="1"/>
  <c r="D834" i="1" a="1"/>
  <c r="D834" i="1" s="1"/>
  <c r="R836" i="1" a="1"/>
  <c r="R836" i="1" s="1"/>
  <c r="D836" i="1" a="1"/>
  <c r="D836" i="1" s="1"/>
  <c r="C836" i="1" a="1"/>
  <c r="C836" i="1" s="1"/>
  <c r="E837" i="1" a="1"/>
  <c r="E837" i="1" s="1"/>
  <c r="D545" i="1" a="1"/>
  <c r="D545" i="1" s="1"/>
  <c r="C546" i="1" a="1"/>
  <c r="C546" i="1" s="1"/>
  <c r="R546" i="1" a="1"/>
  <c r="R546" i="1" s="1"/>
  <c r="R557" i="1" a="1"/>
  <c r="R557" i="1" s="1"/>
  <c r="D557" i="1" a="1"/>
  <c r="D557" i="1" s="1"/>
  <c r="F564" i="1" a="1"/>
  <c r="F564" i="1" s="1"/>
  <c r="E564" i="1" a="1"/>
  <c r="E564" i="1" s="1"/>
  <c r="F568" i="1" a="1"/>
  <c r="F568" i="1" s="1"/>
  <c r="E568" i="1" a="1"/>
  <c r="E568" i="1" s="1"/>
  <c r="C574" i="1" a="1"/>
  <c r="C574" i="1" s="1"/>
  <c r="C575" i="1" a="1"/>
  <c r="C575" i="1" s="1"/>
  <c r="F585" i="1" a="1"/>
  <c r="F585" i="1" s="1"/>
  <c r="D590" i="1" a="1"/>
  <c r="D590" i="1" s="1"/>
  <c r="D594" i="1" a="1"/>
  <c r="D594" i="1" s="1"/>
  <c r="D639" i="1" a="1"/>
  <c r="D639" i="1" s="1"/>
  <c r="R639" i="1" a="1"/>
  <c r="R639" i="1" s="1"/>
  <c r="C639" i="1" a="1"/>
  <c r="C639" i="1" s="1"/>
  <c r="D659" i="1" a="1"/>
  <c r="D659" i="1" s="1"/>
  <c r="R659" i="1" a="1"/>
  <c r="R659" i="1" s="1"/>
  <c r="C659" i="1" a="1"/>
  <c r="C659" i="1" s="1"/>
  <c r="E717" i="1" a="1"/>
  <c r="E717" i="1" s="1"/>
  <c r="R616" i="1" a="1"/>
  <c r="R616" i="1" s="1"/>
  <c r="C616" i="1" a="1"/>
  <c r="C616" i="1" s="1"/>
  <c r="D621" i="1" a="1"/>
  <c r="D621" i="1" s="1"/>
  <c r="C621" i="1" a="1"/>
  <c r="C621" i="1" s="1"/>
  <c r="R621" i="1" a="1"/>
  <c r="R621" i="1" s="1"/>
  <c r="E629" i="1" a="1"/>
  <c r="E629" i="1" s="1"/>
  <c r="F629" i="1" a="1"/>
  <c r="F629" i="1" s="1"/>
  <c r="R648" i="1" a="1"/>
  <c r="R648" i="1" s="1"/>
  <c r="C648" i="1" a="1"/>
  <c r="C648" i="1" s="1"/>
  <c r="D648" i="1" a="1"/>
  <c r="D648" i="1" s="1"/>
  <c r="E671" i="1" a="1"/>
  <c r="E671" i="1" s="1"/>
  <c r="D681" i="1" a="1"/>
  <c r="D681" i="1" s="1"/>
  <c r="R681" i="1" a="1"/>
  <c r="R681" i="1" s="1"/>
  <c r="R691" i="1" a="1"/>
  <c r="R691" i="1" s="1"/>
  <c r="D691" i="1" a="1"/>
  <c r="D691" i="1" s="1"/>
  <c r="C691" i="1" a="1"/>
  <c r="C691" i="1" s="1"/>
  <c r="R709" i="1" a="1"/>
  <c r="R709" i="1" s="1"/>
  <c r="D709" i="1" a="1"/>
  <c r="D709" i="1" s="1"/>
  <c r="C709" i="1" a="1"/>
  <c r="C709" i="1" s="1"/>
  <c r="R781" i="1" a="1"/>
  <c r="R781" i="1" s="1"/>
  <c r="D781" i="1" a="1"/>
  <c r="D781" i="1" s="1"/>
  <c r="C781" i="1" a="1"/>
  <c r="C781" i="1" s="1"/>
  <c r="C580" i="1" a="1"/>
  <c r="C580" i="1" s="1"/>
  <c r="E584" i="1" a="1"/>
  <c r="E584" i="1" s="1"/>
  <c r="E614" i="1" a="1"/>
  <c r="E614" i="1" s="1"/>
  <c r="R632" i="1" a="1"/>
  <c r="R632" i="1" s="1"/>
  <c r="D632" i="1" a="1"/>
  <c r="D632" i="1" s="1"/>
  <c r="E660" i="1" a="1"/>
  <c r="E660" i="1" s="1"/>
  <c r="F660" i="1" a="1"/>
  <c r="F660" i="1" s="1"/>
  <c r="E689" i="1" a="1"/>
  <c r="E689" i="1" s="1"/>
  <c r="E693" i="1" a="1"/>
  <c r="E693" i="1" s="1"/>
  <c r="E732" i="1" a="1"/>
  <c r="E732" i="1" s="1"/>
  <c r="E750" i="1" a="1"/>
  <c r="E750" i="1" s="1"/>
  <c r="C565" i="1" a="1"/>
  <c r="C565" i="1" s="1"/>
  <c r="F587" i="1" a="1"/>
  <c r="F587" i="1" s="1"/>
  <c r="R591" i="1" a="1"/>
  <c r="R591" i="1" s="1"/>
  <c r="D591" i="1" a="1"/>
  <c r="D591" i="1" s="1"/>
  <c r="C591" i="1" a="1"/>
  <c r="C591" i="1" s="1"/>
  <c r="R603" i="1" a="1"/>
  <c r="R603" i="1" s="1"/>
  <c r="D603" i="1" a="1"/>
  <c r="D603" i="1" s="1"/>
  <c r="C603" i="1" a="1"/>
  <c r="C603" i="1" s="1"/>
  <c r="E613" i="1" a="1"/>
  <c r="E613" i="1" s="1"/>
  <c r="D618" i="1" a="1"/>
  <c r="D618" i="1" s="1"/>
  <c r="R618" i="1" a="1"/>
  <c r="R618" i="1" s="1"/>
  <c r="C625" i="1" a="1"/>
  <c r="C625" i="1" s="1"/>
  <c r="R625" i="1" a="1"/>
  <c r="R625" i="1" s="1"/>
  <c r="D625" i="1" a="1"/>
  <c r="D625" i="1" s="1"/>
  <c r="D629" i="1" a="1"/>
  <c r="D629" i="1" s="1"/>
  <c r="D634" i="1" a="1"/>
  <c r="D634" i="1" s="1"/>
  <c r="C681" i="1" a="1"/>
  <c r="C681" i="1" s="1"/>
  <c r="C683" i="1" a="1"/>
  <c r="C683" i="1" s="1"/>
  <c r="D683" i="1" a="1"/>
  <c r="D683" i="1" s="1"/>
  <c r="E703" i="1" a="1"/>
  <c r="E703" i="1" s="1"/>
  <c r="R711" i="1" a="1"/>
  <c r="R711" i="1" s="1"/>
  <c r="D711" i="1" a="1"/>
  <c r="D711" i="1" s="1"/>
  <c r="C711" i="1" a="1"/>
  <c r="C711" i="1" s="1"/>
  <c r="R595" i="1" a="1"/>
  <c r="R595" i="1" s="1"/>
  <c r="D595" i="1" a="1"/>
  <c r="D595" i="1" s="1"/>
  <c r="C595" i="1" a="1"/>
  <c r="C595" i="1" s="1"/>
  <c r="F621" i="1" a="1"/>
  <c r="F621" i="1" s="1"/>
  <c r="R672" i="1" a="1"/>
  <c r="R672" i="1" s="1"/>
  <c r="D672" i="1" a="1"/>
  <c r="D672" i="1" s="1"/>
  <c r="C672" i="1" a="1"/>
  <c r="C672" i="1" s="1"/>
  <c r="E705" i="1" a="1"/>
  <c r="E705" i="1" s="1"/>
  <c r="D720" i="1" a="1"/>
  <c r="D720" i="1" s="1"/>
  <c r="R720" i="1" a="1"/>
  <c r="R720" i="1" s="1"/>
  <c r="C720" i="1" a="1"/>
  <c r="C720" i="1" s="1"/>
  <c r="F626" i="1" a="1"/>
  <c r="F626" i="1" s="1"/>
  <c r="E626" i="1" a="1"/>
  <c r="E626" i="1" s="1"/>
  <c r="F630" i="1" a="1"/>
  <c r="F630" i="1" s="1"/>
  <c r="E630" i="1" a="1"/>
  <c r="E630" i="1" s="1"/>
  <c r="R644" i="1" a="1"/>
  <c r="R644" i="1" s="1"/>
  <c r="D644" i="1" a="1"/>
  <c r="D644" i="1" s="1"/>
  <c r="D649" i="1" a="1"/>
  <c r="D649" i="1" s="1"/>
  <c r="C649" i="1" a="1"/>
  <c r="C649" i="1" s="1"/>
  <c r="F653" i="1" a="1"/>
  <c r="F653" i="1" s="1"/>
  <c r="E653" i="1" a="1"/>
  <c r="E653" i="1" s="1"/>
  <c r="C656" i="1" a="1"/>
  <c r="C656" i="1" s="1"/>
  <c r="R656" i="1" a="1"/>
  <c r="R656" i="1" s="1"/>
  <c r="R666" i="1" a="1"/>
  <c r="R666" i="1" s="1"/>
  <c r="D666" i="1" a="1"/>
  <c r="D666" i="1" s="1"/>
  <c r="C666" i="1" a="1"/>
  <c r="C666" i="1" s="1"/>
  <c r="E675" i="1" a="1"/>
  <c r="E675" i="1" s="1"/>
  <c r="F675" i="1" a="1"/>
  <c r="F675" i="1" s="1"/>
  <c r="E683" i="1" a="1"/>
  <c r="E683" i="1" s="1"/>
  <c r="R687" i="1" a="1"/>
  <c r="R687" i="1" s="1"/>
  <c r="D687" i="1" a="1"/>
  <c r="D687" i="1" s="1"/>
  <c r="C687" i="1" a="1"/>
  <c r="C687" i="1" s="1"/>
  <c r="E707" i="1" a="1"/>
  <c r="E707" i="1" s="1"/>
  <c r="E720" i="1" a="1"/>
  <c r="E720" i="1" s="1"/>
  <c r="E745" i="1" a="1"/>
  <c r="E745" i="1" s="1"/>
  <c r="R647" i="1" a="1"/>
  <c r="R647" i="1" s="1"/>
  <c r="D647" i="1" a="1"/>
  <c r="D647" i="1" s="1"/>
  <c r="C647" i="1" a="1"/>
  <c r="C647" i="1" s="1"/>
  <c r="F651" i="1" a="1"/>
  <c r="F651" i="1" s="1"/>
  <c r="R655" i="1" a="1"/>
  <c r="R655" i="1" s="1"/>
  <c r="D655" i="1" a="1"/>
  <c r="D655" i="1" s="1"/>
  <c r="C655" i="1" a="1"/>
  <c r="C655" i="1" s="1"/>
  <c r="R664" i="1" a="1"/>
  <c r="R664" i="1" s="1"/>
  <c r="D664" i="1" a="1"/>
  <c r="D664" i="1" s="1"/>
  <c r="C664" i="1" a="1"/>
  <c r="C664" i="1" s="1"/>
  <c r="E667" i="1" a="1"/>
  <c r="E667" i="1" s="1"/>
  <c r="R719" i="1" a="1"/>
  <c r="R719" i="1" s="1"/>
  <c r="D719" i="1" a="1"/>
  <c r="D719" i="1" s="1"/>
  <c r="R783" i="1" a="1"/>
  <c r="R783" i="1" s="1"/>
  <c r="D783" i="1" a="1"/>
  <c r="D783" i="1" s="1"/>
  <c r="C783" i="1" a="1"/>
  <c r="C783" i="1" s="1"/>
  <c r="F611" i="1" a="1"/>
  <c r="F611" i="1" s="1"/>
  <c r="C620" i="1" a="1"/>
  <c r="C620" i="1" s="1"/>
  <c r="R620" i="1" a="1"/>
  <c r="R620" i="1" s="1"/>
  <c r="D650" i="1" a="1"/>
  <c r="D650" i="1" s="1"/>
  <c r="C652" i="1" a="1"/>
  <c r="C652" i="1" s="1"/>
  <c r="R652" i="1" a="1"/>
  <c r="R652" i="1" s="1"/>
  <c r="D665" i="1" a="1"/>
  <c r="D665" i="1" s="1"/>
  <c r="R665" i="1" a="1"/>
  <c r="R665" i="1" s="1"/>
  <c r="R667" i="1" a="1"/>
  <c r="R667" i="1" s="1"/>
  <c r="F757" i="1" a="1"/>
  <c r="F757" i="1" s="1"/>
  <c r="E757" i="1" a="1"/>
  <c r="E757" i="1" s="1"/>
  <c r="C760" i="1" a="1"/>
  <c r="C760" i="1" s="1"/>
  <c r="R760" i="1" a="1"/>
  <c r="R760" i="1" s="1"/>
  <c r="D760" i="1" a="1"/>
  <c r="D760" i="1" s="1"/>
  <c r="C624" i="1" a="1"/>
  <c r="C624" i="1" s="1"/>
  <c r="R624" i="1" a="1"/>
  <c r="R624" i="1" s="1"/>
  <c r="F646" i="1" a="1"/>
  <c r="F646" i="1" s="1"/>
  <c r="E646" i="1" a="1"/>
  <c r="E646" i="1" s="1"/>
  <c r="D651" i="1" a="1"/>
  <c r="D651" i="1" s="1"/>
  <c r="R674" i="1" a="1"/>
  <c r="R674" i="1" s="1"/>
  <c r="D674" i="1" a="1"/>
  <c r="D674" i="1" s="1"/>
  <c r="C674" i="1" a="1"/>
  <c r="C674" i="1" s="1"/>
  <c r="R676" i="1" a="1"/>
  <c r="R676" i="1" s="1"/>
  <c r="D676" i="1" a="1"/>
  <c r="D676" i="1" s="1"/>
  <c r="R682" i="1" a="1"/>
  <c r="R682" i="1" s="1"/>
  <c r="D682" i="1" a="1"/>
  <c r="D682" i="1" s="1"/>
  <c r="C682" i="1" a="1"/>
  <c r="C682" i="1" s="1"/>
  <c r="R684" i="1" a="1"/>
  <c r="R684" i="1" s="1"/>
  <c r="D684" i="1" a="1"/>
  <c r="D684" i="1" s="1"/>
  <c r="E701" i="1" a="1"/>
  <c r="E701" i="1" s="1"/>
  <c r="F730" i="1" a="1"/>
  <c r="F730" i="1" s="1"/>
  <c r="E730" i="1" a="1"/>
  <c r="E730" i="1" s="1"/>
  <c r="E735" i="1" a="1"/>
  <c r="E735" i="1" s="1"/>
  <c r="R689" i="1" a="1"/>
  <c r="R689" i="1" s="1"/>
  <c r="D689" i="1" a="1"/>
  <c r="D689" i="1" s="1"/>
  <c r="C689" i="1" a="1"/>
  <c r="C689" i="1" s="1"/>
  <c r="R707" i="1" a="1"/>
  <c r="R707" i="1" s="1"/>
  <c r="D707" i="1" a="1"/>
  <c r="D707" i="1" s="1"/>
  <c r="C707" i="1" a="1"/>
  <c r="C707" i="1" s="1"/>
  <c r="R718" i="1" a="1"/>
  <c r="R718" i="1" s="1"/>
  <c r="D718" i="1" a="1"/>
  <c r="D718" i="1" s="1"/>
  <c r="D728" i="1" a="1"/>
  <c r="D728" i="1" s="1"/>
  <c r="C728" i="1" a="1"/>
  <c r="C728" i="1" s="1"/>
  <c r="E731" i="1" a="1"/>
  <c r="E731" i="1" s="1"/>
  <c r="F746" i="1" a="1"/>
  <c r="F746" i="1" s="1"/>
  <c r="E746" i="1" a="1"/>
  <c r="E746" i="1" s="1"/>
  <c r="R753" i="1" a="1"/>
  <c r="R753" i="1" s="1"/>
  <c r="D753" i="1" a="1"/>
  <c r="D753" i="1" s="1"/>
  <c r="C753" i="1" a="1"/>
  <c r="C753" i="1" s="1"/>
  <c r="E774" i="1" a="1"/>
  <c r="E774" i="1" s="1"/>
  <c r="F647" i="1" a="1"/>
  <c r="F647" i="1" s="1"/>
  <c r="R662" i="1" a="1"/>
  <c r="R662" i="1" s="1"/>
  <c r="D662" i="1" a="1"/>
  <c r="D662" i="1" s="1"/>
  <c r="R670" i="1" a="1"/>
  <c r="R670" i="1" s="1"/>
  <c r="D670" i="1" a="1"/>
  <c r="D670" i="1" s="1"/>
  <c r="R678" i="1" a="1"/>
  <c r="R678" i="1" s="1"/>
  <c r="D678" i="1" a="1"/>
  <c r="D678" i="1" s="1"/>
  <c r="R701" i="1" a="1"/>
  <c r="R701" i="1" s="1"/>
  <c r="D701" i="1" a="1"/>
  <c r="D701" i="1" s="1"/>
  <c r="C701" i="1" a="1"/>
  <c r="C701" i="1" s="1"/>
  <c r="F711" i="1" a="1"/>
  <c r="F711" i="1" s="1"/>
  <c r="R717" i="1" a="1"/>
  <c r="R717" i="1" s="1"/>
  <c r="D717" i="1" a="1"/>
  <c r="D717" i="1" s="1"/>
  <c r="C717" i="1" a="1"/>
  <c r="C717" i="1" s="1"/>
  <c r="D723" i="1" a="1"/>
  <c r="D723" i="1" s="1"/>
  <c r="R723" i="1" a="1"/>
  <c r="R723" i="1" s="1"/>
  <c r="D726" i="1" a="1"/>
  <c r="D726" i="1" s="1"/>
  <c r="R726" i="1" a="1"/>
  <c r="R726" i="1" s="1"/>
  <c r="D738" i="1" a="1"/>
  <c r="D738" i="1" s="1"/>
  <c r="C738" i="1" a="1"/>
  <c r="C738" i="1" s="1"/>
  <c r="R738" i="1" a="1"/>
  <c r="R738" i="1" s="1"/>
  <c r="R765" i="1" a="1"/>
  <c r="R765" i="1" s="1"/>
  <c r="D765" i="1" a="1"/>
  <c r="D765" i="1" s="1"/>
  <c r="C765" i="1" a="1"/>
  <c r="C765" i="1" s="1"/>
  <c r="D653" i="1" a="1"/>
  <c r="D653" i="1" s="1"/>
  <c r="C653" i="1" a="1"/>
  <c r="C653" i="1" s="1"/>
  <c r="D660" i="1" a="1"/>
  <c r="D660" i="1" s="1"/>
  <c r="R660" i="1" a="1"/>
  <c r="R660" i="1" s="1"/>
  <c r="C660" i="1" a="1"/>
  <c r="C660" i="1" s="1"/>
  <c r="C678" i="1" a="1"/>
  <c r="C678" i="1" s="1"/>
  <c r="R693" i="1" a="1"/>
  <c r="R693" i="1" s="1"/>
  <c r="D693" i="1" a="1"/>
  <c r="D693" i="1" s="1"/>
  <c r="C693" i="1" a="1"/>
  <c r="C693" i="1" s="1"/>
  <c r="R699" i="1" a="1"/>
  <c r="R699" i="1" s="1"/>
  <c r="D699" i="1" a="1"/>
  <c r="D699" i="1" s="1"/>
  <c r="C699" i="1" a="1"/>
  <c r="C699" i="1" s="1"/>
  <c r="R715" i="1" a="1"/>
  <c r="R715" i="1" s="1"/>
  <c r="D715" i="1" a="1"/>
  <c r="D715" i="1" s="1"/>
  <c r="C715" i="1" a="1"/>
  <c r="C715" i="1" s="1"/>
  <c r="R725" i="1" a="1"/>
  <c r="R725" i="1" s="1"/>
  <c r="D725" i="1" a="1"/>
  <c r="D725" i="1" s="1"/>
  <c r="E754" i="1" a="1"/>
  <c r="E754" i="1" s="1"/>
  <c r="D638" i="1" a="1"/>
  <c r="D638" i="1" s="1"/>
  <c r="R697" i="1" a="1"/>
  <c r="R697" i="1" s="1"/>
  <c r="D697" i="1" a="1"/>
  <c r="D697" i="1" s="1"/>
  <c r="C697" i="1" a="1"/>
  <c r="C697" i="1" s="1"/>
  <c r="R713" i="1" a="1"/>
  <c r="R713" i="1" s="1"/>
  <c r="D713" i="1" a="1"/>
  <c r="D713" i="1" s="1"/>
  <c r="C713" i="1" a="1"/>
  <c r="C713" i="1" s="1"/>
  <c r="C726" i="1" a="1"/>
  <c r="C726" i="1" s="1"/>
  <c r="C733" i="1" a="1"/>
  <c r="C733" i="1" s="1"/>
  <c r="R733" i="1" a="1"/>
  <c r="R733" i="1" s="1"/>
  <c r="D733" i="1" a="1"/>
  <c r="D733" i="1" s="1"/>
  <c r="D740" i="1" a="1"/>
  <c r="D740" i="1" s="1"/>
  <c r="R740" i="1" a="1"/>
  <c r="R740" i="1" s="1"/>
  <c r="R749" i="1" a="1"/>
  <c r="R749" i="1" s="1"/>
  <c r="D749" i="1" a="1"/>
  <c r="D749" i="1" s="1"/>
  <c r="C749" i="1" a="1"/>
  <c r="C749" i="1" s="1"/>
  <c r="C752" i="1" a="1"/>
  <c r="C752" i="1" s="1"/>
  <c r="D752" i="1" a="1"/>
  <c r="D752" i="1" s="1"/>
  <c r="R752" i="1" a="1"/>
  <c r="R752" i="1" s="1"/>
  <c r="D736" i="1" a="1"/>
  <c r="D736" i="1" s="1"/>
  <c r="C736" i="1" a="1"/>
  <c r="C736" i="1" s="1"/>
  <c r="R736" i="1" a="1"/>
  <c r="R736" i="1" s="1"/>
  <c r="D742" i="1" a="1"/>
  <c r="D742" i="1" s="1"/>
  <c r="R742" i="1" a="1"/>
  <c r="R742" i="1" s="1"/>
  <c r="D748" i="1" a="1"/>
  <c r="D748" i="1" s="1"/>
  <c r="E762" i="1" a="1"/>
  <c r="E762" i="1" s="1"/>
  <c r="R686" i="1" a="1"/>
  <c r="R686" i="1" s="1"/>
  <c r="D686" i="1" a="1"/>
  <c r="D686" i="1" s="1"/>
  <c r="R688" i="1" a="1"/>
  <c r="R688" i="1" s="1"/>
  <c r="D688" i="1" a="1"/>
  <c r="D688" i="1" s="1"/>
  <c r="R690" i="1" a="1"/>
  <c r="R690" i="1" s="1"/>
  <c r="D690" i="1" a="1"/>
  <c r="D690" i="1" s="1"/>
  <c r="R692" i="1" a="1"/>
  <c r="R692" i="1" s="1"/>
  <c r="D692" i="1" a="1"/>
  <c r="D692" i="1" s="1"/>
  <c r="R694" i="1" a="1"/>
  <c r="R694" i="1" s="1"/>
  <c r="D694" i="1" a="1"/>
  <c r="D694" i="1" s="1"/>
  <c r="R696" i="1" a="1"/>
  <c r="R696" i="1" s="1"/>
  <c r="D696" i="1" a="1"/>
  <c r="D696" i="1" s="1"/>
  <c r="R698" i="1" a="1"/>
  <c r="R698" i="1" s="1"/>
  <c r="D698" i="1" a="1"/>
  <c r="D698" i="1" s="1"/>
  <c r="R700" i="1" a="1"/>
  <c r="R700" i="1" s="1"/>
  <c r="D700" i="1" a="1"/>
  <c r="D700" i="1" s="1"/>
  <c r="R702" i="1" a="1"/>
  <c r="R702" i="1" s="1"/>
  <c r="D702" i="1" a="1"/>
  <c r="D702" i="1" s="1"/>
  <c r="R704" i="1" a="1"/>
  <c r="R704" i="1" s="1"/>
  <c r="D704" i="1" a="1"/>
  <c r="D704" i="1" s="1"/>
  <c r="R706" i="1" a="1"/>
  <c r="R706" i="1" s="1"/>
  <c r="D706" i="1" a="1"/>
  <c r="D706" i="1" s="1"/>
  <c r="R708" i="1" a="1"/>
  <c r="R708" i="1" s="1"/>
  <c r="D708" i="1" a="1"/>
  <c r="D708" i="1" s="1"/>
  <c r="R710" i="1" a="1"/>
  <c r="R710" i="1" s="1"/>
  <c r="D710" i="1" a="1"/>
  <c r="D710" i="1" s="1"/>
  <c r="R712" i="1" a="1"/>
  <c r="R712" i="1" s="1"/>
  <c r="D712" i="1" a="1"/>
  <c r="D712" i="1" s="1"/>
  <c r="R714" i="1" a="1"/>
  <c r="R714" i="1" s="1"/>
  <c r="D714" i="1" a="1"/>
  <c r="D714" i="1" s="1"/>
  <c r="R716" i="1" a="1"/>
  <c r="R716" i="1" s="1"/>
  <c r="D716" i="1" a="1"/>
  <c r="D716" i="1" s="1"/>
  <c r="D722" i="1" a="1"/>
  <c r="D722" i="1" s="1"/>
  <c r="C722" i="1" a="1"/>
  <c r="C722" i="1" s="1"/>
  <c r="R722" i="1" a="1"/>
  <c r="R722" i="1" s="1"/>
  <c r="D734" i="1" a="1"/>
  <c r="D734" i="1" s="1"/>
  <c r="C734" i="1" a="1"/>
  <c r="C734" i="1" s="1"/>
  <c r="C746" i="1" a="1"/>
  <c r="C746" i="1" s="1"/>
  <c r="D746" i="1" a="1"/>
  <c r="D746" i="1" s="1"/>
  <c r="E751" i="1" a="1"/>
  <c r="E751" i="1" s="1"/>
  <c r="F761" i="1" a="1"/>
  <c r="F761" i="1" s="1"/>
  <c r="E727" i="1" a="1"/>
  <c r="E727" i="1" s="1"/>
  <c r="R729" i="1" a="1"/>
  <c r="R729" i="1" s="1"/>
  <c r="C729" i="1" a="1"/>
  <c r="C729" i="1" s="1"/>
  <c r="E736" i="1" a="1"/>
  <c r="E736" i="1" s="1"/>
  <c r="F736" i="1" a="1"/>
  <c r="F736" i="1" s="1"/>
  <c r="R743" i="1" a="1"/>
  <c r="R743" i="1" s="1"/>
  <c r="C743" i="1" a="1"/>
  <c r="C743" i="1" s="1"/>
  <c r="R744" i="1" a="1"/>
  <c r="R744" i="1" s="1"/>
  <c r="D744" i="1" a="1"/>
  <c r="D744" i="1" s="1"/>
  <c r="C744" i="1" a="1"/>
  <c r="C744" i="1" s="1"/>
  <c r="D758" i="1" a="1"/>
  <c r="D758" i="1" s="1"/>
  <c r="R758" i="1" a="1"/>
  <c r="R758" i="1" s="1"/>
  <c r="R770" i="1" a="1"/>
  <c r="R770" i="1" s="1"/>
  <c r="C770" i="1" a="1"/>
  <c r="C770" i="1" s="1"/>
  <c r="D770" i="1" a="1"/>
  <c r="D770" i="1" s="1"/>
  <c r="E771" i="1" a="1"/>
  <c r="E771" i="1" s="1"/>
  <c r="D741" i="1" a="1"/>
  <c r="D741" i="1" s="1"/>
  <c r="R747" i="1" a="1"/>
  <c r="R747" i="1" s="1"/>
  <c r="D747" i="1" a="1"/>
  <c r="D747" i="1" s="1"/>
  <c r="R755" i="1" a="1"/>
  <c r="R755" i="1" s="1"/>
  <c r="D755" i="1" a="1"/>
  <c r="D755" i="1" s="1"/>
  <c r="C755" i="1" a="1"/>
  <c r="C755" i="1" s="1"/>
  <c r="E766" i="1" a="1"/>
  <c r="E766" i="1" s="1"/>
  <c r="R772" i="1" a="1"/>
  <c r="R772" i="1" s="1"/>
  <c r="C772" i="1" a="1"/>
  <c r="C772" i="1" s="1"/>
  <c r="E758" i="1" a="1"/>
  <c r="E758" i="1" s="1"/>
  <c r="R759" i="1" a="1"/>
  <c r="R759" i="1" s="1"/>
  <c r="C759" i="1" a="1"/>
  <c r="C759" i="1" s="1"/>
  <c r="R766" i="1" a="1"/>
  <c r="R766" i="1" s="1"/>
  <c r="D766" i="1" a="1"/>
  <c r="D766" i="1" s="1"/>
  <c r="C785" i="1" a="1"/>
  <c r="C785" i="1" s="1"/>
  <c r="D785" i="1" a="1"/>
  <c r="D785" i="1" s="1"/>
  <c r="R785" i="1" a="1"/>
  <c r="R785" i="1" s="1"/>
  <c r="D730" i="1" a="1"/>
  <c r="D730" i="1" s="1"/>
  <c r="R730" i="1" a="1"/>
  <c r="R730" i="1" s="1"/>
  <c r="D737" i="1" a="1"/>
  <c r="D737" i="1" s="1"/>
  <c r="D739" i="1" a="1"/>
  <c r="D739" i="1" s="1"/>
  <c r="D750" i="1" a="1"/>
  <c r="D750" i="1" s="1"/>
  <c r="R751" i="1" a="1"/>
  <c r="R751" i="1" s="1"/>
  <c r="C751" i="1" a="1"/>
  <c r="C751" i="1" s="1"/>
  <c r="D756" i="1" a="1"/>
  <c r="D756" i="1" s="1"/>
  <c r="D764" i="1" a="1"/>
  <c r="D764" i="1" s="1"/>
  <c r="R764" i="1" a="1"/>
  <c r="R764" i="1" s="1"/>
  <c r="C764" i="1" a="1"/>
  <c r="C764" i="1" s="1"/>
  <c r="E772" i="1" a="1"/>
  <c r="E772" i="1" s="1"/>
  <c r="D732" i="1" a="1"/>
  <c r="D732" i="1" s="1"/>
  <c r="C739" i="1" a="1"/>
  <c r="C739" i="1" s="1"/>
  <c r="R745" i="1" a="1"/>
  <c r="R745" i="1" s="1"/>
  <c r="C745" i="1" a="1"/>
  <c r="C745" i="1" s="1"/>
  <c r="D745" i="1" a="1"/>
  <c r="D745" i="1" s="1"/>
  <c r="D751" i="1" a="1"/>
  <c r="D751" i="1" s="1"/>
  <c r="D759" i="1" a="1"/>
  <c r="D759" i="1" s="1"/>
  <c r="E763" i="1" a="1"/>
  <c r="E763" i="1" s="1"/>
  <c r="D771" i="1" a="1"/>
  <c r="D771" i="1" s="1"/>
  <c r="C771" i="1" a="1"/>
  <c r="C771" i="1" s="1"/>
  <c r="D779" i="1" a="1"/>
  <c r="D779" i="1" s="1"/>
  <c r="C779" i="1" a="1"/>
  <c r="C779" i="1" s="1"/>
  <c r="R779" i="1" a="1"/>
  <c r="R779" i="1" s="1"/>
  <c r="R789" i="1" a="1"/>
  <c r="R789" i="1" s="1"/>
  <c r="D789" i="1" a="1"/>
  <c r="D789" i="1" s="1"/>
  <c r="C789" i="1" a="1"/>
  <c r="C789" i="1" s="1"/>
  <c r="E804" i="1" a="1"/>
  <c r="E804" i="1" s="1"/>
  <c r="R768" i="1" a="1"/>
  <c r="R768" i="1" s="1"/>
  <c r="C768" i="1" a="1"/>
  <c r="C768" i="1" s="1"/>
  <c r="R774" i="1" a="1"/>
  <c r="R774" i="1" s="1"/>
  <c r="D774" i="1" a="1"/>
  <c r="D774" i="1" s="1"/>
  <c r="C774" i="1" a="1"/>
  <c r="C774" i="1" s="1"/>
  <c r="E778" i="1" a="1"/>
  <c r="E778" i="1" s="1"/>
  <c r="E780" i="1" a="1"/>
  <c r="E780" i="1" s="1"/>
  <c r="E797" i="1" a="1"/>
  <c r="E797" i="1" s="1"/>
  <c r="D754" i="1" a="1"/>
  <c r="D754" i="1" s="1"/>
  <c r="R763" i="1" a="1"/>
  <c r="R763" i="1" s="1"/>
  <c r="D763" i="1" a="1"/>
  <c r="D763" i="1" s="1"/>
  <c r="C773" i="1" a="1"/>
  <c r="C773" i="1" s="1"/>
  <c r="R773" i="1" a="1"/>
  <c r="R773" i="1" s="1"/>
  <c r="E814" i="1" a="1"/>
  <c r="E814" i="1" s="1"/>
  <c r="E760" i="1" a="1"/>
  <c r="E760" i="1" s="1"/>
  <c r="R761" i="1" a="1"/>
  <c r="R761" i="1" s="1"/>
  <c r="C761" i="1" a="1"/>
  <c r="C761" i="1" s="1"/>
  <c r="R767" i="1" a="1"/>
  <c r="R767" i="1" s="1"/>
  <c r="C767" i="1" a="1"/>
  <c r="C767" i="1" s="1"/>
  <c r="E769" i="1" a="1"/>
  <c r="E769" i="1" s="1"/>
  <c r="D773" i="1" a="1"/>
  <c r="D773" i="1" s="1"/>
  <c r="E775" i="1" a="1"/>
  <c r="E775" i="1" s="1"/>
  <c r="E777" i="1" a="1"/>
  <c r="E777" i="1" s="1"/>
  <c r="F777" i="1" a="1"/>
  <c r="F777" i="1" s="1"/>
  <c r="E784" i="1" a="1"/>
  <c r="E784" i="1" s="1"/>
  <c r="E747" i="1" a="1"/>
  <c r="E747" i="1" s="1"/>
  <c r="D768" i="1" a="1"/>
  <c r="D768" i="1" s="1"/>
  <c r="E768" i="1" a="1"/>
  <c r="E768" i="1" s="1"/>
  <c r="E795" i="1" a="1"/>
  <c r="E795" i="1" s="1"/>
  <c r="F795" i="1" a="1"/>
  <c r="F795" i="1" s="1"/>
  <c r="C775" i="1" a="1"/>
  <c r="C775" i="1" s="1"/>
  <c r="C791" i="1" a="1"/>
  <c r="C791" i="1" s="1"/>
  <c r="R791" i="1" a="1"/>
  <c r="R791" i="1" s="1"/>
  <c r="C794" i="1" a="1"/>
  <c r="C794" i="1" s="1"/>
  <c r="R794" i="1" a="1"/>
  <c r="R794" i="1" s="1"/>
  <c r="D794" i="1" a="1"/>
  <c r="D794" i="1" s="1"/>
  <c r="D811" i="1" a="1"/>
  <c r="D811" i="1" s="1"/>
  <c r="C811" i="1" a="1"/>
  <c r="C811" i="1" s="1"/>
  <c r="R811" i="1" a="1"/>
  <c r="R811" i="1" s="1"/>
  <c r="R782" i="1" a="1"/>
  <c r="R782" i="1" s="1"/>
  <c r="C782" i="1" a="1"/>
  <c r="C782" i="1" s="1"/>
  <c r="D786" i="1" a="1"/>
  <c r="D786" i="1" s="1"/>
  <c r="C786" i="1" a="1"/>
  <c r="C786" i="1" s="1"/>
  <c r="D787" i="1" a="1"/>
  <c r="D787" i="1" s="1"/>
  <c r="E793" i="1" a="1"/>
  <c r="E793" i="1" s="1"/>
  <c r="E808" i="1" a="1"/>
  <c r="E808" i="1" s="1"/>
  <c r="E812" i="1" a="1"/>
  <c r="E812" i="1" s="1"/>
  <c r="D775" i="1" a="1"/>
  <c r="D775" i="1" s="1"/>
  <c r="D784" i="1" a="1"/>
  <c r="D784" i="1" s="1"/>
  <c r="R803" i="1" a="1"/>
  <c r="R803" i="1" s="1"/>
  <c r="C803" i="1" a="1"/>
  <c r="C803" i="1" s="1"/>
  <c r="E815" i="1" a="1"/>
  <c r="E815" i="1" s="1"/>
  <c r="R777" i="1" a="1"/>
  <c r="R777" i="1" s="1"/>
  <c r="C777" i="1" a="1"/>
  <c r="C777" i="1" s="1"/>
  <c r="C802" i="1" a="1"/>
  <c r="C802" i="1" s="1"/>
  <c r="R802" i="1" a="1"/>
  <c r="R802" i="1" s="1"/>
  <c r="D802" i="1" a="1"/>
  <c r="D802" i="1" s="1"/>
  <c r="E805" i="1" a="1"/>
  <c r="E805" i="1" s="1"/>
  <c r="D817" i="1" a="1"/>
  <c r="D817" i="1" s="1"/>
  <c r="R817" i="1" a="1"/>
  <c r="R817" i="1" s="1"/>
  <c r="C817" i="1" a="1"/>
  <c r="C817" i="1" s="1"/>
  <c r="E800" i="1" a="1"/>
  <c r="E800" i="1" s="1"/>
  <c r="D812" i="1" a="1"/>
  <c r="D812" i="1" s="1"/>
  <c r="C812" i="1" a="1"/>
  <c r="C812" i="1" s="1"/>
  <c r="F796" i="1" a="1"/>
  <c r="F796" i="1" s="1"/>
  <c r="E807" i="1" a="1"/>
  <c r="E807" i="1" s="1"/>
  <c r="E809" i="1" a="1"/>
  <c r="E809" i="1" s="1"/>
  <c r="E811" i="1" a="1"/>
  <c r="E811" i="1" s="1"/>
  <c r="D795" i="1" a="1"/>
  <c r="D795" i="1" s="1"/>
  <c r="C795" i="1" a="1"/>
  <c r="C795" i="1" s="1"/>
  <c r="R797" i="1" a="1"/>
  <c r="R797" i="1" s="1"/>
  <c r="D797" i="1" a="1"/>
  <c r="D797" i="1" s="1"/>
  <c r="C797" i="1" a="1"/>
  <c r="C797" i="1" s="1"/>
  <c r="C800" i="1" a="1"/>
  <c r="C800" i="1" s="1"/>
  <c r="R800" i="1" a="1"/>
  <c r="R800" i="1" s="1"/>
  <c r="C804" i="1" a="1"/>
  <c r="C804" i="1" s="1"/>
  <c r="R804" i="1" a="1"/>
  <c r="R804" i="1" s="1"/>
  <c r="D804" i="1" a="1"/>
  <c r="D804" i="1" s="1"/>
  <c r="R826" i="1" a="1"/>
  <c r="R826" i="1" s="1"/>
  <c r="D826" i="1" a="1"/>
  <c r="D826" i="1" s="1"/>
  <c r="C826" i="1" a="1"/>
  <c r="C826" i="1" s="1"/>
  <c r="D792" i="1" a="1"/>
  <c r="D792" i="1" s="1"/>
  <c r="D825" i="1" a="1"/>
  <c r="D825" i="1" s="1"/>
  <c r="F788" i="1" a="1"/>
  <c r="F788" i="1" s="1"/>
  <c r="C790" i="1" a="1"/>
  <c r="C790" i="1" s="1"/>
  <c r="R790" i="1" a="1"/>
  <c r="R790" i="1" s="1"/>
  <c r="D806" i="1" a="1"/>
  <c r="D806" i="1" s="1"/>
  <c r="D808" i="1" a="1"/>
  <c r="D808" i="1" s="1"/>
  <c r="D810" i="1" a="1"/>
  <c r="D810" i="1" s="1"/>
  <c r="C810" i="1" a="1"/>
  <c r="C810" i="1" s="1"/>
  <c r="E827" i="1" a="1"/>
  <c r="E827" i="1" s="1"/>
  <c r="F827" i="1" a="1"/>
  <c r="F827" i="1" s="1"/>
  <c r="C835" i="1" a="1"/>
  <c r="C835" i="1" s="1"/>
  <c r="R835" i="1" a="1"/>
  <c r="R835" i="1" s="1"/>
  <c r="D835" i="1" a="1"/>
  <c r="D835" i="1" s="1"/>
  <c r="E847" i="1" a="1"/>
  <c r="E847" i="1" s="1"/>
  <c r="D788" i="1" a="1"/>
  <c r="D788" i="1" s="1"/>
  <c r="C801" i="1" a="1"/>
  <c r="C801" i="1" s="1"/>
  <c r="R806" i="1" a="1"/>
  <c r="R806" i="1" s="1"/>
  <c r="D809" i="1" a="1"/>
  <c r="D809" i="1" s="1"/>
  <c r="C809" i="1" a="1"/>
  <c r="C809" i="1" s="1"/>
  <c r="R809" i="1" a="1"/>
  <c r="R809" i="1" s="1"/>
  <c r="R816" i="1" a="1"/>
  <c r="R816" i="1" s="1"/>
  <c r="C816" i="1" a="1"/>
  <c r="C816" i="1" s="1"/>
  <c r="R818" i="1" a="1"/>
  <c r="R818" i="1" s="1"/>
  <c r="D818" i="1" a="1"/>
  <c r="D818" i="1" s="1"/>
  <c r="C818" i="1" a="1"/>
  <c r="C818" i="1" s="1"/>
  <c r="R822" i="1" a="1"/>
  <c r="R822" i="1" s="1"/>
  <c r="C822" i="1" a="1"/>
  <c r="C822" i="1" s="1"/>
  <c r="D822" i="1" a="1"/>
  <c r="D822" i="1" s="1"/>
  <c r="E825" i="1" a="1"/>
  <c r="E825" i="1" s="1"/>
  <c r="D807" i="1" a="1"/>
  <c r="D807" i="1" s="1"/>
  <c r="D819" i="1" a="1"/>
  <c r="D819" i="1" s="1"/>
  <c r="C819" i="1" a="1"/>
  <c r="C819" i="1" s="1"/>
  <c r="E832" i="1" a="1"/>
  <c r="E832" i="1" s="1"/>
  <c r="D841" i="1" a="1"/>
  <c r="D841" i="1" s="1"/>
  <c r="R841" i="1" a="1"/>
  <c r="R841" i="1" s="1"/>
  <c r="C841" i="1" a="1"/>
  <c r="C841" i="1" s="1"/>
  <c r="E849" i="1" a="1"/>
  <c r="E849" i="1" s="1"/>
  <c r="D821" i="1" a="1"/>
  <c r="D821" i="1" s="1"/>
  <c r="D823" i="1" a="1"/>
  <c r="D823" i="1" s="1"/>
  <c r="C823" i="1" a="1"/>
  <c r="C823" i="1" s="1"/>
  <c r="R832" i="1" a="1"/>
  <c r="R832" i="1" s="1"/>
  <c r="D832" i="1" a="1"/>
  <c r="D832" i="1" s="1"/>
  <c r="R839" i="1" a="1"/>
  <c r="R839" i="1" s="1"/>
  <c r="D839" i="1" a="1"/>
  <c r="D839" i="1" s="1"/>
  <c r="E823" i="1" a="1"/>
  <c r="E823" i="1" s="1"/>
  <c r="E824" i="1" a="1"/>
  <c r="E824" i="1" s="1"/>
  <c r="R847" i="1" a="1"/>
  <c r="R847" i="1" s="1"/>
  <c r="D847" i="1" a="1"/>
  <c r="D847" i="1" s="1"/>
  <c r="C847" i="1" a="1"/>
  <c r="C847" i="1" s="1"/>
  <c r="D813" i="1" a="1"/>
  <c r="D813" i="1" s="1"/>
  <c r="C813" i="1" a="1"/>
  <c r="C813" i="1" s="1"/>
  <c r="D815" i="1" a="1"/>
  <c r="D815" i="1" s="1"/>
  <c r="R820" i="1" a="1"/>
  <c r="R820" i="1" s="1"/>
  <c r="D820" i="1" a="1"/>
  <c r="D820" i="1" s="1"/>
  <c r="C830" i="1" a="1"/>
  <c r="C830" i="1" s="1"/>
  <c r="D831" i="1" a="1"/>
  <c r="D831" i="1" s="1"/>
  <c r="F848" i="1" a="1"/>
  <c r="F848" i="1" s="1"/>
  <c r="E848" i="1" a="1"/>
  <c r="E848" i="1" s="1"/>
  <c r="E830" i="1" a="1"/>
  <c r="E830" i="1" s="1"/>
  <c r="R840" i="1" a="1"/>
  <c r="R840" i="1" s="1"/>
  <c r="D840" i="1" a="1"/>
  <c r="D840" i="1" s="1"/>
  <c r="R848" i="1" a="1"/>
  <c r="R848" i="1" s="1"/>
  <c r="D848" i="1" a="1"/>
  <c r="D848" i="1" s="1"/>
  <c r="Y839" i="1" a="1"/>
  <c r="Y839" i="1" s="1"/>
  <c r="Y828" i="1" a="1"/>
  <c r="Y828" i="1" s="1"/>
  <c r="E834" i="1" a="1"/>
  <c r="E834" i="1" s="1"/>
  <c r="E843" i="1" a="1"/>
  <c r="E843" i="1" s="1"/>
  <c r="R844" i="1" a="1"/>
  <c r="R844" i="1" s="1"/>
  <c r="C844" i="1" a="1"/>
  <c r="C844" i="1" s="1"/>
  <c r="R842" i="1" a="1"/>
  <c r="R842" i="1" s="1"/>
  <c r="C842" i="1" a="1"/>
  <c r="C842" i="1" s="1"/>
  <c r="D843" i="1" a="1"/>
  <c r="D843" i="1" s="1"/>
  <c r="C845" i="1" a="1"/>
  <c r="C845" i="1" s="1"/>
  <c r="R833" i="1" a="1"/>
  <c r="R833" i="1" s="1"/>
  <c r="D846" i="1" a="1"/>
  <c r="D846" i="1" s="1"/>
  <c r="D849" i="1" a="1"/>
  <c r="D849" i="1" s="1"/>
  <c r="F802" i="1" l="1" a="1"/>
  <c r="F802" i="1" s="1"/>
  <c r="F812" i="1" a="1"/>
  <c r="F812" i="1" s="1"/>
  <c r="F733" i="1" a="1"/>
  <c r="F733" i="1" s="1"/>
  <c r="F729" i="1" a="1"/>
  <c r="F729" i="1" s="1"/>
  <c r="F751" i="1" a="1"/>
  <c r="F751" i="1" s="1"/>
  <c r="F671" i="1" a="1"/>
  <c r="F671" i="1" s="1"/>
  <c r="F659" i="1" a="1"/>
  <c r="F659" i="1" s="1"/>
  <c r="E579" i="1" a="1"/>
  <c r="E579" i="1" s="1"/>
  <c r="F579" i="1" a="1"/>
  <c r="F579" i="1" s="1"/>
  <c r="F820" i="1" a="1"/>
  <c r="F820" i="1" s="1"/>
  <c r="F830" i="1" a="1"/>
  <c r="F830" i="1" s="1"/>
  <c r="F824" i="1" a="1"/>
  <c r="F824" i="1" s="1"/>
  <c r="F825" i="1" a="1"/>
  <c r="F825" i="1" s="1"/>
  <c r="F847" i="1" a="1"/>
  <c r="F847" i="1" s="1"/>
  <c r="F809" i="1" a="1"/>
  <c r="F809" i="1" s="1"/>
  <c r="F808" i="1" a="1"/>
  <c r="F808" i="1" s="1"/>
  <c r="F776" i="1" a="1"/>
  <c r="F776" i="1" s="1"/>
  <c r="F756" i="1" a="1"/>
  <c r="F756" i="1" s="1"/>
  <c r="F758" i="1" a="1"/>
  <c r="F758" i="1" s="1"/>
  <c r="F771" i="1" a="1"/>
  <c r="F771" i="1" s="1"/>
  <c r="F728" i="1" a="1"/>
  <c r="F728" i="1" s="1"/>
  <c r="F656" i="1" a="1"/>
  <c r="F656" i="1" s="1"/>
  <c r="F613" i="1" a="1"/>
  <c r="F613" i="1" s="1"/>
  <c r="F614" i="1" a="1"/>
  <c r="F614" i="1" s="1"/>
  <c r="F829" i="1" a="1"/>
  <c r="F829" i="1" s="1"/>
  <c r="F655" i="1" a="1"/>
  <c r="F655" i="1" s="1"/>
  <c r="F723" i="1" a="1"/>
  <c r="F723" i="1" s="1"/>
  <c r="F699" i="1" a="1"/>
  <c r="F699" i="1" s="1"/>
  <c r="G411" i="1" a="1"/>
  <c r="G411" i="1" s="1"/>
  <c r="H411" i="1" a="1"/>
  <c r="H411" i="1" s="1"/>
  <c r="H410" i="1" a="1"/>
  <c r="H410" i="1" s="1"/>
  <c r="G410" i="1" a="1"/>
  <c r="G410" i="1" s="1"/>
  <c r="H418" i="1" a="1"/>
  <c r="H418" i="1" s="1"/>
  <c r="G418" i="1" a="1"/>
  <c r="G418" i="1" s="1"/>
  <c r="H402" i="1" a="1"/>
  <c r="H402" i="1" s="1"/>
  <c r="G402" i="1" a="1"/>
  <c r="G402" i="1" s="1"/>
  <c r="H396" i="1" a="1"/>
  <c r="H396" i="1" s="1"/>
  <c r="G396" i="1" a="1"/>
  <c r="G396" i="1" s="1"/>
  <c r="G353" i="1" a="1"/>
  <c r="G353" i="1" s="1"/>
  <c r="H353" i="1" a="1"/>
  <c r="H353" i="1" s="1"/>
  <c r="H348" i="1" a="1"/>
  <c r="H348" i="1" s="1"/>
  <c r="G348" i="1" a="1"/>
  <c r="G348" i="1" s="1"/>
  <c r="G387" i="1" a="1"/>
  <c r="G387" i="1" s="1"/>
  <c r="H387" i="1" a="1"/>
  <c r="H387" i="1" s="1"/>
  <c r="G339" i="1" a="1"/>
  <c r="G339" i="1" s="1"/>
  <c r="H339" i="1" a="1"/>
  <c r="H339" i="1" s="1"/>
  <c r="H394" i="1" a="1"/>
  <c r="H394" i="1" s="1"/>
  <c r="G394" i="1" a="1"/>
  <c r="G394" i="1" s="1"/>
  <c r="H370" i="1" a="1"/>
  <c r="H370" i="1" s="1"/>
  <c r="G370" i="1" a="1"/>
  <c r="G370" i="1" s="1"/>
  <c r="G371" i="1" a="1"/>
  <c r="G371" i="1" s="1"/>
  <c r="H371" i="1" a="1"/>
  <c r="H371" i="1" s="1"/>
  <c r="H352" i="1" a="1"/>
  <c r="H352" i="1" s="1"/>
  <c r="G352" i="1" a="1"/>
  <c r="G352" i="1" s="1"/>
  <c r="H280" i="1" a="1"/>
  <c r="H280" i="1" s="1"/>
  <c r="G280" i="1" a="1"/>
  <c r="G280" i="1" s="1"/>
  <c r="G226" i="1" a="1"/>
  <c r="G226" i="1" s="1"/>
  <c r="H226" i="1" a="1"/>
  <c r="H226" i="1" s="1"/>
  <c r="G136" i="1" a="1"/>
  <c r="G136" i="1" s="1"/>
  <c r="H136" i="1" a="1"/>
  <c r="H136" i="1" s="1"/>
  <c r="G150" i="1" a="1"/>
  <c r="G150" i="1" s="1"/>
  <c r="H150" i="1" a="1"/>
  <c r="H150" i="1" s="1"/>
  <c r="G116" i="1" a="1"/>
  <c r="G116" i="1" s="1"/>
  <c r="H116" i="1" a="1"/>
  <c r="H116" i="1" s="1"/>
  <c r="H124" i="1" a="1"/>
  <c r="H124" i="1" s="1"/>
  <c r="H21" i="1" a="1"/>
  <c r="H21" i="1" s="1"/>
  <c r="H8" i="1" a="1"/>
  <c r="H8" i="1" s="1"/>
  <c r="H79" i="1" a="1"/>
  <c r="H79" i="1" s="1"/>
  <c r="G41" i="1" a="1"/>
  <c r="G41" i="1" s="1"/>
  <c r="H41" i="1" a="1"/>
  <c r="H41" i="1" s="1"/>
  <c r="H7" i="1" a="1"/>
  <c r="H7" i="1" s="1"/>
  <c r="F694" i="1" a="1"/>
  <c r="F694" i="1" s="1"/>
  <c r="F690" i="1" a="1"/>
  <c r="F690" i="1" s="1"/>
  <c r="F744" i="1" a="1"/>
  <c r="F744" i="1" s="1"/>
  <c r="F764" i="1" a="1"/>
  <c r="F764" i="1" s="1"/>
  <c r="F678" i="1" a="1"/>
  <c r="F678" i="1" s="1"/>
  <c r="F666" i="1" a="1"/>
  <c r="F666" i="1" s="1"/>
  <c r="F698" i="1" a="1"/>
  <c r="F698" i="1" s="1"/>
  <c r="F714" i="1" a="1"/>
  <c r="F714" i="1" s="1"/>
  <c r="F749" i="1" a="1"/>
  <c r="F749" i="1" s="1"/>
  <c r="F753" i="1" a="1"/>
  <c r="F753" i="1" s="1"/>
  <c r="F799" i="1" a="1"/>
  <c r="F799" i="1" s="1"/>
  <c r="F836" i="1" a="1"/>
  <c r="F836" i="1" s="1"/>
  <c r="F810" i="1" a="1"/>
  <c r="F810" i="1" s="1"/>
  <c r="F787" i="1" a="1"/>
  <c r="F787" i="1" s="1"/>
  <c r="F763" i="1" a="1"/>
  <c r="F763" i="1" s="1"/>
  <c r="F705" i="1" a="1"/>
  <c r="F705" i="1" s="1"/>
  <c r="F837" i="1" a="1"/>
  <c r="F837" i="1" s="1"/>
  <c r="F691" i="1" a="1"/>
  <c r="F691" i="1" s="1"/>
  <c r="F634" i="1" a="1"/>
  <c r="F634" i="1" s="1"/>
  <c r="F715" i="1" a="1"/>
  <c r="F715" i="1" s="1"/>
  <c r="F635" i="1" a="1"/>
  <c r="F635" i="1" s="1"/>
  <c r="F625" i="1" a="1"/>
  <c r="F625" i="1" s="1"/>
  <c r="E625" i="1" a="1"/>
  <c r="E625" i="1" s="1"/>
  <c r="E650" i="1" a="1"/>
  <c r="E650" i="1" s="1"/>
  <c r="F650" i="1" a="1"/>
  <c r="F650" i="1" s="1"/>
  <c r="G431" i="1" a="1"/>
  <c r="G431" i="1" s="1"/>
  <c r="H431" i="1" a="1"/>
  <c r="H431" i="1" s="1"/>
  <c r="G349" i="1" a="1"/>
  <c r="G349" i="1" s="1"/>
  <c r="H349" i="1" a="1"/>
  <c r="H349" i="1" s="1"/>
  <c r="H368" i="1" a="1"/>
  <c r="H368" i="1" s="1"/>
  <c r="G368" i="1" a="1"/>
  <c r="G368" i="1" s="1"/>
  <c r="G257" i="1" a="1"/>
  <c r="G257" i="1" s="1"/>
  <c r="H257" i="1" a="1"/>
  <c r="H257" i="1" s="1"/>
  <c r="G324" i="1" a="1"/>
  <c r="G324" i="1" s="1"/>
  <c r="H324" i="1" a="1"/>
  <c r="H324" i="1" s="1"/>
  <c r="G297" i="1" a="1"/>
  <c r="G297" i="1" s="1"/>
  <c r="H297" i="1" a="1"/>
  <c r="H297" i="1" s="1"/>
  <c r="G316" i="1" a="1"/>
  <c r="G316" i="1" s="1"/>
  <c r="H316" i="1" a="1"/>
  <c r="H316" i="1" s="1"/>
  <c r="G301" i="1" a="1"/>
  <c r="G301" i="1" s="1"/>
  <c r="H301" i="1" a="1"/>
  <c r="H301" i="1" s="1"/>
  <c r="H284" i="1" a="1"/>
  <c r="H284" i="1" s="1"/>
  <c r="G284" i="1" a="1"/>
  <c r="G284" i="1" s="1"/>
  <c r="G263" i="1" a="1"/>
  <c r="G263" i="1" s="1"/>
  <c r="H263" i="1" a="1"/>
  <c r="H263" i="1" s="1"/>
  <c r="G179" i="1" a="1"/>
  <c r="G179" i="1" s="1"/>
  <c r="H179" i="1" a="1"/>
  <c r="H179" i="1" s="1"/>
  <c r="G117" i="1" a="1"/>
  <c r="G117" i="1" s="1"/>
  <c r="H117" i="1" a="1"/>
  <c r="H117" i="1" s="1"/>
  <c r="G170" i="1" a="1"/>
  <c r="G170" i="1" s="1"/>
  <c r="H170" i="1" a="1"/>
  <c r="H170" i="1" s="1"/>
  <c r="H171" i="1" a="1"/>
  <c r="H171" i="1" s="1"/>
  <c r="G171" i="1" a="1"/>
  <c r="G171" i="1" s="1"/>
  <c r="H207" i="1" a="1"/>
  <c r="H207" i="1" s="1"/>
  <c r="G207" i="1" a="1"/>
  <c r="G207" i="1" s="1"/>
  <c r="G154" i="1" a="1"/>
  <c r="G154" i="1" s="1"/>
  <c r="H154" i="1" a="1"/>
  <c r="H154" i="1" s="1"/>
  <c r="G200" i="1" a="1"/>
  <c r="G200" i="1" s="1"/>
  <c r="H200" i="1" a="1"/>
  <c r="H200" i="1" s="1"/>
  <c r="G40" i="1" a="1"/>
  <c r="G40" i="1" s="1"/>
  <c r="H40" i="1" a="1"/>
  <c r="H40" i="1" s="1"/>
  <c r="H113" i="1" a="1"/>
  <c r="H113" i="1" s="1"/>
  <c r="G113" i="1" a="1"/>
  <c r="G113" i="1" s="1"/>
  <c r="H77" i="1" a="1"/>
  <c r="H77" i="1" s="1"/>
  <c r="G77" i="1" a="1"/>
  <c r="G77" i="1" s="1"/>
  <c r="H101" i="1" a="1"/>
  <c r="H101" i="1" s="1"/>
  <c r="G101" i="1" a="1"/>
  <c r="G101" i="1" s="1"/>
  <c r="H85" i="1" a="1"/>
  <c r="H85" i="1" s="1"/>
  <c r="G85" i="1" a="1"/>
  <c r="G85" i="1" s="1"/>
  <c r="H423" i="1" a="1"/>
  <c r="H423" i="1" s="1"/>
  <c r="H393" i="1" a="1"/>
  <c r="H393" i="1" s="1"/>
  <c r="H366" i="1" a="1"/>
  <c r="H366" i="1" s="1"/>
  <c r="H347" i="1" a="1"/>
  <c r="H347" i="1" s="1"/>
  <c r="H6" i="1" a="1"/>
  <c r="H6" i="1" s="1"/>
  <c r="H380" i="1" a="1"/>
  <c r="H380" i="1" s="1"/>
  <c r="H372" i="1" a="1"/>
  <c r="H372" i="1" s="1"/>
  <c r="H384" i="1" a="1"/>
  <c r="H384" i="1" s="1"/>
  <c r="H376" i="1" a="1"/>
  <c r="H376" i="1" s="1"/>
  <c r="H311" i="1" a="1"/>
  <c r="H311" i="1" s="1"/>
  <c r="H296" i="1" a="1"/>
  <c r="H296" i="1" s="1"/>
  <c r="H228" i="1" a="1"/>
  <c r="H228" i="1" s="1"/>
  <c r="H219" i="1" a="1"/>
  <c r="H219" i="1" s="1"/>
  <c r="H255" i="1" a="1"/>
  <c r="H255" i="1" s="1"/>
  <c r="H282" i="1" a="1"/>
  <c r="H282" i="1" s="1"/>
  <c r="H274" i="1" a="1"/>
  <c r="H274" i="1" s="1"/>
  <c r="H231" i="1" a="1"/>
  <c r="H231" i="1" s="1"/>
  <c r="H181" i="1" a="1"/>
  <c r="H181" i="1" s="1"/>
  <c r="H208" i="1" a="1"/>
  <c r="H208" i="1" s="1"/>
  <c r="H194" i="1" a="1"/>
  <c r="H194" i="1" s="1"/>
  <c r="H197" i="1" a="1"/>
  <c r="H197" i="1" s="1"/>
  <c r="H199" i="1" a="1"/>
  <c r="H199" i="1" s="1"/>
  <c r="H176" i="1" a="1"/>
  <c r="H176" i="1" s="1"/>
  <c r="H215" i="1" a="1"/>
  <c r="H215" i="1" s="1"/>
  <c r="H162" i="1" a="1"/>
  <c r="H162" i="1" s="1"/>
  <c r="H161" i="1" a="1"/>
  <c r="H161" i="1" s="1"/>
  <c r="H160" i="1" a="1"/>
  <c r="H160" i="1" s="1"/>
  <c r="H212" i="1" a="1"/>
  <c r="H212" i="1" s="1"/>
  <c r="H182" i="1" a="1"/>
  <c r="H182" i="1" s="1"/>
  <c r="H178" i="1" a="1"/>
  <c r="H178" i="1" s="1"/>
  <c r="H110" i="1" a="1"/>
  <c r="H110" i="1" s="1"/>
  <c r="H145" i="1" a="1"/>
  <c r="H145" i="1" s="1"/>
  <c r="H83" i="1" a="1"/>
  <c r="H83" i="1" s="1"/>
  <c r="H47" i="1" a="1"/>
  <c r="H47" i="1" s="1"/>
  <c r="H130" i="1" a="1"/>
  <c r="H130" i="1" s="1"/>
  <c r="H71" i="1" a="1"/>
  <c r="H71" i="1" s="1"/>
  <c r="H149" i="1" a="1"/>
  <c r="H149" i="1" s="1"/>
  <c r="H142" i="1" a="1"/>
  <c r="H142" i="1" s="1"/>
  <c r="H114" i="1" a="1"/>
  <c r="H114" i="1" s="1"/>
  <c r="H63" i="1" a="1"/>
  <c r="H63" i="1" s="1"/>
  <c r="G6" i="1" a="1"/>
  <c r="G6" i="1" s="1"/>
  <c r="H44" i="1" a="1"/>
  <c r="H44" i="1" s="1"/>
  <c r="H175" i="1" a="1"/>
  <c r="H175" i="1" s="1"/>
  <c r="H138" i="1" a="1"/>
  <c r="H138" i="1" s="1"/>
  <c r="H65" i="1" a="1"/>
  <c r="H65" i="1" s="1"/>
  <c r="G65" i="1" a="1"/>
  <c r="G65" i="1" s="1"/>
  <c r="H151" i="1" a="1"/>
  <c r="H151" i="1" s="1"/>
  <c r="H122" i="1" a="1"/>
  <c r="H122" i="1" s="1"/>
  <c r="H25" i="1" a="1"/>
  <c r="H25" i="1" s="1"/>
  <c r="H20" i="1" a="1"/>
  <c r="H20" i="1" s="1"/>
  <c r="F619" i="1" a="1"/>
  <c r="F619" i="1" s="1"/>
  <c r="F677" i="1" a="1"/>
  <c r="F677" i="1" s="1"/>
  <c r="F617" i="1" a="1"/>
  <c r="F617" i="1" s="1"/>
  <c r="F688" i="1" a="1"/>
  <c r="F688" i="1" s="1"/>
  <c r="F700" i="1" a="1"/>
  <c r="F700" i="1" s="1"/>
  <c r="F716" i="1" a="1"/>
  <c r="F716" i="1" s="1"/>
  <c r="F755" i="1" a="1"/>
  <c r="F755" i="1" s="1"/>
  <c r="F783" i="1" a="1"/>
  <c r="F783" i="1" s="1"/>
  <c r="F833" i="1" a="1"/>
  <c r="F833" i="1" s="1"/>
  <c r="F846" i="1" a="1"/>
  <c r="F846" i="1" s="1"/>
  <c r="H59" i="1" a="1"/>
  <c r="H59" i="1" s="1"/>
  <c r="H76" i="1" a="1"/>
  <c r="H76" i="1" s="1"/>
  <c r="H55" i="1" a="1"/>
  <c r="H55" i="1" s="1"/>
  <c r="G385" i="1" a="1"/>
  <c r="G385" i="1" s="1"/>
  <c r="H385" i="1" a="1"/>
  <c r="H385" i="1" s="1"/>
  <c r="F822" i="1" a="1"/>
  <c r="F822" i="1" s="1"/>
  <c r="F800" i="1" a="1"/>
  <c r="F800" i="1" s="1"/>
  <c r="F793" i="1" a="1"/>
  <c r="F793" i="1" s="1"/>
  <c r="F781" i="1" a="1"/>
  <c r="F781" i="1" s="1"/>
  <c r="F769" i="1" a="1"/>
  <c r="F769" i="1" s="1"/>
  <c r="F741" i="1" a="1"/>
  <c r="F741" i="1" s="1"/>
  <c r="F760" i="1" a="1"/>
  <c r="F760" i="1" s="1"/>
  <c r="F754" i="1" a="1"/>
  <c r="F754" i="1" s="1"/>
  <c r="F737" i="1" a="1"/>
  <c r="F737" i="1" s="1"/>
  <c r="F745" i="1" a="1"/>
  <c r="F745" i="1" s="1"/>
  <c r="F689" i="1" a="1"/>
  <c r="F689" i="1" s="1"/>
  <c r="F643" i="1" a="1"/>
  <c r="F643" i="1" s="1"/>
  <c r="H428" i="1" a="1"/>
  <c r="H428" i="1" s="1"/>
  <c r="G428" i="1" a="1"/>
  <c r="G428" i="1" s="1"/>
  <c r="H414" i="1" a="1"/>
  <c r="H414" i="1" s="1"/>
  <c r="G414" i="1" a="1"/>
  <c r="G414" i="1" s="1"/>
  <c r="G377" i="1" a="1"/>
  <c r="G377" i="1" s="1"/>
  <c r="H377" i="1" a="1"/>
  <c r="H377" i="1" s="1"/>
  <c r="G361" i="1" a="1"/>
  <c r="G361" i="1" s="1"/>
  <c r="H361" i="1" a="1"/>
  <c r="H361" i="1" s="1"/>
  <c r="G397" i="1" a="1"/>
  <c r="G397" i="1" s="1"/>
  <c r="H397" i="1" a="1"/>
  <c r="H397" i="1" s="1"/>
  <c r="H374" i="1" a="1"/>
  <c r="H374" i="1" s="1"/>
  <c r="G374" i="1" a="1"/>
  <c r="G374" i="1" s="1"/>
  <c r="G307" i="1" a="1"/>
  <c r="G307" i="1" s="1"/>
  <c r="H307" i="1" a="1"/>
  <c r="H307" i="1" s="1"/>
  <c r="H336" i="1" a="1"/>
  <c r="H336" i="1" s="1"/>
  <c r="G336" i="1" a="1"/>
  <c r="G336" i="1" s="1"/>
  <c r="H260" i="1" a="1"/>
  <c r="H260" i="1" s="1"/>
  <c r="G260" i="1" a="1"/>
  <c r="G260" i="1" s="1"/>
  <c r="G276" i="1" a="1"/>
  <c r="G276" i="1" s="1"/>
  <c r="H276" i="1" a="1"/>
  <c r="H276" i="1" s="1"/>
  <c r="G237" i="1" a="1"/>
  <c r="G237" i="1" s="1"/>
  <c r="H237" i="1" a="1"/>
  <c r="H237" i="1" s="1"/>
  <c r="H278" i="1" a="1"/>
  <c r="H278" i="1" s="1"/>
  <c r="G278" i="1" a="1"/>
  <c r="G278" i="1" s="1"/>
  <c r="G287" i="1" a="1"/>
  <c r="G287" i="1" s="1"/>
  <c r="H287" i="1" a="1"/>
  <c r="H287" i="1" s="1"/>
  <c r="G254" i="1" a="1"/>
  <c r="G254" i="1" s="1"/>
  <c r="H254" i="1" a="1"/>
  <c r="H254" i="1" s="1"/>
  <c r="G273" i="1" a="1"/>
  <c r="G273" i="1" s="1"/>
  <c r="H273" i="1" a="1"/>
  <c r="H273" i="1" s="1"/>
  <c r="G236" i="1" a="1"/>
  <c r="G236" i="1" s="1"/>
  <c r="H236" i="1" a="1"/>
  <c r="H236" i="1" s="1"/>
  <c r="G229" i="1" a="1"/>
  <c r="G229" i="1" s="1"/>
  <c r="H229" i="1" a="1"/>
  <c r="H229" i="1" s="1"/>
  <c r="H123" i="1" a="1"/>
  <c r="H123" i="1" s="1"/>
  <c r="G123" i="1" a="1"/>
  <c r="G123" i="1" s="1"/>
  <c r="H203" i="1" a="1"/>
  <c r="H203" i="1" s="1"/>
  <c r="G203" i="1" a="1"/>
  <c r="G203" i="1" s="1"/>
  <c r="G137" i="1" a="1"/>
  <c r="G137" i="1" s="1"/>
  <c r="H137" i="1" a="1"/>
  <c r="H137" i="1" s="1"/>
  <c r="G58" i="1" a="1"/>
  <c r="G58" i="1" s="1"/>
  <c r="H58" i="1" a="1"/>
  <c r="H58" i="1" s="1"/>
  <c r="H69" i="1" a="1"/>
  <c r="H69" i="1" s="1"/>
  <c r="G69" i="1" a="1"/>
  <c r="G69" i="1" s="1"/>
  <c r="H68" i="1" a="1"/>
  <c r="H68" i="1" s="1"/>
  <c r="H141" i="1" a="1"/>
  <c r="H141" i="1" s="1"/>
  <c r="G111" i="1" a="1"/>
  <c r="G111" i="1" s="1"/>
  <c r="H111" i="1" a="1"/>
  <c r="H111" i="1" s="1"/>
  <c r="H106" i="1" a="1"/>
  <c r="H106" i="1" s="1"/>
  <c r="G88" i="1" a="1"/>
  <c r="G88" i="1" s="1"/>
  <c r="H88" i="1" a="1"/>
  <c r="H88" i="1" s="1"/>
  <c r="H156" i="1" a="1"/>
  <c r="H156" i="1" s="1"/>
  <c r="H146" i="1" a="1"/>
  <c r="H146" i="1" s="1"/>
  <c r="G134" i="1" a="1"/>
  <c r="G134" i="1" s="1"/>
  <c r="H134" i="1" a="1"/>
  <c r="H134" i="1" s="1"/>
  <c r="H49" i="1" a="1"/>
  <c r="H49" i="1" s="1"/>
  <c r="H33" i="1" a="1"/>
  <c r="H33" i="1" s="1"/>
  <c r="H16" i="1" a="1"/>
  <c r="H16" i="1" s="1"/>
  <c r="F639" i="1" a="1"/>
  <c r="F639" i="1" s="1"/>
  <c r="F679" i="1" a="1"/>
  <c r="F679" i="1" s="1"/>
  <c r="F597" i="1" a="1"/>
  <c r="F597" i="1" s="1"/>
  <c r="F648" i="1" a="1"/>
  <c r="F648" i="1" s="1"/>
  <c r="F682" i="1" a="1"/>
  <c r="F682" i="1" s="1"/>
  <c r="F702" i="1" a="1"/>
  <c r="F702" i="1" s="1"/>
  <c r="F724" i="1" a="1"/>
  <c r="F724" i="1" s="1"/>
  <c r="F718" i="1" a="1"/>
  <c r="F718" i="1" s="1"/>
  <c r="F743" i="1" a="1"/>
  <c r="F743" i="1" s="1"/>
  <c r="F835" i="1" a="1"/>
  <c r="F835" i="1" s="1"/>
  <c r="F845" i="1" a="1"/>
  <c r="F845" i="1" s="1"/>
  <c r="G43" i="1" a="1"/>
  <c r="G43" i="1" s="1"/>
  <c r="H43" i="1" a="1"/>
  <c r="H43" i="1" s="1"/>
  <c r="E590" i="1" a="1"/>
  <c r="E590" i="1" s="1"/>
  <c r="F590" i="1" a="1"/>
  <c r="F590" i="1" s="1"/>
  <c r="E828" i="1" a="1"/>
  <c r="E828" i="1" s="1"/>
  <c r="F828" i="1" a="1"/>
  <c r="F828" i="1" s="1"/>
  <c r="F823" i="1" a="1"/>
  <c r="F823" i="1" s="1"/>
  <c r="F747" i="1" a="1"/>
  <c r="F747" i="1" s="1"/>
  <c r="F654" i="1" a="1"/>
  <c r="F654" i="1" s="1"/>
  <c r="F839" i="1" a="1"/>
  <c r="F839" i="1" s="1"/>
  <c r="E839" i="1" a="1"/>
  <c r="E839" i="1" s="1"/>
  <c r="F832" i="1" a="1"/>
  <c r="F832" i="1" s="1"/>
  <c r="F789" i="1" a="1"/>
  <c r="F789" i="1" s="1"/>
  <c r="F784" i="1" a="1"/>
  <c r="F784" i="1" s="1"/>
  <c r="F814" i="1" a="1"/>
  <c r="F814" i="1" s="1"/>
  <c r="F725" i="1" a="1"/>
  <c r="F725" i="1" s="1"/>
  <c r="F739" i="1" a="1"/>
  <c r="F739" i="1" s="1"/>
  <c r="F727" i="1" a="1"/>
  <c r="F727" i="1" s="1"/>
  <c r="F735" i="1" a="1"/>
  <c r="F735" i="1" s="1"/>
  <c r="F709" i="1" a="1"/>
  <c r="F709" i="1" s="1"/>
  <c r="F663" i="1" a="1"/>
  <c r="F663" i="1" s="1"/>
  <c r="F838" i="1" a="1"/>
  <c r="F838" i="1" s="1"/>
  <c r="F843" i="1" a="1"/>
  <c r="F843" i="1" s="1"/>
  <c r="F821" i="1" a="1"/>
  <c r="F821" i="1" s="1"/>
  <c r="F807" i="1" a="1"/>
  <c r="F807" i="1" s="1"/>
  <c r="F818" i="1" a="1"/>
  <c r="F818" i="1" s="1"/>
  <c r="F779" i="1" a="1"/>
  <c r="F779" i="1" s="1"/>
  <c r="F797" i="1" a="1"/>
  <c r="F797" i="1" s="1"/>
  <c r="F772" i="1" a="1"/>
  <c r="F772" i="1" s="1"/>
  <c r="F726" i="1" a="1"/>
  <c r="F726" i="1" s="1"/>
  <c r="F720" i="1" a="1"/>
  <c r="F720" i="1" s="1"/>
  <c r="F750" i="1" a="1"/>
  <c r="F750" i="1" s="1"/>
  <c r="F717" i="1" a="1"/>
  <c r="F717" i="1" s="1"/>
  <c r="G430" i="1" a="1"/>
  <c r="G430" i="1" s="1"/>
  <c r="H430" i="1" a="1"/>
  <c r="H430" i="1" s="1"/>
  <c r="G432" i="1" a="1"/>
  <c r="G432" i="1" s="1"/>
  <c r="H432" i="1" a="1"/>
  <c r="H432" i="1" s="1"/>
  <c r="G369" i="1" a="1"/>
  <c r="G369" i="1" s="1"/>
  <c r="H369" i="1" a="1"/>
  <c r="H369" i="1" s="1"/>
  <c r="G330" i="1" a="1"/>
  <c r="G330" i="1" s="1"/>
  <c r="H330" i="1" a="1"/>
  <c r="H330" i="1" s="1"/>
  <c r="H388" i="1" a="1"/>
  <c r="H388" i="1" s="1"/>
  <c r="G388" i="1" a="1"/>
  <c r="G388" i="1" s="1"/>
  <c r="H346" i="1" a="1"/>
  <c r="H346" i="1" s="1"/>
  <c r="G346" i="1" a="1"/>
  <c r="G346" i="1" s="1"/>
  <c r="G303" i="1" a="1"/>
  <c r="G303" i="1" s="1"/>
  <c r="H303" i="1" a="1"/>
  <c r="H303" i="1" s="1"/>
  <c r="G285" i="1" a="1"/>
  <c r="G285" i="1" s="1"/>
  <c r="H285" i="1" a="1"/>
  <c r="H285" i="1" s="1"/>
  <c r="G298" i="1" a="1"/>
  <c r="G298" i="1" s="1"/>
  <c r="H298" i="1" a="1"/>
  <c r="H298" i="1" s="1"/>
  <c r="G249" i="1" a="1"/>
  <c r="G249" i="1" s="1"/>
  <c r="H249" i="1" a="1"/>
  <c r="H249" i="1" s="1"/>
  <c r="H256" i="1" a="1"/>
  <c r="H256" i="1" s="1"/>
  <c r="G256" i="1" a="1"/>
  <c r="G256" i="1" s="1"/>
  <c r="G291" i="1" a="1"/>
  <c r="G291" i="1" s="1"/>
  <c r="H291" i="1" a="1"/>
  <c r="H291" i="1" s="1"/>
  <c r="G242" i="1" a="1"/>
  <c r="G242" i="1" s="1"/>
  <c r="H242" i="1" a="1"/>
  <c r="H242" i="1" s="1"/>
  <c r="H187" i="1" a="1"/>
  <c r="H187" i="1" s="1"/>
  <c r="G187" i="1" a="1"/>
  <c r="G187" i="1" s="1"/>
  <c r="H139" i="1" a="1"/>
  <c r="H139" i="1" s="1"/>
  <c r="G139" i="1" a="1"/>
  <c r="G139" i="1" s="1"/>
  <c r="G53" i="1" a="1"/>
  <c r="G53" i="1" s="1"/>
  <c r="H53" i="1" a="1"/>
  <c r="H53" i="1" s="1"/>
  <c r="H35" i="1" a="1"/>
  <c r="H35" i="1" s="1"/>
  <c r="G35" i="1" a="1"/>
  <c r="G35" i="1" s="1"/>
  <c r="H37" i="1" a="1"/>
  <c r="H37" i="1" s="1"/>
  <c r="G37" i="1" a="1"/>
  <c r="G37" i="1" s="1"/>
  <c r="G96" i="1" a="1"/>
  <c r="G96" i="1" s="1"/>
  <c r="H96" i="1" a="1"/>
  <c r="H96" i="1" s="1"/>
  <c r="G62" i="1" a="1"/>
  <c r="G62" i="1" s="1"/>
  <c r="H62" i="1" a="1"/>
  <c r="H62" i="1" s="1"/>
  <c r="G121" i="1" a="1"/>
  <c r="G121" i="1" s="1"/>
  <c r="H121" i="1" a="1"/>
  <c r="H121" i="1" s="1"/>
  <c r="H31" i="1" a="1"/>
  <c r="H31" i="1" s="1"/>
  <c r="G31" i="1" a="1"/>
  <c r="G31" i="1" s="1"/>
  <c r="H133" i="1" a="1"/>
  <c r="H133" i="1" s="1"/>
  <c r="H23" i="1" a="1"/>
  <c r="H23" i="1" s="1"/>
  <c r="G23" i="1" a="1"/>
  <c r="G23" i="1" s="1"/>
  <c r="F622" i="1" a="1"/>
  <c r="F622" i="1" s="1"/>
  <c r="F669" i="1" a="1"/>
  <c r="F669" i="1" s="1"/>
  <c r="F601" i="1" a="1"/>
  <c r="F601" i="1" s="1"/>
  <c r="F668" i="1" a="1"/>
  <c r="F668" i="1" s="1"/>
  <c r="F692" i="1" a="1"/>
  <c r="F692" i="1" s="1"/>
  <c r="F704" i="1" a="1"/>
  <c r="F704" i="1" s="1"/>
  <c r="F734" i="1" a="1"/>
  <c r="F734" i="1" s="1"/>
  <c r="F792" i="1" a="1"/>
  <c r="F792" i="1" s="1"/>
  <c r="F803" i="1" a="1"/>
  <c r="F803" i="1" s="1"/>
  <c r="F790" i="1" a="1"/>
  <c r="F790" i="1" s="1"/>
  <c r="F840" i="1" a="1"/>
  <c r="F840" i="1" s="1"/>
  <c r="H57" i="1" a="1"/>
  <c r="H57" i="1" s="1"/>
  <c r="H75" i="1" a="1"/>
  <c r="H75" i="1" s="1"/>
  <c r="G441" i="1" a="1"/>
  <c r="G441" i="1" s="1"/>
  <c r="H441" i="1" a="1"/>
  <c r="H441" i="1" s="1"/>
  <c r="G320" i="1" a="1"/>
  <c r="G320" i="1" s="1"/>
  <c r="H320" i="1" a="1"/>
  <c r="H320" i="1" s="1"/>
  <c r="G304" i="1" a="1"/>
  <c r="G304" i="1" s="1"/>
  <c r="H304" i="1" a="1"/>
  <c r="H304" i="1" s="1"/>
  <c r="H306" i="1" a="1"/>
  <c r="H306" i="1" s="1"/>
  <c r="G306" i="1" a="1"/>
  <c r="G306" i="1" s="1"/>
  <c r="H252" i="1" a="1"/>
  <c r="H252" i="1" s="1"/>
  <c r="G252" i="1" a="1"/>
  <c r="G252" i="1" s="1"/>
  <c r="G224" i="1" a="1"/>
  <c r="G224" i="1" s="1"/>
  <c r="H224" i="1" a="1"/>
  <c r="H224" i="1" s="1"/>
  <c r="G234" i="1" a="1"/>
  <c r="G234" i="1" s="1"/>
  <c r="H234" i="1" a="1"/>
  <c r="H234" i="1" s="1"/>
  <c r="G279" i="1" a="1"/>
  <c r="G279" i="1" s="1"/>
  <c r="H279" i="1" a="1"/>
  <c r="H279" i="1" s="1"/>
  <c r="G216" i="1" a="1"/>
  <c r="G216" i="1" s="1"/>
  <c r="H216" i="1" a="1"/>
  <c r="H216" i="1" s="1"/>
  <c r="G131" i="1" a="1"/>
  <c r="G131" i="1" s="1"/>
  <c r="H131" i="1" a="1"/>
  <c r="H131" i="1" s="1"/>
  <c r="G188" i="1" a="1"/>
  <c r="G188" i="1" s="1"/>
  <c r="H188" i="1" a="1"/>
  <c r="H188" i="1" s="1"/>
  <c r="H189" i="1" a="1"/>
  <c r="H189" i="1" s="1"/>
  <c r="G189" i="1" a="1"/>
  <c r="G189" i="1" s="1"/>
  <c r="G34" i="1" a="1"/>
  <c r="G34" i="1" s="1"/>
  <c r="H34" i="1" a="1"/>
  <c r="H34" i="1" s="1"/>
  <c r="G91" i="1" a="1"/>
  <c r="G91" i="1" s="1"/>
  <c r="H91" i="1" a="1"/>
  <c r="H91" i="1" s="1"/>
  <c r="H185" i="1" a="1"/>
  <c r="H185" i="1" s="1"/>
  <c r="H143" i="1" a="1"/>
  <c r="H143" i="1" s="1"/>
  <c r="G143" i="1" a="1"/>
  <c r="G143" i="1" s="1"/>
  <c r="H132" i="1" a="1"/>
  <c r="H132" i="1" s="1"/>
  <c r="G56" i="1" a="1"/>
  <c r="G56" i="1" s="1"/>
  <c r="H56" i="1" a="1"/>
  <c r="H56" i="1" s="1"/>
  <c r="H67" i="1" a="1"/>
  <c r="H67" i="1" s="1"/>
  <c r="H18" i="1" a="1"/>
  <c r="H18" i="1" s="1"/>
  <c r="G18" i="1" a="1"/>
  <c r="G18" i="1" s="1"/>
  <c r="F624" i="1" a="1"/>
  <c r="F624" i="1" s="1"/>
  <c r="F637" i="1" a="1"/>
  <c r="F637" i="1" s="1"/>
  <c r="F582" i="1" a="1"/>
  <c r="F582" i="1" s="1"/>
  <c r="F640" i="1" a="1"/>
  <c r="F640" i="1" s="1"/>
  <c r="F719" i="1" a="1"/>
  <c r="F719" i="1" s="1"/>
  <c r="F676" i="1" a="1"/>
  <c r="F676" i="1" s="1"/>
  <c r="F665" i="1" a="1"/>
  <c r="F665" i="1" s="1"/>
  <c r="F706" i="1" a="1"/>
  <c r="F706" i="1" s="1"/>
  <c r="F738" i="1" a="1"/>
  <c r="F738" i="1" s="1"/>
  <c r="F773" i="1" a="1"/>
  <c r="F773" i="1" s="1"/>
  <c r="F806" i="1" a="1"/>
  <c r="F806" i="1" s="1"/>
  <c r="F813" i="1" a="1"/>
  <c r="F813" i="1" s="1"/>
  <c r="H45" i="1" a="1"/>
  <c r="H45" i="1" s="1"/>
  <c r="H30" i="1" a="1"/>
  <c r="H30" i="1" s="1"/>
  <c r="G30" i="1" a="1"/>
  <c r="G30" i="1" s="1"/>
  <c r="H90" i="1" a="1"/>
  <c r="H90" i="1" s="1"/>
  <c r="G345" i="1" a="1"/>
  <c r="G345" i="1" s="1"/>
  <c r="H345" i="1" a="1"/>
  <c r="H345" i="1" s="1"/>
  <c r="F834" i="1" a="1"/>
  <c r="F834" i="1" s="1"/>
  <c r="F841" i="1" a="1"/>
  <c r="F841" i="1" s="1"/>
  <c r="F849" i="1" a="1"/>
  <c r="F849" i="1" s="1"/>
  <c r="F794" i="1" a="1"/>
  <c r="F794" i="1" s="1"/>
  <c r="F766" i="1" a="1"/>
  <c r="F766" i="1" s="1"/>
  <c r="F740" i="1" a="1"/>
  <c r="F740" i="1" s="1"/>
  <c r="F642" i="1" a="1"/>
  <c r="F642" i="1" s="1"/>
  <c r="F713" i="1" a="1"/>
  <c r="F713" i="1" s="1"/>
  <c r="F667" i="1" a="1"/>
  <c r="F667" i="1" s="1"/>
  <c r="F703" i="1" a="1"/>
  <c r="F703" i="1" s="1"/>
  <c r="F732" i="1" a="1"/>
  <c r="F732" i="1" s="1"/>
  <c r="F661" i="1" a="1"/>
  <c r="F661" i="1" s="1"/>
  <c r="F748" i="1" a="1"/>
  <c r="F748" i="1" s="1"/>
  <c r="E633" i="1" a="1"/>
  <c r="E633" i="1" s="1"/>
  <c r="F633" i="1" a="1"/>
  <c r="F633" i="1" s="1"/>
  <c r="G439" i="1" a="1"/>
  <c r="G439" i="1" s="1"/>
  <c r="H439" i="1" a="1"/>
  <c r="H439" i="1" s="1"/>
  <c r="H438" i="1" a="1"/>
  <c r="H438" i="1" s="1"/>
  <c r="G438" i="1" a="1"/>
  <c r="G438" i="1" s="1"/>
  <c r="G408" i="1" a="1"/>
  <c r="G408" i="1" s="1"/>
  <c r="H408" i="1" a="1"/>
  <c r="H408" i="1" s="1"/>
  <c r="G305" i="1" a="1"/>
  <c r="G305" i="1" s="1"/>
  <c r="H305" i="1" a="1"/>
  <c r="H305" i="1" s="1"/>
  <c r="G395" i="1" a="1"/>
  <c r="G395" i="1" s="1"/>
  <c r="H395" i="1" a="1"/>
  <c r="H395" i="1" s="1"/>
  <c r="H386" i="1" a="1"/>
  <c r="H386" i="1" s="1"/>
  <c r="G386" i="1" a="1"/>
  <c r="G386" i="1" s="1"/>
  <c r="H382" i="1" a="1"/>
  <c r="H382" i="1" s="1"/>
  <c r="G382" i="1" a="1"/>
  <c r="G382" i="1" s="1"/>
  <c r="G355" i="1" a="1"/>
  <c r="G355" i="1" s="1"/>
  <c r="H355" i="1" a="1"/>
  <c r="H355" i="1" s="1"/>
  <c r="G379" i="1" a="1"/>
  <c r="G379" i="1" s="1"/>
  <c r="H379" i="1" a="1"/>
  <c r="H379" i="1" s="1"/>
  <c r="G365" i="1" a="1"/>
  <c r="G365" i="1" s="1"/>
  <c r="H365" i="1" a="1"/>
  <c r="H365" i="1" s="1"/>
  <c r="G313" i="1" a="1"/>
  <c r="G313" i="1" s="1"/>
  <c r="H313" i="1" a="1"/>
  <c r="H313" i="1" s="1"/>
  <c r="G321" i="1" a="1"/>
  <c r="G321" i="1" s="1"/>
  <c r="H321" i="1" a="1"/>
  <c r="H321" i="1" s="1"/>
  <c r="H300" i="1" a="1"/>
  <c r="H300" i="1" s="1"/>
  <c r="G300" i="1" a="1"/>
  <c r="G300" i="1" s="1"/>
  <c r="H314" i="1" a="1"/>
  <c r="H314" i="1" s="1"/>
  <c r="G314" i="1" a="1"/>
  <c r="G314" i="1" s="1"/>
  <c r="G277" i="1" a="1"/>
  <c r="G277" i="1" s="1"/>
  <c r="H277" i="1" a="1"/>
  <c r="H277" i="1" s="1"/>
  <c r="H262" i="1" a="1"/>
  <c r="H262" i="1" s="1"/>
  <c r="G262" i="1" a="1"/>
  <c r="G262" i="1" s="1"/>
  <c r="H270" i="1" a="1"/>
  <c r="H270" i="1" s="1"/>
  <c r="G270" i="1" a="1"/>
  <c r="G270" i="1" s="1"/>
  <c r="G222" i="1" a="1"/>
  <c r="G222" i="1" s="1"/>
  <c r="H222" i="1" a="1"/>
  <c r="H222" i="1" s="1"/>
  <c r="G168" i="1" a="1"/>
  <c r="G168" i="1" s="1"/>
  <c r="H168" i="1" a="1"/>
  <c r="H168" i="1" s="1"/>
  <c r="G147" i="1" a="1"/>
  <c r="G147" i="1" s="1"/>
  <c r="H147" i="1" a="1"/>
  <c r="H147" i="1" s="1"/>
  <c r="H205" i="1" a="1"/>
  <c r="H205" i="1" s="1"/>
  <c r="G205" i="1" a="1"/>
  <c r="G205" i="1" s="1"/>
  <c r="G108" i="1" a="1"/>
  <c r="G108" i="1" s="1"/>
  <c r="H108" i="1" a="1"/>
  <c r="H108" i="1" s="1"/>
  <c r="G102" i="1" a="1"/>
  <c r="G102" i="1" s="1"/>
  <c r="H102" i="1" a="1"/>
  <c r="H102" i="1" s="1"/>
  <c r="G80" i="1" a="1"/>
  <c r="G80" i="1" s="1"/>
  <c r="H80" i="1" a="1"/>
  <c r="H80" i="1" s="1"/>
  <c r="G104" i="1" a="1"/>
  <c r="G104" i="1" s="1"/>
  <c r="H104" i="1" a="1"/>
  <c r="H104" i="1" s="1"/>
  <c r="H93" i="1" a="1"/>
  <c r="H93" i="1" s="1"/>
  <c r="G93" i="1" a="1"/>
  <c r="G93" i="1" s="1"/>
  <c r="G66" i="1" a="1"/>
  <c r="G66" i="1" s="1"/>
  <c r="H66" i="1" a="1"/>
  <c r="H66" i="1" s="1"/>
  <c r="H127" i="1" a="1"/>
  <c r="H127" i="1" s="1"/>
  <c r="G127" i="1" a="1"/>
  <c r="G127" i="1" s="1"/>
  <c r="H61" i="1" a="1"/>
  <c r="H61" i="1" s="1"/>
  <c r="G61" i="1" a="1"/>
  <c r="G61" i="1" s="1"/>
  <c r="G99" i="1" a="1"/>
  <c r="G99" i="1" s="1"/>
  <c r="H99" i="1" a="1"/>
  <c r="H99" i="1" s="1"/>
  <c r="H180" i="1" a="1"/>
  <c r="H180" i="1" s="1"/>
  <c r="G46" i="1" a="1"/>
  <c r="G46" i="1" s="1"/>
  <c r="H46" i="1" a="1"/>
  <c r="H46" i="1" s="1"/>
  <c r="H103" i="1" a="1"/>
  <c r="H103" i="1" s="1"/>
  <c r="H42" i="1" a="1"/>
  <c r="H42" i="1" s="1"/>
  <c r="H115" i="1" a="1"/>
  <c r="H115" i="1" s="1"/>
  <c r="H14" i="1" a="1"/>
  <c r="H14" i="1" s="1"/>
  <c r="G14" i="1" a="1"/>
  <c r="G14" i="1" s="1"/>
  <c r="F652" i="1" a="1"/>
  <c r="F652" i="1" s="1"/>
  <c r="F782" i="1" a="1"/>
  <c r="F782" i="1" s="1"/>
  <c r="F644" i="1" a="1"/>
  <c r="F644" i="1" s="1"/>
  <c r="F786" i="1" a="1"/>
  <c r="F786" i="1" s="1"/>
  <c r="F616" i="1" a="1"/>
  <c r="F616" i="1" s="1"/>
  <c r="F684" i="1" a="1"/>
  <c r="F684" i="1" s="1"/>
  <c r="F673" i="1" a="1"/>
  <c r="F673" i="1" s="1"/>
  <c r="F708" i="1" a="1"/>
  <c r="F708" i="1" s="1"/>
  <c r="F742" i="1" a="1"/>
  <c r="F742" i="1" s="1"/>
  <c r="F752" i="1" a="1"/>
  <c r="F752" i="1" s="1"/>
  <c r="F770" i="1" a="1"/>
  <c r="F770" i="1" s="1"/>
  <c r="F791" i="1" a="1"/>
  <c r="F791" i="1" s="1"/>
  <c r="H98" i="1" a="1"/>
  <c r="H98" i="1" s="1"/>
  <c r="H73" i="1" a="1"/>
  <c r="H73" i="1" s="1"/>
  <c r="F842" i="1" a="1"/>
  <c r="F842" i="1" s="1"/>
  <c r="F785" i="1" a="1"/>
  <c r="F785" i="1" s="1"/>
  <c r="F731" i="1" a="1"/>
  <c r="F731" i="1" s="1"/>
  <c r="G436" i="1" a="1"/>
  <c r="G436" i="1" s="1"/>
  <c r="H436" i="1" a="1"/>
  <c r="H436" i="1" s="1"/>
  <c r="H434" i="1" a="1"/>
  <c r="H434" i="1" s="1"/>
  <c r="G434" i="1" a="1"/>
  <c r="G434" i="1" s="1"/>
  <c r="H403" i="1" a="1"/>
  <c r="H403" i="1" s="1"/>
  <c r="G403" i="1" a="1"/>
  <c r="G403" i="1" s="1"/>
  <c r="H399" i="1" a="1"/>
  <c r="H399" i="1" s="1"/>
  <c r="G399" i="1" a="1"/>
  <c r="G399" i="1" s="1"/>
  <c r="H378" i="1" a="1"/>
  <c r="H378" i="1" s="1"/>
  <c r="G378" i="1" a="1"/>
  <c r="G378" i="1" s="1"/>
  <c r="H364" i="1" a="1"/>
  <c r="H364" i="1" s="1"/>
  <c r="G364" i="1" a="1"/>
  <c r="G364" i="1" s="1"/>
  <c r="G351" i="1" a="1"/>
  <c r="G351" i="1" s="1"/>
  <c r="H351" i="1" a="1"/>
  <c r="H351" i="1" s="1"/>
  <c r="G389" i="1" a="1"/>
  <c r="G389" i="1" s="1"/>
  <c r="H389" i="1" a="1"/>
  <c r="H389" i="1" s="1"/>
  <c r="G333" i="1" a="1"/>
  <c r="G333" i="1" s="1"/>
  <c r="H333" i="1" a="1"/>
  <c r="H333" i="1" s="1"/>
  <c r="G269" i="1" a="1"/>
  <c r="G269" i="1" s="1"/>
  <c r="H269" i="1" a="1"/>
  <c r="H269" i="1" s="1"/>
  <c r="G265" i="1" a="1"/>
  <c r="G265" i="1" s="1"/>
  <c r="H265" i="1" a="1"/>
  <c r="H265" i="1" s="1"/>
  <c r="H288" i="1" a="1"/>
  <c r="H288" i="1" s="1"/>
  <c r="G288" i="1" a="1"/>
  <c r="G288" i="1" s="1"/>
  <c r="G218" i="1" a="1"/>
  <c r="G218" i="1" s="1"/>
  <c r="H218" i="1" a="1"/>
  <c r="H218" i="1" s="1"/>
  <c r="G239" i="1" a="1"/>
  <c r="G239" i="1" s="1"/>
  <c r="H239" i="1" a="1"/>
  <c r="H239" i="1" s="1"/>
  <c r="G268" i="1" a="1"/>
  <c r="G268" i="1" s="1"/>
  <c r="H268" i="1" a="1"/>
  <c r="H268" i="1" s="1"/>
  <c r="G204" i="1" a="1"/>
  <c r="G204" i="1" s="1"/>
  <c r="H204" i="1" a="1"/>
  <c r="H204" i="1" s="1"/>
  <c r="H191" i="1" a="1"/>
  <c r="H191" i="1" s="1"/>
  <c r="G191" i="1" a="1"/>
  <c r="G191" i="1" s="1"/>
  <c r="G244" i="1" a="1"/>
  <c r="G244" i="1" s="1"/>
  <c r="H244" i="1" a="1"/>
  <c r="H244" i="1" s="1"/>
  <c r="H173" i="1" a="1"/>
  <c r="H173" i="1" s="1"/>
  <c r="G173" i="1" a="1"/>
  <c r="G173" i="1" s="1"/>
  <c r="G186" i="1" a="1"/>
  <c r="G186" i="1" s="1"/>
  <c r="H186" i="1" a="1"/>
  <c r="H186" i="1" s="1"/>
  <c r="G172" i="1" a="1"/>
  <c r="G172" i="1" s="1"/>
  <c r="H172" i="1" a="1"/>
  <c r="H172" i="1" s="1"/>
  <c r="G152" i="1" a="1"/>
  <c r="G152" i="1" s="1"/>
  <c r="H152" i="1" a="1"/>
  <c r="H152" i="1" s="1"/>
  <c r="H157" i="1" a="1"/>
  <c r="H157" i="1" s="1"/>
  <c r="G157" i="1" a="1"/>
  <c r="G157" i="1" s="1"/>
  <c r="G202" i="1" a="1"/>
  <c r="G202" i="1" s="1"/>
  <c r="H202" i="1" a="1"/>
  <c r="H202" i="1" s="1"/>
  <c r="G94" i="1" a="1"/>
  <c r="G94" i="1" s="1"/>
  <c r="H94" i="1" a="1"/>
  <c r="H94" i="1" s="1"/>
  <c r="H119" i="1" a="1"/>
  <c r="H119" i="1" s="1"/>
  <c r="G119" i="1" a="1"/>
  <c r="G119" i="1" s="1"/>
  <c r="G72" i="1" a="1"/>
  <c r="G72" i="1" s="1"/>
  <c r="H72" i="1" a="1"/>
  <c r="H72" i="1" s="1"/>
  <c r="G70" i="1" a="1"/>
  <c r="G70" i="1" s="1"/>
  <c r="H70" i="1" a="1"/>
  <c r="H70" i="1" s="1"/>
  <c r="H155" i="1" a="1"/>
  <c r="H155" i="1" s="1"/>
  <c r="G155" i="1" a="1"/>
  <c r="G155" i="1" s="1"/>
  <c r="H32" i="1" a="1"/>
  <c r="H32" i="1" s="1"/>
  <c r="G144" i="1" a="1"/>
  <c r="G144" i="1" s="1"/>
  <c r="H144" i="1" a="1"/>
  <c r="H144" i="1" s="1"/>
  <c r="H135" i="1" a="1"/>
  <c r="H135" i="1" s="1"/>
  <c r="H118" i="1" a="1"/>
  <c r="H118" i="1" s="1"/>
  <c r="H11" i="1" a="1"/>
  <c r="H11" i="1" s="1"/>
  <c r="H52" i="1" a="1"/>
  <c r="H52" i="1" s="1"/>
  <c r="H24" i="1" a="1"/>
  <c r="H24" i="1" s="1"/>
  <c r="H74" i="1" a="1"/>
  <c r="H74" i="1" s="1"/>
  <c r="H12" i="1" a="1"/>
  <c r="H12" i="1" s="1"/>
  <c r="F598" i="1" a="1"/>
  <c r="F598" i="1" s="1"/>
  <c r="F638" i="1" a="1"/>
  <c r="F638" i="1" s="1"/>
  <c r="F680" i="1" a="1"/>
  <c r="F680" i="1" s="1"/>
  <c r="F664" i="1" a="1"/>
  <c r="F664" i="1" s="1"/>
  <c r="F649" i="1" a="1"/>
  <c r="F649" i="1" s="1"/>
  <c r="F662" i="1" a="1"/>
  <c r="F662" i="1" s="1"/>
  <c r="F687" i="1" a="1"/>
  <c r="F687" i="1" s="1"/>
  <c r="F681" i="1" a="1"/>
  <c r="F681" i="1" s="1"/>
  <c r="F710" i="1" a="1"/>
  <c r="F710" i="1" s="1"/>
  <c r="F765" i="1" a="1"/>
  <c r="F765" i="1" s="1"/>
  <c r="F767" i="1" a="1"/>
  <c r="F767" i="1" s="1"/>
  <c r="F798" i="1" a="1"/>
  <c r="F798" i="1" s="1"/>
  <c r="F844" i="1" a="1"/>
  <c r="F844" i="1" s="1"/>
  <c r="H362" i="1" a="1"/>
  <c r="H362" i="1" s="1"/>
  <c r="G362" i="1" a="1"/>
  <c r="G362" i="1" s="1"/>
  <c r="F816" i="1" a="1"/>
  <c r="F816" i="1" s="1"/>
  <c r="F780" i="1" a="1"/>
  <c r="F780" i="1" s="1"/>
  <c r="F707" i="1" a="1"/>
  <c r="F707" i="1" s="1"/>
  <c r="F697" i="1" a="1"/>
  <c r="F697" i="1" s="1"/>
  <c r="F826" i="1" a="1"/>
  <c r="F826" i="1" s="1"/>
  <c r="F831" i="1" a="1"/>
  <c r="F831" i="1" s="1"/>
  <c r="F811" i="1" a="1"/>
  <c r="F811" i="1" s="1"/>
  <c r="F805" i="1" a="1"/>
  <c r="F805" i="1" s="1"/>
  <c r="F815" i="1" a="1"/>
  <c r="F815" i="1" s="1"/>
  <c r="F768" i="1" a="1"/>
  <c r="F768" i="1" s="1"/>
  <c r="F775" i="1" a="1"/>
  <c r="F775" i="1" s="1"/>
  <c r="F778" i="1" a="1"/>
  <c r="F778" i="1" s="1"/>
  <c r="F804" i="1" a="1"/>
  <c r="F804" i="1" s="1"/>
  <c r="F762" i="1" a="1"/>
  <c r="F762" i="1" s="1"/>
  <c r="F774" i="1" a="1"/>
  <c r="F774" i="1" s="1"/>
  <c r="F701" i="1" a="1"/>
  <c r="F701" i="1" s="1"/>
  <c r="F615" i="1" a="1"/>
  <c r="F615" i="1" s="1"/>
  <c r="F693" i="1" a="1"/>
  <c r="F693" i="1" s="1"/>
  <c r="F623" i="1" a="1"/>
  <c r="F623" i="1" s="1"/>
  <c r="F631" i="1" a="1"/>
  <c r="F631" i="1" s="1"/>
  <c r="F594" i="1" a="1"/>
  <c r="F594" i="1" s="1"/>
  <c r="F608" i="1" a="1"/>
  <c r="F608" i="1" s="1"/>
  <c r="E608" i="1" a="1"/>
  <c r="E608" i="1" s="1"/>
  <c r="G442" i="1" a="1"/>
  <c r="G442" i="1" s="1"/>
  <c r="H442" i="1" a="1"/>
  <c r="H442" i="1" s="1"/>
  <c r="G426" i="1" a="1"/>
  <c r="G426" i="1" s="1"/>
  <c r="H426" i="1" a="1"/>
  <c r="H426" i="1" s="1"/>
  <c r="G422" i="1" a="1"/>
  <c r="G422" i="1" s="1"/>
  <c r="H422" i="1" a="1"/>
  <c r="H422" i="1" s="1"/>
  <c r="H417" i="1" a="1"/>
  <c r="H417" i="1" s="1"/>
  <c r="G417" i="1" a="1"/>
  <c r="G417" i="1" s="1"/>
  <c r="G337" i="1" a="1"/>
  <c r="G337" i="1" s="1"/>
  <c r="H337" i="1" a="1"/>
  <c r="H337" i="1" s="1"/>
  <c r="G367" i="1" a="1"/>
  <c r="G367" i="1" s="1"/>
  <c r="H367" i="1" a="1"/>
  <c r="H367" i="1" s="1"/>
  <c r="H334" i="1" a="1"/>
  <c r="H334" i="1" s="1"/>
  <c r="G334" i="1" a="1"/>
  <c r="G334" i="1" s="1"/>
  <c r="G329" i="1" a="1"/>
  <c r="G329" i="1" s="1"/>
  <c r="H329" i="1" a="1"/>
  <c r="H329" i="1" s="1"/>
  <c r="G335" i="1" a="1"/>
  <c r="G335" i="1" s="1"/>
  <c r="H335" i="1" a="1"/>
  <c r="H335" i="1" s="1"/>
  <c r="G350" i="1" a="1"/>
  <c r="G350" i="1" s="1"/>
  <c r="H350" i="1" a="1"/>
  <c r="H350" i="1" s="1"/>
  <c r="H294" i="1" a="1"/>
  <c r="H294" i="1" s="1"/>
  <c r="G294" i="1" a="1"/>
  <c r="G294" i="1" s="1"/>
  <c r="H286" i="1" a="1"/>
  <c r="H286" i="1" s="1"/>
  <c r="G286" i="1" a="1"/>
  <c r="G286" i="1" s="1"/>
  <c r="G318" i="1" a="1"/>
  <c r="G318" i="1" s="1"/>
  <c r="H318" i="1" a="1"/>
  <c r="H318" i="1" s="1"/>
  <c r="G241" i="1" a="1"/>
  <c r="G241" i="1" s="1"/>
  <c r="H241" i="1" a="1"/>
  <c r="H241" i="1" s="1"/>
  <c r="H248" i="1" a="1"/>
  <c r="H248" i="1" s="1"/>
  <c r="G248" i="1" a="1"/>
  <c r="G248" i="1" s="1"/>
  <c r="H225" i="1" a="1"/>
  <c r="H225" i="1" s="1"/>
  <c r="G225" i="1" a="1"/>
  <c r="G225" i="1" s="1"/>
  <c r="G266" i="1" a="1"/>
  <c r="G266" i="1" s="1"/>
  <c r="H266" i="1" a="1"/>
  <c r="H266" i="1" s="1"/>
  <c r="G223" i="1" a="1"/>
  <c r="G223" i="1" s="1"/>
  <c r="H223" i="1" a="1"/>
  <c r="H223" i="1" s="1"/>
  <c r="G184" i="1" a="1"/>
  <c r="G184" i="1" s="1"/>
  <c r="H184" i="1" a="1"/>
  <c r="H184" i="1" s="1"/>
  <c r="G120" i="1" a="1"/>
  <c r="G120" i="1" s="1"/>
  <c r="H120" i="1" a="1"/>
  <c r="H120" i="1" s="1"/>
  <c r="G86" i="1" a="1"/>
  <c r="G86" i="1" s="1"/>
  <c r="H86" i="1" a="1"/>
  <c r="H86" i="1" s="1"/>
  <c r="G48" i="1" a="1"/>
  <c r="G48" i="1" s="1"/>
  <c r="H48" i="1" a="1"/>
  <c r="H48" i="1" s="1"/>
  <c r="G28" i="1" a="1"/>
  <c r="G28" i="1" s="1"/>
  <c r="H28" i="1" a="1"/>
  <c r="H28" i="1" s="1"/>
  <c r="H107" i="1" a="1"/>
  <c r="H107" i="1" s="1"/>
  <c r="G107" i="1" a="1"/>
  <c r="G107" i="1" s="1"/>
  <c r="G29" i="1" a="1"/>
  <c r="G29" i="1" s="1"/>
  <c r="H29" i="1" a="1"/>
  <c r="H29" i="1" s="1"/>
  <c r="G128" i="1" a="1"/>
  <c r="G128" i="1" s="1"/>
  <c r="H128" i="1" a="1"/>
  <c r="H128" i="1" s="1"/>
  <c r="G78" i="1" a="1"/>
  <c r="G78" i="1" s="1"/>
  <c r="H78" i="1" a="1"/>
  <c r="H78" i="1" s="1"/>
  <c r="H27" i="1" a="1"/>
  <c r="H27" i="1" s="1"/>
  <c r="G64" i="1" a="1"/>
  <c r="G64" i="1" s="1"/>
  <c r="H64" i="1" a="1"/>
  <c r="H64" i="1" s="1"/>
  <c r="G54" i="1" a="1"/>
  <c r="G54" i="1" s="1"/>
  <c r="H54" i="1" a="1"/>
  <c r="H54" i="1" s="1"/>
  <c r="H17" i="1" a="1"/>
  <c r="H17" i="1" s="1"/>
  <c r="G17" i="1" a="1"/>
  <c r="G17" i="1" s="1"/>
  <c r="H166" i="1" a="1"/>
  <c r="H166" i="1" s="1"/>
  <c r="G109" i="1" a="1"/>
  <c r="G109" i="1" s="1"/>
  <c r="H109" i="1" a="1"/>
  <c r="H109" i="1" s="1"/>
  <c r="H39" i="1" a="1"/>
  <c r="H39" i="1" s="1"/>
  <c r="H22" i="1" a="1"/>
  <c r="H22" i="1" s="1"/>
  <c r="G22" i="1" a="1"/>
  <c r="G22" i="1" s="1"/>
  <c r="H105" i="1" a="1"/>
  <c r="H105" i="1" s="1"/>
  <c r="G9" i="1" a="1"/>
  <c r="G9" i="1" s="1"/>
  <c r="H9" i="1" a="1"/>
  <c r="H9" i="1" s="1"/>
  <c r="H26" i="1" a="1"/>
  <c r="H26" i="1" s="1"/>
  <c r="G26" i="1" a="1"/>
  <c r="G26" i="1" s="1"/>
  <c r="F721" i="1" a="1"/>
  <c r="F721" i="1" s="1"/>
  <c r="F596" i="1" a="1"/>
  <c r="F596" i="1" s="1"/>
  <c r="F672" i="1" a="1"/>
  <c r="F672" i="1" s="1"/>
  <c r="F686" i="1" a="1"/>
  <c r="F686" i="1" s="1"/>
  <c r="F685" i="1" a="1"/>
  <c r="F685" i="1" s="1"/>
  <c r="F722" i="1" a="1"/>
  <c r="F722" i="1" s="1"/>
  <c r="F670" i="1" a="1"/>
  <c r="F670" i="1" s="1"/>
  <c r="F695" i="1" a="1"/>
  <c r="F695" i="1" s="1"/>
  <c r="F696" i="1" a="1"/>
  <c r="F696" i="1" s="1"/>
  <c r="F712" i="1" a="1"/>
  <c r="F712" i="1" s="1"/>
  <c r="F759" i="1" a="1"/>
  <c r="F759" i="1" s="1"/>
  <c r="F819" i="1" a="1"/>
  <c r="F819" i="1" s="1"/>
  <c r="F801" i="1" a="1"/>
  <c r="F801" i="1" s="1"/>
  <c r="F817" i="1" a="1"/>
  <c r="F817" i="1" s="1"/>
  <c r="G36" i="1" a="1"/>
  <c r="G36" i="1" s="1"/>
  <c r="H36" i="1" a="1"/>
  <c r="H36" i="1" s="1"/>
  <c r="H19" i="1" a="1"/>
  <c r="H19" i="1" s="1"/>
</calcChain>
</file>

<file path=xl/comments1.xml><?xml version="1.0" encoding="utf-8"?>
<comments xmlns="http://schemas.openxmlformats.org/spreadsheetml/2006/main">
  <authors>
    <author/>
  </authors>
  <commentList>
    <comment ref="O3" authorId="0">
      <text>
        <r>
          <rPr>
            <sz val="10"/>
            <color rgb="FF000000"/>
            <rFont val="Arial"/>
          </rPr>
          <t>Changing the "Defending Species Type(s)" will update the offense values/rankings accordingly.  Leave blank if no type is to be considered.</t>
        </r>
      </text>
    </comment>
    <comment ref="A5" authorId="0">
      <text>
        <r>
          <rPr>
            <sz val="10"/>
            <color rgb="FF000000"/>
            <rFont val="Arial"/>
          </rPr>
          <t xml:space="preserve">Used to circumvent the fact that Google sheets does not support referencing name ranges or other sheets in conditional formatting. </t>
        </r>
      </text>
    </comment>
    <comment ref="B5" authorId="0">
      <text>
        <r>
          <rPr>
            <sz val="10"/>
            <color rgb="FF000000"/>
            <rFont val="Arial"/>
          </rPr>
          <t>Combination number used for organization. First number is the species pokedex number, seconds is the quick move number and third is the charge move number.</t>
        </r>
      </text>
    </comment>
    <comment ref="C5" authorId="0">
      <text>
        <r>
          <rPr>
            <sz val="10"/>
            <color rgb="FF000000"/>
            <rFont val="Arial"/>
          </rPr>
          <t>Ranking of a moveset's "Gym Offense" compared to all other movesets for the same species.</t>
        </r>
      </text>
    </comment>
    <comment ref="D5" authorId="0">
      <text>
        <r>
          <rPr>
            <sz val="10"/>
            <color rgb="FF000000"/>
            <rFont val="Arial"/>
          </rPr>
          <t>Moveset's percent of maximum species "Gym Offense" moveset value.</t>
        </r>
      </text>
    </comment>
    <comment ref="E5" authorId="0">
      <text>
        <r>
          <rPr>
            <sz val="10"/>
            <color rgb="FF000000"/>
            <rFont val="Arial"/>
          </rPr>
          <t>Ranking of a moveset's "Gym Defense" compared to all other movesets for the same species.</t>
        </r>
      </text>
    </comment>
    <comment ref="F5" authorId="0">
      <text>
        <r>
          <rPr>
            <sz val="10"/>
            <color rgb="FF000000"/>
            <rFont val="Arial"/>
          </rPr>
          <t>Moveset's percent of maximum species "Gym Defense" moveset value.</t>
        </r>
      </text>
    </comment>
    <comment ref="G5" authorId="0">
      <text>
        <r>
          <rPr>
            <sz val="10"/>
            <color rgb="FF000000"/>
            <rFont val="Arial"/>
          </rPr>
          <t>Ranking of a combination's "Duel Ability" compared to all other fully evolved and available combinations.</t>
        </r>
      </text>
    </comment>
    <comment ref="H5" authorId="0">
      <text>
        <r>
          <rPr>
            <sz val="10"/>
            <color rgb="FF000000"/>
            <rFont val="Arial"/>
          </rPr>
          <t>Combination's percent of maximum combination "Duel Ability" value for all fully evolved and available combinations.</t>
        </r>
      </text>
    </comment>
    <comment ref="I5" authorId="0">
      <text>
        <r>
          <rPr>
            <sz val="10"/>
            <color rgb="FF000000"/>
            <rFont val="Arial"/>
          </rPr>
          <t>Ranking of a combination's "Gym Offense" compared to all other fully evolved and available combinations.</t>
        </r>
      </text>
    </comment>
    <comment ref="J5" authorId="0">
      <text>
        <r>
          <rPr>
            <sz val="10"/>
            <color rgb="FF000000"/>
            <rFont val="Arial"/>
          </rPr>
          <t>Combination's percent of maximum combination "Gym Offense" value for all fully evolved and available combinations.</t>
        </r>
      </text>
    </comment>
    <comment ref="K5" authorId="0">
      <text>
        <r>
          <rPr>
            <sz val="10"/>
            <color rgb="FF000000"/>
            <rFont val="Arial"/>
          </rPr>
          <t>Ranking of a combination's "Gym Defense" compared to all other fully evolved and available combinations.</t>
        </r>
      </text>
    </comment>
    <comment ref="L5" authorId="0">
      <text>
        <r>
          <rPr>
            <sz val="10"/>
            <color rgb="FF000000"/>
            <rFont val="Arial"/>
          </rPr>
          <t>Combination's percent of maximum combination "Gym Defense" value for all fully evolved and available combinations.</t>
        </r>
      </text>
    </comment>
    <comment ref="Q5" authorId="0">
      <text>
        <r>
          <rPr>
            <sz val="10"/>
            <color rgb="FF000000"/>
            <rFont val="Arial"/>
          </rPr>
          <t>Battle strategy denotes whether you should weave attacks or only use the quick attack after taking into consideration damage totals and human error.</t>
        </r>
      </text>
    </comment>
    <comment ref="R5" authorId="0">
      <text>
        <r>
          <rPr>
            <sz val="10"/>
            <color rgb="FF000000"/>
            <rFont val="Arial"/>
          </rPr>
          <t>"Duel Ability" is (Tankiness * Gym Offense)/225. This is a reasonable measure if you don't often/ever dodge, as then you can only attack for as long as you  can stay positive on HP.</t>
        </r>
      </text>
    </comment>
    <comment ref="S5" authorId="0">
      <text>
        <r>
          <rPr>
            <sz val="10"/>
            <color rgb="FF000000"/>
            <rFont val="Arial"/>
          </rPr>
          <t>"Gym Offense" is (ODPS * Attack)/11.  This is representative of 
raw damage output when attacking a gym.</t>
        </r>
      </text>
    </comment>
    <comment ref="T5" authorId="0">
      <text>
        <r>
          <rPr>
            <sz val="10"/>
            <color rgb="FF000000"/>
            <rFont val="Arial"/>
          </rPr>
          <t>ODPS is the best possible damage output per second while attacking a gym.</t>
        </r>
      </text>
    </comment>
    <comment ref="U5" authorId="0">
      <text>
        <r>
          <rPr>
            <sz val="10"/>
            <color rgb="FF000000"/>
            <rFont val="Arial"/>
          </rPr>
          <t>This is the total quick move damage multiplier after considering STAB and type multipliers.</t>
        </r>
      </text>
    </comment>
    <comment ref="V5" authorId="0">
      <text>
        <r>
          <rPr>
            <sz val="10"/>
            <color rgb="FF000000"/>
            <rFont val="Arial"/>
          </rPr>
          <t>This is the total charge move damage multiplier after considering STAB and type multipliers.</t>
        </r>
      </text>
    </comment>
    <comment ref="W5" authorId="0">
      <text>
        <r>
          <rPr>
            <sz val="10"/>
            <color rgb="FF000000"/>
            <rFont val="Arial"/>
          </rPr>
          <t>No Weave ODPS is determined by figuring out the total damage achieved by doing nothing but spamming the basic attack over the entire battle then dividing by the length of the battle in seconds.</t>
        </r>
      </text>
    </comment>
    <comment ref="X5" authorId="0">
      <text>
        <r>
          <rPr>
            <sz val="10"/>
            <color rgb="FF000000"/>
            <rFont val="Arial"/>
          </rPr>
          <t>Weave ODPS is determined by figuring out the total damage achieved by perfectly weaving charge moves in once enough energy is built up with the quick move over the entire battle then dividing by the length of the battle in seconds.</t>
        </r>
      </text>
    </comment>
    <comment ref="Y5" authorId="0">
      <text>
        <r>
          <rPr>
            <sz val="10"/>
            <color rgb="FF000000"/>
            <rFont val="Arial"/>
          </rPr>
          <t>"Gym Defense" is (DDPS * Attack * Tankiness)/1,000.  This is representative of 
damage output when defending a gym.</t>
        </r>
      </text>
    </comment>
    <comment ref="Z5" authorId="0">
      <text>
        <r>
          <rPr>
            <sz val="10"/>
            <color rgb="FF000000"/>
            <rFont val="Arial"/>
          </rPr>
          <t>DDPS is an approximation of damage output per second while defending a gym.</t>
        </r>
      </text>
    </comment>
  </commentList>
</comments>
</file>

<file path=xl/comments2.xml><?xml version="1.0" encoding="utf-8"?>
<comments xmlns="http://schemas.openxmlformats.org/spreadsheetml/2006/main">
  <authors>
    <author/>
  </authors>
  <commentList>
    <comment ref="K3" authorId="0">
      <text>
        <r>
          <rPr>
            <sz val="10"/>
            <color rgb="FF000000"/>
            <rFont val="Arial"/>
          </rPr>
          <t>Changing the species level will update the "Min IV CP" and "Max IV CP" accordingly.</t>
        </r>
      </text>
    </comment>
    <comment ref="A4" authorId="0">
      <text>
        <r>
          <rPr>
            <sz val="10"/>
            <color rgb="FF000000"/>
            <rFont val="Arial"/>
          </rPr>
          <t xml:space="preserve">Used to circumvent the fact that Google sheets does not support referencing name ranges or other sheets in conditional formatting. </t>
        </r>
      </text>
    </comment>
    <comment ref="D4" authorId="0">
      <text>
        <r>
          <rPr>
            <sz val="10"/>
            <color rgb="FF000000"/>
            <rFont val="Arial"/>
          </rPr>
          <t>Evolution Number is used to remove species' that are not fully evolved from the "Overall Rankings"</t>
        </r>
      </text>
    </comment>
    <comment ref="E4" authorId="0">
      <text>
        <r>
          <rPr>
            <sz val="10"/>
            <color rgb="FF000000"/>
            <rFont val="Arial"/>
          </rPr>
          <t>Availability is used to remove species not currently available from the "Overall Rankings"</t>
        </r>
      </text>
    </comment>
    <comment ref="K4" authorId="0">
      <text>
        <r>
          <rPr>
            <sz val="10"/>
            <color rgb="FF000000"/>
            <rFont val="Arial"/>
          </rPr>
          <t>Tankiness is (Stamina * Defense)/200. An approximation of a species' relative ability to soak damage compared to other species.</t>
        </r>
      </text>
    </comment>
    <comment ref="L4" authorId="0">
      <text>
        <r>
          <rPr>
            <sz val="10"/>
            <color rgb="FF000000"/>
            <rFont val="Arial"/>
          </rPr>
          <t>This is the maximum species CP for the level selected if all IV scores are 0.</t>
        </r>
      </text>
    </comment>
    <comment ref="M4" authorId="0">
      <text>
        <r>
          <rPr>
            <sz val="10"/>
            <color rgb="FF000000"/>
            <rFont val="Arial"/>
          </rPr>
          <t>This is the maximum species CP for the level selected if all IV scores are maxed out.</t>
        </r>
      </text>
    </comment>
  </commentList>
</comments>
</file>

<file path=xl/comments3.xml><?xml version="1.0" encoding="utf-8"?>
<comments xmlns="http://schemas.openxmlformats.org/spreadsheetml/2006/main">
  <authors>
    <author/>
  </authors>
  <commentList>
    <comment ref="A3" authorId="0">
      <text>
        <r>
          <rPr>
            <sz val="10"/>
            <color rgb="FF000000"/>
            <rFont val="Arial"/>
          </rPr>
          <t xml:space="preserve">Used to circumvent the fact that Google sheets does not support referencing name ranges or other sheets in conditional formatting. </t>
        </r>
      </text>
    </comment>
    <comment ref="B3" authorId="0">
      <text>
        <r>
          <rPr>
            <sz val="10"/>
            <color rgb="FF000000"/>
            <rFont val="Arial"/>
          </rPr>
          <t>The quick move number is used for sorting purposes.</t>
        </r>
      </text>
    </comment>
    <comment ref="D3" authorId="0">
      <text>
        <r>
          <rPr>
            <sz val="10"/>
            <color rgb="FF000000"/>
            <rFont val="Arial"/>
          </rPr>
          <t>The type of the move is used for determining what damage multipliers will apply.</t>
        </r>
      </text>
    </comment>
    <comment ref="E3" authorId="0">
      <text>
        <r>
          <rPr>
            <sz val="10"/>
            <color rgb="FF000000"/>
            <rFont val="Arial"/>
          </rPr>
          <t>This is the base power number shown in-game.</t>
        </r>
      </text>
    </comment>
    <comment ref="F3" authorId="0">
      <text>
        <r>
          <rPr>
            <sz val="10"/>
            <color rgb="FF000000"/>
            <rFont val="Arial"/>
          </rPr>
          <t>Energy gained by using the quick move.</t>
        </r>
      </text>
    </comment>
    <comment ref="G3" authorId="0">
      <text>
        <r>
          <rPr>
            <sz val="10"/>
            <color rgb="FF000000"/>
            <rFont val="Arial"/>
          </rPr>
          <t>This is the duration (cooldown) of the move animation.  It determines how quickly you can do anything else (like use the move again) after you start.</t>
        </r>
      </text>
    </comment>
    <comment ref="H3" authorId="0">
      <text>
        <r>
          <rPr>
            <sz val="10"/>
            <color rgb="FF000000"/>
            <rFont val="Arial"/>
          </rPr>
          <t>QDPS is the damage inflicted per second by using the the quick move prior to applying any multipliers.</t>
        </r>
      </text>
    </comment>
    <comment ref="I3" authorId="0">
      <text>
        <r>
          <rPr>
            <sz val="10"/>
            <color rgb="FF000000"/>
            <rFont val="Arial"/>
          </rPr>
          <t>QEPS is the energy gained per second by using the the quick move.</t>
        </r>
      </text>
    </comment>
    <comment ref="L3" authorId="0">
      <text>
        <r>
          <rPr>
            <sz val="10"/>
            <color rgb="FF000000"/>
            <rFont val="Arial"/>
          </rPr>
          <t>QDPS is the damage inflicted per second by using the the quick move prior to applying any multipliers.</t>
        </r>
      </text>
    </comment>
    <comment ref="M3" authorId="0">
      <text>
        <r>
          <rPr>
            <sz val="10"/>
            <color rgb="FF000000"/>
            <rFont val="Arial"/>
          </rPr>
          <t>QEPS is the energy gained per second by using the the quick move.</t>
        </r>
      </text>
    </comment>
  </commentList>
</comments>
</file>

<file path=xl/comments4.xml><?xml version="1.0" encoding="utf-8"?>
<comments xmlns="http://schemas.openxmlformats.org/spreadsheetml/2006/main">
  <authors>
    <author/>
  </authors>
  <commentList>
    <comment ref="A3" authorId="0">
      <text>
        <r>
          <rPr>
            <sz val="10"/>
            <color rgb="FF000000"/>
            <rFont val="Arial"/>
          </rPr>
          <t xml:space="preserve">Used to circumvent the fact that Google sheets does not support referencing name ranges or other sheets in conditional formatting. </t>
        </r>
      </text>
    </comment>
    <comment ref="B3" authorId="0">
      <text>
        <r>
          <rPr>
            <sz val="10"/>
            <color rgb="FF000000"/>
            <rFont val="Arial"/>
          </rPr>
          <t>The charge move number is used for sorting purposes.</t>
        </r>
      </text>
    </comment>
    <comment ref="D3" authorId="0">
      <text>
        <r>
          <rPr>
            <sz val="10"/>
            <color rgb="FF000000"/>
            <rFont val="Arial"/>
          </rPr>
          <t>The type of the move is used for determining what damage multipliers will apply.</t>
        </r>
      </text>
    </comment>
    <comment ref="E3" authorId="0">
      <text>
        <r>
          <rPr>
            <sz val="10"/>
            <color rgb="FF000000"/>
            <rFont val="Arial"/>
          </rPr>
          <t>This is the base power number shown in-game.</t>
        </r>
      </text>
    </comment>
    <comment ref="F3" authorId="0">
      <text>
        <r>
          <rPr>
            <sz val="10"/>
            <color rgb="FF000000"/>
            <rFont val="Arial"/>
          </rPr>
          <t>Energy required to use the charge move.</t>
        </r>
      </text>
    </comment>
    <comment ref="G3" authorId="0">
      <text>
        <r>
          <rPr>
            <sz val="10"/>
            <color rgb="FF000000"/>
            <rFont val="Arial"/>
          </rPr>
          <t>This is the duration (cooldown) of the move animation.  It determines how quickly you can do anything else (like use the move again) after you start.</t>
        </r>
      </text>
    </comment>
    <comment ref="H3" authorId="0">
      <text>
        <r>
          <rPr>
            <sz val="10"/>
            <color rgb="FF000000"/>
            <rFont val="Arial"/>
          </rPr>
          <t>This is the amount of time a defender has to dodge the charge move.</t>
        </r>
      </text>
    </comment>
    <comment ref="I3" authorId="0">
      <text>
        <r>
          <rPr>
            <sz val="10"/>
            <color rgb="FF000000"/>
            <rFont val="Arial"/>
          </rPr>
          <t>This is the chance that a charge move will have the critical multiplier applied to the damage.</t>
        </r>
      </text>
    </comment>
    <comment ref="J3" authorId="0">
      <text>
        <r>
          <rPr>
            <sz val="10"/>
            <color rgb="FF000000"/>
            <rFont val="Arial"/>
          </rPr>
          <t>CDPS is the average damage inflicted per second by using the charge move after accounting for critical percent but prior to applying any multipliers.</t>
        </r>
      </text>
    </comment>
    <comment ref="K3" authorId="0">
      <text>
        <r>
          <rPr>
            <sz val="10"/>
            <color rgb="FF000000"/>
            <rFont val="Arial"/>
          </rPr>
          <t>CDPE is the average damage inflicted per energy unit used by the charge move after accounting for critical percent but prior to applying any multipliers.</t>
        </r>
      </text>
    </comment>
  </commentList>
</comments>
</file>

<file path=xl/comments5.xml><?xml version="1.0" encoding="utf-8"?>
<comments xmlns="http://schemas.openxmlformats.org/spreadsheetml/2006/main">
  <authors>
    <author/>
  </authors>
  <commentList>
    <comment ref="A3" authorId="0">
      <text>
        <r>
          <rPr>
            <sz val="10"/>
            <color rgb="FF000000"/>
            <rFont val="Arial"/>
          </rPr>
          <t xml:space="preserve">Used to circumvent the fact that Google sheets does not support referencing name ranges or other sheets in conditional formatting. </t>
        </r>
      </text>
    </comment>
    <comment ref="B3" authorId="0">
      <text>
        <r>
          <rPr>
            <sz val="10"/>
            <color rgb="FF000000"/>
            <rFont val="Arial"/>
          </rPr>
          <t>The type number is used for sorting purposes.</t>
        </r>
      </text>
    </comment>
    <comment ref="D3" authorId="0">
      <text>
        <r>
          <rPr>
            <sz val="10"/>
            <color rgb="FF000000"/>
            <rFont val="Arial"/>
          </rPr>
          <t>The type number is used for sorting purposes.</t>
        </r>
      </text>
    </comment>
    <comment ref="F3" authorId="0">
      <text>
        <r>
          <rPr>
            <sz val="10"/>
            <color rgb="FF000000"/>
            <rFont val="Arial"/>
          </rPr>
          <t>The multiplier that applies to damage of a specific move type used against a specific species type.</t>
        </r>
      </text>
    </comment>
  </commentList>
</comments>
</file>

<file path=xl/comments6.xml><?xml version="1.0" encoding="utf-8"?>
<comments xmlns="http://schemas.openxmlformats.org/spreadsheetml/2006/main">
  <authors>
    <author/>
  </authors>
  <commentList>
    <comment ref="A3" authorId="0">
      <text>
        <r>
          <rPr>
            <sz val="10"/>
            <color rgb="FF000000"/>
            <rFont val="Arial"/>
          </rPr>
          <t>The type number is used for sorting purposes.</t>
        </r>
      </text>
    </comment>
    <comment ref="B3" authorId="0">
      <text>
        <r>
          <rPr>
            <sz val="10"/>
            <color rgb="FF000000"/>
            <rFont val="Arial"/>
          </rPr>
          <t>These are the available species/move types used in calculating multipliers.</t>
        </r>
      </text>
    </comment>
    <comment ref="D3" authorId="0">
      <text>
        <r>
          <rPr>
            <sz val="10"/>
            <color rgb="FF000000"/>
            <rFont val="Arial"/>
          </rPr>
          <t>These are the available species' levels used for calculating "Min IV CP Cap" and "Max IV CP Cap"</t>
        </r>
      </text>
    </comment>
    <comment ref="E3" authorId="0">
      <text>
        <r>
          <rPr>
            <sz val="10"/>
            <color rgb="FF000000"/>
            <rFont val="Arial"/>
          </rPr>
          <t>These are the "CP Multipliers" used in calculating "Min IV CP Cap" and "Max IV CP Cap"</t>
        </r>
      </text>
    </comment>
    <comment ref="I3" authorId="0">
      <text>
        <r>
          <rPr>
            <sz val="10"/>
            <color rgb="FF000000"/>
            <rFont val="Arial"/>
          </rPr>
          <t>The type damage multipliers  apply to damage of a specific move type used against a specific species type.</t>
        </r>
      </text>
    </comment>
    <comment ref="M3" authorId="0">
      <text>
        <r>
          <rPr>
            <sz val="10"/>
            <color rgb="FF000000"/>
            <rFont val="Arial"/>
          </rPr>
          <t>These are the "High" values for the corresponding attributes at which point the conditional formatting changes the color to green.</t>
        </r>
      </text>
    </comment>
    <comment ref="N3" authorId="0">
      <text>
        <r>
          <rPr>
            <sz val="10"/>
            <color rgb="FF000000"/>
            <rFont val="Arial"/>
          </rPr>
          <t>These are the "Medium" values for the corresponding attributes at which point the conditional formatting changes the color to yellow.</t>
        </r>
      </text>
    </comment>
    <comment ref="O3" authorId="0">
      <text>
        <r>
          <rPr>
            <sz val="10"/>
            <color rgb="FF000000"/>
            <rFont val="Arial"/>
          </rPr>
          <t>These are the "low" values for the corresponding attributes at which point the conditional formatting changes the color to red.</t>
        </r>
      </text>
    </comment>
    <comment ref="G7" authorId="0">
      <text>
        <r>
          <rPr>
            <sz val="10"/>
            <color rgb="FF000000"/>
            <rFont val="Arial"/>
          </rPr>
          <t>This is the "Same Type Attack Bonus" multiplier applied to damage if the attack type is the same as the species type.</t>
        </r>
      </text>
    </comment>
    <comment ref="G9" authorId="0">
      <text>
        <r>
          <rPr>
            <sz val="10"/>
            <color rgb="FF000000"/>
            <rFont val="Arial"/>
          </rPr>
          <t>This is the multiplier applied to damage of the charge move if a critical hit occurs.</t>
        </r>
      </text>
    </comment>
    <comment ref="G12" authorId="0">
      <text>
        <r>
          <rPr>
            <sz val="10"/>
            <color rgb="FF000000"/>
            <rFont val="Arial"/>
          </rPr>
          <t>This is the length of a gum battle in milliseconds.</t>
        </r>
      </text>
    </comment>
    <comment ref="G14" authorId="0">
      <text>
        <r>
          <rPr>
            <sz val="10"/>
            <color rgb="FF000000"/>
            <rFont val="Arial"/>
          </rPr>
          <t xml:space="preserve">This is the amount of time in milliseconds it takes to  execute a charge move.  It is represented in game by the blue progress bar below your energy bar(s) when executing a charge move. </t>
        </r>
      </text>
    </comment>
    <comment ref="G16" authorId="0">
      <text>
        <r>
          <rPr>
            <sz val="10"/>
            <color rgb="FF000000"/>
            <rFont val="Arial"/>
          </rPr>
          <t>This is the reduction in damage expected due to human error when weaving charge moves in between quick moves.  It is used to determine what battle strategy is best for a specific combination.</t>
        </r>
      </text>
    </comment>
    <comment ref="G18" authorId="0">
      <text>
        <r>
          <rPr>
            <sz val="10"/>
            <color rgb="FF000000"/>
            <rFont val="Arial"/>
          </rPr>
          <t>This is the standard delay in milliseconds between moves of a defending Pokemon.  It is used to calculate the defending damage per second of a combination.</t>
        </r>
      </text>
    </comment>
    <comment ref="G20" authorId="0">
      <text>
        <r>
          <rPr>
            <sz val="10"/>
            <color rgb="FF000000"/>
            <rFont val="Arial"/>
          </rPr>
          <t>This is the number of moves a defending pokemon makes with a "Non Standard Delay".  It is used to calculate the defending damage per second of a combination.</t>
        </r>
      </text>
    </comment>
    <comment ref="G22" authorId="0">
      <text>
        <r>
          <rPr>
            <sz val="10"/>
            <color rgb="FF000000"/>
            <rFont val="Arial"/>
          </rPr>
          <t>This is the non standard delay in milliseconds between the "Non Standard Delay Moves" of a defending Pokemon.  It is used to calculate the defending damage per second of a combination.</t>
        </r>
      </text>
    </comment>
    <comment ref="H25" authorId="0">
      <text>
        <r>
          <rPr>
            <sz val="10"/>
            <color rgb="FF000000"/>
            <rFont val="Arial"/>
          </rPr>
          <t>These are the maximum and minimum available "Individual Values" for a species' base attack.  It is used to calculate "Min IV CP Cap" and "Max IV CP Cap"</t>
        </r>
      </text>
    </comment>
    <comment ref="I25" authorId="0">
      <text>
        <r>
          <rPr>
            <sz val="10"/>
            <color rgb="FF000000"/>
            <rFont val="Arial"/>
          </rPr>
          <t>These are the maximum and minimum available "Individual Values" for a species' base defense.  It is used to calculate "Min IV CP Cap" and "Max IV CP Cap"</t>
        </r>
      </text>
    </comment>
    <comment ref="J25" authorId="0">
      <text>
        <r>
          <rPr>
            <sz val="10"/>
            <color rgb="FF000000"/>
            <rFont val="Arial"/>
          </rPr>
          <t>These are the maximum and minimum available "Individual Values" for a species' base stamina.  It is used to calculate "Min IV CP Cap" and "Max IV CP Cap"</t>
        </r>
      </text>
    </comment>
  </commentList>
</comments>
</file>

<file path=xl/sharedStrings.xml><?xml version="1.0" encoding="utf-8"?>
<sst xmlns="http://schemas.openxmlformats.org/spreadsheetml/2006/main" count="5990" uniqueCount="1108">
  <si>
    <t>COMBINATION DATA</t>
  </si>
  <si>
    <t>SPECIES DATA</t>
  </si>
  <si>
    <t>QUICK MOVES DATA</t>
  </si>
  <si>
    <t>To modify/sort anything in this tool you will have to "Make A Copy" first.  All fields are automated other than species/move names and "Defending Species Type(s)".  To review how combinations perform offensively against a specific species type select the appropriate "Defending Species Type(s)".  Note that type multipliers are currently only applied to the attacking species' damage and not to the defending species' damage.  Updating all of the calculations after a change can take a few minutes.  Note the progress bar in the upper right hand corner.</t>
  </si>
  <si>
    <t>Conditonal Workaround</t>
  </si>
  <si>
    <t>Level</t>
  </si>
  <si>
    <t>QM #</t>
  </si>
  <si>
    <t>Defending Species Type(s)</t>
  </si>
  <si>
    <t>Quick Move Name</t>
  </si>
  <si>
    <t>Type</t>
  </si>
  <si>
    <t>Base Power</t>
  </si>
  <si>
    <t>Energy</t>
  </si>
  <si>
    <t>Duration (Cooldown)</t>
  </si>
  <si>
    <t>QDPS</t>
  </si>
  <si>
    <t>QEPS</t>
  </si>
  <si>
    <t>Pdex #</t>
  </si>
  <si>
    <t>Species Names</t>
  </si>
  <si>
    <t>Evo #</t>
  </si>
  <si>
    <t>Avail.</t>
  </si>
  <si>
    <t>Type 1</t>
  </si>
  <si>
    <t>Type 2</t>
  </si>
  <si>
    <t>Attack</t>
  </si>
  <si>
    <t>Defense</t>
  </si>
  <si>
    <t>Stamina</t>
  </si>
  <si>
    <t>Tankiness</t>
  </si>
  <si>
    <t>Min IV CP Cap</t>
  </si>
  <si>
    <t>Max IV CP Cap</t>
  </si>
  <si>
    <t>Bulbasaur</t>
  </si>
  <si>
    <t>SPECIES MOVESET RANKING</t>
  </si>
  <si>
    <t>OVERALL COMBINATION RANKING</t>
  </si>
  <si>
    <t>COMBINATIONS</t>
  </si>
  <si>
    <t>OFFENSE</t>
  </si>
  <si>
    <t>Pound</t>
  </si>
  <si>
    <t>DEFENSE</t>
  </si>
  <si>
    <t>Combo #</t>
  </si>
  <si>
    <t>Normal</t>
  </si>
  <si>
    <t>Off. Rank</t>
  </si>
  <si>
    <t>Off. %</t>
  </si>
  <si>
    <t>Def. Rank</t>
  </si>
  <si>
    <t>Def. %</t>
  </si>
  <si>
    <t>D.A. Rank</t>
  </si>
  <si>
    <t>D.A. %</t>
  </si>
  <si>
    <t>Yes</t>
  </si>
  <si>
    <t>Grass</t>
  </si>
  <si>
    <t>Poison</t>
  </si>
  <si>
    <t>Battle Strategy</t>
  </si>
  <si>
    <t>Duel Ability</t>
  </si>
  <si>
    <t>Gym Offense</t>
  </si>
  <si>
    <t>ODPS</t>
  </si>
  <si>
    <t>QM Dmg. Multiplier</t>
  </si>
  <si>
    <t>CM Dmg. Multiplier</t>
  </si>
  <si>
    <t>No Weave ODPS</t>
  </si>
  <si>
    <t>Weave ODPS</t>
  </si>
  <si>
    <t>Gym Defense</t>
  </si>
  <si>
    <t>DDPS</t>
  </si>
  <si>
    <t>Metal Claw</t>
  </si>
  <si>
    <t>Steel</t>
  </si>
  <si>
    <t>Psycho Cut</t>
  </si>
  <si>
    <t>Psychic</t>
  </si>
  <si>
    <t>Bite</t>
  </si>
  <si>
    <t>Dark</t>
  </si>
  <si>
    <t>Ivysaur</t>
  </si>
  <si>
    <t>Dragon Breath</t>
  </si>
  <si>
    <t>Dragon</t>
  </si>
  <si>
    <t>Scratch</t>
  </si>
  <si>
    <t>Water Gun</t>
  </si>
  <si>
    <t>Water</t>
  </si>
  <si>
    <t>Venusaur</t>
  </si>
  <si>
    <t>Water Gun (Blastoise)</t>
  </si>
  <si>
    <t>Wing Attack</t>
  </si>
  <si>
    <t>Flying</t>
  </si>
  <si>
    <t>Fire Fang</t>
  </si>
  <si>
    <t>Fire</t>
  </si>
  <si>
    <t>Charmander</t>
  </si>
  <si>
    <t>Shadow Claw</t>
  </si>
  <si>
    <t>Ghost</t>
  </si>
  <si>
    <t>Feint Attack</t>
  </si>
  <si>
    <t>Poison Jab</t>
  </si>
  <si>
    <t>Charmeleon</t>
  </si>
  <si>
    <t>Zen Headbutt</t>
  </si>
  <si>
    <t>Steel Wing</t>
  </si>
  <si>
    <t>Charizard</t>
  </si>
  <si>
    <t>Bug Bite</t>
  </si>
  <si>
    <t>Bug</t>
  </si>
  <si>
    <t>Mud Slap</t>
  </si>
  <si>
    <t>Ground</t>
  </si>
  <si>
    <t>Squirtle</t>
  </si>
  <si>
    <t>Frost Breath</t>
  </si>
  <si>
    <t>Ice</t>
  </si>
  <si>
    <t>Mud Shot</t>
  </si>
  <si>
    <t>Wartortle</t>
  </si>
  <si>
    <t>Tackle</t>
  </si>
  <si>
    <t>Bubble</t>
  </si>
  <si>
    <t>Blastoise</t>
  </si>
  <si>
    <t>Vine Whip</t>
  </si>
  <si>
    <t>Ice Shard</t>
  </si>
  <si>
    <t>Caterpie</t>
  </si>
  <si>
    <t>Rock Smash</t>
  </si>
  <si>
    <t>Fighting</t>
  </si>
  <si>
    <t>Metapod</t>
  </si>
  <si>
    <t>Cut</t>
  </si>
  <si>
    <t>Poison Sting</t>
  </si>
  <si>
    <t>Razor Leaf</t>
  </si>
  <si>
    <t>Sucker Punch</t>
  </si>
  <si>
    <t>Butterfree</t>
  </si>
  <si>
    <t>Lick</t>
  </si>
  <si>
    <t>Spark</t>
  </si>
  <si>
    <t>Electric</t>
  </si>
  <si>
    <t>Confusion</t>
  </si>
  <si>
    <t>Weedle</t>
  </si>
  <si>
    <t>Acid</t>
  </si>
  <si>
    <t>Ember</t>
  </si>
  <si>
    <t>Rock Throw</t>
  </si>
  <si>
    <t>Rock</t>
  </si>
  <si>
    <t>Peck</t>
  </si>
  <si>
    <t>Thunder Shock</t>
  </si>
  <si>
    <t>Kakuna</t>
  </si>
  <si>
    <t>Low Kick</t>
  </si>
  <si>
    <t>Bullet Punch</t>
  </si>
  <si>
    <t>Quick Attack</t>
  </si>
  <si>
    <t>Beedrill</t>
  </si>
  <si>
    <t>Fury Cutter</t>
  </si>
  <si>
    <t>Karate Chop</t>
  </si>
  <si>
    <t>Pidgey</t>
  </si>
  <si>
    <t>Splash</t>
  </si>
  <si>
    <t>Pidgeotto</t>
  </si>
  <si>
    <t>Pidgeot</t>
  </si>
  <si>
    <t>Snorlax</t>
  </si>
  <si>
    <t>Rattata</t>
  </si>
  <si>
    <t>Raticate</t>
  </si>
  <si>
    <t>Hyper Beam</t>
  </si>
  <si>
    <t>Spearow</t>
  </si>
  <si>
    <t>Fearow</t>
  </si>
  <si>
    <t>Ekans</t>
  </si>
  <si>
    <t>Arbok</t>
  </si>
  <si>
    <t>Pikachu</t>
  </si>
  <si>
    <t>Raichu</t>
  </si>
  <si>
    <t>CHARGE MOVE DATA</t>
  </si>
  <si>
    <t>Sandshrew</t>
  </si>
  <si>
    <t>CM #</t>
  </si>
  <si>
    <t>Charge Move Name</t>
  </si>
  <si>
    <t>Energy Cost</t>
  </si>
  <si>
    <t>Dodge Window</t>
  </si>
  <si>
    <t>Critical %</t>
  </si>
  <si>
    <t>CDPS</t>
  </si>
  <si>
    <t>CDPE</t>
  </si>
  <si>
    <t>Cross Chop</t>
  </si>
  <si>
    <t>Sandslash</t>
  </si>
  <si>
    <t>Nidoran F</t>
  </si>
  <si>
    <t>Stone Edge</t>
  </si>
  <si>
    <t>Nidorina</t>
  </si>
  <si>
    <t>Body Slam</t>
  </si>
  <si>
    <t>Nidoqueen</t>
  </si>
  <si>
    <t>Blizzard</t>
  </si>
  <si>
    <t>Nidoran M</t>
  </si>
  <si>
    <t>Dragon Claw</t>
  </si>
  <si>
    <t>Nidorino</t>
  </si>
  <si>
    <t>Hurricane</t>
  </si>
  <si>
    <t>Nidoking</t>
  </si>
  <si>
    <t>Megahorn</t>
  </si>
  <si>
    <t>Solar Beam</t>
  </si>
  <si>
    <t>Clefairy</t>
  </si>
  <si>
    <t>Fairy</t>
  </si>
  <si>
    <t>Fire Blast</t>
  </si>
  <si>
    <t>Clefable</t>
  </si>
  <si>
    <t>Power Whip</t>
  </si>
  <si>
    <t>Vulpix</t>
  </si>
  <si>
    <t>Ninetales</t>
  </si>
  <si>
    <t>Jigglypuff</t>
  </si>
  <si>
    <t>Earthquake</t>
  </si>
  <si>
    <t>Hydro Pump</t>
  </si>
  <si>
    <t>Wigglytuff</t>
  </si>
  <si>
    <t>Hydro Pump (Blastoise)</t>
  </si>
  <si>
    <t>Zubat</t>
  </si>
  <si>
    <t>Thunder</t>
  </si>
  <si>
    <t>Golbat</t>
  </si>
  <si>
    <t>Gunk Shot</t>
  </si>
  <si>
    <t>Oddish</t>
  </si>
  <si>
    <t>Leaf Blade</t>
  </si>
  <si>
    <t>Gloom</t>
  </si>
  <si>
    <t>Sludge Bomb</t>
  </si>
  <si>
    <t>Vileplume</t>
  </si>
  <si>
    <t>Paras</t>
  </si>
  <si>
    <t>Heat Wave</t>
  </si>
  <si>
    <t>Parasect</t>
  </si>
  <si>
    <t>Moonblast</t>
  </si>
  <si>
    <t>Sludge Wave</t>
  </si>
  <si>
    <t>Venonat</t>
  </si>
  <si>
    <t>Brick Break</t>
  </si>
  <si>
    <t>Venomoth</t>
  </si>
  <si>
    <t>Thunderbolt</t>
  </si>
  <si>
    <t>Diglett</t>
  </si>
  <si>
    <t>Petal Blizzard</t>
  </si>
  <si>
    <t>Dugtrio</t>
  </si>
  <si>
    <t>Meowth</t>
  </si>
  <si>
    <t>Persian</t>
  </si>
  <si>
    <t>Psystrike</t>
  </si>
  <si>
    <t>Psyduck</t>
  </si>
  <si>
    <t>Aqua Tail</t>
  </si>
  <si>
    <t>Golduck</t>
  </si>
  <si>
    <t>Flamethrower</t>
  </si>
  <si>
    <t>Mankey</t>
  </si>
  <si>
    <t>Play Rough</t>
  </si>
  <si>
    <t>Primeape</t>
  </si>
  <si>
    <t>Dragonite</t>
  </si>
  <si>
    <t>Growlithe</t>
  </si>
  <si>
    <t>Cross Poison</t>
  </si>
  <si>
    <t>Dragon Pulse</t>
  </si>
  <si>
    <t>Arcanine</t>
  </si>
  <si>
    <t>Ice Beam</t>
  </si>
  <si>
    <t>Poliwag</t>
  </si>
  <si>
    <t>Bug Buzz</t>
  </si>
  <si>
    <t>Poliwhirl</t>
  </si>
  <si>
    <t>Seed Bomb</t>
  </si>
  <si>
    <t>Thunder Punch</t>
  </si>
  <si>
    <t>Poliwrath</t>
  </si>
  <si>
    <t>Hyper Fang</t>
  </si>
  <si>
    <t>Abra</t>
  </si>
  <si>
    <t>X-Scissor</t>
  </si>
  <si>
    <t>Kadabra</t>
  </si>
  <si>
    <t>Drill Run</t>
  </si>
  <si>
    <t>Alakazam</t>
  </si>
  <si>
    <t>Rock Slide</t>
  </si>
  <si>
    <t>Machop</t>
  </si>
  <si>
    <t>Bone Club</t>
  </si>
  <si>
    <t>Machoke</t>
  </si>
  <si>
    <t>Flash Cannon</t>
  </si>
  <si>
    <t>Machamp</t>
  </si>
  <si>
    <t>Iron Head</t>
  </si>
  <si>
    <t>Bellsprout</t>
  </si>
  <si>
    <t>Drill Peck</t>
  </si>
  <si>
    <t>Weepinbell</t>
  </si>
  <si>
    <t>Psyshock</t>
  </si>
  <si>
    <t>Victreebel</t>
  </si>
  <si>
    <t>Shadow Ball</t>
  </si>
  <si>
    <t>Tentacool</t>
  </si>
  <si>
    <t>Signal Beam</t>
  </si>
  <si>
    <t>Tentacruel</t>
  </si>
  <si>
    <t>Fire Punch</t>
  </si>
  <si>
    <t>Flame Burst</t>
  </si>
  <si>
    <t>Geodude</t>
  </si>
  <si>
    <t>Stomp</t>
  </si>
  <si>
    <t>Graveler</t>
  </si>
  <si>
    <t>Submission</t>
  </si>
  <si>
    <t>Golem</t>
  </si>
  <si>
    <t>Discharge</t>
  </si>
  <si>
    <t>Ponyta</t>
  </si>
  <si>
    <t>Giga Drain</t>
  </si>
  <si>
    <t>Rapidash</t>
  </si>
  <si>
    <t>Power Gem</t>
  </si>
  <si>
    <t>Slowpoke</t>
  </si>
  <si>
    <t>Scald</t>
  </si>
  <si>
    <t>Slowbro</t>
  </si>
  <si>
    <t>Scald (Blastoise)</t>
  </si>
  <si>
    <t>Magnemite</t>
  </si>
  <si>
    <t>Low Sweep</t>
  </si>
  <si>
    <t>Magneton</t>
  </si>
  <si>
    <t>Dazzling Gleam</t>
  </si>
  <si>
    <t>Dark Pulse</t>
  </si>
  <si>
    <t>Farfetch'd</t>
  </si>
  <si>
    <t>Ice Punch</t>
  </si>
  <si>
    <t>Doduo</t>
  </si>
  <si>
    <t>Night Slash</t>
  </si>
  <si>
    <t>Dodrio</t>
  </si>
  <si>
    <t>Dig</t>
  </si>
  <si>
    <t>Seel</t>
  </si>
  <si>
    <t>Parabolic Charge</t>
  </si>
  <si>
    <t>Vice Grip</t>
  </si>
  <si>
    <t>Dewgong</t>
  </si>
  <si>
    <t>Shadow Punch</t>
  </si>
  <si>
    <t>Grimer</t>
  </si>
  <si>
    <t>Mud Bomb</t>
  </si>
  <si>
    <t>Muk</t>
  </si>
  <si>
    <t>Sludge</t>
  </si>
  <si>
    <t>Shellder</t>
  </si>
  <si>
    <t>Horn Attack</t>
  </si>
  <si>
    <t>Rest</t>
  </si>
  <si>
    <t>Cloyster</t>
  </si>
  <si>
    <t>Magnet Bomb</t>
  </si>
  <si>
    <t>Gastly</t>
  </si>
  <si>
    <t>Aqua Jet</t>
  </si>
  <si>
    <t>Water Pulse</t>
  </si>
  <si>
    <t>Haunter</t>
  </si>
  <si>
    <t>Psybeam</t>
  </si>
  <si>
    <t>Gengar</t>
  </si>
  <si>
    <t>Poison Fang</t>
  </si>
  <si>
    <t>Brine</t>
  </si>
  <si>
    <t>Aerial Ace</t>
  </si>
  <si>
    <t>Onix</t>
  </si>
  <si>
    <t>Bubble Beam</t>
  </si>
  <si>
    <t>Drowzee</t>
  </si>
  <si>
    <t>Bulldoze</t>
  </si>
  <si>
    <t>Swift</t>
  </si>
  <si>
    <t>Hypno</t>
  </si>
  <si>
    <t>Air Cutter</t>
  </si>
  <si>
    <t>Krabby</t>
  </si>
  <si>
    <t>Heart Stamp</t>
  </si>
  <si>
    <t>Ancient Power</t>
  </si>
  <si>
    <t>Kingler</t>
  </si>
  <si>
    <t>Rock Tomb</t>
  </si>
  <si>
    <t>Ominous Wind</t>
  </si>
  <si>
    <t>Voltorb</t>
  </si>
  <si>
    <t>Twister</t>
  </si>
  <si>
    <t>Electrode</t>
  </si>
  <si>
    <t>Draining Kiss</t>
  </si>
  <si>
    <t>Exeggcute</t>
  </si>
  <si>
    <t>Flame Wheel</t>
  </si>
  <si>
    <t>Struggle</t>
  </si>
  <si>
    <t>Flame Charge</t>
  </si>
  <si>
    <t>Exeggutor</t>
  </si>
  <si>
    <t>Shadow Sneak</t>
  </si>
  <si>
    <t>Cubone</t>
  </si>
  <si>
    <t>Mega Drain</t>
  </si>
  <si>
    <t>Marowak</t>
  </si>
  <si>
    <t>Wrap (Green)</t>
  </si>
  <si>
    <t>Hitmonlee</t>
  </si>
  <si>
    <t>Wrap (Pink)</t>
  </si>
  <si>
    <t>Hitmonchan</t>
  </si>
  <si>
    <t>Icy Wind</t>
  </si>
  <si>
    <t>Disarming Voice</t>
  </si>
  <si>
    <t>Lickitung</t>
  </si>
  <si>
    <t>Wrap</t>
  </si>
  <si>
    <t>Koffing</t>
  </si>
  <si>
    <t>Weezing</t>
  </si>
  <si>
    <t>Rhyhorn</t>
  </si>
  <si>
    <t>Rhydon</t>
  </si>
  <si>
    <t>Chansey</t>
  </si>
  <si>
    <t>Tangela</t>
  </si>
  <si>
    <t>Kangaskhan</t>
  </si>
  <si>
    <t>Horsea</t>
  </si>
  <si>
    <t>Seadra</t>
  </si>
  <si>
    <t>Goldeen</t>
  </si>
  <si>
    <t>Seaking</t>
  </si>
  <si>
    <t>TYPE DATA</t>
  </si>
  <si>
    <t>Staryu</t>
  </si>
  <si>
    <t>Move Types</t>
  </si>
  <si>
    <t>Species Types</t>
  </si>
  <si>
    <t>Damage Multipliers</t>
  </si>
  <si>
    <t>Starmie</t>
  </si>
  <si>
    <t>Mr. Mime</t>
  </si>
  <si>
    <t>Scyther</t>
  </si>
  <si>
    <t>Jynx</t>
  </si>
  <si>
    <t>Electabuzz</t>
  </si>
  <si>
    <t>Magmar</t>
  </si>
  <si>
    <t>Pinsir</t>
  </si>
  <si>
    <t>Tauros</t>
  </si>
  <si>
    <t>Magikarp</t>
  </si>
  <si>
    <t>Gyarados</t>
  </si>
  <si>
    <t>Lapras</t>
  </si>
  <si>
    <t>Ditto</t>
  </si>
  <si>
    <t>No</t>
  </si>
  <si>
    <t>Eevee</t>
  </si>
  <si>
    <t>Vaporeon</t>
  </si>
  <si>
    <t>Jolteon</t>
  </si>
  <si>
    <t>Flareon</t>
  </si>
  <si>
    <t>Porygon</t>
  </si>
  <si>
    <t>Omanyte</t>
  </si>
  <si>
    <t>Omastar</t>
  </si>
  <si>
    <t>Kabuto</t>
  </si>
  <si>
    <t>Kabutops</t>
  </si>
  <si>
    <t>Aerodactyl</t>
  </si>
  <si>
    <t>Articuno</t>
  </si>
  <si>
    <t>Zapdos</t>
  </si>
  <si>
    <t>Moltres</t>
  </si>
  <si>
    <t>Dratini</t>
  </si>
  <si>
    <t>Dragonair</t>
  </si>
  <si>
    <t>Mewtwo</t>
  </si>
  <si>
    <t>Mew</t>
  </si>
  <si>
    <t>GAME DATA</t>
  </si>
  <si>
    <t>All fields are manual.</t>
  </si>
  <si>
    <t>Type #</t>
  </si>
  <si>
    <t>Types</t>
  </si>
  <si>
    <t>Levels</t>
  </si>
  <si>
    <t>CP Multipliers</t>
  </si>
  <si>
    <t>Type Multipliers</t>
  </si>
  <si>
    <t>CF High Threshold</t>
  </si>
  <si>
    <t>CF Med Threshold</t>
  </si>
  <si>
    <t>CF Low Threshold</t>
  </si>
  <si>
    <t>Increased Damage</t>
  </si>
  <si>
    <t>Normal Damage</t>
  </si>
  <si>
    <t>Reduced Damage</t>
  </si>
  <si>
    <t>STAB Multiplier</t>
  </si>
  <si>
    <t>Critical Multiplier</t>
  </si>
  <si>
    <t>Battle Length</t>
  </si>
  <si>
    <t>Charge Delay</t>
  </si>
  <si>
    <t>Weave Human Error</t>
  </si>
  <si>
    <t>Std. Defense Delay</t>
  </si>
  <si>
    <t>Non Std. Delay Moves</t>
  </si>
  <si>
    <t>Non Std. Delay</t>
  </si>
  <si>
    <t>Max IV</t>
  </si>
  <si>
    <t>Min IV</t>
  </si>
  <si>
    <t>VERSION LOG</t>
  </si>
  <si>
    <t>Version</t>
  </si>
  <si>
    <t>Changes</t>
  </si>
  <si>
    <t>Version Date</t>
  </si>
  <si>
    <t>- Initial release based off Professor_Kukui original analysis.
- Added overall combination ranking.
- Added ability to apply defending species type multipliers to offensive damage.
- Updated defending damage calculation to account for only a 1 second delay for the first 2 attacks. 
- Updated "Tankiness" to be reflected on the same scale as base attack, defense and stamina.
- Updated "Duel Ability", "Gym Offense" and "Gym Defense" to fall on a 500 point scale. 
- Updated ranking attributes so they calculate automatically.
- Added data validation and conditional formatting.
- Created a "Game Data" sheet where game mechanics, calculation and formatting attributes can easily be modified.
- A number of other changes to verbiage, descriptions, and visible calculations.
- Added a Version Log, Issue List and Feature Request section.</t>
  </si>
  <si>
    <t>ISSUE LIST</t>
  </si>
  <si>
    <t>Resolved in Version</t>
  </si>
  <si>
    <t>Issue</t>
  </si>
  <si>
    <t>Source</t>
  </si>
  <si>
    <t>FEATURE  REQUESTS</t>
  </si>
  <si>
    <t>Added in Version</t>
  </si>
  <si>
    <t>Feature</t>
  </si>
  <si>
    <t>Priority</t>
  </si>
  <si>
    <t xml:space="preserve">Apply "Defneding Species Type(s)" modifiers to defneding species attack.  Will effect the "Duel Ability" rating. </t>
  </si>
  <si>
    <t>Apply a worst case attack attack type modifer to the "Gym Defense" statistic based on actual top attacker type/attack data.</t>
  </si>
  <si>
    <t>Pokemon nickname generator</t>
  </si>
  <si>
    <t>Automatic calculation of best attackers based on 10 chosen gym defenders (show top 10 attackers for each defender).  Note that some calculations will have to be doen to account for the fact you cannot see the moveset of the defenders.</t>
  </si>
  <si>
    <t>Automatic calculation of the best 10 attackers against a specific defeneder to gain prestige. Note that some calculations will have to be doen to account for the fact you cannot see the moveset of the defenders.</t>
  </si>
  <si>
    <t>10.00</t>
  </si>
  <si>
    <t>16.91</t>
  </si>
  <si>
    <t>4.88</t>
  </si>
  <si>
    <t>15.00</t>
  </si>
  <si>
    <t>18.08</t>
  </si>
  <si>
    <t>4.74</t>
  </si>
  <si>
    <t>17.84</t>
  </si>
  <si>
    <t>5.16</t>
  </si>
  <si>
    <t>17.57</t>
  </si>
  <si>
    <t>5.88</t>
  </si>
  <si>
    <t>11.40</t>
  </si>
  <si>
    <t>15.97</t>
  </si>
  <si>
    <t>6.56</t>
  </si>
  <si>
    <t>13.84</t>
  </si>
  <si>
    <t>17.81</t>
  </si>
  <si>
    <t>6.28</t>
  </si>
  <si>
    <t>19.05</t>
  </si>
  <si>
    <t>5.08</t>
  </si>
  <si>
    <t>13.31</t>
  </si>
  <si>
    <t>16.72</t>
  </si>
  <si>
    <t>7.63</t>
  </si>
  <si>
    <t>14.59</t>
  </si>
  <si>
    <t>3.90</t>
  </si>
  <si>
    <t>14.40</t>
  </si>
  <si>
    <t>6.16</t>
  </si>
  <si>
    <t>16.16</t>
  </si>
  <si>
    <t>5.99</t>
  </si>
  <si>
    <t>13.88</t>
  </si>
  <si>
    <t>13.77</t>
  </si>
  <si>
    <t>5.65</t>
  </si>
  <si>
    <t>15.48</t>
  </si>
  <si>
    <t>8.02</t>
  </si>
  <si>
    <t>11.25</t>
  </si>
  <si>
    <t>14.55</t>
  </si>
  <si>
    <t>7.08</t>
  </si>
  <si>
    <t>17.07</t>
  </si>
  <si>
    <t>5.01</t>
  </si>
  <si>
    <t>14.25</t>
  </si>
  <si>
    <t>6.51</t>
  </si>
  <si>
    <t>14.88</t>
  </si>
  <si>
    <t>18.44</t>
  </si>
  <si>
    <t>14.11</t>
  </si>
  <si>
    <t>14.66</t>
  </si>
  <si>
    <t>5.49</t>
  </si>
  <si>
    <t>12.00</t>
  </si>
  <si>
    <t>4.78</t>
  </si>
  <si>
    <t>14.43</t>
  </si>
  <si>
    <t>7.35</t>
  </si>
  <si>
    <t>18.04</t>
  </si>
  <si>
    <t>7.43</t>
  </si>
  <si>
    <t>16.80</t>
  </si>
  <si>
    <t>6.69</t>
  </si>
  <si>
    <t>17.71</t>
  </si>
  <si>
    <t>5.44</t>
  </si>
  <si>
    <t>17.09</t>
  </si>
  <si>
    <t>4.53</t>
  </si>
  <si>
    <t>12.87</t>
  </si>
  <si>
    <t>5.39</t>
  </si>
  <si>
    <t>12.38</t>
  </si>
  <si>
    <t>16.69</t>
  </si>
  <si>
    <t>9.11</t>
  </si>
  <si>
    <t>16.50</t>
  </si>
  <si>
    <t>7.17</t>
  </si>
  <si>
    <t>15.82</t>
  </si>
  <si>
    <t>4.92</t>
  </si>
  <si>
    <t>16.48</t>
  </si>
  <si>
    <t>7.00</t>
  </si>
  <si>
    <t>13.39</t>
  </si>
  <si>
    <t>18.33</t>
  </si>
  <si>
    <t>6.05</t>
  </si>
  <si>
    <t>16.18</t>
  </si>
  <si>
    <t>6.29</t>
  </si>
  <si>
    <t>13.44</t>
  </si>
  <si>
    <t>17.45</t>
  </si>
  <si>
    <t>10.55</t>
  </si>
  <si>
    <t>15.58</t>
  </si>
  <si>
    <t>7.13</t>
  </si>
  <si>
    <t>17.89</t>
  </si>
  <si>
    <t>7.06</t>
  </si>
  <si>
    <t>17.69</t>
  </si>
  <si>
    <t>14.96</t>
  </si>
  <si>
    <t>18.49</t>
  </si>
  <si>
    <t>17.65</t>
  </si>
  <si>
    <t>6.65</t>
  </si>
  <si>
    <t>11.91</t>
  </si>
  <si>
    <t>5.53</t>
  </si>
  <si>
    <t>15.30</t>
  </si>
  <si>
    <t>13.58</t>
  </si>
  <si>
    <t>19.68</t>
  </si>
  <si>
    <t>5.28</t>
  </si>
  <si>
    <t>17.12</t>
  </si>
  <si>
    <t>6.13</t>
  </si>
  <si>
    <t>12.75</t>
  </si>
  <si>
    <t>17.06</t>
  </si>
  <si>
    <t>7.95</t>
  </si>
  <si>
    <t>17.10</t>
  </si>
  <si>
    <t>4.22</t>
  </si>
  <si>
    <t>16.86</t>
  </si>
  <si>
    <t>5.71</t>
  </si>
  <si>
    <t>16.19</t>
  </si>
  <si>
    <t>20.65</t>
  </si>
  <si>
    <t>6.14</t>
  </si>
  <si>
    <t>11.88</t>
  </si>
  <si>
    <t>14.70</t>
  </si>
  <si>
    <t>6.25</t>
  </si>
  <si>
    <t>15.50</t>
  </si>
  <si>
    <t>5.22</t>
  </si>
  <si>
    <t>14.35</t>
  </si>
  <si>
    <t>7.90</t>
  </si>
  <si>
    <t>10.86</t>
  </si>
  <si>
    <t>15.69</t>
  </si>
  <si>
    <t>4.47</t>
  </si>
  <si>
    <t>18.38</t>
  </si>
  <si>
    <t>8.81</t>
  </si>
  <si>
    <t>14.38</t>
  </si>
  <si>
    <t>5.54</t>
  </si>
  <si>
    <t>16.12</t>
  </si>
  <si>
    <t>16.95</t>
  </si>
  <si>
    <t>6.42</t>
  </si>
  <si>
    <t>12.89</t>
  </si>
  <si>
    <t>6.52</t>
  </si>
  <si>
    <t>18.12</t>
  </si>
  <si>
    <t>5.26</t>
  </si>
  <si>
    <t>14.06</t>
  </si>
  <si>
    <t>4.71</t>
  </si>
  <si>
    <t>17.23</t>
  </si>
  <si>
    <t>6.70</t>
  </si>
  <si>
    <t>12.95</t>
  </si>
  <si>
    <t>16.37</t>
  </si>
  <si>
    <t>4.70</t>
  </si>
  <si>
    <t>15.53</t>
  </si>
  <si>
    <t>8.21</t>
  </si>
  <si>
    <t>14.31</t>
  </si>
  <si>
    <t>5.94</t>
  </si>
  <si>
    <t>6.31</t>
  </si>
  <si>
    <t>15.40</t>
  </si>
  <si>
    <t>4.01</t>
  </si>
  <si>
    <t>16.09</t>
  </si>
  <si>
    <t>5.40</t>
  </si>
  <si>
    <t>10.95</t>
  </si>
  <si>
    <t>17.00</t>
  </si>
  <si>
    <t>7.80</t>
  </si>
  <si>
    <t>13.68</t>
  </si>
  <si>
    <t>7.64</t>
  </si>
  <si>
    <t>7.54</t>
  </si>
  <si>
    <t>17.42</t>
  </si>
  <si>
    <t>6.81</t>
  </si>
  <si>
    <t>17.99</t>
  </si>
  <si>
    <t>5.79</t>
  </si>
  <si>
    <t>14.00</t>
  </si>
  <si>
    <t>16.24</t>
  </si>
  <si>
    <t>15.13</t>
  </si>
  <si>
    <t>6.90</t>
  </si>
  <si>
    <t>16.32</t>
  </si>
  <si>
    <t>7.74</t>
  </si>
  <si>
    <t>9.38</t>
  </si>
  <si>
    <t>13.98</t>
  </si>
  <si>
    <t>4.48</t>
  </si>
  <si>
    <t>10.24</t>
  </si>
  <si>
    <t>4.25</t>
  </si>
  <si>
    <t>16.65</t>
  </si>
  <si>
    <t>6.55</t>
  </si>
  <si>
    <t>14.68</t>
  </si>
  <si>
    <t>4.64</t>
  </si>
  <si>
    <t>12.57</t>
  </si>
  <si>
    <t>8.69</t>
  </si>
  <si>
    <t>13.75</t>
  </si>
  <si>
    <t>9.08</t>
  </si>
  <si>
    <t>10.50</t>
  </si>
  <si>
    <t>15.75</t>
  </si>
  <si>
    <t>13.63</t>
  </si>
  <si>
    <t>4.24</t>
  </si>
  <si>
    <t>15.61</t>
  </si>
  <si>
    <t>7.52</t>
  </si>
  <si>
    <t>15.88</t>
  </si>
  <si>
    <t>16.01</t>
  </si>
  <si>
    <t>7.37</t>
  </si>
  <si>
    <t>15.96</t>
  </si>
  <si>
    <t>7.78</t>
  </si>
  <si>
    <t>13.17</t>
  </si>
  <si>
    <t>11.52</t>
  </si>
  <si>
    <t>9.28</t>
  </si>
  <si>
    <t>4.05</t>
  </si>
  <si>
    <t>11.90</t>
  </si>
  <si>
    <t>7.60</t>
  </si>
  <si>
    <t>14.21</t>
  </si>
  <si>
    <t>5.78</t>
  </si>
  <si>
    <t>14.20</t>
  </si>
  <si>
    <t>5.62</t>
  </si>
  <si>
    <t>11.66</t>
  </si>
  <si>
    <t>5.89</t>
  </si>
  <si>
    <t>7.50</t>
  </si>
  <si>
    <t>14.93</t>
  </si>
  <si>
    <t>3.70</t>
  </si>
  <si>
    <t>7.02</t>
  </si>
  <si>
    <t>15.67</t>
  </si>
  <si>
    <t>6.06</t>
  </si>
  <si>
    <t>13.87</t>
  </si>
  <si>
    <t>5.72</t>
  </si>
  <si>
    <t>16.33</t>
  </si>
  <si>
    <t>6.17</t>
  </si>
  <si>
    <t>17.74</t>
  </si>
  <si>
    <t>12.68</t>
  </si>
  <si>
    <t>4.29</t>
  </si>
  <si>
    <t>14.29</t>
  </si>
  <si>
    <t>6.62</t>
  </si>
  <si>
    <t>15.46</t>
  </si>
  <si>
    <t>6.15</t>
  </si>
  <si>
    <t>14.90</t>
  </si>
  <si>
    <t>5.80</t>
  </si>
  <si>
    <t>14.51</t>
  </si>
  <si>
    <t>6.61</t>
  </si>
  <si>
    <t>8.30</t>
  </si>
  <si>
    <t>12.50</t>
  </si>
  <si>
    <t>4.90</t>
  </si>
  <si>
    <t>15.72</t>
  </si>
  <si>
    <t>7.36</t>
  </si>
  <si>
    <t>13.27</t>
  </si>
  <si>
    <t>7.11</t>
  </si>
  <si>
    <t>13.20</t>
  </si>
  <si>
    <t>5.74</t>
  </si>
  <si>
    <t>13.73</t>
  </si>
  <si>
    <t>9.90</t>
  </si>
  <si>
    <t>14.27</t>
  </si>
  <si>
    <t>7.21</t>
  </si>
  <si>
    <t>12.06</t>
  </si>
  <si>
    <t>4.69</t>
  </si>
  <si>
    <t>14.91</t>
  </si>
  <si>
    <t>13.64</t>
  </si>
  <si>
    <t>6.67</t>
  </si>
  <si>
    <t>4.72</t>
  </si>
  <si>
    <t>12.28</t>
  </si>
  <si>
    <t>5.31</t>
  </si>
  <si>
    <t>14.95</t>
  </si>
  <si>
    <t>6.76</t>
  </si>
  <si>
    <t>11.98</t>
  </si>
  <si>
    <t>5.24</t>
  </si>
  <si>
    <t>15.99</t>
  </si>
  <si>
    <t>4.62</t>
  </si>
  <si>
    <t>12.52</t>
  </si>
  <si>
    <t>5.92</t>
  </si>
  <si>
    <t>13.65</t>
  </si>
  <si>
    <t>7.71</t>
  </si>
  <si>
    <t>11.47</t>
  </si>
  <si>
    <t>4.56</t>
  </si>
  <si>
    <t>5.69</t>
  </si>
  <si>
    <t>14.67</t>
  </si>
  <si>
    <t>12.93</t>
  </si>
  <si>
    <t>2.96</t>
  </si>
  <si>
    <t>10.80</t>
  </si>
  <si>
    <t>14.83</t>
  </si>
  <si>
    <t>11.10</t>
  </si>
  <si>
    <t>13.53</t>
  </si>
  <si>
    <t>6.10</t>
  </si>
  <si>
    <t>12.20</t>
  </si>
  <si>
    <t>7.14</t>
  </si>
  <si>
    <t>9.73</t>
  </si>
  <si>
    <t>6.26</t>
  </si>
  <si>
    <t>11.26</t>
  </si>
  <si>
    <t>4.57</t>
  </si>
  <si>
    <t>3.67</t>
  </si>
  <si>
    <t>12.88</t>
  </si>
  <si>
    <t>5.68</t>
  </si>
  <si>
    <t>13.08</t>
  </si>
  <si>
    <t>5.84</t>
  </si>
  <si>
    <t>13.69</t>
  </si>
  <si>
    <t>14.85</t>
  </si>
  <si>
    <t>12.36</t>
  </si>
  <si>
    <t>2.81</t>
  </si>
  <si>
    <t>10.38</t>
  </si>
  <si>
    <t>15.84</t>
  </si>
  <si>
    <t>4.75</t>
  </si>
  <si>
    <t>6.45</t>
  </si>
  <si>
    <t>12.73</t>
  </si>
  <si>
    <t>3.80</t>
  </si>
  <si>
    <t>12.64</t>
  </si>
  <si>
    <t>5.36</t>
  </si>
  <si>
    <t>4.86</t>
  </si>
  <si>
    <t>13.01</t>
  </si>
  <si>
    <t>12.24</t>
  </si>
  <si>
    <t>12.47</t>
  </si>
  <si>
    <t>20.18</t>
  </si>
  <si>
    <t>15.03</t>
  </si>
  <si>
    <t>4.23</t>
  </si>
  <si>
    <t>6.68</t>
  </si>
  <si>
    <t>12.15</t>
  </si>
  <si>
    <t>6.78</t>
  </si>
  <si>
    <t>15.22</t>
  </si>
  <si>
    <t>4.94</t>
  </si>
  <si>
    <t>17.16</t>
  </si>
  <si>
    <t>6.02</t>
  </si>
  <si>
    <t>13.50</t>
  </si>
  <si>
    <t>15.90</t>
  </si>
  <si>
    <t>6.40</t>
  </si>
  <si>
    <t>7.44</t>
  </si>
  <si>
    <t>14.62</t>
  </si>
  <si>
    <t>4.31</t>
  </si>
  <si>
    <t>17.20</t>
  </si>
  <si>
    <t>5.91</t>
  </si>
  <si>
    <t>12.43</t>
  </si>
  <si>
    <t>17.19</t>
  </si>
  <si>
    <t>14.44</t>
  </si>
  <si>
    <t>16.38</t>
  </si>
  <si>
    <t>16.27</t>
  </si>
  <si>
    <t>14.14</t>
  </si>
  <si>
    <t>11.69</t>
  </si>
  <si>
    <t>10.93</t>
  </si>
  <si>
    <t>6.89</t>
  </si>
  <si>
    <t>11.41</t>
  </si>
  <si>
    <t>3.73</t>
  </si>
  <si>
    <t>12.72</t>
  </si>
  <si>
    <t>11.48</t>
  </si>
  <si>
    <t>5.11</t>
  </si>
  <si>
    <t>13.47</t>
  </si>
  <si>
    <t>4.04</t>
  </si>
  <si>
    <t>13.48</t>
  </si>
  <si>
    <t>7.19</t>
  </si>
  <si>
    <t>14.47</t>
  </si>
  <si>
    <t>13.41</t>
  </si>
  <si>
    <t>6.33</t>
  </si>
  <si>
    <t>17.63</t>
  </si>
  <si>
    <t>4.50</t>
  </si>
  <si>
    <t>12.29</t>
  </si>
  <si>
    <t>13.03</t>
  </si>
  <si>
    <t>6.74</t>
  </si>
  <si>
    <t>13.09</t>
  </si>
  <si>
    <t>4.54</t>
  </si>
  <si>
    <t>13.00</t>
  </si>
  <si>
    <t>6.50</t>
  </si>
  <si>
    <t>12.98</t>
  </si>
  <si>
    <t>5.77</t>
  </si>
  <si>
    <t>15.33</t>
  </si>
  <si>
    <t>4.51</t>
  </si>
  <si>
    <t>13.76</t>
  </si>
  <si>
    <t>3.89</t>
  </si>
  <si>
    <t>6.38</t>
  </si>
  <si>
    <t>13.56</t>
  </si>
  <si>
    <t>4.52</t>
  </si>
  <si>
    <t>12.42</t>
  </si>
  <si>
    <t>12.78</t>
  </si>
  <si>
    <t>13.16</t>
  </si>
  <si>
    <t>15.17</t>
  </si>
  <si>
    <t>6.73</t>
  </si>
  <si>
    <t>13.05</t>
  </si>
  <si>
    <t>15.31</t>
  </si>
  <si>
    <t>17.64</t>
  </si>
  <si>
    <t>4.68</t>
  </si>
  <si>
    <t>12.55</t>
  </si>
  <si>
    <t>14.69</t>
  </si>
  <si>
    <t>9.94</t>
  </si>
  <si>
    <t>14.04</t>
  </si>
  <si>
    <t>4.17</t>
  </si>
  <si>
    <t>16.45</t>
  </si>
  <si>
    <t>11.51</t>
  </si>
  <si>
    <t>11.08</t>
  </si>
  <si>
    <t>6.44</t>
  </si>
  <si>
    <t>11.07</t>
  </si>
  <si>
    <t>11.06</t>
  </si>
  <si>
    <t>11.15</t>
  </si>
  <si>
    <t>8.10</t>
  </si>
  <si>
    <t>15.06</t>
  </si>
  <si>
    <t>4.00</t>
  </si>
  <si>
    <t>12.65</t>
  </si>
  <si>
    <t>3.95</t>
  </si>
  <si>
    <t>17.88</t>
  </si>
  <si>
    <t>4.83</t>
  </si>
  <si>
    <t>15.59</t>
  </si>
  <si>
    <t>11.99</t>
  </si>
  <si>
    <t>4.76</t>
  </si>
  <si>
    <t>11.63</t>
  </si>
  <si>
    <t>8.60</t>
  </si>
  <si>
    <t>11.62</t>
  </si>
  <si>
    <t>6.00</t>
  </si>
  <si>
    <t>13.70</t>
  </si>
  <si>
    <t>4.91</t>
  </si>
  <si>
    <t>15.09</t>
  </si>
  <si>
    <t>10.84</t>
  </si>
  <si>
    <t>5.81</t>
  </si>
  <si>
    <t>11.44</t>
  </si>
  <si>
    <t>5.75</t>
  </si>
  <si>
    <t>5.35</t>
  </si>
  <si>
    <t>5.14</t>
  </si>
  <si>
    <t>11.93</t>
  </si>
  <si>
    <t>5.38</t>
  </si>
  <si>
    <t>10.26</t>
  </si>
  <si>
    <t>4.60</t>
  </si>
  <si>
    <t>11.09</t>
  </si>
  <si>
    <t>11.37</t>
  </si>
  <si>
    <t>9.85</t>
  </si>
  <si>
    <t>13.32</t>
  </si>
  <si>
    <t>5.12</t>
  </si>
  <si>
    <t>10.92</t>
  </si>
  <si>
    <t>4.36</t>
  </si>
  <si>
    <t>14.01</t>
  </si>
  <si>
    <t>5.48</t>
  </si>
  <si>
    <t>13.28</t>
  </si>
  <si>
    <t>10.65</t>
  </si>
  <si>
    <t>3.20</t>
  </si>
  <si>
    <t>7.25</t>
  </si>
  <si>
    <t>14.07</t>
  </si>
  <si>
    <t>8.94</t>
  </si>
  <si>
    <t>4.82</t>
  </si>
  <si>
    <t>3.30</t>
  </si>
  <si>
    <t>12.66</t>
  </si>
  <si>
    <t>4.15</t>
  </si>
  <si>
    <t>6.20</t>
  </si>
  <si>
    <t>10.16</t>
  </si>
  <si>
    <t>5.86</t>
  </si>
  <si>
    <t>5.21</t>
  </si>
  <si>
    <t>11.57</t>
  </si>
  <si>
    <t>15.94</t>
  </si>
  <si>
    <t>4.27</t>
  </si>
  <si>
    <t>14.71</t>
  </si>
  <si>
    <t>13.94</t>
  </si>
  <si>
    <t>4.44</t>
  </si>
  <si>
    <t>14.58</t>
  </si>
  <si>
    <t>13.55</t>
  </si>
  <si>
    <t>12.35</t>
  </si>
  <si>
    <t>10.09</t>
  </si>
  <si>
    <t>3.68</t>
  </si>
  <si>
    <t>15.65</t>
  </si>
  <si>
    <t>12.26</t>
  </si>
  <si>
    <t>14.76</t>
  </si>
  <si>
    <t>13.38</t>
  </si>
  <si>
    <t>6.32</t>
  </si>
  <si>
    <t>18.14</t>
  </si>
  <si>
    <t>9.75</t>
  </si>
  <si>
    <t>15.57</t>
  </si>
  <si>
    <t>14.50</t>
  </si>
  <si>
    <t>5.32</t>
  </si>
  <si>
    <t>13.19</t>
  </si>
  <si>
    <t>11.33</t>
  </si>
  <si>
    <t>12.91</t>
  </si>
  <si>
    <t>13.13</t>
  </si>
  <si>
    <t>7.88</t>
  </si>
  <si>
    <t>17.68</t>
  </si>
  <si>
    <t>5.07</t>
  </si>
  <si>
    <t>13.11</t>
  </si>
  <si>
    <t>7.04</t>
  </si>
  <si>
    <t>8.08</t>
  </si>
  <si>
    <t>4.63</t>
  </si>
  <si>
    <t>9.76</t>
  </si>
  <si>
    <t>3.65</t>
  </si>
  <si>
    <t>9.43</t>
  </si>
  <si>
    <t>5.17</t>
  </si>
  <si>
    <t>9.64</t>
  </si>
  <si>
    <t>3.29</t>
  </si>
  <si>
    <t>12.01</t>
  </si>
  <si>
    <t>5.23</t>
  </si>
  <si>
    <t>13.14</t>
  </si>
  <si>
    <t>12.17</t>
  </si>
  <si>
    <t>11.00</t>
  </si>
  <si>
    <t>16.31</t>
  </si>
  <si>
    <t>17.05</t>
  </si>
  <si>
    <t>7.72</t>
  </si>
  <si>
    <t>14.12</t>
  </si>
  <si>
    <t>10.43</t>
  </si>
  <si>
    <t>4.98</t>
  </si>
  <si>
    <t>4.73</t>
  </si>
  <si>
    <t>13.74</t>
  </si>
  <si>
    <t>5.56</t>
  </si>
  <si>
    <t>7.24</t>
  </si>
  <si>
    <t>12.22</t>
  </si>
  <si>
    <t>4.13</t>
  </si>
  <si>
    <t>11.72</t>
  </si>
  <si>
    <t>13.40</t>
  </si>
  <si>
    <t>4.87</t>
  </si>
  <si>
    <t>10.75</t>
  </si>
  <si>
    <t>12.31</t>
  </si>
  <si>
    <t>5.93</t>
  </si>
  <si>
    <t>9.47</t>
  </si>
  <si>
    <t>3.32</t>
  </si>
  <si>
    <t>7.32</t>
  </si>
  <si>
    <t>6.84</t>
  </si>
  <si>
    <t>15.18</t>
  </si>
  <si>
    <t>5.46</t>
  </si>
  <si>
    <t>11.31</t>
  </si>
  <si>
    <t>5.83</t>
  </si>
  <si>
    <t>5.96</t>
  </si>
  <si>
    <t>14.75</t>
  </si>
  <si>
    <t>15.28</t>
  </si>
  <si>
    <t>13.62</t>
  </si>
  <si>
    <t>7.18</t>
  </si>
  <si>
    <t>12.83</t>
  </si>
  <si>
    <t>10.49</t>
  </si>
  <si>
    <t>9.46</t>
  </si>
  <si>
    <t>10.27</t>
  </si>
  <si>
    <t>4.11</t>
  </si>
  <si>
    <t>4.46</t>
  </si>
  <si>
    <t>12.96</t>
  </si>
  <si>
    <t>11.01</t>
  </si>
  <si>
    <t>5.58</t>
  </si>
  <si>
    <t>5.70</t>
  </si>
  <si>
    <t>10.72</t>
  </si>
  <si>
    <t>4.09</t>
  </si>
  <si>
    <t>12.74</t>
  </si>
  <si>
    <t>10.40</t>
  </si>
  <si>
    <t>5.51</t>
  </si>
  <si>
    <t>11.71</t>
  </si>
  <si>
    <t>9.42</t>
  </si>
  <si>
    <t>5.50</t>
  </si>
  <si>
    <t>12.10</t>
  </si>
  <si>
    <t>7.99</t>
  </si>
  <si>
    <t>6.59</t>
  </si>
  <si>
    <t>10.32</t>
  </si>
  <si>
    <t>5.06</t>
  </si>
  <si>
    <t>11.55</t>
  </si>
  <si>
    <t>5.27</t>
  </si>
  <si>
    <t>15.21</t>
  </si>
  <si>
    <t>9.92</t>
  </si>
  <si>
    <t>4.96</t>
  </si>
  <si>
    <t>9.67</t>
  </si>
  <si>
    <t>10.46</t>
  </si>
  <si>
    <t>12.08</t>
  </si>
  <si>
    <t>3.59</t>
  </si>
  <si>
    <t>15.62</t>
  </si>
  <si>
    <t>15.07</t>
  </si>
  <si>
    <t>4.45</t>
  </si>
  <si>
    <t>12.92</t>
  </si>
  <si>
    <t>5.02</t>
  </si>
  <si>
    <t>16.52</t>
  </si>
  <si>
    <t>11.84</t>
  </si>
  <si>
    <t>16.02</t>
  </si>
  <si>
    <t>9.83</t>
  </si>
  <si>
    <t>3.33</t>
  </si>
  <si>
    <t>9.81</t>
  </si>
  <si>
    <t>3.52</t>
  </si>
  <si>
    <t>11.36</t>
  </si>
  <si>
    <t>10.37</t>
  </si>
  <si>
    <t>5.63</t>
  </si>
  <si>
    <t>11.39</t>
  </si>
  <si>
    <t>17.97</t>
  </si>
  <si>
    <t>5.52</t>
  </si>
  <si>
    <t>15.15</t>
  </si>
  <si>
    <t>8.19</t>
  </si>
  <si>
    <t>16.51</t>
  </si>
  <si>
    <t>5.20</t>
  </si>
  <si>
    <t>4.66</t>
  </si>
  <si>
    <t>4.55</t>
  </si>
  <si>
    <t>15.56</t>
  </si>
  <si>
    <t>12.60</t>
  </si>
  <si>
    <t>5.13</t>
  </si>
  <si>
    <t>4.37</t>
  </si>
  <si>
    <t>17.22</t>
  </si>
  <si>
    <t>5.37</t>
  </si>
  <si>
    <t>15.25</t>
  </si>
  <si>
    <t>14.54</t>
  </si>
  <si>
    <t>14.18</t>
  </si>
  <si>
    <t>13.93</t>
  </si>
  <si>
    <t>5.00</t>
  </si>
  <si>
    <t>15.49</t>
  </si>
  <si>
    <t>6.04</t>
  </si>
  <si>
    <t>11.49</t>
  </si>
  <si>
    <t>13.99</t>
  </si>
  <si>
    <t>15.54</t>
  </si>
  <si>
    <t>5.55</t>
  </si>
  <si>
    <t>5.61</t>
  </si>
  <si>
    <t>11.83</t>
  </si>
  <si>
    <t>14.23</t>
  </si>
  <si>
    <t>9.93</t>
  </si>
  <si>
    <t>7.27</t>
  </si>
  <si>
    <t>12.61</t>
  </si>
  <si>
    <t>5.95</t>
  </si>
  <si>
    <t>8.23</t>
  </si>
  <si>
    <t>6.94</t>
  </si>
  <si>
    <t>13.66</t>
  </si>
  <si>
    <t>12.16</t>
  </si>
  <si>
    <t>9.06</t>
  </si>
  <si>
    <t>8.37</t>
  </si>
  <si>
    <t>16.60</t>
  </si>
  <si>
    <t>4.43</t>
  </si>
  <si>
    <t>15.04</t>
  </si>
  <si>
    <t>4.16</t>
  </si>
  <si>
    <t>10.91</t>
  </si>
  <si>
    <t>5.09</t>
  </si>
  <si>
    <t>11.13</t>
  </si>
  <si>
    <t>4.19</t>
  </si>
  <si>
    <t>12.69</t>
  </si>
  <si>
    <t>7.26</t>
  </si>
  <si>
    <t>6.96</t>
  </si>
  <si>
    <t>12.21</t>
  </si>
  <si>
    <t>8.33</t>
  </si>
  <si>
    <t>4.08</t>
  </si>
  <si>
    <t>14.60</t>
  </si>
  <si>
    <t>3.86</t>
  </si>
  <si>
    <t>6.21</t>
  </si>
  <si>
    <t>9.95</t>
  </si>
  <si>
    <t>18.00</t>
  </si>
  <si>
    <t>4.20</t>
  </si>
  <si>
    <t>16.56</t>
  </si>
  <si>
    <t>6.91</t>
  </si>
  <si>
    <t>13.96</t>
  </si>
  <si>
    <t>4.95</t>
  </si>
  <si>
    <t>8.91</t>
  </si>
  <si>
    <t>4.38</t>
  </si>
  <si>
    <t>5.59</t>
  </si>
  <si>
    <t>6.11</t>
  </si>
  <si>
    <t>9.65</t>
  </si>
  <si>
    <t>13.42</t>
  </si>
  <si>
    <t>6.63</t>
  </si>
  <si>
    <t>4.49</t>
  </si>
  <si>
    <t>10.34</t>
  </si>
  <si>
    <t>11.60</t>
  </si>
  <si>
    <t>10.60</t>
  </si>
  <si>
    <t>5.60</t>
  </si>
  <si>
    <t>8.96</t>
  </si>
  <si>
    <t>18.80</t>
  </si>
  <si>
    <t>11.96</t>
  </si>
  <si>
    <t>15.93</t>
  </si>
  <si>
    <t>12.71</t>
  </si>
  <si>
    <t>4.97</t>
  </si>
  <si>
    <t>15.38</t>
  </si>
  <si>
    <t>6.60</t>
  </si>
  <si>
    <t>10.19</t>
  </si>
  <si>
    <t>10.87</t>
  </si>
  <si>
    <t>10.85</t>
  </si>
  <si>
    <t>6.35</t>
  </si>
  <si>
    <t>7.79</t>
  </si>
  <si>
    <t>13.89</t>
  </si>
  <si>
    <t>4.84</t>
  </si>
  <si>
    <t>13.78</t>
  </si>
  <si>
    <t>6.24</t>
  </si>
  <si>
    <t>12.49</t>
  </si>
  <si>
    <t>9.44</t>
  </si>
  <si>
    <t>12.02</t>
  </si>
  <si>
    <t>8.86</t>
  </si>
  <si>
    <t>11.79</t>
  </si>
  <si>
    <t>4.59</t>
  </si>
  <si>
    <t>14.34</t>
  </si>
  <si>
    <t>4.41</t>
  </si>
  <si>
    <t>11.53</t>
  </si>
  <si>
    <t>15.26</t>
  </si>
  <si>
    <t>8.22</t>
  </si>
  <si>
    <t>17.44</t>
  </si>
  <si>
    <t>3.97</t>
  </si>
  <si>
    <t>10.83</t>
  </si>
  <si>
    <t>5.57</t>
  </si>
  <si>
    <t>8.59</t>
  </si>
  <si>
    <t>6.57</t>
  </si>
  <si>
    <t>9.68</t>
  </si>
  <si>
    <t>6.39</t>
  </si>
  <si>
    <t>11.32</t>
  </si>
  <si>
    <t>7.70</t>
  </si>
  <si>
    <t>3.93</t>
  </si>
  <si>
    <t>7.59</t>
  </si>
  <si>
    <t>4.81</t>
  </si>
  <si>
    <t>15.52</t>
  </si>
  <si>
    <t>16.42</t>
  </si>
  <si>
    <t>18.25</t>
  </si>
  <si>
    <t>8.64</t>
  </si>
  <si>
    <t>10.11</t>
  </si>
  <si>
    <t>3.71</t>
  </si>
  <si>
    <t>13.06</t>
  </si>
  <si>
    <t>9.63</t>
  </si>
  <si>
    <t>10.23</t>
  </si>
  <si>
    <t>9.87</t>
  </si>
  <si>
    <t>13.45</t>
  </si>
  <si>
    <t>6.22</t>
  </si>
  <si>
    <t>7.12</t>
  </si>
  <si>
    <t>12.58</t>
  </si>
  <si>
    <t>4.10</t>
  </si>
  <si>
    <t>12.11</t>
  </si>
  <si>
    <t>11.54</t>
  </si>
  <si>
    <t>9.00</t>
  </si>
  <si>
    <t>11.42</t>
  </si>
  <si>
    <t>10.76</t>
  </si>
  <si>
    <t>14.52</t>
  </si>
  <si>
    <t>10.33</t>
  </si>
  <si>
    <t>11.38</t>
  </si>
  <si>
    <t>8.28</t>
  </si>
  <si>
    <t>12.04</t>
  </si>
  <si>
    <t>6.46</t>
  </si>
  <si>
    <t>15.11</t>
  </si>
  <si>
    <t>5.76</t>
  </si>
  <si>
    <t>10.58</t>
  </si>
  <si>
    <t>9.31</t>
  </si>
  <si>
    <t>10.31</t>
  </si>
  <si>
    <t>10.88</t>
  </si>
  <si>
    <t>9.10</t>
  </si>
  <si>
    <t>4.99</t>
  </si>
  <si>
    <t>11.02</t>
  </si>
  <si>
    <t>7.68</t>
  </si>
  <si>
    <t>10.12</t>
  </si>
  <si>
    <t>8.00</t>
  </si>
  <si>
    <t>8.20</t>
  </si>
  <si>
    <t>10.06</t>
  </si>
  <si>
    <t>9.51</t>
  </si>
  <si>
    <t>3.50</t>
  </si>
  <si>
    <t>8.61</t>
  </si>
  <si>
    <t>5.19</t>
  </si>
  <si>
    <t>9.60</t>
  </si>
  <si>
    <t>3.83</t>
  </si>
  <si>
    <t>9.25</t>
  </si>
  <si>
    <t>5.30</t>
  </si>
  <si>
    <t>5.15</t>
  </si>
  <si>
    <t>4.61</t>
  </si>
  <si>
    <t>0.00</t>
  </si>
  <si>
    <t>3.15</t>
  </si>
  <si>
    <t>1.65</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</si>
</sst>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00"/>
    <numFmt numFmtId="166" formatCode="#,##0\ &quot;ms&quot;"/>
    <numFmt numFmtId="167" formatCode="0.0%"/>
    <numFmt numFmtId="168" formatCode="00"/>
    <numFmt numFmtId="169" formatCode="#,##0.000000000"/>
    <numFmt numFmtId="170" formatCode="yyyy\-dd\-mm"/>
  </numFmts>
  <fonts count="13" x14ac:knownFonts="1">
    <font>
      <sz val="10"/>
      <color rgb="FF000000"/>
      <name val="Arial"/>
    </font>
    <font>
      <b/>
      <sz val="10"/>
      <name val="Arial"/>
    </font>
    <font>
      <b/>
      <sz val="12"/>
      <name val="Arial"/>
    </font>
    <font>
      <sz val="10"/>
      <name val="Arial"/>
    </font>
    <font>
      <b/>
      <u/>
      <sz val="10"/>
      <color rgb="FF0000FF"/>
      <name val="Arial"/>
    </font>
    <font>
      <sz val="10"/>
      <color rgb="FFFFFFFF"/>
      <name val="Arial"/>
    </font>
    <font>
      <sz val="10"/>
      <color rgb="FF000000"/>
      <name val="Arial"/>
    </font>
    <font>
      <b/>
      <sz val="10"/>
      <color rgb="FFFFFFFF"/>
      <name val="Arial"/>
    </font>
    <font>
      <sz val="10"/>
      <name val="Arial"/>
    </font>
    <font>
      <sz val="10"/>
      <color rgb="FF434343"/>
      <name val="Arial"/>
    </font>
    <font>
      <b/>
      <sz val="12"/>
      <color rgb="FF000000"/>
      <name val="Arial"/>
    </font>
    <font>
      <sz val="10"/>
      <name val="Arial"/>
    </font>
    <font>
      <b/>
      <sz val="10"/>
      <color rgb="FF000000"/>
      <name val="Arial"/>
    </font>
  </fonts>
  <fills count="11">
    <fill>
      <patternFill patternType="none"/>
    </fill>
    <fill>
      <patternFill patternType="gray125"/>
    </fill>
    <fill>
      <patternFill patternType="solid">
        <fgColor rgb="FFFF0000"/>
        <bgColor rgb="FFFF0000"/>
      </patternFill>
    </fill>
    <fill>
      <patternFill patternType="solid">
        <fgColor rgb="FFB7B7B7"/>
        <bgColor rgb="FFB7B7B7"/>
      </patternFill>
    </fill>
    <fill>
      <patternFill patternType="solid">
        <fgColor rgb="FFFFFFFF"/>
        <bgColor rgb="FFFFFFFF"/>
      </patternFill>
    </fill>
    <fill>
      <patternFill patternType="solid">
        <fgColor rgb="FF434343"/>
        <bgColor rgb="FF434343"/>
      </patternFill>
    </fill>
    <fill>
      <patternFill patternType="solid">
        <fgColor rgb="FF999999"/>
        <bgColor rgb="FF999999"/>
      </patternFill>
    </fill>
    <fill>
      <patternFill patternType="solid">
        <fgColor rgb="FF666666"/>
        <bgColor rgb="FF666666"/>
      </patternFill>
    </fill>
    <fill>
      <patternFill patternType="solid">
        <fgColor rgb="FF6AA84F"/>
        <bgColor rgb="FF6AA84F"/>
      </patternFill>
    </fill>
    <fill>
      <patternFill patternType="solid">
        <fgColor rgb="FFFFFF00"/>
        <bgColor rgb="FFFFFF00"/>
      </patternFill>
    </fill>
    <fill>
      <patternFill patternType="solid">
        <fgColor rgb="FFCCCCCC"/>
        <bgColor rgb="FFCCCCCC"/>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4">
    <xf numFmtId="0" fontId="0" fillId="0" borderId="0" xfId="0" applyFont="1" applyAlignment="1"/>
    <xf numFmtId="0" fontId="1" fillId="0" borderId="0" xfId="0" applyFont="1" applyAlignment="1">
      <alignment horizontal="center" vertical="center" wrapText="1"/>
    </xf>
    <xf numFmtId="0" fontId="1" fillId="0" borderId="0" xfId="0" applyFont="1"/>
    <xf numFmtId="0" fontId="3" fillId="0" borderId="0" xfId="0" applyFont="1" applyAlignment="1"/>
    <xf numFmtId="0" fontId="3" fillId="0" borderId="0" xfId="0" applyFont="1" applyAlignment="1">
      <alignment horizontal="center" vertical="center" wrapText="1"/>
    </xf>
    <xf numFmtId="0" fontId="3" fillId="0" borderId="0" xfId="0" applyFont="1" applyAlignment="1">
      <alignment horizontal="center" vertical="center"/>
    </xf>
    <xf numFmtId="0" fontId="1" fillId="2"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5" fillId="5" borderId="0" xfId="0" applyFont="1" applyFill="1" applyAlignment="1">
      <alignment horizontal="center" vertical="center" wrapText="1"/>
    </xf>
    <xf numFmtId="0" fontId="1" fillId="3" borderId="5" xfId="0" applyFont="1" applyFill="1" applyBorder="1" applyAlignment="1">
      <alignment horizontal="center" vertical="center" wrapText="1"/>
    </xf>
    <xf numFmtId="165"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7" fillId="7" borderId="1" xfId="0" applyFont="1" applyFill="1" applyBorder="1" applyAlignment="1">
      <alignment horizontal="center" vertical="center" wrapText="1"/>
    </xf>
    <xf numFmtId="3" fontId="3" fillId="0" borderId="1" xfId="0" applyNumberFormat="1" applyFont="1" applyBorder="1" applyAlignment="1">
      <alignment horizontal="center" vertical="center" wrapText="1"/>
    </xf>
    <xf numFmtId="0" fontId="6"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166" fontId="3" fillId="0" borderId="1" xfId="0" applyNumberFormat="1" applyFont="1" applyBorder="1" applyAlignment="1">
      <alignment horizontal="center" vertical="center" wrapText="1"/>
    </xf>
    <xf numFmtId="0" fontId="6" fillId="4" borderId="1" xfId="0" applyFont="1" applyFill="1" applyBorder="1" applyAlignment="1">
      <alignment horizontal="center" vertical="center" wrapText="1"/>
    </xf>
    <xf numFmtId="164" fontId="3" fillId="0" borderId="1" xfId="0" applyNumberFormat="1" applyFont="1" applyBorder="1" applyAlignment="1">
      <alignment horizontal="center" vertical="center" wrapText="1"/>
    </xf>
    <xf numFmtId="3" fontId="3" fillId="0" borderId="1" xfId="0" applyNumberFormat="1" applyFont="1" applyBorder="1" applyAlignment="1">
      <alignment horizontal="center" vertical="center" wrapText="1"/>
    </xf>
    <xf numFmtId="3" fontId="0" fillId="0" borderId="1" xfId="0" applyNumberFormat="1" applyFont="1" applyBorder="1" applyAlignment="1">
      <alignment horizontal="center" vertical="center"/>
    </xf>
    <xf numFmtId="3" fontId="6" fillId="0" borderId="1" xfId="0" applyNumberFormat="1" applyFont="1" applyBorder="1" applyAlignment="1">
      <alignment horizontal="center" vertical="center"/>
    </xf>
    <xf numFmtId="9" fontId="6" fillId="0" borderId="1" xfId="0" applyNumberFormat="1" applyFont="1" applyBorder="1" applyAlignment="1">
      <alignment horizontal="center" vertical="center"/>
    </xf>
    <xf numFmtId="9" fontId="0" fillId="0" borderId="1" xfId="0" applyNumberFormat="1" applyFont="1" applyBorder="1" applyAlignment="1">
      <alignment horizontal="center" vertical="center"/>
    </xf>
    <xf numFmtId="164" fontId="5" fillId="5" borderId="0" xfId="0" applyNumberFormat="1" applyFont="1" applyFill="1" applyAlignment="1">
      <alignment horizontal="center" vertical="center" wrapText="1"/>
    </xf>
    <xf numFmtId="9" fontId="3" fillId="0" borderId="1" xfId="0" applyNumberFormat="1" applyFont="1" applyBorder="1" applyAlignment="1">
      <alignment horizontal="center" vertical="center"/>
    </xf>
    <xf numFmtId="165" fontId="6" fillId="0" borderId="1" xfId="0" applyNumberFormat="1" applyFont="1" applyBorder="1" applyAlignment="1">
      <alignment horizontal="center" vertical="center"/>
    </xf>
    <xf numFmtId="3" fontId="5" fillId="5" borderId="0" xfId="0" applyNumberFormat="1" applyFont="1" applyFill="1" applyAlignment="1">
      <alignment horizontal="center" vertical="center" wrapText="1"/>
    </xf>
    <xf numFmtId="0" fontId="6" fillId="0" borderId="1" xfId="0" applyFont="1" applyBorder="1" applyAlignment="1">
      <alignment horizontal="center" vertical="center"/>
    </xf>
    <xf numFmtId="0" fontId="8" fillId="0" borderId="1" xfId="0" applyFont="1" applyBorder="1" applyAlignment="1">
      <alignment horizontal="center" vertical="center"/>
    </xf>
    <xf numFmtId="3" fontId="8" fillId="0" borderId="1" xfId="0" applyNumberFormat="1" applyFont="1" applyBorder="1" applyAlignment="1">
      <alignment horizontal="center" vertical="center"/>
    </xf>
    <xf numFmtId="4" fontId="8" fillId="0" borderId="1" xfId="0" applyNumberFormat="1" applyFont="1" applyBorder="1" applyAlignment="1">
      <alignment horizontal="center" vertical="center"/>
    </xf>
    <xf numFmtId="167" fontId="3" fillId="0" borderId="1" xfId="0" applyNumberFormat="1" applyFont="1" applyBorder="1" applyAlignment="1">
      <alignment horizontal="center" vertical="center" wrapText="1"/>
    </xf>
    <xf numFmtId="4" fontId="3" fillId="0" borderId="1" xfId="0" applyNumberFormat="1" applyFont="1" applyBorder="1" applyAlignment="1">
      <alignment horizontal="center" vertical="center" wrapText="1"/>
    </xf>
    <xf numFmtId="166" fontId="5" fillId="5" borderId="0" xfId="0" applyNumberFormat="1" applyFont="1" applyFill="1" applyAlignment="1">
      <alignment horizontal="center" vertical="center" wrapText="1"/>
    </xf>
    <xf numFmtId="167" fontId="5" fillId="5" borderId="0" xfId="0" applyNumberFormat="1" applyFont="1" applyFill="1" applyAlignment="1">
      <alignment horizontal="center" vertical="center" wrapText="1"/>
    </xf>
    <xf numFmtId="164" fontId="5" fillId="5" borderId="0" xfId="0" applyNumberFormat="1" applyFont="1" applyFill="1" applyAlignment="1">
      <alignment horizontal="center" vertical="center" wrapText="1"/>
    </xf>
    <xf numFmtId="4" fontId="5" fillId="5" borderId="0" xfId="0" applyNumberFormat="1" applyFont="1" applyFill="1" applyAlignment="1">
      <alignment horizontal="center" vertical="center" wrapText="1"/>
    </xf>
    <xf numFmtId="4" fontId="5" fillId="5" borderId="0" xfId="0" applyNumberFormat="1" applyFont="1" applyFill="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168" fontId="3" fillId="0" borderId="1" xfId="0" applyNumberFormat="1" applyFont="1" applyBorder="1" applyAlignment="1">
      <alignment horizontal="center" vertical="center"/>
    </xf>
    <xf numFmtId="0" fontId="6" fillId="0" borderId="1" xfId="0" applyFont="1" applyBorder="1" applyAlignment="1">
      <alignment horizontal="center" vertical="center"/>
    </xf>
    <xf numFmtId="0" fontId="6" fillId="4" borderId="1" xfId="0" applyFont="1" applyFill="1" applyBorder="1" applyAlignment="1">
      <alignment horizontal="center" vertical="center"/>
    </xf>
    <xf numFmtId="4" fontId="3" fillId="0" borderId="1" xfId="0" applyNumberFormat="1" applyFont="1" applyBorder="1" applyAlignment="1">
      <alignment horizontal="center" vertical="center"/>
    </xf>
    <xf numFmtId="1" fontId="3" fillId="0" borderId="0" xfId="0" applyNumberFormat="1" applyFont="1"/>
    <xf numFmtId="0" fontId="3" fillId="4" borderId="0" xfId="0" applyFont="1" applyFill="1"/>
    <xf numFmtId="0" fontId="1" fillId="3" borderId="1" xfId="0" applyFont="1" applyFill="1" applyBorder="1" applyAlignment="1">
      <alignment horizontal="center" vertical="center"/>
    </xf>
    <xf numFmtId="164" fontId="3" fillId="0" borderId="1" xfId="0" applyNumberFormat="1" applyFont="1" applyBorder="1" applyAlignment="1">
      <alignment horizontal="center" vertical="center"/>
    </xf>
    <xf numFmtId="169" fontId="3" fillId="0" borderId="1" xfId="0" applyNumberFormat="1" applyFont="1" applyBorder="1" applyAlignment="1">
      <alignment horizontal="center" vertical="center"/>
    </xf>
    <xf numFmtId="3" fontId="3" fillId="8" borderId="1" xfId="0" applyNumberFormat="1" applyFont="1" applyFill="1" applyBorder="1" applyAlignment="1">
      <alignment horizontal="center" vertical="center" wrapText="1"/>
    </xf>
    <xf numFmtId="3" fontId="3" fillId="9" borderId="1" xfId="0" applyNumberFormat="1" applyFont="1" applyFill="1" applyBorder="1" applyAlignment="1">
      <alignment horizontal="center" vertical="center" wrapText="1"/>
    </xf>
    <xf numFmtId="3" fontId="3" fillId="2" borderId="1" xfId="0" applyNumberFormat="1" applyFont="1" applyFill="1" applyBorder="1" applyAlignment="1">
      <alignment horizontal="center" vertical="center" wrapText="1"/>
    </xf>
    <xf numFmtId="0" fontId="6" fillId="4" borderId="1" xfId="0" applyFont="1" applyFill="1" applyBorder="1" applyAlignment="1">
      <alignment horizontal="center" vertical="center"/>
    </xf>
    <xf numFmtId="0" fontId="3" fillId="4" borderId="1" xfId="0" applyFont="1" applyFill="1" applyBorder="1" applyAlignment="1">
      <alignment horizontal="center" vertical="center"/>
    </xf>
    <xf numFmtId="4" fontId="3" fillId="8" borderId="1" xfId="0" applyNumberFormat="1" applyFont="1" applyFill="1" applyBorder="1" applyAlignment="1">
      <alignment horizontal="center" vertical="center" wrapText="1"/>
    </xf>
    <xf numFmtId="4" fontId="3" fillId="9" borderId="1" xfId="0" applyNumberFormat="1" applyFont="1" applyFill="1" applyBorder="1" applyAlignment="1">
      <alignment horizontal="center" vertical="center" wrapText="1"/>
    </xf>
    <xf numFmtId="4" fontId="3" fillId="2" borderId="1" xfId="0" applyNumberFormat="1" applyFont="1" applyFill="1" applyBorder="1" applyAlignment="1">
      <alignment horizontal="center" vertical="center" wrapText="1"/>
    </xf>
    <xf numFmtId="0" fontId="3" fillId="5" borderId="0" xfId="0" applyFont="1" applyFill="1"/>
    <xf numFmtId="0" fontId="9" fillId="5" borderId="0" xfId="0" applyFont="1" applyFill="1"/>
    <xf numFmtId="164" fontId="3" fillId="8" borderId="1" xfId="0" applyNumberFormat="1" applyFont="1" applyFill="1" applyBorder="1" applyAlignment="1">
      <alignment horizontal="center" vertical="center" wrapText="1"/>
    </xf>
    <xf numFmtId="164" fontId="3" fillId="9" borderId="1" xfId="0" applyNumberFormat="1" applyFon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166" fontId="3" fillId="8" borderId="1" xfId="0" applyNumberFormat="1" applyFont="1" applyFill="1" applyBorder="1" applyAlignment="1">
      <alignment horizontal="center" vertical="center" wrapText="1"/>
    </xf>
    <xf numFmtId="166" fontId="3" fillId="9" borderId="1" xfId="0" applyNumberFormat="1" applyFont="1" applyFill="1" applyBorder="1" applyAlignment="1">
      <alignment horizontal="center" vertical="center" wrapText="1"/>
    </xf>
    <xf numFmtId="166" fontId="3" fillId="2" borderId="1" xfId="0" applyNumberFormat="1" applyFont="1" applyFill="1" applyBorder="1" applyAlignment="1">
      <alignment horizontal="center" vertical="center" wrapText="1"/>
    </xf>
    <xf numFmtId="167" fontId="3" fillId="8" borderId="1" xfId="0" applyNumberFormat="1" applyFont="1" applyFill="1" applyBorder="1" applyAlignment="1">
      <alignment horizontal="center" vertical="center" wrapText="1"/>
    </xf>
    <xf numFmtId="167" fontId="3" fillId="9" borderId="1" xfId="0" applyNumberFormat="1" applyFont="1" applyFill="1" applyBorder="1" applyAlignment="1">
      <alignment horizontal="center" vertical="center" wrapText="1"/>
    </xf>
    <xf numFmtId="167" fontId="3" fillId="2" borderId="1" xfId="0" applyNumberFormat="1" applyFont="1" applyFill="1" applyBorder="1" applyAlignment="1">
      <alignment horizontal="center" vertical="center" wrapText="1"/>
    </xf>
    <xf numFmtId="0" fontId="3" fillId="0" borderId="0" xfId="0" applyFont="1" applyAlignment="1">
      <alignment horizontal="center" vertical="center" wrapText="1"/>
    </xf>
    <xf numFmtId="0" fontId="11" fillId="0" borderId="0" xfId="0" applyFont="1"/>
    <xf numFmtId="0" fontId="12" fillId="10" borderId="1" xfId="0" applyFont="1" applyFill="1" applyBorder="1" applyAlignment="1">
      <alignment horizontal="center" vertical="center" wrapText="1"/>
    </xf>
    <xf numFmtId="164" fontId="0" fillId="0" borderId="1" xfId="0" applyNumberFormat="1" applyFont="1" applyBorder="1" applyAlignment="1">
      <alignment horizontal="center" vertical="center"/>
    </xf>
    <xf numFmtId="0" fontId="0" fillId="0" borderId="1" xfId="0" applyFont="1" applyBorder="1" applyAlignment="1">
      <alignment horizontal="left" vertical="top" wrapText="1"/>
    </xf>
    <xf numFmtId="170" fontId="0" fillId="0" borderId="1" xfId="0" applyNumberFormat="1" applyFont="1" applyBorder="1" applyAlignment="1">
      <alignment horizontal="center" vertical="center"/>
    </xf>
    <xf numFmtId="0" fontId="0" fillId="0" borderId="0" xfId="0" applyFont="1" applyAlignment="1"/>
    <xf numFmtId="0" fontId="12" fillId="10" borderId="7"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top" wrapText="1"/>
    </xf>
    <xf numFmtId="0" fontId="0" fillId="0" borderId="1" xfId="0" applyFont="1" applyBorder="1" applyAlignment="1">
      <alignment horizontal="center" vertical="center" wrapText="1"/>
    </xf>
    <xf numFmtId="0" fontId="0" fillId="0" borderId="0" xfId="0" applyFont="1" applyAlignment="1"/>
    <xf numFmtId="0" fontId="3" fillId="0" borderId="0" xfId="0" applyFont="1" applyAlignment="1">
      <alignment vertical="top"/>
    </xf>
    <xf numFmtId="0" fontId="6" fillId="0" borderId="0" xfId="0" applyFont="1" applyAlignment="1">
      <alignment horizontal="center" vertical="center"/>
    </xf>
    <xf numFmtId="0" fontId="3" fillId="0" borderId="0" xfId="0" applyFont="1" applyAlignment="1">
      <alignment horizontal="center" vertical="center"/>
    </xf>
    <xf numFmtId="3" fontId="0" fillId="0" borderId="0" xfId="0" applyNumberFormat="1" applyFont="1" applyAlignment="1">
      <alignment horizontal="center" vertical="center"/>
    </xf>
    <xf numFmtId="3" fontId="3" fillId="0" borderId="1" xfId="0" applyNumberFormat="1" applyFont="1" applyBorder="1" applyAlignment="1">
      <alignment horizontal="center" vertical="center"/>
    </xf>
    <xf numFmtId="3" fontId="3" fillId="0" borderId="1" xfId="0" applyNumberFormat="1" applyFont="1" applyBorder="1" applyAlignment="1">
      <alignment horizontal="center" vertical="center"/>
    </xf>
    <xf numFmtId="9" fontId="3" fillId="0" borderId="1" xfId="0" applyNumberFormat="1" applyFont="1" applyBorder="1" applyAlignment="1">
      <alignment horizontal="center" vertical="center"/>
    </xf>
    <xf numFmtId="0" fontId="3" fillId="0" borderId="0" xfId="0" applyFont="1" applyAlignment="1">
      <alignment horizontal="center"/>
    </xf>
    <xf numFmtId="0" fontId="0" fillId="0" borderId="0" xfId="0" applyFont="1" applyAlignment="1"/>
    <xf numFmtId="0" fontId="2" fillId="0" borderId="0" xfId="0" applyFont="1" applyAlignment="1">
      <alignment horizontal="center" vertical="center" wrapText="1"/>
    </xf>
    <xf numFmtId="0" fontId="0" fillId="0" borderId="0" xfId="0" applyFont="1" applyAlignment="1"/>
    <xf numFmtId="0" fontId="3" fillId="0" borderId="0" xfId="0" applyFont="1" applyAlignment="1">
      <alignment horizontal="center" vertical="center" wrapText="1"/>
    </xf>
    <xf numFmtId="0" fontId="1" fillId="6" borderId="2" xfId="0" applyFont="1" applyFill="1" applyBorder="1" applyAlignment="1">
      <alignment horizontal="center" vertical="center" wrapText="1"/>
    </xf>
    <xf numFmtId="0" fontId="3" fillId="0" borderId="4" xfId="0" applyFont="1" applyBorder="1"/>
    <xf numFmtId="0" fontId="6" fillId="0" borderId="2" xfId="0" applyFont="1" applyBorder="1" applyAlignment="1">
      <alignment horizontal="center" vertical="center"/>
    </xf>
    <xf numFmtId="0" fontId="3" fillId="0" borderId="3" xfId="0" applyFont="1" applyBorder="1"/>
    <xf numFmtId="0" fontId="4" fillId="0" borderId="0" xfId="0" applyFont="1" applyAlignment="1">
      <alignment horizontal="center" vertical="center" wrapText="1"/>
    </xf>
    <xf numFmtId="0" fontId="1" fillId="3" borderId="2" xfId="0" applyFont="1" applyFill="1" applyBorder="1" applyAlignment="1">
      <alignment horizontal="center" vertical="center" wrapText="1"/>
    </xf>
    <xf numFmtId="164" fontId="3" fillId="4" borderId="2" xfId="0" applyNumberFormat="1" applyFont="1" applyFill="1" applyBorder="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2" fillId="4" borderId="0" xfId="0" applyFont="1" applyFill="1" applyAlignment="1">
      <alignment horizontal="center" vertical="center"/>
    </xf>
    <xf numFmtId="0" fontId="3" fillId="4" borderId="0" xfId="0" applyFont="1" applyFill="1" applyAlignment="1">
      <alignment horizontal="center" vertical="center"/>
    </xf>
    <xf numFmtId="4" fontId="3" fillId="0" borderId="2" xfId="0" applyNumberFormat="1" applyFont="1" applyBorder="1" applyAlignment="1">
      <alignment horizontal="center" vertical="center" wrapText="1"/>
    </xf>
    <xf numFmtId="166" fontId="3" fillId="0" borderId="2" xfId="0" applyNumberFormat="1" applyFont="1" applyBorder="1" applyAlignment="1">
      <alignment horizontal="center" vertical="center" wrapText="1"/>
    </xf>
    <xf numFmtId="4" fontId="3" fillId="0" borderId="2" xfId="0" applyNumberFormat="1" applyFont="1" applyBorder="1" applyAlignment="1">
      <alignment horizontal="center" vertical="center"/>
    </xf>
    <xf numFmtId="167" fontId="3" fillId="0" borderId="2"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10" fillId="0" borderId="6" xfId="0" applyFont="1" applyBorder="1" applyAlignment="1">
      <alignment horizontal="center" vertical="center"/>
    </xf>
    <xf numFmtId="0" fontId="3" fillId="0" borderId="6" xfId="0" applyFont="1" applyBorder="1"/>
    <xf numFmtId="0" fontId="10" fillId="0" borderId="0" xfId="0" applyFont="1" applyAlignment="1">
      <alignment horizontal="center" vertical="center"/>
    </xf>
  </cellXfs>
  <cellStyles count="1">
    <cellStyle name="Normal" xfId="0" builtinId="0"/>
  </cellStyles>
  <dxfs count="144">
    <dxf>
      <fill>
        <patternFill patternType="solid">
          <fgColor rgb="FF434343"/>
          <bgColor rgb="FF434343"/>
        </patternFill>
      </fill>
      <border>
        <left/>
        <right/>
        <top/>
        <bottom/>
      </border>
    </dxf>
    <dxf>
      <fill>
        <patternFill patternType="solid">
          <fgColor rgb="FF6890F0"/>
          <bgColor rgb="FF6890F0"/>
        </patternFill>
      </fill>
      <border>
        <left/>
        <right/>
        <top/>
        <bottom/>
      </border>
    </dxf>
    <dxf>
      <fill>
        <patternFill patternType="solid">
          <fgColor rgb="FFB8B8D0"/>
          <bgColor rgb="FFB8B8D0"/>
        </patternFill>
      </fill>
      <border>
        <left/>
        <right/>
        <top/>
        <bottom/>
      </border>
    </dxf>
    <dxf>
      <fill>
        <patternFill patternType="solid">
          <fgColor rgb="FFB8A038"/>
          <bgColor rgb="FFB8A038"/>
        </patternFill>
      </fill>
      <border>
        <left/>
        <right/>
        <top/>
        <bottom/>
      </border>
    </dxf>
    <dxf>
      <fill>
        <patternFill patternType="solid">
          <fgColor rgb="FFF85888"/>
          <bgColor rgb="FFF85888"/>
        </patternFill>
      </fill>
      <border>
        <left/>
        <right/>
        <top/>
        <bottom/>
      </border>
    </dxf>
    <dxf>
      <fill>
        <patternFill patternType="solid">
          <fgColor rgb="FFA040A0"/>
          <bgColor rgb="FFA040A0"/>
        </patternFill>
      </fill>
      <border>
        <left/>
        <right/>
        <top/>
        <bottom/>
      </border>
    </dxf>
    <dxf>
      <fill>
        <patternFill patternType="solid">
          <fgColor rgb="FFA8A878"/>
          <bgColor rgb="FFA8A878"/>
        </patternFill>
      </fill>
      <border>
        <left/>
        <right/>
        <top/>
        <bottom/>
      </border>
    </dxf>
    <dxf>
      <fill>
        <patternFill patternType="solid">
          <fgColor rgb="FF98D8D8"/>
          <bgColor rgb="FF98D8D8"/>
        </patternFill>
      </fill>
      <border>
        <left/>
        <right/>
        <top/>
        <bottom/>
      </border>
    </dxf>
    <dxf>
      <fill>
        <patternFill patternType="solid">
          <fgColor rgb="FFE0C068"/>
          <bgColor rgb="FFE0C068"/>
        </patternFill>
      </fill>
      <border>
        <left/>
        <right/>
        <top/>
        <bottom/>
      </border>
    </dxf>
    <dxf>
      <fill>
        <patternFill patternType="solid">
          <fgColor rgb="FF78C850"/>
          <bgColor rgb="FF78C850"/>
        </patternFill>
      </fill>
      <border>
        <left/>
        <right/>
        <top/>
        <bottom/>
      </border>
    </dxf>
    <dxf>
      <fill>
        <patternFill patternType="solid">
          <fgColor rgb="FF705898"/>
          <bgColor rgb="FF705898"/>
        </patternFill>
      </fill>
      <border>
        <left/>
        <right/>
        <top/>
        <bottom/>
      </border>
    </dxf>
    <dxf>
      <fill>
        <patternFill patternType="solid">
          <fgColor rgb="FFA890F0"/>
          <bgColor rgb="FFA890F0"/>
        </patternFill>
      </fill>
      <border>
        <left/>
        <right/>
        <top/>
        <bottom/>
      </border>
    </dxf>
    <dxf>
      <fill>
        <patternFill patternType="solid">
          <fgColor rgb="FFF08030"/>
          <bgColor rgb="FFF08030"/>
        </patternFill>
      </fill>
      <border>
        <left/>
        <right/>
        <top/>
        <bottom/>
      </border>
    </dxf>
    <dxf>
      <fill>
        <patternFill patternType="solid">
          <fgColor rgb="FFC03028"/>
          <bgColor rgb="FFC03028"/>
        </patternFill>
      </fill>
      <border>
        <left/>
        <right/>
        <top/>
        <bottom/>
      </border>
    </dxf>
    <dxf>
      <fill>
        <patternFill patternType="solid">
          <fgColor rgb="FFEE99AC"/>
          <bgColor rgb="FFEE99AC"/>
        </patternFill>
      </fill>
      <border>
        <left/>
        <right/>
        <top/>
        <bottom/>
      </border>
    </dxf>
    <dxf>
      <fill>
        <patternFill patternType="solid">
          <fgColor rgb="FFF8D030"/>
          <bgColor rgb="FFF8D030"/>
        </patternFill>
      </fill>
      <border>
        <left/>
        <right/>
        <top/>
        <bottom/>
      </border>
    </dxf>
    <dxf>
      <fill>
        <patternFill patternType="solid">
          <fgColor rgb="FF705848"/>
          <bgColor rgb="FF705848"/>
        </patternFill>
      </fill>
      <border>
        <left/>
        <right/>
        <top/>
        <bottom/>
      </border>
    </dxf>
    <dxf>
      <fill>
        <patternFill patternType="solid">
          <fgColor rgb="FF7038F8"/>
          <bgColor rgb="FF7038F8"/>
        </patternFill>
      </fill>
      <border>
        <left/>
        <right/>
        <top/>
        <bottom/>
      </border>
    </dxf>
    <dxf>
      <fill>
        <patternFill patternType="solid">
          <fgColor rgb="FFA8B820"/>
          <bgColor rgb="FFA8B820"/>
        </patternFill>
      </fill>
      <border>
        <left/>
        <right/>
        <top/>
        <bottom/>
      </border>
    </dxf>
    <dxf>
      <fill>
        <patternFill patternType="solid">
          <fgColor rgb="FF6AA84F"/>
          <bgColor rgb="FF6AA84F"/>
        </patternFill>
      </fill>
      <border>
        <left/>
        <right/>
        <top/>
        <bottom/>
      </border>
    </dxf>
    <dxf>
      <fill>
        <patternFill patternType="solid">
          <fgColor rgb="FFFF0000"/>
          <bgColor rgb="FFFF0000"/>
        </patternFill>
      </fill>
      <border>
        <left/>
        <right/>
        <top/>
        <bottom/>
      </border>
    </dxf>
    <dxf>
      <fill>
        <patternFill patternType="solid">
          <fgColor rgb="FF6AA84F"/>
          <bgColor rgb="FF6AA84F"/>
        </patternFill>
      </fill>
      <border>
        <left/>
        <right/>
        <top/>
        <bottom/>
      </border>
    </dxf>
    <dxf>
      <fill>
        <patternFill patternType="solid">
          <fgColor rgb="FFFF0000"/>
          <bgColor rgb="FFFF0000"/>
        </patternFill>
      </fill>
      <border>
        <left/>
        <right/>
        <top/>
        <bottom/>
      </border>
    </dxf>
    <dxf>
      <fill>
        <patternFill patternType="solid">
          <fgColor rgb="FF6890F0"/>
          <bgColor rgb="FF6890F0"/>
        </patternFill>
      </fill>
      <border>
        <left/>
        <right/>
        <top/>
        <bottom/>
      </border>
    </dxf>
    <dxf>
      <fill>
        <patternFill patternType="solid">
          <fgColor rgb="FFB8B8D0"/>
          <bgColor rgb="FFB8B8D0"/>
        </patternFill>
      </fill>
      <border>
        <left/>
        <right/>
        <top/>
        <bottom/>
      </border>
    </dxf>
    <dxf>
      <fill>
        <patternFill patternType="solid">
          <fgColor rgb="FFB8A038"/>
          <bgColor rgb="FFB8A038"/>
        </patternFill>
      </fill>
      <border>
        <left/>
        <right/>
        <top/>
        <bottom/>
      </border>
    </dxf>
    <dxf>
      <fill>
        <patternFill patternType="solid">
          <fgColor rgb="FFF85888"/>
          <bgColor rgb="FFF85888"/>
        </patternFill>
      </fill>
      <border>
        <left/>
        <right/>
        <top/>
        <bottom/>
      </border>
    </dxf>
    <dxf>
      <fill>
        <patternFill patternType="solid">
          <fgColor rgb="FFA040A0"/>
          <bgColor rgb="FFA040A0"/>
        </patternFill>
      </fill>
      <border>
        <left/>
        <right/>
        <top/>
        <bottom/>
      </border>
    </dxf>
    <dxf>
      <fill>
        <patternFill patternType="solid">
          <fgColor rgb="FFA8A878"/>
          <bgColor rgb="FFA8A878"/>
        </patternFill>
      </fill>
      <border>
        <left/>
        <right/>
        <top/>
        <bottom/>
      </border>
    </dxf>
    <dxf>
      <fill>
        <patternFill patternType="solid">
          <fgColor rgb="FF98D8D8"/>
          <bgColor rgb="FF98D8D8"/>
        </patternFill>
      </fill>
      <border>
        <left/>
        <right/>
        <top/>
        <bottom/>
      </border>
    </dxf>
    <dxf>
      <fill>
        <patternFill patternType="solid">
          <fgColor rgb="FFE0C068"/>
          <bgColor rgb="FFE0C068"/>
        </patternFill>
      </fill>
      <border>
        <left/>
        <right/>
        <top/>
        <bottom/>
      </border>
    </dxf>
    <dxf>
      <fill>
        <patternFill patternType="solid">
          <fgColor rgb="FF78C850"/>
          <bgColor rgb="FF78C850"/>
        </patternFill>
      </fill>
      <border>
        <left/>
        <right/>
        <top/>
        <bottom/>
      </border>
    </dxf>
    <dxf>
      <fill>
        <patternFill patternType="solid">
          <fgColor rgb="FF705898"/>
          <bgColor rgb="FF705898"/>
        </patternFill>
      </fill>
      <border>
        <left/>
        <right/>
        <top/>
        <bottom/>
      </border>
    </dxf>
    <dxf>
      <fill>
        <patternFill patternType="solid">
          <fgColor rgb="FFA890F0"/>
          <bgColor rgb="FFA890F0"/>
        </patternFill>
      </fill>
      <border>
        <left/>
        <right/>
        <top/>
        <bottom/>
      </border>
    </dxf>
    <dxf>
      <fill>
        <patternFill patternType="solid">
          <fgColor rgb="FFF08030"/>
          <bgColor rgb="FFF08030"/>
        </patternFill>
      </fill>
      <border>
        <left/>
        <right/>
        <top/>
        <bottom/>
      </border>
    </dxf>
    <dxf>
      <fill>
        <patternFill patternType="solid">
          <fgColor rgb="FFC03028"/>
          <bgColor rgb="FFC03028"/>
        </patternFill>
      </fill>
      <border>
        <left/>
        <right/>
        <top/>
        <bottom/>
      </border>
    </dxf>
    <dxf>
      <fill>
        <patternFill patternType="solid">
          <fgColor rgb="FFEE99AC"/>
          <bgColor rgb="FFEE99AC"/>
        </patternFill>
      </fill>
      <border>
        <left/>
        <right/>
        <top/>
        <bottom/>
      </border>
    </dxf>
    <dxf>
      <fill>
        <patternFill patternType="solid">
          <fgColor rgb="FFF8D030"/>
          <bgColor rgb="FFF8D030"/>
        </patternFill>
      </fill>
      <border>
        <left/>
        <right/>
        <top/>
        <bottom/>
      </border>
    </dxf>
    <dxf>
      <fill>
        <patternFill patternType="solid">
          <fgColor rgb="FF705848"/>
          <bgColor rgb="FF705848"/>
        </patternFill>
      </fill>
      <border>
        <left/>
        <right/>
        <top/>
        <bottom/>
      </border>
    </dxf>
    <dxf>
      <fill>
        <patternFill patternType="solid">
          <fgColor rgb="FF7038F8"/>
          <bgColor rgb="FF7038F8"/>
        </patternFill>
      </fill>
      <border>
        <left/>
        <right/>
        <top/>
        <bottom/>
      </border>
    </dxf>
    <dxf>
      <fill>
        <patternFill patternType="solid">
          <fgColor rgb="FFA8B820"/>
          <bgColor rgb="FFA8B820"/>
        </patternFill>
      </fill>
      <border>
        <left/>
        <right/>
        <top/>
        <bottom/>
      </border>
    </dxf>
    <dxf>
      <fill>
        <patternFill patternType="solid">
          <fgColor rgb="FF434343"/>
          <bgColor rgb="FF434343"/>
        </patternFill>
      </fill>
      <border>
        <left/>
        <right/>
        <top/>
        <bottom/>
      </border>
    </dxf>
    <dxf>
      <fill>
        <patternFill patternType="solid">
          <fgColor rgb="FF6890F0"/>
          <bgColor rgb="FF6890F0"/>
        </patternFill>
      </fill>
      <border>
        <left/>
        <right/>
        <top/>
        <bottom/>
      </border>
    </dxf>
    <dxf>
      <fill>
        <patternFill patternType="solid">
          <fgColor rgb="FFB8B8D0"/>
          <bgColor rgb="FFB8B8D0"/>
        </patternFill>
      </fill>
      <border>
        <left/>
        <right/>
        <top/>
        <bottom/>
      </border>
    </dxf>
    <dxf>
      <fill>
        <patternFill patternType="solid">
          <fgColor rgb="FFB8A038"/>
          <bgColor rgb="FFB8A038"/>
        </patternFill>
      </fill>
      <border>
        <left/>
        <right/>
        <top/>
        <bottom/>
      </border>
    </dxf>
    <dxf>
      <fill>
        <patternFill patternType="solid">
          <fgColor rgb="FFF85888"/>
          <bgColor rgb="FFF85888"/>
        </patternFill>
      </fill>
      <border>
        <left/>
        <right/>
        <top/>
        <bottom/>
      </border>
    </dxf>
    <dxf>
      <fill>
        <patternFill patternType="solid">
          <fgColor rgb="FFA040A0"/>
          <bgColor rgb="FFA040A0"/>
        </patternFill>
      </fill>
      <border>
        <left/>
        <right/>
        <top/>
        <bottom/>
      </border>
    </dxf>
    <dxf>
      <fill>
        <patternFill patternType="solid">
          <fgColor rgb="FFA8A878"/>
          <bgColor rgb="FFA8A878"/>
        </patternFill>
      </fill>
      <border>
        <left/>
        <right/>
        <top/>
        <bottom/>
      </border>
    </dxf>
    <dxf>
      <fill>
        <patternFill patternType="solid">
          <fgColor rgb="FF98D8D8"/>
          <bgColor rgb="FF98D8D8"/>
        </patternFill>
      </fill>
      <border>
        <left/>
        <right/>
        <top/>
        <bottom/>
      </border>
    </dxf>
    <dxf>
      <fill>
        <patternFill patternType="solid">
          <fgColor rgb="FFE0C068"/>
          <bgColor rgb="FFE0C068"/>
        </patternFill>
      </fill>
      <border>
        <left/>
        <right/>
        <top/>
        <bottom/>
      </border>
    </dxf>
    <dxf>
      <fill>
        <patternFill patternType="solid">
          <fgColor rgb="FF78C850"/>
          <bgColor rgb="FF78C850"/>
        </patternFill>
      </fill>
      <border>
        <left/>
        <right/>
        <top/>
        <bottom/>
      </border>
    </dxf>
    <dxf>
      <fill>
        <patternFill patternType="solid">
          <fgColor rgb="FF705898"/>
          <bgColor rgb="FF705898"/>
        </patternFill>
      </fill>
      <border>
        <left/>
        <right/>
        <top/>
        <bottom/>
      </border>
    </dxf>
    <dxf>
      <fill>
        <patternFill patternType="solid">
          <fgColor rgb="FFA890F0"/>
          <bgColor rgb="FFA890F0"/>
        </patternFill>
      </fill>
      <border>
        <left/>
        <right/>
        <top/>
        <bottom/>
      </border>
    </dxf>
    <dxf>
      <fill>
        <patternFill patternType="solid">
          <fgColor rgb="FFF08030"/>
          <bgColor rgb="FFF08030"/>
        </patternFill>
      </fill>
      <border>
        <left/>
        <right/>
        <top/>
        <bottom/>
      </border>
    </dxf>
    <dxf>
      <fill>
        <patternFill patternType="solid">
          <fgColor rgb="FFC03028"/>
          <bgColor rgb="FFC03028"/>
        </patternFill>
      </fill>
      <border>
        <left/>
        <right/>
        <top/>
        <bottom/>
      </border>
    </dxf>
    <dxf>
      <fill>
        <patternFill patternType="solid">
          <fgColor rgb="FFEE99AC"/>
          <bgColor rgb="FFEE99AC"/>
        </patternFill>
      </fill>
      <border>
        <left/>
        <right/>
        <top/>
        <bottom/>
      </border>
    </dxf>
    <dxf>
      <fill>
        <patternFill patternType="solid">
          <fgColor rgb="FFF8D030"/>
          <bgColor rgb="FFF8D030"/>
        </patternFill>
      </fill>
      <border>
        <left/>
        <right/>
        <top/>
        <bottom/>
      </border>
    </dxf>
    <dxf>
      <fill>
        <patternFill patternType="solid">
          <fgColor rgb="FF705848"/>
          <bgColor rgb="FF705848"/>
        </patternFill>
      </fill>
      <border>
        <left/>
        <right/>
        <top/>
        <bottom/>
      </border>
    </dxf>
    <dxf>
      <fill>
        <patternFill patternType="solid">
          <fgColor rgb="FF7038F8"/>
          <bgColor rgb="FF7038F8"/>
        </patternFill>
      </fill>
      <border>
        <left/>
        <right/>
        <top/>
        <bottom/>
      </border>
    </dxf>
    <dxf>
      <fill>
        <patternFill patternType="solid">
          <fgColor rgb="FFA8B820"/>
          <bgColor rgb="FFA8B820"/>
        </patternFill>
      </fill>
      <border>
        <left/>
        <right/>
        <top/>
        <bottom/>
      </border>
    </dxf>
    <dxf>
      <fill>
        <patternFill patternType="solid">
          <fgColor rgb="FF434343"/>
          <bgColor rgb="FF434343"/>
        </patternFill>
      </fill>
      <border>
        <left/>
        <right/>
        <top/>
        <bottom/>
      </border>
    </dxf>
    <dxf>
      <fill>
        <patternFill patternType="solid">
          <fgColor rgb="FF6890F0"/>
          <bgColor rgb="FF6890F0"/>
        </patternFill>
      </fill>
      <border>
        <left/>
        <right/>
        <top/>
        <bottom/>
      </border>
    </dxf>
    <dxf>
      <fill>
        <patternFill patternType="solid">
          <fgColor rgb="FFB8B8D0"/>
          <bgColor rgb="FFB8B8D0"/>
        </patternFill>
      </fill>
      <border>
        <left/>
        <right/>
        <top/>
        <bottom/>
      </border>
    </dxf>
    <dxf>
      <fill>
        <patternFill patternType="solid">
          <fgColor rgb="FFB8A038"/>
          <bgColor rgb="FFB8A038"/>
        </patternFill>
      </fill>
      <border>
        <left/>
        <right/>
        <top/>
        <bottom/>
      </border>
    </dxf>
    <dxf>
      <fill>
        <patternFill patternType="solid">
          <fgColor rgb="FFF85888"/>
          <bgColor rgb="FFF85888"/>
        </patternFill>
      </fill>
      <border>
        <left/>
        <right/>
        <top/>
        <bottom/>
      </border>
    </dxf>
    <dxf>
      <fill>
        <patternFill patternType="solid">
          <fgColor rgb="FFA040A0"/>
          <bgColor rgb="FFA040A0"/>
        </patternFill>
      </fill>
      <border>
        <left/>
        <right/>
        <top/>
        <bottom/>
      </border>
    </dxf>
    <dxf>
      <fill>
        <patternFill patternType="solid">
          <fgColor rgb="FFA8A878"/>
          <bgColor rgb="FFA8A878"/>
        </patternFill>
      </fill>
      <border>
        <left/>
        <right/>
        <top/>
        <bottom/>
      </border>
    </dxf>
    <dxf>
      <fill>
        <patternFill patternType="solid">
          <fgColor rgb="FF98D8D8"/>
          <bgColor rgb="FF98D8D8"/>
        </patternFill>
      </fill>
      <border>
        <left/>
        <right/>
        <top/>
        <bottom/>
      </border>
    </dxf>
    <dxf>
      <fill>
        <patternFill patternType="solid">
          <fgColor rgb="FFE0C068"/>
          <bgColor rgb="FFE0C068"/>
        </patternFill>
      </fill>
      <border>
        <left/>
        <right/>
        <top/>
        <bottom/>
      </border>
    </dxf>
    <dxf>
      <fill>
        <patternFill patternType="solid">
          <fgColor rgb="FF78C850"/>
          <bgColor rgb="FF78C850"/>
        </patternFill>
      </fill>
      <border>
        <left/>
        <right/>
        <top/>
        <bottom/>
      </border>
    </dxf>
    <dxf>
      <fill>
        <patternFill patternType="solid">
          <fgColor rgb="FF705898"/>
          <bgColor rgb="FF705898"/>
        </patternFill>
      </fill>
      <border>
        <left/>
        <right/>
        <top/>
        <bottom/>
      </border>
    </dxf>
    <dxf>
      <fill>
        <patternFill patternType="solid">
          <fgColor rgb="FFA890F0"/>
          <bgColor rgb="FFA890F0"/>
        </patternFill>
      </fill>
      <border>
        <left/>
        <right/>
        <top/>
        <bottom/>
      </border>
    </dxf>
    <dxf>
      <fill>
        <patternFill patternType="solid">
          <fgColor rgb="FFF08030"/>
          <bgColor rgb="FFF08030"/>
        </patternFill>
      </fill>
      <border>
        <left/>
        <right/>
        <top/>
        <bottom/>
      </border>
    </dxf>
    <dxf>
      <fill>
        <patternFill patternType="solid">
          <fgColor rgb="FFC03028"/>
          <bgColor rgb="FFC03028"/>
        </patternFill>
      </fill>
      <border>
        <left/>
        <right/>
        <top/>
        <bottom/>
      </border>
    </dxf>
    <dxf>
      <fill>
        <patternFill patternType="solid">
          <fgColor rgb="FFEE99AC"/>
          <bgColor rgb="FFEE99AC"/>
        </patternFill>
      </fill>
      <border>
        <left/>
        <right/>
        <top/>
        <bottom/>
      </border>
    </dxf>
    <dxf>
      <fill>
        <patternFill patternType="solid">
          <fgColor rgb="FFF8D030"/>
          <bgColor rgb="FFF8D030"/>
        </patternFill>
      </fill>
      <border>
        <left/>
        <right/>
        <top/>
        <bottom/>
      </border>
    </dxf>
    <dxf>
      <fill>
        <patternFill patternType="solid">
          <fgColor rgb="FF705848"/>
          <bgColor rgb="FF705848"/>
        </patternFill>
      </fill>
      <border>
        <left/>
        <right/>
        <top/>
        <bottom/>
      </border>
    </dxf>
    <dxf>
      <fill>
        <patternFill patternType="solid">
          <fgColor rgb="FF7038F8"/>
          <bgColor rgb="FF7038F8"/>
        </patternFill>
      </fill>
      <border>
        <left/>
        <right/>
        <top/>
        <bottom/>
      </border>
    </dxf>
    <dxf>
      <fill>
        <patternFill patternType="solid">
          <fgColor rgb="FFA8B820"/>
          <bgColor rgb="FFA8B820"/>
        </patternFill>
      </fill>
      <border>
        <left/>
        <right/>
        <top/>
        <bottom/>
      </border>
    </dxf>
    <dxf>
      <fill>
        <patternFill patternType="solid">
          <fgColor rgb="FF434343"/>
          <bgColor rgb="FF434343"/>
        </patternFill>
      </fill>
      <border>
        <left/>
        <right/>
        <top/>
        <bottom/>
      </border>
    </dxf>
    <dxf>
      <fill>
        <patternFill patternType="solid">
          <fgColor rgb="FF6890F0"/>
          <bgColor rgb="FF6890F0"/>
        </patternFill>
      </fill>
      <border>
        <left/>
        <right/>
        <top/>
        <bottom/>
      </border>
    </dxf>
    <dxf>
      <fill>
        <patternFill patternType="solid">
          <fgColor rgb="FFB8B8D0"/>
          <bgColor rgb="FFB8B8D0"/>
        </patternFill>
      </fill>
      <border>
        <left/>
        <right/>
        <top/>
        <bottom/>
      </border>
    </dxf>
    <dxf>
      <fill>
        <patternFill patternType="solid">
          <fgColor rgb="FFB8A038"/>
          <bgColor rgb="FFB8A038"/>
        </patternFill>
      </fill>
      <border>
        <left/>
        <right/>
        <top/>
        <bottom/>
      </border>
    </dxf>
    <dxf>
      <fill>
        <patternFill patternType="solid">
          <fgColor rgb="FFF85888"/>
          <bgColor rgb="FFF85888"/>
        </patternFill>
      </fill>
      <border>
        <left/>
        <right/>
        <top/>
        <bottom/>
      </border>
    </dxf>
    <dxf>
      <fill>
        <patternFill patternType="solid">
          <fgColor rgb="FFA040A0"/>
          <bgColor rgb="FFA040A0"/>
        </patternFill>
      </fill>
      <border>
        <left/>
        <right/>
        <top/>
        <bottom/>
      </border>
    </dxf>
    <dxf>
      <fill>
        <patternFill patternType="solid">
          <fgColor rgb="FFA8A878"/>
          <bgColor rgb="FFA8A878"/>
        </patternFill>
      </fill>
      <border>
        <left/>
        <right/>
        <top/>
        <bottom/>
      </border>
    </dxf>
    <dxf>
      <fill>
        <patternFill patternType="solid">
          <fgColor rgb="FF98D8D8"/>
          <bgColor rgb="FF98D8D8"/>
        </patternFill>
      </fill>
      <border>
        <left/>
        <right/>
        <top/>
        <bottom/>
      </border>
    </dxf>
    <dxf>
      <fill>
        <patternFill patternType="solid">
          <fgColor rgb="FFE0C068"/>
          <bgColor rgb="FFE0C068"/>
        </patternFill>
      </fill>
      <border>
        <left/>
        <right/>
        <top/>
        <bottom/>
      </border>
    </dxf>
    <dxf>
      <fill>
        <patternFill patternType="solid">
          <fgColor rgb="FF78C850"/>
          <bgColor rgb="FF78C850"/>
        </patternFill>
      </fill>
      <border>
        <left/>
        <right/>
        <top/>
        <bottom/>
      </border>
    </dxf>
    <dxf>
      <fill>
        <patternFill patternType="solid">
          <fgColor rgb="FF705898"/>
          <bgColor rgb="FF705898"/>
        </patternFill>
      </fill>
      <border>
        <left/>
        <right/>
        <top/>
        <bottom/>
      </border>
    </dxf>
    <dxf>
      <fill>
        <patternFill patternType="solid">
          <fgColor rgb="FFA890F0"/>
          <bgColor rgb="FFA890F0"/>
        </patternFill>
      </fill>
      <border>
        <left/>
        <right/>
        <top/>
        <bottom/>
      </border>
    </dxf>
    <dxf>
      <fill>
        <patternFill patternType="solid">
          <fgColor rgb="FFF08030"/>
          <bgColor rgb="FFF08030"/>
        </patternFill>
      </fill>
      <border>
        <left/>
        <right/>
        <top/>
        <bottom/>
      </border>
    </dxf>
    <dxf>
      <fill>
        <patternFill patternType="solid">
          <fgColor rgb="FFC03028"/>
          <bgColor rgb="FFC03028"/>
        </patternFill>
      </fill>
      <border>
        <left/>
        <right/>
        <top/>
        <bottom/>
      </border>
    </dxf>
    <dxf>
      <fill>
        <patternFill patternType="solid">
          <fgColor rgb="FFEE99AC"/>
          <bgColor rgb="FFEE99AC"/>
        </patternFill>
      </fill>
      <border>
        <left/>
        <right/>
        <top/>
        <bottom/>
      </border>
    </dxf>
    <dxf>
      <fill>
        <patternFill patternType="solid">
          <fgColor rgb="FFF8D030"/>
          <bgColor rgb="FFF8D030"/>
        </patternFill>
      </fill>
      <border>
        <left/>
        <right/>
        <top/>
        <bottom/>
      </border>
    </dxf>
    <dxf>
      <fill>
        <patternFill patternType="solid">
          <fgColor rgb="FF705848"/>
          <bgColor rgb="FF705848"/>
        </patternFill>
      </fill>
      <border>
        <left/>
        <right/>
        <top/>
        <bottom/>
      </border>
    </dxf>
    <dxf>
      <fill>
        <patternFill patternType="solid">
          <fgColor rgb="FF7038F8"/>
          <bgColor rgb="FF7038F8"/>
        </patternFill>
      </fill>
      <border>
        <left/>
        <right/>
        <top/>
        <bottom/>
      </border>
    </dxf>
    <dxf>
      <fill>
        <patternFill patternType="solid">
          <fgColor rgb="FFA8B820"/>
          <bgColor rgb="FFA8B82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6AA84F"/>
          <bgColor rgb="FF6AA84F"/>
        </patternFill>
      </fill>
      <border>
        <left/>
        <right/>
        <top/>
        <bottom/>
      </border>
    </dxf>
    <dxf>
      <fill>
        <patternFill patternType="solid">
          <fgColor rgb="FFFF0000"/>
          <bgColor rgb="FFFF0000"/>
        </patternFill>
      </fill>
      <border>
        <left/>
        <right/>
        <top/>
        <bottom/>
      </border>
    </dxf>
    <dxf>
      <fill>
        <patternFill patternType="solid">
          <fgColor rgb="FFFFFF00"/>
          <bgColor rgb="FFFFFF00"/>
        </patternFill>
      </fill>
      <border>
        <left/>
        <right/>
        <top/>
        <bottom/>
      </border>
    </dxf>
    <dxf>
      <fill>
        <patternFill patternType="solid">
          <fgColor rgb="FF6AA84F"/>
          <bgColor rgb="FF6AA84F"/>
        </patternFill>
      </fill>
      <border>
        <left/>
        <right/>
        <top/>
        <bottom/>
      </border>
    </dxf>
    <dxf>
      <fill>
        <patternFill patternType="solid">
          <fgColor rgb="FF434343"/>
          <bgColor rgb="FF434343"/>
        </patternFill>
      </fill>
      <border>
        <left/>
        <right/>
        <top/>
        <bottom/>
      </border>
    </dxf>
    <dxf>
      <fill>
        <patternFill patternType="solid">
          <fgColor rgb="FF6890F0"/>
          <bgColor rgb="FF6890F0"/>
        </patternFill>
      </fill>
      <border>
        <left/>
        <right/>
        <top/>
        <bottom/>
      </border>
    </dxf>
    <dxf>
      <fill>
        <patternFill patternType="solid">
          <fgColor rgb="FFB8B8D0"/>
          <bgColor rgb="FFB8B8D0"/>
        </patternFill>
      </fill>
      <border>
        <left/>
        <right/>
        <top/>
        <bottom/>
      </border>
    </dxf>
    <dxf>
      <fill>
        <patternFill patternType="solid">
          <fgColor rgb="FFB8A038"/>
          <bgColor rgb="FFB8A038"/>
        </patternFill>
      </fill>
      <border>
        <left/>
        <right/>
        <top/>
        <bottom/>
      </border>
    </dxf>
    <dxf>
      <fill>
        <patternFill patternType="solid">
          <fgColor rgb="FFF85888"/>
          <bgColor rgb="FFF85888"/>
        </patternFill>
      </fill>
      <border>
        <left/>
        <right/>
        <top/>
        <bottom/>
      </border>
    </dxf>
    <dxf>
      <fill>
        <patternFill patternType="solid">
          <fgColor rgb="FFA040A0"/>
          <bgColor rgb="FFA040A0"/>
        </patternFill>
      </fill>
      <border>
        <left/>
        <right/>
        <top/>
        <bottom/>
      </border>
    </dxf>
    <dxf>
      <fill>
        <patternFill patternType="solid">
          <fgColor rgb="FFA8A878"/>
          <bgColor rgb="FFA8A878"/>
        </patternFill>
      </fill>
      <border>
        <left/>
        <right/>
        <top/>
        <bottom/>
      </border>
    </dxf>
    <dxf>
      <fill>
        <patternFill patternType="solid">
          <fgColor rgb="FF98D8D8"/>
          <bgColor rgb="FF98D8D8"/>
        </patternFill>
      </fill>
      <border>
        <left/>
        <right/>
        <top/>
        <bottom/>
      </border>
    </dxf>
    <dxf>
      <fill>
        <patternFill patternType="solid">
          <fgColor rgb="FFE0C068"/>
          <bgColor rgb="FFE0C068"/>
        </patternFill>
      </fill>
      <border>
        <left/>
        <right/>
        <top/>
        <bottom/>
      </border>
    </dxf>
    <dxf>
      <fill>
        <patternFill patternType="solid">
          <fgColor rgb="FF78C850"/>
          <bgColor rgb="FF78C850"/>
        </patternFill>
      </fill>
      <border>
        <left/>
        <right/>
        <top/>
        <bottom/>
      </border>
    </dxf>
    <dxf>
      <fill>
        <patternFill patternType="solid">
          <fgColor rgb="FF705898"/>
          <bgColor rgb="FF705898"/>
        </patternFill>
      </fill>
      <border>
        <left/>
        <right/>
        <top/>
        <bottom/>
      </border>
    </dxf>
    <dxf>
      <fill>
        <patternFill patternType="solid">
          <fgColor rgb="FFA890F0"/>
          <bgColor rgb="FFA890F0"/>
        </patternFill>
      </fill>
      <border>
        <left/>
        <right/>
        <top/>
        <bottom/>
      </border>
    </dxf>
    <dxf>
      <fill>
        <patternFill patternType="solid">
          <fgColor rgb="FFF08030"/>
          <bgColor rgb="FFF08030"/>
        </patternFill>
      </fill>
      <border>
        <left/>
        <right/>
        <top/>
        <bottom/>
      </border>
    </dxf>
    <dxf>
      <fill>
        <patternFill patternType="solid">
          <fgColor rgb="FFC03028"/>
          <bgColor rgb="FFC03028"/>
        </patternFill>
      </fill>
      <border>
        <left/>
        <right/>
        <top/>
        <bottom/>
      </border>
    </dxf>
    <dxf>
      <fill>
        <patternFill patternType="solid">
          <fgColor rgb="FFEE99AC"/>
          <bgColor rgb="FFEE99AC"/>
        </patternFill>
      </fill>
      <border>
        <left/>
        <right/>
        <top/>
        <bottom/>
      </border>
    </dxf>
    <dxf>
      <fill>
        <patternFill patternType="solid">
          <fgColor rgb="FFF8D030"/>
          <bgColor rgb="FFF8D030"/>
        </patternFill>
      </fill>
      <border>
        <left/>
        <right/>
        <top/>
        <bottom/>
      </border>
    </dxf>
    <dxf>
      <fill>
        <patternFill patternType="solid">
          <fgColor rgb="FF705848"/>
          <bgColor rgb="FF705848"/>
        </patternFill>
      </fill>
      <border>
        <left/>
        <right/>
        <top/>
        <bottom/>
      </border>
    </dxf>
    <dxf>
      <fill>
        <patternFill patternType="solid">
          <fgColor rgb="FF7038F8"/>
          <bgColor rgb="FF7038F8"/>
        </patternFill>
      </fill>
      <border>
        <left/>
        <right/>
        <top/>
        <bottom/>
      </border>
    </dxf>
    <dxf>
      <fill>
        <patternFill patternType="solid">
          <fgColor rgb="FFA8B820"/>
          <bgColor rgb="FFA8B820"/>
        </patternFill>
      </fill>
      <border>
        <left/>
        <right/>
        <top/>
        <bottom/>
      </border>
    </dxf>
    <dxf>
      <fill>
        <patternFill patternType="solid">
          <fgColor rgb="FF434343"/>
          <bgColor rgb="FF434343"/>
        </patternFill>
      </fill>
      <border>
        <left/>
        <right/>
        <top/>
        <bottom/>
      </border>
    </dxf>
    <dxf>
      <font>
        <b/>
      </font>
      <fill>
        <patternFill patternType="solid">
          <fgColor rgb="FFA4C2F4"/>
          <bgColor rgb="FFA4C2F4"/>
        </patternFill>
      </fill>
      <border>
        <left/>
        <right/>
        <top/>
        <bottom/>
      </border>
    </dxf>
    <dxf>
      <fill>
        <patternFill patternType="solid">
          <fgColor rgb="FF434343"/>
          <bgColor rgb="FF434343"/>
        </patternFill>
      </fill>
      <border>
        <left/>
        <right/>
        <top/>
        <bottom/>
      </border>
    </dxf>
    <dxf>
      <fill>
        <patternFill patternType="solid">
          <fgColor rgb="FF6890F0"/>
          <bgColor rgb="FF6890F0"/>
        </patternFill>
      </fill>
      <border>
        <left/>
        <right/>
        <top/>
        <bottom/>
      </border>
    </dxf>
    <dxf>
      <fill>
        <patternFill patternType="solid">
          <fgColor rgb="FFB8B8D0"/>
          <bgColor rgb="FFB8B8D0"/>
        </patternFill>
      </fill>
      <border>
        <left/>
        <right/>
        <top/>
        <bottom/>
      </border>
    </dxf>
    <dxf>
      <fill>
        <patternFill patternType="solid">
          <fgColor rgb="FFB8A038"/>
          <bgColor rgb="FFB8A038"/>
        </patternFill>
      </fill>
      <border>
        <left/>
        <right/>
        <top/>
        <bottom/>
      </border>
    </dxf>
    <dxf>
      <fill>
        <patternFill patternType="solid">
          <fgColor rgb="FFF85888"/>
          <bgColor rgb="FFF85888"/>
        </patternFill>
      </fill>
      <border>
        <left/>
        <right/>
        <top/>
        <bottom/>
      </border>
    </dxf>
    <dxf>
      <fill>
        <patternFill patternType="solid">
          <fgColor rgb="FFA040A0"/>
          <bgColor rgb="FFA040A0"/>
        </patternFill>
      </fill>
      <border>
        <left/>
        <right/>
        <top/>
        <bottom/>
      </border>
    </dxf>
    <dxf>
      <fill>
        <patternFill patternType="solid">
          <fgColor rgb="FFA8A878"/>
          <bgColor rgb="FFA8A878"/>
        </patternFill>
      </fill>
      <border>
        <left/>
        <right/>
        <top/>
        <bottom/>
      </border>
    </dxf>
    <dxf>
      <fill>
        <patternFill patternType="solid">
          <fgColor rgb="FF98D8D8"/>
          <bgColor rgb="FF98D8D8"/>
        </patternFill>
      </fill>
      <border>
        <left/>
        <right/>
        <top/>
        <bottom/>
      </border>
    </dxf>
    <dxf>
      <fill>
        <patternFill patternType="solid">
          <fgColor rgb="FFE0C068"/>
          <bgColor rgb="FFE0C068"/>
        </patternFill>
      </fill>
      <border>
        <left/>
        <right/>
        <top/>
        <bottom/>
      </border>
    </dxf>
    <dxf>
      <fill>
        <patternFill patternType="solid">
          <fgColor rgb="FF78C850"/>
          <bgColor rgb="FF78C850"/>
        </patternFill>
      </fill>
      <border>
        <left/>
        <right/>
        <top/>
        <bottom/>
      </border>
    </dxf>
    <dxf>
      <fill>
        <patternFill patternType="solid">
          <fgColor rgb="FF705898"/>
          <bgColor rgb="FF705898"/>
        </patternFill>
      </fill>
      <border>
        <left/>
        <right/>
        <top/>
        <bottom/>
      </border>
    </dxf>
    <dxf>
      <fill>
        <patternFill patternType="solid">
          <fgColor rgb="FFA890F0"/>
          <bgColor rgb="FFA890F0"/>
        </patternFill>
      </fill>
      <border>
        <left/>
        <right/>
        <top/>
        <bottom/>
      </border>
    </dxf>
    <dxf>
      <fill>
        <patternFill patternType="solid">
          <fgColor rgb="FFF08030"/>
          <bgColor rgb="FFF08030"/>
        </patternFill>
      </fill>
      <border>
        <left/>
        <right/>
        <top/>
        <bottom/>
      </border>
    </dxf>
    <dxf>
      <fill>
        <patternFill patternType="solid">
          <fgColor rgb="FFC03028"/>
          <bgColor rgb="FFC03028"/>
        </patternFill>
      </fill>
      <border>
        <left/>
        <right/>
        <top/>
        <bottom/>
      </border>
    </dxf>
    <dxf>
      <fill>
        <patternFill patternType="solid">
          <fgColor rgb="FFEE99AC"/>
          <bgColor rgb="FFEE99AC"/>
        </patternFill>
      </fill>
      <border>
        <left/>
        <right/>
        <top/>
        <bottom/>
      </border>
    </dxf>
    <dxf>
      <fill>
        <patternFill patternType="solid">
          <fgColor rgb="FFF8D030"/>
          <bgColor rgb="FFF8D030"/>
        </patternFill>
      </fill>
      <border>
        <left/>
        <right/>
        <top/>
        <bottom/>
      </border>
    </dxf>
    <dxf>
      <fill>
        <patternFill patternType="solid">
          <fgColor rgb="FF705848"/>
          <bgColor rgb="FF705848"/>
        </patternFill>
      </fill>
      <border>
        <left/>
        <right/>
        <top/>
        <bottom/>
      </border>
    </dxf>
    <dxf>
      <fill>
        <patternFill patternType="solid">
          <fgColor rgb="FF7038F8"/>
          <bgColor rgb="FF7038F8"/>
        </patternFill>
      </fill>
      <border>
        <left/>
        <right/>
        <top/>
        <bottom/>
      </border>
    </dxf>
    <dxf>
      <fill>
        <patternFill patternType="solid">
          <fgColor rgb="FFA8B820"/>
          <bgColor rgb="FFA8B82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19050</xdr:colOff>
      <xdr:row>51</xdr:row>
      <xdr:rowOff>57150</xdr:rowOff>
    </xdr:to>
    <xdr:sp macro="" textlink="">
      <xdr:nvSpPr>
        <xdr:cNvPr id="6168" name="Rectangle 2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19050</xdr:colOff>
      <xdr:row>51</xdr:row>
      <xdr:rowOff>57150</xdr:rowOff>
    </xdr:to>
    <xdr:sp macro="" textlink="">
      <xdr:nvSpPr>
        <xdr:cNvPr id="2" name="Rectangle 2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9525</xdr:colOff>
      <xdr:row>57</xdr:row>
      <xdr:rowOff>47625</xdr:rowOff>
    </xdr:to>
    <xdr:sp macro="" textlink="">
      <xdr:nvSpPr>
        <xdr:cNvPr id="3080"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15</xdr:col>
      <xdr:colOff>9525</xdr:colOff>
      <xdr:row>57</xdr:row>
      <xdr:rowOff>47625</xdr:rowOff>
    </xdr:to>
    <xdr:sp macro="" textlink="">
      <xdr:nvSpPr>
        <xdr:cNvPr id="2"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628650</xdr:colOff>
      <xdr:row>48</xdr:row>
      <xdr:rowOff>0</xdr:rowOff>
    </xdr:to>
    <xdr:sp macro="" textlink="">
      <xdr:nvSpPr>
        <xdr:cNvPr id="1033"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628650</xdr:colOff>
      <xdr:row>48</xdr:row>
      <xdr:rowOff>0</xdr:rowOff>
    </xdr:to>
    <xdr:sp macro="" textlink="">
      <xdr:nvSpPr>
        <xdr:cNvPr id="2"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742950</xdr:colOff>
      <xdr:row>48</xdr:row>
      <xdr:rowOff>114300</xdr:rowOff>
    </xdr:to>
    <xdr:sp macro="" textlink="">
      <xdr:nvSpPr>
        <xdr:cNvPr id="2059"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742950</xdr:colOff>
      <xdr:row>48</xdr:row>
      <xdr:rowOff>114300</xdr:rowOff>
    </xdr:to>
    <xdr:sp macro="" textlink="">
      <xdr:nvSpPr>
        <xdr:cNvPr id="2"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923925</xdr:colOff>
      <xdr:row>48</xdr:row>
      <xdr:rowOff>114300</xdr:rowOff>
    </xdr:to>
    <xdr:sp macro="" textlink="">
      <xdr:nvSpPr>
        <xdr:cNvPr id="5125"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923925</xdr:colOff>
      <xdr:row>48</xdr:row>
      <xdr:rowOff>114300</xdr:rowOff>
    </xdr:to>
    <xdr:sp macro="" textlink="">
      <xdr:nvSpPr>
        <xdr:cNvPr id="2"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38100</xdr:colOff>
      <xdr:row>49</xdr:row>
      <xdr:rowOff>66675</xdr:rowOff>
    </xdr:to>
    <xdr:sp macro="" textlink="">
      <xdr:nvSpPr>
        <xdr:cNvPr id="4116" name="Rectangle 20"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38100</xdr:colOff>
      <xdr:row>49</xdr:row>
      <xdr:rowOff>66675</xdr:rowOff>
    </xdr:to>
    <xdr:sp macro="" textlink="">
      <xdr:nvSpPr>
        <xdr:cNvPr id="2" name="Rectangle 20"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ddit.com/r/TheSilphRoad/comments/4vcobt/posthotfix_pokemon_go_full_moveset_rankings/d5x9pj7" TargetMode="External"/><Relationship Id="rId2" Type="http://schemas.openxmlformats.org/officeDocument/2006/relationships/hyperlink" Target="https://www.reddit.com/r/TheSilphRoad/comments/4wwqjj/speciesmoveset_analysis_tool_based_on_professor/" TargetMode="External"/><Relationship Id="rId1" Type="http://schemas.openxmlformats.org/officeDocument/2006/relationships/hyperlink" Target="https://docs.google.com/spreadsheets/d/1fTrOFQ0pVdVTfcEJdqQBqqIaFe55oaryz1CpxWY7vV0/copy"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2.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503"/>
  <sheetViews>
    <sheetView showGridLines="0" workbookViewId="0">
      <pane ySplit="5" topLeftCell="A6" activePane="bottomLeft" state="frozen"/>
      <selection pane="bottomLeft" activeCell="B7" sqref="B7"/>
    </sheetView>
  </sheetViews>
  <sheetFormatPr defaultColWidth="14.42578125" defaultRowHeight="15.75" customHeight="1" x14ac:dyDescent="0.2"/>
  <cols>
    <col min="1" max="1" width="14.42578125" hidden="1" customWidth="1"/>
    <col min="2" max="2" width="14.5703125" hidden="1" customWidth="1"/>
    <col min="3" max="3" width="8.28515625" customWidth="1"/>
    <col min="4" max="4" width="7.5703125" customWidth="1"/>
    <col min="5" max="5" width="8.28515625" customWidth="1"/>
    <col min="6" max="6" width="7.5703125" customWidth="1"/>
    <col min="7" max="9" width="8.28515625" customWidth="1"/>
    <col min="10" max="12" width="7.5703125" customWidth="1"/>
    <col min="13" max="13" width="7.7109375" customWidth="1"/>
    <col min="14" max="14" width="14.28515625" customWidth="1"/>
    <col min="15" max="15" width="20.5703125" customWidth="1"/>
    <col min="16" max="16" width="20.7109375" customWidth="1"/>
    <col min="17" max="20" width="10.7109375" customWidth="1"/>
    <col min="21" max="22" width="14.85546875" hidden="1" customWidth="1"/>
    <col min="23" max="24" width="12.85546875" hidden="1" customWidth="1"/>
    <col min="25" max="26" width="10.7109375" customWidth="1"/>
    <col min="27" max="27" width="0" hidden="1"/>
  </cols>
  <sheetData>
    <row r="1" spans="1:27" ht="14.25" customHeight="1" x14ac:dyDescent="0.2">
      <c r="A1" s="1"/>
      <c r="B1" s="92" t="s">
        <v>0</v>
      </c>
      <c r="C1" s="93"/>
      <c r="D1" s="93"/>
      <c r="E1" s="93"/>
      <c r="F1" s="93"/>
      <c r="G1" s="93"/>
      <c r="H1" s="93"/>
      <c r="I1" s="93"/>
      <c r="J1" s="93"/>
      <c r="K1" s="93"/>
      <c r="L1" s="93"/>
      <c r="M1" s="93"/>
      <c r="N1" s="93"/>
      <c r="O1" s="93"/>
      <c r="P1" s="93"/>
      <c r="Q1" s="93"/>
      <c r="R1" s="93"/>
      <c r="S1" s="93"/>
      <c r="T1" s="93"/>
      <c r="U1" s="93"/>
      <c r="V1" s="93"/>
      <c r="W1" s="93"/>
      <c r="X1" s="93"/>
      <c r="Y1" s="93"/>
      <c r="Z1" s="93"/>
    </row>
    <row r="2" spans="1:27" ht="33" customHeight="1" x14ac:dyDescent="0.2">
      <c r="A2" s="1"/>
      <c r="D2" s="4"/>
      <c r="E2" s="94" t="s">
        <v>3</v>
      </c>
      <c r="F2" s="93"/>
      <c r="G2" s="93"/>
      <c r="H2" s="93"/>
      <c r="I2" s="93"/>
      <c r="J2" s="93"/>
      <c r="K2" s="93"/>
      <c r="L2" s="93"/>
      <c r="M2" s="93"/>
      <c r="N2" s="93"/>
      <c r="O2" s="93"/>
      <c r="P2" s="93"/>
      <c r="Q2" s="93"/>
      <c r="R2" s="93"/>
      <c r="S2" s="93"/>
      <c r="T2" s="93"/>
      <c r="U2" s="4"/>
      <c r="V2" s="4"/>
      <c r="W2" s="4"/>
      <c r="X2" s="4"/>
      <c r="Y2" s="4"/>
      <c r="Z2" s="4"/>
    </row>
    <row r="3" spans="1:27" ht="14.25" customHeight="1" x14ac:dyDescent="0.2">
      <c r="A3" s="1"/>
      <c r="B3" s="1"/>
      <c r="C3" s="1"/>
      <c r="D3" s="1"/>
      <c r="E3" s="99" t="str">
        <f>HYPERLINK("https://docs.google.com/spreadsheets/d/1fTrOFQ0pVdVTfcEJdqQBqqIaFe55oaryz1CpxWY7vV0/copy","MAKE A COPY")</f>
        <v>MAKE A COPY</v>
      </c>
      <c r="F3" s="93"/>
      <c r="G3" s="93"/>
      <c r="H3" s="99" t="str">
        <f>HYPERLINK("https://www.reddit.com/r/TheSilphRoad/comments/4wwqjj/speciesmoveset_analysis_tool_based_on_professor/","LATEST ANALYSIS")</f>
        <v>LATEST ANALYSIS</v>
      </c>
      <c r="I3" s="93"/>
      <c r="J3" s="93"/>
      <c r="K3" s="99" t="str">
        <f>HYPERLINK("https://www.reddit.com/r/TheSilphRoad/comments/4vcobt/posthotfix_pokemon_go_full_moveset_rankings/d5x9pj7","ORIGINAL ANALYSIS")</f>
        <v>ORIGINAL ANALYSIS</v>
      </c>
      <c r="L3" s="93"/>
      <c r="M3" s="93"/>
      <c r="N3" s="1"/>
      <c r="O3" s="100" t="s">
        <v>7</v>
      </c>
      <c r="P3" s="96"/>
      <c r="Q3" s="97"/>
      <c r="R3" s="98"/>
      <c r="S3" s="97"/>
      <c r="T3" s="98"/>
      <c r="U3" s="1"/>
      <c r="V3" s="1"/>
      <c r="W3" s="1"/>
      <c r="X3" s="1"/>
      <c r="Y3" s="1"/>
      <c r="Z3" s="1"/>
    </row>
    <row r="4" spans="1:27" ht="14.25" customHeight="1" x14ac:dyDescent="0.2">
      <c r="A4" s="1"/>
      <c r="B4" s="1"/>
      <c r="C4" s="95" t="s">
        <v>28</v>
      </c>
      <c r="D4" s="96"/>
      <c r="E4" s="96"/>
      <c r="F4" s="98"/>
      <c r="G4" s="95" t="s">
        <v>29</v>
      </c>
      <c r="H4" s="96"/>
      <c r="I4" s="96"/>
      <c r="J4" s="96"/>
      <c r="K4" s="96"/>
      <c r="L4" s="98"/>
      <c r="M4" s="95" t="s">
        <v>30</v>
      </c>
      <c r="N4" s="96"/>
      <c r="O4" s="96"/>
      <c r="P4" s="98"/>
      <c r="Q4" s="95" t="s">
        <v>31</v>
      </c>
      <c r="R4" s="96"/>
      <c r="S4" s="96"/>
      <c r="T4" s="96"/>
      <c r="U4" s="96"/>
      <c r="V4" s="96"/>
      <c r="W4" s="96"/>
      <c r="X4" s="96"/>
      <c r="Y4" s="95" t="s">
        <v>33</v>
      </c>
      <c r="Z4" s="96"/>
    </row>
    <row r="5" spans="1:27" ht="14.25" customHeight="1" x14ac:dyDescent="0.2">
      <c r="A5" s="6" t="s">
        <v>4</v>
      </c>
      <c r="B5" s="14" t="s">
        <v>34</v>
      </c>
      <c r="C5" s="8" t="s">
        <v>36</v>
      </c>
      <c r="D5" s="8" t="s">
        <v>37</v>
      </c>
      <c r="E5" s="8" t="s">
        <v>38</v>
      </c>
      <c r="F5" s="8" t="s">
        <v>39</v>
      </c>
      <c r="G5" s="8" t="s">
        <v>40</v>
      </c>
      <c r="H5" s="8" t="s">
        <v>41</v>
      </c>
      <c r="I5" s="8" t="s">
        <v>36</v>
      </c>
      <c r="J5" s="8" t="s">
        <v>37</v>
      </c>
      <c r="K5" s="8" t="s">
        <v>38</v>
      </c>
      <c r="L5" s="8" t="s">
        <v>39</v>
      </c>
      <c r="M5" s="7" t="str">
        <f>'Species Data'!$B$4</f>
        <v>Pdex #</v>
      </c>
      <c r="N5" s="7" t="str">
        <f>'Species Data'!$C$4</f>
        <v>Species Names</v>
      </c>
      <c r="O5" s="8" t="str">
        <f>'Quick Move Data'!$C$3</f>
        <v>Quick Move Name</v>
      </c>
      <c r="P5" s="8" t="str">
        <f>'Charge Move Data'!$C$3</f>
        <v>Charge Move Name</v>
      </c>
      <c r="Q5" s="8" t="s">
        <v>45</v>
      </c>
      <c r="R5" s="8" t="s">
        <v>46</v>
      </c>
      <c r="S5" s="8" t="s">
        <v>47</v>
      </c>
      <c r="T5" s="8" t="s">
        <v>48</v>
      </c>
      <c r="U5" s="14" t="s">
        <v>49</v>
      </c>
      <c r="V5" s="14" t="s">
        <v>50</v>
      </c>
      <c r="W5" s="14" t="s">
        <v>51</v>
      </c>
      <c r="X5" s="14" t="s">
        <v>52</v>
      </c>
      <c r="Y5" s="8" t="s">
        <v>53</v>
      </c>
      <c r="Z5" s="8" t="s">
        <v>54</v>
      </c>
    </row>
    <row r="6" spans="1:27" ht="14.25" customHeight="1" x14ac:dyDescent="0.2">
      <c r="A6" s="9" t="str">
        <f>Game_Type01</f>
        <v>Bug</v>
      </c>
      <c r="B6" s="22" t="str">
        <f t="array" ref="B6">CONCATENATE(TEXT($M6,"000"),".",TEXT(INDEX(Quick_Number,MATCH($O6,Quick_Names,0)),"000"),".",TEXT(INDEX(Charge_Number,MATCH($P6,Charge_Names,0)),"000"))</f>
        <v>143.212.014</v>
      </c>
      <c r="C6" s="23" t="e">
        <f t="array" ref="C6">RANK($S6,IF(Combo_Species_Names=$N6,Combo_Gym_Offense),0)</f>
        <v>#VALUE!</v>
      </c>
      <c r="D6" s="24" t="e">
        <f t="array" ref="D6">$S6/MAX(IF(Combo_Species_Names=$N6,Combo_Gym_Offense))</f>
        <v>#VALUE!</v>
      </c>
      <c r="E6" s="23" t="e">
        <f t="array" ref="E6">RANK($Y6,IF(Combo_Species_Names=$N6,Combo_Gym_Defense),0)</f>
        <v>#VALUE!</v>
      </c>
      <c r="F6" s="25" t="e">
        <f t="array" ref="F6">$Y6/MAX(IF(Combo_Species_Names=$N6,Combo_Gym_Defense))</f>
        <v>#VALUE!</v>
      </c>
      <c r="G6" s="23" t="e">
        <f t="array" ref="G6">IF(OR(INDEX(Species_Availability,MATCH($N6,Species_Names,0))="No",INDEX(Species_Evo_Numbers,MATCH($N6,Species_Names,0))&lt;&gt;1),"N/A",RANK($R6,IF(NOT(ISNA(MATCH(Combo_Species_Names,IF(Species_Availability="Yes",IF(Species_Evo_Numbers=1,Species_Names)),0))),Combo_Duel_Ability),0))</f>
        <v>#VALUE!</v>
      </c>
      <c r="H6" s="24" t="e">
        <f t="array" ref="H6">IF(OR(INDEX(Species_Availability,MATCH($N6,Species_Names,0))="No",INDEX(Species_Evo_Numbers,MATCH($N6,Species_Names,0))&lt;&gt;1),"N/A",$R6/MAX(IF(NOT(ISNA(MATCH(Combo_Species_Names,IF(Species_Availability="Yes",IF(Species_Evo_Numbers=1,Species_Names)),0))),Combo_Duel_Ability)))</f>
        <v>#VALUE!</v>
      </c>
      <c r="I6" s="23" t="e">
        <f t="array" ref="I6">IF(OR(INDEX(Species_Availability,MATCH($N6,Species_Names,0))="No",INDEX(Species_Evo_Numbers,MATCH($N6,Species_Names,0))&lt;&gt;1),"N/A",RANK($S6,IF(NOT(ISNA(MATCH(Combo_Species_Names,IF(Species_Availability="Yes",IF(Species_Evo_Numbers=1,Species_Names)),0))),Combo_Gym_Offense),0))</f>
        <v>#VALUE!</v>
      </c>
      <c r="J6" s="27" t="e">
        <f t="array" ref="J6">IF(OR(INDEX(Species_Availability,MATCH($N6,Species_Names,0))="No",INDEX(Species_Evo_Numbers,MATCH($N6,Species_Names,0))&lt;&gt;1),"N/A",$S6/MAX(IF(NOT(ISNA(MATCH(Combo_Species_Names,IF(Species_Availability="Yes",IF(Species_Evo_Numbers=1,Species_Names)),0))),Combo_Gym_Offense)))</f>
        <v>#VALUE!</v>
      </c>
      <c r="K6" s="23" t="e">
        <f t="array" ref="K6">IF(OR(INDEX(Species_Availability,MATCH($N6,Species_Names,0))="No",INDEX(Species_Evo_Numbers,MATCH($N6,Species_Names,0))&lt;&gt;1),"N/A",RANK($Y6,IF(NOT(ISNA(MATCH(Combo_Species_Names,IF(Species_Availability="Yes",IF(Species_Evo_Numbers=1,Species_Names)),0))),Combo_Gym_Defense),0))</f>
        <v>#VALUE!</v>
      </c>
      <c r="L6" s="24" t="e">
        <f t="array" ref="L6">IF(OR(INDEX(Species_Availability,MATCH($N6,Species_Names,0))="No",INDEX(Species_Evo_Numbers,MATCH($N6,Species_Names,0))&lt;&gt;1),"N/A",$Y6/MAX(IF(NOT(ISNA(MATCH(Combo_Species_Names,IF(Species_Availability="Yes",IF(Species_Evo_Numbers=1,Species_Names)),0))),Combo_Gym_Defense)))</f>
        <v>#VALUE!</v>
      </c>
      <c r="M6" s="28">
        <f t="array" ref="M6">INDEX(Species_Pdex_Numbers,MATCH($N6,Species_Names,0))</f>
        <v>143</v>
      </c>
      <c r="N6" s="30" t="s">
        <v>127</v>
      </c>
      <c r="O6" s="31" t="s">
        <v>105</v>
      </c>
      <c r="P6" s="31" t="s">
        <v>130</v>
      </c>
      <c r="Q6" s="17" t="e">
        <f t="shared" ref="Q6:Q69" si="0">IF(OR(AND(COUNTBLANK(Combo_Opponent_Type_1)=1,COUNTBLANK(Combo_Opponent_Type_2)=0),AND(AND(COUNTBLANK(Combo_Opponent_Type_1)=0,COUNTBLANK(Combo_Opponent_Type_2)=0),Combo_Opponent_Type_1=Combo_Opponent_Type_2)),
"Check Types",IF($W6&gt;=((1-Game_Weave_Human_Error)*$X6),"Quick Only","Weave"))</f>
        <v>#VALUE!</v>
      </c>
      <c r="R6" s="32" t="e">
        <f t="array" ref="R6">IF(OR(AND(COUNTBLANK(Combo_Opponent_Type_1)=1,COUNTBLANK(Combo_Opponent_Type_2)=0),AND(AND(COUNTBLANK(Combo_Opponent_Type_1)=0,COUNTBLANK(Combo_Opponent_Type_2)=0),Combo_Opponent_Type_1=Combo_Opponent_Type_2)),
"Check Types",($S6*INDEX(Species_Tankiness,MATCH($N6,Species_Names,0)))/225)</f>
        <v>#VALUE!</v>
      </c>
      <c r="S6" s="32" t="e">
        <f t="array" ref="S6">IF(OR(AND(COUNTBLANK(Combo_Opponent_Type_1)=1,COUNTBLANK(Combo_Opponent_Type_2)=0),AND(AND(COUNTBLANK(Combo_Opponent_Type_1)=0,COUNTBLANK(Combo_Opponent_Type_2)=0),Combo_Opponent_Type_1=Combo_Opponent_Type_2)),
"Check Types",(
IF($W6&gt;=((1-Game_Weave_Human_Error)*$X6),$W6,$X6)*INDEX(Species_Attack,MATCH($N6,Species_Names,0)))/11)</f>
        <v>#VALUE!</v>
      </c>
      <c r="T6" s="33" t="e">
        <f t="shared" ref="T6:T69" si="1">IF(OR(AND(COUNTBLANK(Combo_Opponent_Type_1)=1,COUNTBLANK(Combo_Opponent_Type_2)=0),AND(AND(COUNTBLANK(Combo_Opponent_Type_1)=0,COUNTBLANK(Combo_Opponent_Type_2)=0),Combo_Opponent_Type_1=Combo_Opponent_Type_2)),
"Check Types",IF($W6&gt;=((1-Game_Weave_Human_Error)*$X6),$W6,$X6))</f>
        <v>#VALUE!</v>
      </c>
      <c r="U6" s="33">
        <f t="array" ref="U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Quick_Names,0))),Type_Species)),0),1)*IF(COUNTBLANK(Combo_Opponent_Type_2)=0,INDEX(Type_Damage_Multipliers,MATCH(Combo_Opponent_Type_2,IF(Type_Move=(INDEX(Quick_Type,MATCH($O6,Quick_Names,0))),Type_Species)),0),1)*(IF(OR(INDEX(Quick_Type,MATCH($O6,Quick_Names,0))=INDEX(Species_Type_1,MATCH($N6,Species_Names,0)),INDEX(Quick_Type,MATCH($O6,Quick_Names,0))=INDEX(Species_Type_2,MATCH($N6,Species_Names,0))),Game_STAB_Multiplier,1)))</f>
        <v>1</v>
      </c>
      <c r="V6" s="33">
        <f t="array" ref="V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Charge_Names,0))),Type_Species)),0),1)*IF(COUNTBLANK(Combo_Opponent_Type_2)=0,INDEX(Type_Damage_Multipliers,MATCH(Combo_Opponent_Type_2,IF(Type_Move=(INDEX(Charge_Type,MATCH($P6,Charge_Names,0))),Type_Species)),0),1)*
IF(OR(INDEX(Charge_Type,MATCH($P6,Charge_Names,0))=INDEX(Species_Type_1,MATCH($N6,Species_Names,0)),INDEX(Charge_Type,MATCH($P6,Charge_Names,0))=INDEX(Species_Type_2,MATCH($N6,Species_Names,0))),Game_STAB_Multiplier,1))</f>
        <v>1.25</v>
      </c>
      <c r="W6" s="33" t="s">
        <v>409</v>
      </c>
      <c r="X6" s="33" t="s">
        <v>410</v>
      </c>
      <c r="Y6" s="32" t="e">
        <f t="array" ref="Y6">((($Z6)*
INDEX(Species_Attack,MATCH($N6,Species_Names,0))*
INDEX(Species_Tankiness,MATCH($N6,Species_Names,0)))/1000)</f>
        <v>#VALUE!</v>
      </c>
      <c r="Z6" s="33" t="s">
        <v>411</v>
      </c>
      <c r="AA6" s="3"/>
    </row>
    <row r="7" spans="1:27" ht="14.25" customHeight="1" x14ac:dyDescent="0.2">
      <c r="A7" s="9" t="str">
        <f>Game_Type02</f>
        <v>Dark</v>
      </c>
      <c r="B7" s="22" t="str">
        <f t="array" ref="B7">CONCATENATE(TEXT($M7,"000"),".",TEXT(INDEX(Quick_Number,MATCH($O7,Quick_Names,0)),"000"),".",TEXT(INDEX(Charge_Number,MATCH($P7,Charge_Names,0)),"000"))</f>
        <v>149.204.083</v>
      </c>
      <c r="C7" s="23" t="e">
        <f t="array" ref="C7">RANK($S7,IF(Combo_Species_Names=$N7,Combo_Gym_Offense),0)</f>
        <v>#VALUE!</v>
      </c>
      <c r="D7" s="24" t="e">
        <f t="array" ref="D7">$S7/MAX(IF(Combo_Species_Names=$N7,Combo_Gym_Offense))</f>
        <v>#VALUE!</v>
      </c>
      <c r="E7" s="23" t="e">
        <f t="array" ref="E7">RANK($Y7,IF(Combo_Species_Names=$N7,Combo_Gym_Defense),0)</f>
        <v>#VALUE!</v>
      </c>
      <c r="F7" s="25" t="e">
        <f t="array" ref="F7">$Y7/MAX(IF(Combo_Species_Names=$N7,Combo_Gym_Defense))</f>
        <v>#VALUE!</v>
      </c>
      <c r="G7" s="23" t="e">
        <f t="array" ref="G7">IF(OR(INDEX(Species_Availability,MATCH($N7,Species_Names,0))="No",INDEX(Species_Evo_Numbers,MATCH($N7,Species_Names,0))&lt;&gt;1),"N/A",RANK($R7,IF(NOT(ISNA(MATCH(Combo_Species_Names,IF(Species_Availability="Yes",IF(Species_Evo_Numbers=1,Species_Names)),0))),Combo_Duel_Ability),0))</f>
        <v>#VALUE!</v>
      </c>
      <c r="H7" s="24" t="e">
        <f t="array" ref="H7">IF(OR(INDEX(Species_Availability,MATCH($N7,Species_Names,0))="No",INDEX(Species_Evo_Numbers,MATCH($N7,Species_Names,0))&lt;&gt;1),"N/A",$R7/MAX(IF(NOT(ISNA(MATCH(Combo_Species_Names,IF(Species_Availability="Yes",IF(Species_Evo_Numbers=1,Species_Names)),0))),Combo_Duel_Ability)))</f>
        <v>#VALUE!</v>
      </c>
      <c r="I7" s="23" t="e">
        <f t="array" ref="I7">IF(OR(INDEX(Species_Availability,MATCH($N7,Species_Names,0))="No",INDEX(Species_Evo_Numbers,MATCH($N7,Species_Names,0))&lt;&gt;1),"N/A",RANK($S7,IF(NOT(ISNA(MATCH(Combo_Species_Names,IF(Species_Availability="Yes",IF(Species_Evo_Numbers=1,Species_Names)),0))),Combo_Gym_Offense),0))</f>
        <v>#VALUE!</v>
      </c>
      <c r="J7" s="24" t="e">
        <f t="array" ref="J7">IF(OR(INDEX(Species_Availability,MATCH($N7,Species_Names,0))="No",INDEX(Species_Evo_Numbers,MATCH($N7,Species_Names,0))&lt;&gt;1),"N/A",$S7/MAX(IF(NOT(ISNA(MATCH(Combo_Species_Names,IF(Species_Availability="Yes",IF(Species_Evo_Numbers=1,Species_Names)),0))),Combo_Gym_Offense)))</f>
        <v>#VALUE!</v>
      </c>
      <c r="K7" s="23" t="e">
        <f t="array" ref="K7">IF(OR(INDEX(Species_Availability,MATCH($N7,Species_Names,0))="No",INDEX(Species_Evo_Numbers,MATCH($N7,Species_Names,0))&lt;&gt;1),"N/A",RANK($Y7,IF(NOT(ISNA(MATCH(Combo_Species_Names,IF(Species_Availability="Yes",IF(Species_Evo_Numbers=1,Species_Names)),0))),Combo_Gym_Defense),0))</f>
        <v>#VALUE!</v>
      </c>
      <c r="L7" s="24" t="e">
        <f t="array" ref="L7">IF(OR(INDEX(Species_Availability,MATCH($N7,Species_Names,0))="No",INDEX(Species_Evo_Numbers,MATCH($N7,Species_Names,0))&lt;&gt;1),"N/A",$Y7/MAX(IF(NOT(ISNA(MATCH(Combo_Species_Names,IF(Species_Availability="Yes",IF(Species_Evo_Numbers=1,Species_Names)),0))),Combo_Gym_Defense)))</f>
        <v>#VALUE!</v>
      </c>
      <c r="M7" s="28">
        <f t="array" ref="M7">INDEX(Species_Pdex_Numbers,MATCH($N7,Species_Names,0))</f>
        <v>149</v>
      </c>
      <c r="N7" s="30" t="s">
        <v>204</v>
      </c>
      <c r="O7" s="31" t="s">
        <v>62</v>
      </c>
      <c r="P7" s="31" t="s">
        <v>155</v>
      </c>
      <c r="Q7" s="17" t="e">
        <f t="shared" si="0"/>
        <v>#VALUE!</v>
      </c>
      <c r="R7" s="32" t="e">
        <f t="array" ref="R7">IF(OR(AND(COUNTBLANK(Combo_Opponent_Type_1)=1,COUNTBLANK(Combo_Opponent_Type_2)=0),AND(AND(COUNTBLANK(Combo_Opponent_Type_1)=0,COUNTBLANK(Combo_Opponent_Type_2)=0),Combo_Opponent_Type_1=Combo_Opponent_Type_2)),
"Check Types",($S7*INDEX(Species_Tankiness,MATCH($N7,Species_Names,0)))/225)</f>
        <v>#VALUE!</v>
      </c>
      <c r="S7" s="32" t="e">
        <f t="array" ref="S7">IF(OR(AND(COUNTBLANK(Combo_Opponent_Type_1)=1,COUNTBLANK(Combo_Opponent_Type_2)=0),AND(AND(COUNTBLANK(Combo_Opponent_Type_1)=0,COUNTBLANK(Combo_Opponent_Type_2)=0),Combo_Opponent_Type_1=Combo_Opponent_Type_2)),
"Check Types",(
IF($W7&gt;=((1-Game_Weave_Human_Error)*$X7),$W7,$X7)*INDEX(Species_Attack,MATCH($N7,Species_Names,0)))/11)</f>
        <v>#VALUE!</v>
      </c>
      <c r="T7" s="33" t="e">
        <f t="shared" si="1"/>
        <v>#VALUE!</v>
      </c>
      <c r="U7" s="33">
        <f t="array" ref="U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Quick_Names,0))),Type_Species)),0),1)*IF(COUNTBLANK(Combo_Opponent_Type_2)=0,INDEX(Type_Damage_Multipliers,MATCH(Combo_Opponent_Type_2,IF(Type_Move=(INDEX(Quick_Type,MATCH($O7,Quick_Names,0))),Type_Species)),0),1)*(IF(OR(INDEX(Quick_Type,MATCH($O7,Quick_Names,0))=INDEX(Species_Type_1,MATCH($N7,Species_Names,0)),INDEX(Quick_Type,MATCH($O7,Quick_Names,0))=INDEX(Species_Type_2,MATCH($N7,Species_Names,0))),Game_STAB_Multiplier,1)))</f>
        <v>1.25</v>
      </c>
      <c r="V7" s="33">
        <f t="array" ref="V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Charge_Names,0))),Type_Species)),0),1)*IF(COUNTBLANK(Combo_Opponent_Type_2)=0,INDEX(Type_Damage_Multipliers,MATCH(Combo_Opponent_Type_2,IF(Type_Move=(INDEX(Charge_Type,MATCH($P7,Charge_Names,0))),Type_Species)),0),1)*
IF(OR(INDEX(Charge_Type,MATCH($P7,Charge_Names,0))=INDEX(Species_Type_1,MATCH($N7,Species_Names,0)),INDEX(Charge_Type,MATCH($P7,Charge_Names,0))=INDEX(Species_Type_2,MATCH($N7,Species_Names,0))),Game_STAB_Multiplier,1))</f>
        <v>1.25</v>
      </c>
      <c r="W7" s="33" t="s">
        <v>412</v>
      </c>
      <c r="X7" s="33" t="s">
        <v>413</v>
      </c>
      <c r="Y7" s="32" t="e">
        <f t="array" ref="Y7">((($Z7)*
INDEX(Species_Attack,MATCH($N7,Species_Names,0))*
INDEX(Species_Tankiness,MATCH($N7,Species_Names,0)))/1000)</f>
        <v>#VALUE!</v>
      </c>
      <c r="Z7" s="33" t="s">
        <v>414</v>
      </c>
    </row>
    <row r="8" spans="1:27" ht="14.25" customHeight="1" x14ac:dyDescent="0.2">
      <c r="A8" s="9" t="str">
        <f>Game_Type03</f>
        <v>Dragon</v>
      </c>
      <c r="B8" s="22" t="str">
        <f t="array" ref="B8">CONCATENATE(TEXT($M8,"000"),".",TEXT(INDEX(Quick_Number,MATCH($O8,Quick_Names,0)),"000"),".",TEXT(INDEX(Charge_Number,MATCH($P8,Charge_Names,0)),"000"))</f>
        <v>149.204.014</v>
      </c>
      <c r="C8" s="23" t="e">
        <f t="array" ref="C8">RANK($S8,IF(Combo_Species_Names=$N8,Combo_Gym_Offense),0)</f>
        <v>#VALUE!</v>
      </c>
      <c r="D8" s="24" t="e">
        <f t="array" ref="D8">$S8/MAX(IF(Combo_Species_Names=$N8,Combo_Gym_Offense))</f>
        <v>#VALUE!</v>
      </c>
      <c r="E8" s="23" t="e">
        <f t="array" ref="E8">RANK($Y8,IF(Combo_Species_Names=$N8,Combo_Gym_Defense),0)</f>
        <v>#VALUE!</v>
      </c>
      <c r="F8" s="25" t="e">
        <f t="array" ref="F8">$Y8/MAX(IF(Combo_Species_Names=$N8,Combo_Gym_Defense))</f>
        <v>#VALUE!</v>
      </c>
      <c r="G8" s="23" t="e">
        <f t="array" ref="G8">IF(OR(INDEX(Species_Availability,MATCH($N8,Species_Names,0))="No",INDEX(Species_Evo_Numbers,MATCH($N8,Species_Names,0))&lt;&gt;1),"N/A",RANK($R8,IF(NOT(ISNA(MATCH(Combo_Species_Names,IF(Species_Availability="Yes",IF(Species_Evo_Numbers=1,Species_Names)),0))),Combo_Duel_Ability),0))</f>
        <v>#VALUE!</v>
      </c>
      <c r="H8" s="24" t="e">
        <f t="array" ref="H8">IF(OR(INDEX(Species_Availability,MATCH($N8,Species_Names,0))="No",INDEX(Species_Evo_Numbers,MATCH($N8,Species_Names,0))&lt;&gt;1),"N/A",$R8/MAX(IF(NOT(ISNA(MATCH(Combo_Species_Names,IF(Species_Availability="Yes",IF(Species_Evo_Numbers=1,Species_Names)),0))),Combo_Duel_Ability)))</f>
        <v>#VALUE!</v>
      </c>
      <c r="I8" s="23" t="e">
        <f t="array" ref="I8">IF(OR(INDEX(Species_Availability,MATCH($N8,Species_Names,0))="No",INDEX(Species_Evo_Numbers,MATCH($N8,Species_Names,0))&lt;&gt;1),"N/A",RANK($S8,IF(NOT(ISNA(MATCH(Combo_Species_Names,IF(Species_Availability="Yes",IF(Species_Evo_Numbers=1,Species_Names)),0))),Combo_Gym_Offense),0))</f>
        <v>#VALUE!</v>
      </c>
      <c r="J8" s="24" t="e">
        <f t="array" ref="J8">IF(OR(INDEX(Species_Availability,MATCH($N8,Species_Names,0))="No",INDEX(Species_Evo_Numbers,MATCH($N8,Species_Names,0))&lt;&gt;1),"N/A",$S8/MAX(IF(NOT(ISNA(MATCH(Combo_Species_Names,IF(Species_Availability="Yes",IF(Species_Evo_Numbers=1,Species_Names)),0))),Combo_Gym_Offense)))</f>
        <v>#VALUE!</v>
      </c>
      <c r="K8" s="23" t="e">
        <f t="array" ref="K8">IF(OR(INDEX(Species_Availability,MATCH($N8,Species_Names,0))="No",INDEX(Species_Evo_Numbers,MATCH($N8,Species_Names,0))&lt;&gt;1),"N/A",RANK($Y8,IF(NOT(ISNA(MATCH(Combo_Species_Names,IF(Species_Availability="Yes",IF(Species_Evo_Numbers=1,Species_Names)),0))),Combo_Gym_Defense),0))</f>
        <v>#VALUE!</v>
      </c>
      <c r="L8" s="24" t="e">
        <f t="array" ref="L8">IF(OR(INDEX(Species_Availability,MATCH($N8,Species_Names,0))="No",INDEX(Species_Evo_Numbers,MATCH($N8,Species_Names,0))&lt;&gt;1),"N/A",$Y8/MAX(IF(NOT(ISNA(MATCH(Combo_Species_Names,IF(Species_Availability="Yes",IF(Species_Evo_Numbers=1,Species_Names)),0))),Combo_Gym_Defense)))</f>
        <v>#VALUE!</v>
      </c>
      <c r="M8" s="28">
        <f t="array" ref="M8">INDEX(Species_Pdex_Numbers,MATCH($N8,Species_Names,0))</f>
        <v>149</v>
      </c>
      <c r="N8" s="30" t="s">
        <v>204</v>
      </c>
      <c r="O8" s="31" t="s">
        <v>62</v>
      </c>
      <c r="P8" s="31" t="s">
        <v>130</v>
      </c>
      <c r="Q8" s="17" t="e">
        <f t="shared" si="0"/>
        <v>#VALUE!</v>
      </c>
      <c r="R8" s="32" t="e">
        <f t="array" ref="R8">IF(OR(AND(COUNTBLANK(Combo_Opponent_Type_1)=1,COUNTBLANK(Combo_Opponent_Type_2)=0),AND(AND(COUNTBLANK(Combo_Opponent_Type_1)=0,COUNTBLANK(Combo_Opponent_Type_2)=0),Combo_Opponent_Type_1=Combo_Opponent_Type_2)),
"Check Types",($S8*INDEX(Species_Tankiness,MATCH($N8,Species_Names,0)))/225)</f>
        <v>#VALUE!</v>
      </c>
      <c r="S8" s="32" t="e">
        <f t="array" ref="S8">IF(OR(AND(COUNTBLANK(Combo_Opponent_Type_1)=1,COUNTBLANK(Combo_Opponent_Type_2)=0),AND(AND(COUNTBLANK(Combo_Opponent_Type_1)=0,COUNTBLANK(Combo_Opponent_Type_2)=0),Combo_Opponent_Type_1=Combo_Opponent_Type_2)),
"Check Types",(
IF($W8&gt;=((1-Game_Weave_Human_Error)*$X8),$W8,$X8)*INDEX(Species_Attack,MATCH($N8,Species_Names,0)))/11)</f>
        <v>#VALUE!</v>
      </c>
      <c r="T8" s="33" t="e">
        <f t="shared" si="1"/>
        <v>#VALUE!</v>
      </c>
      <c r="U8" s="33">
        <f t="array" ref="U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Quick_Names,0))),Type_Species)),0),1)*IF(COUNTBLANK(Combo_Opponent_Type_2)=0,INDEX(Type_Damage_Multipliers,MATCH(Combo_Opponent_Type_2,IF(Type_Move=(INDEX(Quick_Type,MATCH($O8,Quick_Names,0))),Type_Species)),0),1)*(IF(OR(INDEX(Quick_Type,MATCH($O8,Quick_Names,0))=INDEX(Species_Type_1,MATCH($N8,Species_Names,0)),INDEX(Quick_Type,MATCH($O8,Quick_Names,0))=INDEX(Species_Type_2,MATCH($N8,Species_Names,0))),Game_STAB_Multiplier,1)))</f>
        <v>1.25</v>
      </c>
      <c r="V8" s="33">
        <f t="array" ref="V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Charge_Names,0))),Type_Species)),0),1)*IF(COUNTBLANK(Combo_Opponent_Type_2)=0,INDEX(Type_Damage_Multipliers,MATCH(Combo_Opponent_Type_2,IF(Type_Move=(INDEX(Charge_Type,MATCH($P8,Charge_Names,0))),Type_Species)),0),1)*
IF(OR(INDEX(Charge_Type,MATCH($P8,Charge_Names,0))=INDEX(Species_Type_1,MATCH($N8,Species_Names,0)),INDEX(Charge_Type,MATCH($P8,Charge_Names,0))=INDEX(Species_Type_2,MATCH($N8,Species_Names,0))),Game_STAB_Multiplier,1))</f>
        <v>1</v>
      </c>
      <c r="W8" s="33" t="s">
        <v>412</v>
      </c>
      <c r="X8" s="33" t="s">
        <v>415</v>
      </c>
      <c r="Y8" s="32" t="e">
        <f t="array" ref="Y8">((($Z8)*
INDEX(Species_Attack,MATCH($N8,Species_Names,0))*
INDEX(Species_Tankiness,MATCH($N8,Species_Names,0)))/1000)</f>
        <v>#VALUE!</v>
      </c>
      <c r="Z8" s="33" t="s">
        <v>416</v>
      </c>
      <c r="AA8" s="3"/>
    </row>
    <row r="9" spans="1:27" ht="14.25" customHeight="1" x14ac:dyDescent="0.2">
      <c r="A9" s="9" t="str">
        <f>Game_Type04</f>
        <v>Electric</v>
      </c>
      <c r="B9" s="22" t="str">
        <f t="array" ref="B9">CONCATENATE(TEXT($M9,"000"),".",TEXT(INDEX(Quick_Number,MATCH($O9,Quick_Names,0)),"000"),".",TEXT(INDEX(Charge_Number,MATCH($P9,Charge_Names,0)),"000"))</f>
        <v>149.204.082</v>
      </c>
      <c r="C9" s="23" t="e">
        <f t="array" ref="C9">RANK($S9,IF(Combo_Species_Names=$N9,Combo_Gym_Offense),0)</f>
        <v>#VALUE!</v>
      </c>
      <c r="D9" s="24" t="e">
        <f t="array" ref="D9">$S9/MAX(IF(Combo_Species_Names=$N9,Combo_Gym_Offense))</f>
        <v>#VALUE!</v>
      </c>
      <c r="E9" s="23" t="e">
        <f t="array" ref="E9">RANK($Y9,IF(Combo_Species_Names=$N9,Combo_Gym_Defense),0)</f>
        <v>#VALUE!</v>
      </c>
      <c r="F9" s="25" t="e">
        <f t="array" ref="F9">$Y9/MAX(IF(Combo_Species_Names=$N9,Combo_Gym_Defense))</f>
        <v>#VALUE!</v>
      </c>
      <c r="G9" s="23" t="e">
        <f t="array" ref="G9">IF(OR(INDEX(Species_Availability,MATCH($N9,Species_Names,0))="No",INDEX(Species_Evo_Numbers,MATCH($N9,Species_Names,0))&lt;&gt;1),"N/A",RANK($R9,IF(NOT(ISNA(MATCH(Combo_Species_Names,IF(Species_Availability="Yes",IF(Species_Evo_Numbers=1,Species_Names)),0))),Combo_Duel_Ability),0))</f>
        <v>#VALUE!</v>
      </c>
      <c r="H9" s="24" t="e">
        <f t="array" ref="H9">IF(OR(INDEX(Species_Availability,MATCH($N9,Species_Names,0))="No",INDEX(Species_Evo_Numbers,MATCH($N9,Species_Names,0))&lt;&gt;1),"N/A",$R9/MAX(IF(NOT(ISNA(MATCH(Combo_Species_Names,IF(Species_Availability="Yes",IF(Species_Evo_Numbers=1,Species_Names)),0))),Combo_Duel_Ability)))</f>
        <v>#VALUE!</v>
      </c>
      <c r="I9" s="23" t="e">
        <f t="array" ref="I9">IF(OR(INDEX(Species_Availability,MATCH($N9,Species_Names,0))="No",INDEX(Species_Evo_Numbers,MATCH($N9,Species_Names,0))&lt;&gt;1),"N/A",RANK($S9,IF(NOT(ISNA(MATCH(Combo_Species_Names,IF(Species_Availability="Yes",IF(Species_Evo_Numbers=1,Species_Names)),0))),Combo_Gym_Offense),0))</f>
        <v>#VALUE!</v>
      </c>
      <c r="J9" s="24" t="e">
        <f t="array" ref="J9">IF(OR(INDEX(Species_Availability,MATCH($N9,Species_Names,0))="No",INDEX(Species_Evo_Numbers,MATCH($N9,Species_Names,0))&lt;&gt;1),"N/A",$S9/MAX(IF(NOT(ISNA(MATCH(Combo_Species_Names,IF(Species_Availability="Yes",IF(Species_Evo_Numbers=1,Species_Names)),0))),Combo_Gym_Offense)))</f>
        <v>#VALUE!</v>
      </c>
      <c r="K9" s="23" t="e">
        <f t="array" ref="K9">IF(OR(INDEX(Species_Availability,MATCH($N9,Species_Names,0))="No",INDEX(Species_Evo_Numbers,MATCH($N9,Species_Names,0))&lt;&gt;1),"N/A",RANK($Y9,IF(NOT(ISNA(MATCH(Combo_Species_Names,IF(Species_Availability="Yes",IF(Species_Evo_Numbers=1,Species_Names)),0))),Combo_Gym_Defense),0))</f>
        <v>#VALUE!</v>
      </c>
      <c r="L9" s="24" t="e">
        <f t="array" ref="L9">IF(OR(INDEX(Species_Availability,MATCH($N9,Species_Names,0))="No",INDEX(Species_Evo_Numbers,MATCH($N9,Species_Names,0))&lt;&gt;1),"N/A",$Y9/MAX(IF(NOT(ISNA(MATCH(Combo_Species_Names,IF(Species_Availability="Yes",IF(Species_Evo_Numbers=1,Species_Names)),0))),Combo_Gym_Defense)))</f>
        <v>#VALUE!</v>
      </c>
      <c r="M9" s="28">
        <f t="array" ref="M9">INDEX(Species_Pdex_Numbers,MATCH($N9,Species_Names,0))</f>
        <v>149</v>
      </c>
      <c r="N9" s="30" t="s">
        <v>204</v>
      </c>
      <c r="O9" s="31" t="s">
        <v>62</v>
      </c>
      <c r="P9" s="31" t="s">
        <v>207</v>
      </c>
      <c r="Q9" s="17" t="e">
        <f t="shared" si="0"/>
        <v>#VALUE!</v>
      </c>
      <c r="R9" s="32" t="e">
        <f t="array" ref="R9">IF(OR(AND(COUNTBLANK(Combo_Opponent_Type_1)=1,COUNTBLANK(Combo_Opponent_Type_2)=0),AND(AND(COUNTBLANK(Combo_Opponent_Type_1)=0,COUNTBLANK(Combo_Opponent_Type_2)=0),Combo_Opponent_Type_1=Combo_Opponent_Type_2)),
"Check Types",($S9*INDEX(Species_Tankiness,MATCH($N9,Species_Names,0)))/225)</f>
        <v>#VALUE!</v>
      </c>
      <c r="S9" s="32" t="e">
        <f t="array" ref="S9">IF(OR(AND(COUNTBLANK(Combo_Opponent_Type_1)=1,COUNTBLANK(Combo_Opponent_Type_2)=0),AND(AND(COUNTBLANK(Combo_Opponent_Type_1)=0,COUNTBLANK(Combo_Opponent_Type_2)=0),Combo_Opponent_Type_1=Combo_Opponent_Type_2)),
"Check Types",(
IF($W9&gt;=((1-Game_Weave_Human_Error)*$X9),$W9,$X9)*INDEX(Species_Attack,MATCH($N9,Species_Names,0)))/11)</f>
        <v>#VALUE!</v>
      </c>
      <c r="T9" s="33" t="e">
        <f t="shared" si="1"/>
        <v>#VALUE!</v>
      </c>
      <c r="U9" s="33">
        <f t="array" ref="U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9,Quick_Names,0))),Type_Species)),0),1)*IF(COUNTBLANK(Combo_Opponent_Type_2)=0,INDEX(Type_Damage_Multipliers,MATCH(Combo_Opponent_Type_2,IF(Type_Move=(INDEX(Quick_Type,MATCH($O9,Quick_Names,0))),Type_Species)),0),1)*(IF(OR(INDEX(Quick_Type,MATCH($O9,Quick_Names,0))=INDEX(Species_Type_1,MATCH($N9,Species_Names,0)),INDEX(Quick_Type,MATCH($O9,Quick_Names,0))=INDEX(Species_Type_2,MATCH($N9,Species_Names,0))),Game_STAB_Multiplier,1)))</f>
        <v>1.25</v>
      </c>
      <c r="V9" s="33">
        <f t="array" ref="V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9,Charge_Names,0))),Type_Species)),0),1)*IF(COUNTBLANK(Combo_Opponent_Type_2)=0,INDEX(Type_Damage_Multipliers,MATCH(Combo_Opponent_Type_2,IF(Type_Move=(INDEX(Charge_Type,MATCH($P9,Charge_Names,0))),Type_Species)),0),1)*
IF(OR(INDEX(Charge_Type,MATCH($P9,Charge_Names,0))=INDEX(Species_Type_1,MATCH($N9,Species_Names,0)),INDEX(Charge_Type,MATCH($P9,Charge_Names,0))=INDEX(Species_Type_2,MATCH($N9,Species_Names,0))),Game_STAB_Multiplier,1))</f>
        <v>1.25</v>
      </c>
      <c r="W9" s="33" t="s">
        <v>412</v>
      </c>
      <c r="X9" s="33" t="s">
        <v>417</v>
      </c>
      <c r="Y9" s="32" t="e">
        <f t="array" ref="Y9">((($Z9)*
INDEX(Species_Attack,MATCH($N9,Species_Names,0))*
INDEX(Species_Tankiness,MATCH($N9,Species_Names,0)))/1000)</f>
        <v>#VALUE!</v>
      </c>
      <c r="Z9" s="33" t="s">
        <v>418</v>
      </c>
      <c r="AA9" s="3"/>
    </row>
    <row r="10" spans="1:27" ht="14.25" customHeight="1" x14ac:dyDescent="0.2">
      <c r="A10" s="9" t="str">
        <f>Game_Type05</f>
        <v>Fairy</v>
      </c>
      <c r="B10" s="22" t="str">
        <f t="array" ref="B10">CONCATENATE(TEXT($M10,"000"),".",TEXT(INDEX(Quick_Number,MATCH($O10,Quick_Names,0)),"000"),".",TEXT(INDEX(Charge_Number,MATCH($P10,Charge_Names,0)),"000"))</f>
        <v>143.234.014</v>
      </c>
      <c r="C10" s="23" t="e">
        <f t="array" ref="C10">RANK($S10,IF(Combo_Species_Names=$N10,Combo_Gym_Offense),0)</f>
        <v>#VALUE!</v>
      </c>
      <c r="D10" s="24" t="e">
        <f t="array" ref="D10">$S10/MAX(IF(Combo_Species_Names=$N10,Combo_Gym_Offense))</f>
        <v>#VALUE!</v>
      </c>
      <c r="E10" s="23" t="e">
        <f t="array" ref="E10">RANK($Y10,IF(Combo_Species_Names=$N10,Combo_Gym_Defense),0)</f>
        <v>#VALUE!</v>
      </c>
      <c r="F10" s="25" t="e">
        <f t="array" ref="F10">$Y10/MAX(IF(Combo_Species_Names=$N10,Combo_Gym_Defense))</f>
        <v>#VALUE!</v>
      </c>
      <c r="G10" s="23" t="e">
        <f t="array" ref="G10">IF(OR(INDEX(Species_Availability,MATCH($N10,Species_Names,0))="No",INDEX(Species_Evo_Numbers,MATCH($N10,Species_Names,0))&lt;&gt;1),"N/A",RANK($R10,IF(NOT(ISNA(MATCH(Combo_Species_Names,IF(Species_Availability="Yes",IF(Species_Evo_Numbers=1,Species_Names)),0))),Combo_Duel_Ability),0))</f>
        <v>#VALUE!</v>
      </c>
      <c r="H10" s="24" t="e">
        <f t="array" ref="H10">IF(OR(INDEX(Species_Availability,MATCH($N10,Species_Names,0))="No",INDEX(Species_Evo_Numbers,MATCH($N10,Species_Names,0))&lt;&gt;1),"N/A",$R10/MAX(IF(NOT(ISNA(MATCH(Combo_Species_Names,IF(Species_Availability="Yes",IF(Species_Evo_Numbers=1,Species_Names)),0))),Combo_Duel_Ability)))</f>
        <v>#VALUE!</v>
      </c>
      <c r="I10" s="23" t="e">
        <f t="array" ref="I10">IF(OR(INDEX(Species_Availability,MATCH($N10,Species_Names,0))="No",INDEX(Species_Evo_Numbers,MATCH($N10,Species_Names,0))&lt;&gt;1),"N/A",RANK($S10,IF(NOT(ISNA(MATCH(Combo_Species_Names,IF(Species_Availability="Yes",IF(Species_Evo_Numbers=1,Species_Names)),0))),Combo_Gym_Offense),0))</f>
        <v>#VALUE!</v>
      </c>
      <c r="J10" s="24" t="e">
        <f t="array" ref="J10">IF(OR(INDEX(Species_Availability,MATCH($N10,Species_Names,0))="No",INDEX(Species_Evo_Numbers,MATCH($N10,Species_Names,0))&lt;&gt;1),"N/A",$S10/MAX(IF(NOT(ISNA(MATCH(Combo_Species_Names,IF(Species_Availability="Yes",IF(Species_Evo_Numbers=1,Species_Names)),0))),Combo_Gym_Offense)))</f>
        <v>#VALUE!</v>
      </c>
      <c r="K10" s="23" t="e">
        <f t="array" ref="K10">IF(OR(INDEX(Species_Availability,MATCH($N10,Species_Names,0))="No",INDEX(Species_Evo_Numbers,MATCH($N10,Species_Names,0))&lt;&gt;1),"N/A",RANK($Y10,IF(NOT(ISNA(MATCH(Combo_Species_Names,IF(Species_Availability="Yes",IF(Species_Evo_Numbers=1,Species_Names)),0))),Combo_Gym_Defense),0))</f>
        <v>#VALUE!</v>
      </c>
      <c r="L10" s="24" t="e">
        <f t="array" ref="L10">IF(OR(INDEX(Species_Availability,MATCH($N10,Species_Names,0))="No",INDEX(Species_Evo_Numbers,MATCH($N10,Species_Names,0))&lt;&gt;1),"N/A",$Y10/MAX(IF(NOT(ISNA(MATCH(Combo_Species_Names,IF(Species_Availability="Yes",IF(Species_Evo_Numbers=1,Species_Names)),0))),Combo_Gym_Defense)))</f>
        <v>#VALUE!</v>
      </c>
      <c r="M10" s="28">
        <f t="array" ref="M10">INDEX(Species_Pdex_Numbers,MATCH($N10,Species_Names,0))</f>
        <v>143</v>
      </c>
      <c r="N10" s="30" t="s">
        <v>127</v>
      </c>
      <c r="O10" s="31" t="s">
        <v>79</v>
      </c>
      <c r="P10" s="31" t="s">
        <v>130</v>
      </c>
      <c r="Q10" s="17" t="e">
        <f t="shared" si="0"/>
        <v>#VALUE!</v>
      </c>
      <c r="R10" s="32" t="e">
        <f t="array" ref="R10">IF(OR(AND(COUNTBLANK(Combo_Opponent_Type_1)=1,COUNTBLANK(Combo_Opponent_Type_2)=0),AND(AND(COUNTBLANK(Combo_Opponent_Type_1)=0,COUNTBLANK(Combo_Opponent_Type_2)=0),Combo_Opponent_Type_1=Combo_Opponent_Type_2)),
"Check Types",($S10*INDEX(Species_Tankiness,MATCH($N10,Species_Names,0)))/225)</f>
        <v>#VALUE!</v>
      </c>
      <c r="S10" s="32" t="e">
        <f t="array" ref="S10">IF(OR(AND(COUNTBLANK(Combo_Opponent_Type_1)=1,COUNTBLANK(Combo_Opponent_Type_2)=0),AND(AND(COUNTBLANK(Combo_Opponent_Type_1)=0,COUNTBLANK(Combo_Opponent_Type_2)=0),Combo_Opponent_Type_1=Combo_Opponent_Type_2)),
"Check Types",(
IF($W10&gt;=((1-Game_Weave_Human_Error)*$X10),$W10,$X10)*INDEX(Species_Attack,MATCH($N10,Species_Names,0)))/11)</f>
        <v>#VALUE!</v>
      </c>
      <c r="T10" s="33" t="e">
        <f t="shared" si="1"/>
        <v>#VALUE!</v>
      </c>
      <c r="U10" s="33">
        <f t="array" ref="U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10,Quick_Names,0))),Type_Species)),0),1)*IF(COUNTBLANK(Combo_Opponent_Type_2)=0,INDEX(Type_Damage_Multipliers,MATCH(Combo_Opponent_Type_2,IF(Type_Move=(INDEX(Quick_Type,MATCH($O10,Quick_Names,0))),Type_Species)),0),1)*(IF(OR(INDEX(Quick_Type,MATCH($O10,Quick_Names,0))=INDEX(Species_Type_1,MATCH($N10,Species_Names,0)),INDEX(Quick_Type,MATCH($O10,Quick_Names,0))=INDEX(Species_Type_2,MATCH($N10,Species_Names,0))),Game_STAB_Multiplier,1)))</f>
        <v>1</v>
      </c>
      <c r="V10" s="33">
        <f t="array" ref="V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10,Charge_Names,0))),Type_Species)),0),1)*IF(COUNTBLANK(Combo_Opponent_Type_2)=0,INDEX(Type_Damage_Multipliers,MATCH(Combo_Opponent_Type_2,IF(Type_Move=(INDEX(Charge_Type,MATCH($P10,Charge_Names,0))),Type_Species)),0),1)*
IF(OR(INDEX(Charge_Type,MATCH($P10,Charge_Names,0))=INDEX(Species_Type_1,MATCH($N10,Species_Names,0)),INDEX(Charge_Type,MATCH($P10,Charge_Names,0))=INDEX(Species_Type_2,MATCH($N10,Species_Names,0))),Game_STAB_Multiplier,1))</f>
        <v>1.25</v>
      </c>
      <c r="W10" s="33" t="s">
        <v>419</v>
      </c>
      <c r="X10" s="33" t="s">
        <v>420</v>
      </c>
      <c r="Y10" s="32" t="e">
        <f t="array" ref="Y10">((($Z10)*
INDEX(Species_Attack,MATCH($N10,Species_Names,0))*
INDEX(Species_Tankiness,MATCH($N10,Species_Names,0)))/1000)</f>
        <v>#VALUE!</v>
      </c>
      <c r="Z10" s="33" t="s">
        <v>421</v>
      </c>
      <c r="AA10" s="3"/>
    </row>
    <row r="11" spans="1:27" ht="14.25" customHeight="1" x14ac:dyDescent="0.2">
      <c r="A11" s="9" t="str">
        <f>Game_Type06</f>
        <v>Fighting</v>
      </c>
      <c r="B11" s="22" t="str">
        <f t="array" ref="B11">CONCATENATE(TEXT($M11,"000"),".",TEXT(INDEX(Quick_Number,MATCH($O11,Quick_Names,0)),"000"),".",TEXT(INDEX(Charge_Number,MATCH($P11,Charge_Names,0)),"000"))</f>
        <v>131.218.040</v>
      </c>
      <c r="C11" s="23" t="e">
        <f t="array" ref="C11">RANK($S11,IF(Combo_Species_Names=$N11,Combo_Gym_Offense),0)</f>
        <v>#VALUE!</v>
      </c>
      <c r="D11" s="24" t="e">
        <f t="array" ref="D11">$S11/MAX(IF(Combo_Species_Names=$N11,Combo_Gym_Offense))</f>
        <v>#VALUE!</v>
      </c>
      <c r="E11" s="23" t="e">
        <f t="array" ref="E11">RANK($Y11,IF(Combo_Species_Names=$N11,Combo_Gym_Defense),0)</f>
        <v>#VALUE!</v>
      </c>
      <c r="F11" s="25" t="e">
        <f t="array" ref="F11">$Y11/MAX(IF(Combo_Species_Names=$N11,Combo_Gym_Defense))</f>
        <v>#VALUE!</v>
      </c>
      <c r="G11" s="23" t="e">
        <f t="array" ref="G11">IF(OR(INDEX(Species_Availability,MATCH($N11,Species_Names,0))="No",INDEX(Species_Evo_Numbers,MATCH($N11,Species_Names,0))&lt;&gt;1),"N/A",RANK($R11,IF(NOT(ISNA(MATCH(Combo_Species_Names,IF(Species_Availability="Yes",IF(Species_Evo_Numbers=1,Species_Names)),0))),Combo_Duel_Ability),0))</f>
        <v>#VALUE!</v>
      </c>
      <c r="H11" s="24" t="e">
        <f t="array" ref="H11">IF(OR(INDEX(Species_Availability,MATCH($N11,Species_Names,0))="No",INDEX(Species_Evo_Numbers,MATCH($N11,Species_Names,0))&lt;&gt;1),"N/A",$R11/MAX(IF(NOT(ISNA(MATCH(Combo_Species_Names,IF(Species_Availability="Yes",IF(Species_Evo_Numbers=1,Species_Names)),0))),Combo_Duel_Ability)))</f>
        <v>#VALUE!</v>
      </c>
      <c r="I11" s="23" t="e">
        <f t="array" ref="I11">IF(OR(INDEX(Species_Availability,MATCH($N11,Species_Names,0))="No",INDEX(Species_Evo_Numbers,MATCH($N11,Species_Names,0))&lt;&gt;1),"N/A",RANK($S11,IF(NOT(ISNA(MATCH(Combo_Species_Names,IF(Species_Availability="Yes",IF(Species_Evo_Numbers=1,Species_Names)),0))),Combo_Gym_Offense),0))</f>
        <v>#VALUE!</v>
      </c>
      <c r="J11" s="24" t="e">
        <f t="array" ref="J11">IF(OR(INDEX(Species_Availability,MATCH($N11,Species_Names,0))="No",INDEX(Species_Evo_Numbers,MATCH($N11,Species_Names,0))&lt;&gt;1),"N/A",$S11/MAX(IF(NOT(ISNA(MATCH(Combo_Species_Names,IF(Species_Availability="Yes",IF(Species_Evo_Numbers=1,Species_Names)),0))),Combo_Gym_Offense)))</f>
        <v>#VALUE!</v>
      </c>
      <c r="K11" s="23" t="e">
        <f t="array" ref="K11">IF(OR(INDEX(Species_Availability,MATCH($N11,Species_Names,0))="No",INDEX(Species_Evo_Numbers,MATCH($N11,Species_Names,0))&lt;&gt;1),"N/A",RANK($Y11,IF(NOT(ISNA(MATCH(Combo_Species_Names,IF(Species_Availability="Yes",IF(Species_Evo_Numbers=1,Species_Names)),0))),Combo_Gym_Defense),0))</f>
        <v>#VALUE!</v>
      </c>
      <c r="L11" s="24" t="e">
        <f t="array" ref="L11">IF(OR(INDEX(Species_Availability,MATCH($N11,Species_Names,0))="No",INDEX(Species_Evo_Numbers,MATCH($N11,Species_Names,0))&lt;&gt;1),"N/A",$Y11/MAX(IF(NOT(ISNA(MATCH(Combo_Species_Names,IF(Species_Availability="Yes",IF(Species_Evo_Numbers=1,Species_Names)),0))),Combo_Gym_Defense)))</f>
        <v>#VALUE!</v>
      </c>
      <c r="M11" s="28">
        <f t="array" ref="M11">INDEX(Species_Pdex_Numbers,MATCH($N11,Species_Names,0))</f>
        <v>131</v>
      </c>
      <c r="N11" s="30" t="s">
        <v>348</v>
      </c>
      <c r="O11" s="31" t="s">
        <v>87</v>
      </c>
      <c r="P11" s="31" t="s">
        <v>153</v>
      </c>
      <c r="Q11" s="17" t="e">
        <f t="shared" si="0"/>
        <v>#VALUE!</v>
      </c>
      <c r="R11" s="32" t="e">
        <f t="array" ref="R11">IF(OR(AND(COUNTBLANK(Combo_Opponent_Type_1)=1,COUNTBLANK(Combo_Opponent_Type_2)=0),AND(AND(COUNTBLANK(Combo_Opponent_Type_1)=0,COUNTBLANK(Combo_Opponent_Type_2)=0),Combo_Opponent_Type_1=Combo_Opponent_Type_2)),
"Check Types",($S11*INDEX(Species_Tankiness,MATCH($N11,Species_Names,0)))/225)</f>
        <v>#VALUE!</v>
      </c>
      <c r="S11" s="32" t="e">
        <f t="array" ref="S11">IF(OR(AND(COUNTBLANK(Combo_Opponent_Type_1)=1,COUNTBLANK(Combo_Opponent_Type_2)=0),AND(AND(COUNTBLANK(Combo_Opponent_Type_1)=0,COUNTBLANK(Combo_Opponent_Type_2)=0),Combo_Opponent_Type_1=Combo_Opponent_Type_2)),
"Check Types",(
IF($W11&gt;=((1-Game_Weave_Human_Error)*$X11),$W11,$X11)*INDEX(Species_Attack,MATCH($N11,Species_Names,0)))/11)</f>
        <v>#VALUE!</v>
      </c>
      <c r="T11" s="33" t="e">
        <f t="shared" si="1"/>
        <v>#VALUE!</v>
      </c>
      <c r="U11" s="33">
        <f t="array" ref="U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11,Quick_Names,0))),Type_Species)),0),1)*IF(COUNTBLANK(Combo_Opponent_Type_2)=0,INDEX(Type_Damage_Multipliers,MATCH(Combo_Opponent_Type_2,IF(Type_Move=(INDEX(Quick_Type,MATCH($O11,Quick_Names,0))),Type_Species)),0),1)*(IF(OR(INDEX(Quick_Type,MATCH($O11,Quick_Names,0))=INDEX(Species_Type_1,MATCH($N11,Species_Names,0)),INDEX(Quick_Type,MATCH($O11,Quick_Names,0))=INDEX(Species_Type_2,MATCH($N11,Species_Names,0))),Game_STAB_Multiplier,1)))</f>
        <v>1.25</v>
      </c>
      <c r="V11" s="33">
        <f t="array" ref="V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11,Charge_Names,0))),Type_Species)),0),1)*IF(COUNTBLANK(Combo_Opponent_Type_2)=0,INDEX(Type_Damage_Multipliers,MATCH(Combo_Opponent_Type_2,IF(Type_Move=(INDEX(Charge_Type,MATCH($P11,Charge_Names,0))),Type_Species)),0),1)*
IF(OR(INDEX(Charge_Type,MATCH($P11,Charge_Names,0))=INDEX(Species_Type_1,MATCH($N11,Species_Names,0)),INDEX(Charge_Type,MATCH($P11,Charge_Names,0))=INDEX(Species_Type_2,MATCH($N11,Species_Names,0))),Game_STAB_Multiplier,1))</f>
        <v>1.25</v>
      </c>
      <c r="W11" s="33" t="s">
        <v>422</v>
      </c>
      <c r="X11" s="33" t="s">
        <v>423</v>
      </c>
      <c r="Y11" s="32" t="e">
        <f t="array" ref="Y11">((($Z11)*
INDEX(Species_Attack,MATCH($N11,Species_Names,0))*
INDEX(Species_Tankiness,MATCH($N11,Species_Names,0)))/1000)</f>
        <v>#VALUE!</v>
      </c>
      <c r="Z11" s="33" t="s">
        <v>424</v>
      </c>
      <c r="AA11" s="3"/>
    </row>
    <row r="12" spans="1:27" ht="14.25" customHeight="1" x14ac:dyDescent="0.2">
      <c r="A12" s="9" t="str">
        <f>Game_Type07</f>
        <v>Fire</v>
      </c>
      <c r="B12" s="22" t="str">
        <f t="array" ref="B12">CONCATENATE(TEXT($M12,"000"),".",TEXT(INDEX(Quick_Number,MATCH($O12,Quick_Names,0)),"000"),".",TEXT(INDEX(Charge_Number,MATCH($P12,Charge_Names,0)),"000"))</f>
        <v>134.230.107</v>
      </c>
      <c r="C12" s="23" t="e">
        <f t="array" ref="C12">RANK($S12,IF(Combo_Species_Names=$N12,Combo_Gym_Offense),0)</f>
        <v>#VALUE!</v>
      </c>
      <c r="D12" s="24" t="e">
        <f t="array" ref="D12">$S12/MAX(IF(Combo_Species_Names=$N12,Combo_Gym_Offense))</f>
        <v>#VALUE!</v>
      </c>
      <c r="E12" s="23" t="e">
        <f t="array" ref="E12">RANK($Y12,IF(Combo_Species_Names=$N12,Combo_Gym_Defense),0)</f>
        <v>#VALUE!</v>
      </c>
      <c r="F12" s="25" t="e">
        <f t="array" ref="F12">$Y12/MAX(IF(Combo_Species_Names=$N12,Combo_Gym_Defense))</f>
        <v>#VALUE!</v>
      </c>
      <c r="G12" s="23" t="e">
        <f t="array" ref="G12">IF(OR(INDEX(Species_Availability,MATCH($N12,Species_Names,0))="No",INDEX(Species_Evo_Numbers,MATCH($N12,Species_Names,0))&lt;&gt;1),"N/A",RANK($R12,IF(NOT(ISNA(MATCH(Combo_Species_Names,IF(Species_Availability="Yes",IF(Species_Evo_Numbers=1,Species_Names)),0))),Combo_Duel_Ability),0))</f>
        <v>#VALUE!</v>
      </c>
      <c r="H12" s="24" t="e">
        <f t="array" ref="H12">IF(OR(INDEX(Species_Availability,MATCH($N12,Species_Names,0))="No",INDEX(Species_Evo_Numbers,MATCH($N12,Species_Names,0))&lt;&gt;1),"N/A",$R12/MAX(IF(NOT(ISNA(MATCH(Combo_Species_Names,IF(Species_Availability="Yes",IF(Species_Evo_Numbers=1,Species_Names)),0))),Combo_Duel_Ability)))</f>
        <v>#VALUE!</v>
      </c>
      <c r="I12" s="23" t="e">
        <f t="array" ref="I12">IF(OR(INDEX(Species_Availability,MATCH($N12,Species_Names,0))="No",INDEX(Species_Evo_Numbers,MATCH($N12,Species_Names,0))&lt;&gt;1),"N/A",RANK($S12,IF(NOT(ISNA(MATCH(Combo_Species_Names,IF(Species_Availability="Yes",IF(Species_Evo_Numbers=1,Species_Names)),0))),Combo_Gym_Offense),0))</f>
        <v>#VALUE!</v>
      </c>
      <c r="J12" s="24" t="e">
        <f t="array" ref="J12">IF(OR(INDEX(Species_Availability,MATCH($N12,Species_Names,0))="No",INDEX(Species_Evo_Numbers,MATCH($N12,Species_Names,0))&lt;&gt;1),"N/A",$S12/MAX(IF(NOT(ISNA(MATCH(Combo_Species_Names,IF(Species_Availability="Yes",IF(Species_Evo_Numbers=1,Species_Names)),0))),Combo_Gym_Offense)))</f>
        <v>#VALUE!</v>
      </c>
      <c r="K12" s="23" t="e">
        <f t="array" ref="K12">IF(OR(INDEX(Species_Availability,MATCH($N12,Species_Names,0))="No",INDEX(Species_Evo_Numbers,MATCH($N12,Species_Names,0))&lt;&gt;1),"N/A",RANK($Y12,IF(NOT(ISNA(MATCH(Combo_Species_Names,IF(Species_Availability="Yes",IF(Species_Evo_Numbers=1,Species_Names)),0))),Combo_Gym_Defense),0))</f>
        <v>#VALUE!</v>
      </c>
      <c r="L12" s="24" t="e">
        <f t="array" ref="L12">IF(OR(INDEX(Species_Availability,MATCH($N12,Species_Names,0))="No",INDEX(Species_Evo_Numbers,MATCH($N12,Species_Names,0))&lt;&gt;1),"N/A",$Y12/MAX(IF(NOT(ISNA(MATCH(Combo_Species_Names,IF(Species_Availability="Yes",IF(Species_Evo_Numbers=1,Species_Names)),0))),Combo_Gym_Defense)))</f>
        <v>#VALUE!</v>
      </c>
      <c r="M12" s="28">
        <f t="array" ref="M12">INDEX(Species_Pdex_Numbers,MATCH($N12,Species_Names,0))</f>
        <v>134</v>
      </c>
      <c r="N12" s="30" t="s">
        <v>352</v>
      </c>
      <c r="O12" s="31" t="s">
        <v>65</v>
      </c>
      <c r="P12" s="31" t="s">
        <v>170</v>
      </c>
      <c r="Q12" s="17" t="e">
        <f t="shared" si="0"/>
        <v>#VALUE!</v>
      </c>
      <c r="R12" s="32" t="e">
        <f t="array" ref="R12">IF(OR(AND(COUNTBLANK(Combo_Opponent_Type_1)=1,COUNTBLANK(Combo_Opponent_Type_2)=0),AND(AND(COUNTBLANK(Combo_Opponent_Type_1)=0,COUNTBLANK(Combo_Opponent_Type_2)=0),Combo_Opponent_Type_1=Combo_Opponent_Type_2)),
"Check Types",($S12*INDEX(Species_Tankiness,MATCH($N12,Species_Names,0)))/225)</f>
        <v>#VALUE!</v>
      </c>
      <c r="S12" s="32" t="e">
        <f t="array" ref="S12">IF(OR(AND(COUNTBLANK(Combo_Opponent_Type_1)=1,COUNTBLANK(Combo_Opponent_Type_2)=0),AND(AND(COUNTBLANK(Combo_Opponent_Type_1)=0,COUNTBLANK(Combo_Opponent_Type_2)=0),Combo_Opponent_Type_1=Combo_Opponent_Type_2)),
"Check Types",(
IF($W12&gt;=((1-Game_Weave_Human_Error)*$X12),$W12,$X12)*INDEX(Species_Attack,MATCH($N12,Species_Names,0)))/11)</f>
        <v>#VALUE!</v>
      </c>
      <c r="T12" s="33" t="e">
        <f t="shared" si="1"/>
        <v>#VALUE!</v>
      </c>
      <c r="U12" s="33">
        <f t="array" ref="U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12,Quick_Names,0))),Type_Species)),0),1)*IF(COUNTBLANK(Combo_Opponent_Type_2)=0,INDEX(Type_Damage_Multipliers,MATCH(Combo_Opponent_Type_2,IF(Type_Move=(INDEX(Quick_Type,MATCH($O12,Quick_Names,0))),Type_Species)),0),1)*(IF(OR(INDEX(Quick_Type,MATCH($O12,Quick_Names,0))=INDEX(Species_Type_1,MATCH($N12,Species_Names,0)),INDEX(Quick_Type,MATCH($O12,Quick_Names,0))=INDEX(Species_Type_2,MATCH($N12,Species_Names,0))),Game_STAB_Multiplier,1)))</f>
        <v>1.25</v>
      </c>
      <c r="V12" s="33">
        <f t="array" ref="V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12,Charge_Names,0))),Type_Species)),0),1)*IF(COUNTBLANK(Combo_Opponent_Type_2)=0,INDEX(Type_Damage_Multipliers,MATCH(Combo_Opponent_Type_2,IF(Type_Move=(INDEX(Charge_Type,MATCH($P12,Charge_Names,0))),Type_Species)),0),1)*
IF(OR(INDEX(Charge_Type,MATCH($P12,Charge_Names,0))=INDEX(Species_Type_1,MATCH($N12,Species_Names,0)),INDEX(Charge_Type,MATCH($P12,Charge_Names,0))=INDEX(Species_Type_2,MATCH($N12,Species_Names,0))),Game_STAB_Multiplier,1))</f>
        <v>1.25</v>
      </c>
      <c r="W12" s="33" t="s">
        <v>412</v>
      </c>
      <c r="X12" s="33" t="s">
        <v>425</v>
      </c>
      <c r="Y12" s="32" t="e">
        <f t="array" ref="Y12">((($Z12)*
INDEX(Species_Attack,MATCH($N12,Species_Names,0))*
INDEX(Species_Tankiness,MATCH($N12,Species_Names,0)))/1000)</f>
        <v>#VALUE!</v>
      </c>
      <c r="Z12" s="33" t="s">
        <v>426</v>
      </c>
    </row>
    <row r="13" spans="1:27" ht="14.25" customHeight="1" x14ac:dyDescent="0.2">
      <c r="A13" s="9" t="str">
        <f>Game_Type08</f>
        <v>Flying</v>
      </c>
      <c r="B13" s="22" t="str">
        <f t="array" ref="B13">CONCATENATE(TEXT($M13,"000"),".",TEXT(INDEX(Quick_Number,MATCH($O13,Quick_Names,0)),"000"),".",TEXT(INDEX(Charge_Number,MATCH($P13,Charge_Names,0)),"000"))</f>
        <v>131.217.040</v>
      </c>
      <c r="C13" s="23" t="e">
        <f t="array" ref="C13">RANK($S13,IF(Combo_Species_Names=$N13,Combo_Gym_Offense),0)</f>
        <v>#VALUE!</v>
      </c>
      <c r="D13" s="24" t="e">
        <f t="array" ref="D13">$S13/MAX(IF(Combo_Species_Names=$N13,Combo_Gym_Offense))</f>
        <v>#VALUE!</v>
      </c>
      <c r="E13" s="23" t="e">
        <f t="array" ref="E13">RANK($Y13,IF(Combo_Species_Names=$N13,Combo_Gym_Defense),0)</f>
        <v>#VALUE!</v>
      </c>
      <c r="F13" s="25" t="e">
        <f t="array" ref="F13">$Y13/MAX(IF(Combo_Species_Names=$N13,Combo_Gym_Defense))</f>
        <v>#VALUE!</v>
      </c>
      <c r="G13" s="23" t="e">
        <f t="array" ref="G13">IF(OR(INDEX(Species_Availability,MATCH($N13,Species_Names,0))="No",INDEX(Species_Evo_Numbers,MATCH($N13,Species_Names,0))&lt;&gt;1),"N/A",RANK($R13,IF(NOT(ISNA(MATCH(Combo_Species_Names,IF(Species_Availability="Yes",IF(Species_Evo_Numbers=1,Species_Names)),0))),Combo_Duel_Ability),0))</f>
        <v>#VALUE!</v>
      </c>
      <c r="H13" s="24" t="e">
        <f t="array" ref="H13">IF(OR(INDEX(Species_Availability,MATCH($N13,Species_Names,0))="No",INDEX(Species_Evo_Numbers,MATCH($N13,Species_Names,0))&lt;&gt;1),"N/A",$R13/MAX(IF(NOT(ISNA(MATCH(Combo_Species_Names,IF(Species_Availability="Yes",IF(Species_Evo_Numbers=1,Species_Names)),0))),Combo_Duel_Ability)))</f>
        <v>#VALUE!</v>
      </c>
      <c r="I13" s="23" t="e">
        <f t="array" ref="I13">IF(OR(INDEX(Species_Availability,MATCH($N13,Species_Names,0))="No",INDEX(Species_Evo_Numbers,MATCH($N13,Species_Names,0))&lt;&gt;1),"N/A",RANK($S13,IF(NOT(ISNA(MATCH(Combo_Species_Names,IF(Species_Availability="Yes",IF(Species_Evo_Numbers=1,Species_Names)),0))),Combo_Gym_Offense),0))</f>
        <v>#VALUE!</v>
      </c>
      <c r="J13" s="24" t="e">
        <f t="array" ref="J13">IF(OR(INDEX(Species_Availability,MATCH($N13,Species_Names,0))="No",INDEX(Species_Evo_Numbers,MATCH($N13,Species_Names,0))&lt;&gt;1),"N/A",$S13/MAX(IF(NOT(ISNA(MATCH(Combo_Species_Names,IF(Species_Availability="Yes",IF(Species_Evo_Numbers=1,Species_Names)),0))),Combo_Gym_Offense)))</f>
        <v>#VALUE!</v>
      </c>
      <c r="K13" s="23" t="e">
        <f t="array" ref="K13">IF(OR(INDEX(Species_Availability,MATCH($N13,Species_Names,0))="No",INDEX(Species_Evo_Numbers,MATCH($N13,Species_Names,0))&lt;&gt;1),"N/A",RANK($Y13,IF(NOT(ISNA(MATCH(Combo_Species_Names,IF(Species_Availability="Yes",IF(Species_Evo_Numbers=1,Species_Names)),0))),Combo_Gym_Defense),0))</f>
        <v>#VALUE!</v>
      </c>
      <c r="L13" s="24" t="e">
        <f t="array" ref="L13">IF(OR(INDEX(Species_Availability,MATCH($N13,Species_Names,0))="No",INDEX(Species_Evo_Numbers,MATCH($N13,Species_Names,0))&lt;&gt;1),"N/A",$Y13/MAX(IF(NOT(ISNA(MATCH(Combo_Species_Names,IF(Species_Availability="Yes",IF(Species_Evo_Numbers=1,Species_Names)),0))),Combo_Gym_Defense)))</f>
        <v>#VALUE!</v>
      </c>
      <c r="M13" s="28">
        <f t="array" ref="M13">INDEX(Species_Pdex_Numbers,MATCH($N13,Species_Names,0))</f>
        <v>131</v>
      </c>
      <c r="N13" s="30" t="s">
        <v>348</v>
      </c>
      <c r="O13" s="31" t="s">
        <v>95</v>
      </c>
      <c r="P13" s="31" t="s">
        <v>153</v>
      </c>
      <c r="Q13" s="17" t="e">
        <f t="shared" si="0"/>
        <v>#VALUE!</v>
      </c>
      <c r="R13" s="32" t="e">
        <f t="array" ref="R13">IF(OR(AND(COUNTBLANK(Combo_Opponent_Type_1)=1,COUNTBLANK(Combo_Opponent_Type_2)=0),AND(AND(COUNTBLANK(Combo_Opponent_Type_1)=0,COUNTBLANK(Combo_Opponent_Type_2)=0),Combo_Opponent_Type_1=Combo_Opponent_Type_2)),
"Check Types",($S13*INDEX(Species_Tankiness,MATCH($N13,Species_Names,0)))/225)</f>
        <v>#VALUE!</v>
      </c>
      <c r="S13" s="32" t="e">
        <f t="array" ref="S13">IF(OR(AND(COUNTBLANK(Combo_Opponent_Type_1)=1,COUNTBLANK(Combo_Opponent_Type_2)=0),AND(AND(COUNTBLANK(Combo_Opponent_Type_1)=0,COUNTBLANK(Combo_Opponent_Type_2)=0),Combo_Opponent_Type_1=Combo_Opponent_Type_2)),
"Check Types",(
IF($W13&gt;=((1-Game_Weave_Human_Error)*$X13),$W13,$X13)*INDEX(Species_Attack,MATCH($N13,Species_Names,0)))/11)</f>
        <v>#VALUE!</v>
      </c>
      <c r="T13" s="33" t="e">
        <f t="shared" si="1"/>
        <v>#VALUE!</v>
      </c>
      <c r="U13" s="33">
        <f t="array" ref="U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13,Quick_Names,0))),Type_Species)),0),1)*IF(COUNTBLANK(Combo_Opponent_Type_2)=0,INDEX(Type_Damage_Multipliers,MATCH(Combo_Opponent_Type_2,IF(Type_Move=(INDEX(Quick_Type,MATCH($O13,Quick_Names,0))),Type_Species)),0),1)*(IF(OR(INDEX(Quick_Type,MATCH($O13,Quick_Names,0))=INDEX(Species_Type_1,MATCH($N13,Species_Names,0)),INDEX(Quick_Type,MATCH($O13,Quick_Names,0))=INDEX(Species_Type_2,MATCH($N13,Species_Names,0))),Game_STAB_Multiplier,1)))</f>
        <v>1.25</v>
      </c>
      <c r="V13" s="33">
        <f t="array" ref="V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13,Charge_Names,0))),Type_Species)),0),1)*IF(COUNTBLANK(Combo_Opponent_Type_2)=0,INDEX(Type_Damage_Multipliers,MATCH(Combo_Opponent_Type_2,IF(Type_Move=(INDEX(Charge_Type,MATCH($P13,Charge_Names,0))),Type_Species)),0),1)*
IF(OR(INDEX(Charge_Type,MATCH($P13,Charge_Names,0))=INDEX(Species_Type_1,MATCH($N13,Species_Names,0)),INDEX(Charge_Type,MATCH($P13,Charge_Names,0))=INDEX(Species_Type_2,MATCH($N13,Species_Names,0))),Game_STAB_Multiplier,1))</f>
        <v>1.25</v>
      </c>
      <c r="W13" s="33" t="s">
        <v>427</v>
      </c>
      <c r="X13" s="33" t="s">
        <v>428</v>
      </c>
      <c r="Y13" s="32" t="e">
        <f t="array" ref="Y13">((($Z13)*
INDEX(Species_Attack,MATCH($N13,Species_Names,0))*
INDEX(Species_Tankiness,MATCH($N13,Species_Names,0)))/1000)</f>
        <v>#VALUE!</v>
      </c>
      <c r="Z13" s="33" t="s">
        <v>429</v>
      </c>
    </row>
    <row r="14" spans="1:27" ht="14.25" customHeight="1" x14ac:dyDescent="0.2">
      <c r="A14" s="9" t="str">
        <f>Game_Type09</f>
        <v>Ghost</v>
      </c>
      <c r="B14" s="22" t="str">
        <f t="array" ref="B14">CONCATENATE(TEXT($M14,"000"),".",TEXT(INDEX(Quick_Number,MATCH($O14,Quick_Names,0)),"000"),".",TEXT(INDEX(Charge_Number,MATCH($P14,Charge_Names,0)),"000"))</f>
        <v>143.212.131</v>
      </c>
      <c r="C14" s="23" t="e">
        <f t="array" ref="C14">RANK($S14,IF(Combo_Species_Names=$N14,Combo_Gym_Offense),0)</f>
        <v>#VALUE!</v>
      </c>
      <c r="D14" s="24" t="e">
        <f t="array" ref="D14">$S14/MAX(IF(Combo_Species_Names=$N14,Combo_Gym_Offense))</f>
        <v>#VALUE!</v>
      </c>
      <c r="E14" s="23" t="e">
        <f t="array" ref="E14">RANK($Y14,IF(Combo_Species_Names=$N14,Combo_Gym_Defense),0)</f>
        <v>#VALUE!</v>
      </c>
      <c r="F14" s="25" t="e">
        <f t="array" ref="F14">$Y14/MAX(IF(Combo_Species_Names=$N14,Combo_Gym_Defense))</f>
        <v>#VALUE!</v>
      </c>
      <c r="G14" s="23" t="e">
        <f t="array" ref="G14">IF(OR(INDEX(Species_Availability,MATCH($N14,Species_Names,0))="No",INDEX(Species_Evo_Numbers,MATCH($N14,Species_Names,0))&lt;&gt;1),"N/A",RANK($R14,IF(NOT(ISNA(MATCH(Combo_Species_Names,IF(Species_Availability="Yes",IF(Species_Evo_Numbers=1,Species_Names)),0))),Combo_Duel_Ability),0))</f>
        <v>#VALUE!</v>
      </c>
      <c r="H14" s="24" t="e">
        <f t="array" ref="H14">IF(OR(INDEX(Species_Availability,MATCH($N14,Species_Names,0))="No",INDEX(Species_Evo_Numbers,MATCH($N14,Species_Names,0))&lt;&gt;1),"N/A",$R14/MAX(IF(NOT(ISNA(MATCH(Combo_Species_Names,IF(Species_Availability="Yes",IF(Species_Evo_Numbers=1,Species_Names)),0))),Combo_Duel_Ability)))</f>
        <v>#VALUE!</v>
      </c>
      <c r="I14" s="23" t="e">
        <f t="array" ref="I14">IF(OR(INDEX(Species_Availability,MATCH($N14,Species_Names,0))="No",INDEX(Species_Evo_Numbers,MATCH($N14,Species_Names,0))&lt;&gt;1),"N/A",RANK($S14,IF(NOT(ISNA(MATCH(Combo_Species_Names,IF(Species_Availability="Yes",IF(Species_Evo_Numbers=1,Species_Names)),0))),Combo_Gym_Offense),0))</f>
        <v>#VALUE!</v>
      </c>
      <c r="J14" s="24" t="e">
        <f t="array" ref="J14">IF(OR(INDEX(Species_Availability,MATCH($N14,Species_Names,0))="No",INDEX(Species_Evo_Numbers,MATCH($N14,Species_Names,0))&lt;&gt;1),"N/A",$S14/MAX(IF(NOT(ISNA(MATCH(Combo_Species_Names,IF(Species_Availability="Yes",IF(Species_Evo_Numbers=1,Species_Names)),0))),Combo_Gym_Offense)))</f>
        <v>#VALUE!</v>
      </c>
      <c r="K14" s="23" t="e">
        <f t="array" ref="K14">IF(OR(INDEX(Species_Availability,MATCH($N14,Species_Names,0))="No",INDEX(Species_Evo_Numbers,MATCH($N14,Species_Names,0))&lt;&gt;1),"N/A",RANK($Y14,IF(NOT(ISNA(MATCH(Combo_Species_Names,IF(Species_Availability="Yes",IF(Species_Evo_Numbers=1,Species_Names)),0))),Combo_Gym_Defense),0))</f>
        <v>#VALUE!</v>
      </c>
      <c r="L14" s="24" t="e">
        <f t="array" ref="L14">IF(OR(INDEX(Species_Availability,MATCH($N14,Species_Names,0))="No",INDEX(Species_Evo_Numbers,MATCH($N14,Species_Names,0))&lt;&gt;1),"N/A",$Y14/MAX(IF(NOT(ISNA(MATCH(Combo_Species_Names,IF(Species_Availability="Yes",IF(Species_Evo_Numbers=1,Species_Names)),0))),Combo_Gym_Defense)))</f>
        <v>#VALUE!</v>
      </c>
      <c r="M14" s="28">
        <f t="array" ref="M14">INDEX(Species_Pdex_Numbers,MATCH($N14,Species_Names,0))</f>
        <v>143</v>
      </c>
      <c r="N14" s="30" t="s">
        <v>127</v>
      </c>
      <c r="O14" s="31" t="s">
        <v>105</v>
      </c>
      <c r="P14" s="31" t="s">
        <v>151</v>
      </c>
      <c r="Q14" s="17" t="e">
        <f t="shared" si="0"/>
        <v>#VALUE!</v>
      </c>
      <c r="R14" s="32" t="e">
        <f t="array" ref="R14">IF(OR(AND(COUNTBLANK(Combo_Opponent_Type_1)=1,COUNTBLANK(Combo_Opponent_Type_2)=0),AND(AND(COUNTBLANK(Combo_Opponent_Type_1)=0,COUNTBLANK(Combo_Opponent_Type_2)=0),Combo_Opponent_Type_1=Combo_Opponent_Type_2)),
"Check Types",($S14*INDEX(Species_Tankiness,MATCH($N14,Species_Names,0)))/225)</f>
        <v>#VALUE!</v>
      </c>
      <c r="S14" s="32" t="e">
        <f t="array" ref="S14">IF(OR(AND(COUNTBLANK(Combo_Opponent_Type_1)=1,COUNTBLANK(Combo_Opponent_Type_2)=0),AND(AND(COUNTBLANK(Combo_Opponent_Type_1)=0,COUNTBLANK(Combo_Opponent_Type_2)=0),Combo_Opponent_Type_1=Combo_Opponent_Type_2)),
"Check Types",(
IF($W14&gt;=((1-Game_Weave_Human_Error)*$X14),$W14,$X14)*INDEX(Species_Attack,MATCH($N14,Species_Names,0)))/11)</f>
        <v>#VALUE!</v>
      </c>
      <c r="T14" s="33" t="e">
        <f t="shared" si="1"/>
        <v>#VALUE!</v>
      </c>
      <c r="U14" s="33">
        <f t="array" ref="U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14,Quick_Names,0))),Type_Species)),0),1)*IF(COUNTBLANK(Combo_Opponent_Type_2)=0,INDEX(Type_Damage_Multipliers,MATCH(Combo_Opponent_Type_2,IF(Type_Move=(INDEX(Quick_Type,MATCH($O14,Quick_Names,0))),Type_Species)),0),1)*(IF(OR(INDEX(Quick_Type,MATCH($O14,Quick_Names,0))=INDEX(Species_Type_1,MATCH($N14,Species_Names,0)),INDEX(Quick_Type,MATCH($O14,Quick_Names,0))=INDEX(Species_Type_2,MATCH($N14,Species_Names,0))),Game_STAB_Multiplier,1)))</f>
        <v>1</v>
      </c>
      <c r="V14" s="33">
        <f t="array" ref="V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14,Charge_Names,0))),Type_Species)),0),1)*IF(COUNTBLANK(Combo_Opponent_Type_2)=0,INDEX(Type_Damage_Multipliers,MATCH(Combo_Opponent_Type_2,IF(Type_Move=(INDEX(Charge_Type,MATCH($P14,Charge_Names,0))),Type_Species)),0),1)*
IF(OR(INDEX(Charge_Type,MATCH($P14,Charge_Names,0))=INDEX(Species_Type_1,MATCH($N14,Species_Names,0)),INDEX(Charge_Type,MATCH($P14,Charge_Names,0))=INDEX(Species_Type_2,MATCH($N14,Species_Names,0))),Game_STAB_Multiplier,1))</f>
        <v>1.25</v>
      </c>
      <c r="W14" s="33" t="s">
        <v>409</v>
      </c>
      <c r="X14" s="33" t="s">
        <v>430</v>
      </c>
      <c r="Y14" s="32" t="e">
        <f t="array" ref="Y14">((($Z14)*
INDEX(Species_Attack,MATCH($N14,Species_Names,0))*
INDEX(Species_Tankiness,MATCH($N14,Species_Names,0)))/1000)</f>
        <v>#VALUE!</v>
      </c>
      <c r="Z14" s="33" t="s">
        <v>431</v>
      </c>
    </row>
    <row r="15" spans="1:27" ht="14.25" customHeight="1" x14ac:dyDescent="0.2">
      <c r="A15" s="9" t="str">
        <f>Game_Type10</f>
        <v>Grass</v>
      </c>
      <c r="B15" s="22" t="str">
        <f t="array" ref="B15">CONCATENATE(TEXT($M15,"000"),".",TEXT(INDEX(Quick_Number,MATCH($O15,Quick_Names,0)),"000"),".",TEXT(INDEX(Charge_Number,MATCH($P15,Charge_Names,0)),"000"))</f>
        <v>143.234.131</v>
      </c>
      <c r="C15" s="23" t="e">
        <f t="array" ref="C15">RANK($S15,IF(Combo_Species_Names=$N15,Combo_Gym_Offense),0)</f>
        <v>#VALUE!</v>
      </c>
      <c r="D15" s="24" t="e">
        <f t="array" ref="D15">$S15/MAX(IF(Combo_Species_Names=$N15,Combo_Gym_Offense))</f>
        <v>#VALUE!</v>
      </c>
      <c r="E15" s="23" t="e">
        <f t="array" ref="E15">RANK($Y15,IF(Combo_Species_Names=$N15,Combo_Gym_Defense),0)</f>
        <v>#VALUE!</v>
      </c>
      <c r="F15" s="25" t="e">
        <f t="array" ref="F15">$Y15/MAX(IF(Combo_Species_Names=$N15,Combo_Gym_Defense))</f>
        <v>#VALUE!</v>
      </c>
      <c r="G15" s="23" t="e">
        <f t="array" ref="G15">IF(OR(INDEX(Species_Availability,MATCH($N15,Species_Names,0))="No",INDEX(Species_Evo_Numbers,MATCH($N15,Species_Names,0))&lt;&gt;1),"N/A",RANK($R15,IF(NOT(ISNA(MATCH(Combo_Species_Names,IF(Species_Availability="Yes",IF(Species_Evo_Numbers=1,Species_Names)),0))),Combo_Duel_Ability),0))</f>
        <v>#VALUE!</v>
      </c>
      <c r="H15" s="24" t="e">
        <f t="array" ref="H15">IF(OR(INDEX(Species_Availability,MATCH($N15,Species_Names,0))="No",INDEX(Species_Evo_Numbers,MATCH($N15,Species_Names,0))&lt;&gt;1),"N/A",$R15/MAX(IF(NOT(ISNA(MATCH(Combo_Species_Names,IF(Species_Availability="Yes",IF(Species_Evo_Numbers=1,Species_Names)),0))),Combo_Duel_Ability)))</f>
        <v>#VALUE!</v>
      </c>
      <c r="I15" s="23" t="e">
        <f t="array" ref="I15">IF(OR(INDEX(Species_Availability,MATCH($N15,Species_Names,0))="No",INDEX(Species_Evo_Numbers,MATCH($N15,Species_Names,0))&lt;&gt;1),"N/A",RANK($S15,IF(NOT(ISNA(MATCH(Combo_Species_Names,IF(Species_Availability="Yes",IF(Species_Evo_Numbers=1,Species_Names)),0))),Combo_Gym_Offense),0))</f>
        <v>#VALUE!</v>
      </c>
      <c r="J15" s="24" t="e">
        <f t="array" ref="J15">IF(OR(INDEX(Species_Availability,MATCH($N15,Species_Names,0))="No",INDEX(Species_Evo_Numbers,MATCH($N15,Species_Names,0))&lt;&gt;1),"N/A",$S15/MAX(IF(NOT(ISNA(MATCH(Combo_Species_Names,IF(Species_Availability="Yes",IF(Species_Evo_Numbers=1,Species_Names)),0))),Combo_Gym_Offense)))</f>
        <v>#VALUE!</v>
      </c>
      <c r="K15" s="23" t="e">
        <f t="array" ref="K15">IF(OR(INDEX(Species_Availability,MATCH($N15,Species_Names,0))="No",INDEX(Species_Evo_Numbers,MATCH($N15,Species_Names,0))&lt;&gt;1),"N/A",RANK($Y15,IF(NOT(ISNA(MATCH(Combo_Species_Names,IF(Species_Availability="Yes",IF(Species_Evo_Numbers=1,Species_Names)),0))),Combo_Gym_Defense),0))</f>
        <v>#VALUE!</v>
      </c>
      <c r="L15" s="24" t="e">
        <f t="array" ref="L15">IF(OR(INDEX(Species_Availability,MATCH($N15,Species_Names,0))="No",INDEX(Species_Evo_Numbers,MATCH($N15,Species_Names,0))&lt;&gt;1),"N/A",$Y15/MAX(IF(NOT(ISNA(MATCH(Combo_Species_Names,IF(Species_Availability="Yes",IF(Species_Evo_Numbers=1,Species_Names)),0))),Combo_Gym_Defense)))</f>
        <v>#VALUE!</v>
      </c>
      <c r="M15" s="28">
        <f t="array" ref="M15">INDEX(Species_Pdex_Numbers,MATCH($N15,Species_Names,0))</f>
        <v>143</v>
      </c>
      <c r="N15" s="30" t="s">
        <v>127</v>
      </c>
      <c r="O15" s="31" t="s">
        <v>79</v>
      </c>
      <c r="P15" s="31" t="s">
        <v>151</v>
      </c>
      <c r="Q15" s="17" t="e">
        <f t="shared" si="0"/>
        <v>#VALUE!</v>
      </c>
      <c r="R15" s="32" t="e">
        <f t="array" ref="R15">IF(OR(AND(COUNTBLANK(Combo_Opponent_Type_1)=1,COUNTBLANK(Combo_Opponent_Type_2)=0),AND(AND(COUNTBLANK(Combo_Opponent_Type_1)=0,COUNTBLANK(Combo_Opponent_Type_2)=0),Combo_Opponent_Type_1=Combo_Opponent_Type_2)),
"Check Types",($S15*INDEX(Species_Tankiness,MATCH($N15,Species_Names,0)))/225)</f>
        <v>#VALUE!</v>
      </c>
      <c r="S15" s="32" t="e">
        <f t="array" ref="S15">IF(OR(AND(COUNTBLANK(Combo_Opponent_Type_1)=1,COUNTBLANK(Combo_Opponent_Type_2)=0),AND(AND(COUNTBLANK(Combo_Opponent_Type_1)=0,COUNTBLANK(Combo_Opponent_Type_2)=0),Combo_Opponent_Type_1=Combo_Opponent_Type_2)),
"Check Types",(
IF($W15&gt;=((1-Game_Weave_Human_Error)*$X15),$W15,$X15)*INDEX(Species_Attack,MATCH($N15,Species_Names,0)))/11)</f>
        <v>#VALUE!</v>
      </c>
      <c r="T15" s="33" t="e">
        <f t="shared" si="1"/>
        <v>#VALUE!</v>
      </c>
      <c r="U15" s="33">
        <f t="array" ref="U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15,Quick_Names,0))),Type_Species)),0),1)*IF(COUNTBLANK(Combo_Opponent_Type_2)=0,INDEX(Type_Damage_Multipliers,MATCH(Combo_Opponent_Type_2,IF(Type_Move=(INDEX(Quick_Type,MATCH($O15,Quick_Names,0))),Type_Species)),0),1)*(IF(OR(INDEX(Quick_Type,MATCH($O15,Quick_Names,0))=INDEX(Species_Type_1,MATCH($N15,Species_Names,0)),INDEX(Quick_Type,MATCH($O15,Quick_Names,0))=INDEX(Species_Type_2,MATCH($N15,Species_Names,0))),Game_STAB_Multiplier,1)))</f>
        <v>1</v>
      </c>
      <c r="V15" s="33">
        <f t="array" ref="V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15,Charge_Names,0))),Type_Species)),0),1)*IF(COUNTBLANK(Combo_Opponent_Type_2)=0,INDEX(Type_Damage_Multipliers,MATCH(Combo_Opponent_Type_2,IF(Type_Move=(INDEX(Charge_Type,MATCH($P15,Charge_Names,0))),Type_Species)),0),1)*
IF(OR(INDEX(Charge_Type,MATCH($P15,Charge_Names,0))=INDEX(Species_Type_1,MATCH($N15,Species_Names,0)),INDEX(Charge_Type,MATCH($P15,Charge_Names,0))=INDEX(Species_Type_2,MATCH($N15,Species_Names,0))),Game_STAB_Multiplier,1))</f>
        <v>1.25</v>
      </c>
      <c r="W15" s="33" t="s">
        <v>419</v>
      </c>
      <c r="X15" s="33" t="s">
        <v>432</v>
      </c>
      <c r="Y15" s="32" t="e">
        <f t="array" ref="Y15">((($Z15)*
INDEX(Species_Attack,MATCH($N15,Species_Names,0))*
INDEX(Species_Tankiness,MATCH($N15,Species_Names,0)))/1000)</f>
        <v>#VALUE!</v>
      </c>
      <c r="Z15" s="33" t="s">
        <v>433</v>
      </c>
    </row>
    <row r="16" spans="1:27" ht="14.25" customHeight="1" x14ac:dyDescent="0.2">
      <c r="A16" s="9" t="str">
        <f>Game_Type11</f>
        <v>Ground</v>
      </c>
      <c r="B16" s="22" t="str">
        <f t="array" ref="B16">CONCATENATE(TEXT($M16,"000"),".",TEXT(INDEX(Quick_Number,MATCH($O16,Quick_Names,0)),"000"),".",TEXT(INDEX(Charge_Number,MATCH($P16,Charge_Names,0)),"000"))</f>
        <v>131.218.039</v>
      </c>
      <c r="C16" s="23" t="e">
        <f t="array" ref="C16">RANK($S16,IF(Combo_Species_Names=$N16,Combo_Gym_Offense),0)</f>
        <v>#VALUE!</v>
      </c>
      <c r="D16" s="24" t="e">
        <f t="array" ref="D16">$S16/MAX(IF(Combo_Species_Names=$N16,Combo_Gym_Offense))</f>
        <v>#VALUE!</v>
      </c>
      <c r="E16" s="23" t="e">
        <f t="array" ref="E16">RANK($Y16,IF(Combo_Species_Names=$N16,Combo_Gym_Defense),0)</f>
        <v>#VALUE!</v>
      </c>
      <c r="F16" s="25" t="e">
        <f t="array" ref="F16">$Y16/MAX(IF(Combo_Species_Names=$N16,Combo_Gym_Defense))</f>
        <v>#VALUE!</v>
      </c>
      <c r="G16" s="23" t="e">
        <f t="array" ref="G16">IF(OR(INDEX(Species_Availability,MATCH($N16,Species_Names,0))="No",INDEX(Species_Evo_Numbers,MATCH($N16,Species_Names,0))&lt;&gt;1),"N/A",RANK($R16,IF(NOT(ISNA(MATCH(Combo_Species_Names,IF(Species_Availability="Yes",IF(Species_Evo_Numbers=1,Species_Names)),0))),Combo_Duel_Ability),0))</f>
        <v>#VALUE!</v>
      </c>
      <c r="H16" s="24" t="e">
        <f t="array" ref="H16">IF(OR(INDEX(Species_Availability,MATCH($N16,Species_Names,0))="No",INDEX(Species_Evo_Numbers,MATCH($N16,Species_Names,0))&lt;&gt;1),"N/A",$R16/MAX(IF(NOT(ISNA(MATCH(Combo_Species_Names,IF(Species_Availability="Yes",IF(Species_Evo_Numbers=1,Species_Names)),0))),Combo_Duel_Ability)))</f>
        <v>#VALUE!</v>
      </c>
      <c r="I16" s="23" t="e">
        <f t="array" ref="I16">IF(OR(INDEX(Species_Availability,MATCH($N16,Species_Names,0))="No",INDEX(Species_Evo_Numbers,MATCH($N16,Species_Names,0))&lt;&gt;1),"N/A",RANK($S16,IF(NOT(ISNA(MATCH(Combo_Species_Names,IF(Species_Availability="Yes",IF(Species_Evo_Numbers=1,Species_Names)),0))),Combo_Gym_Offense),0))</f>
        <v>#VALUE!</v>
      </c>
      <c r="J16" s="24" t="e">
        <f t="array" ref="J16">IF(OR(INDEX(Species_Availability,MATCH($N16,Species_Names,0))="No",INDEX(Species_Evo_Numbers,MATCH($N16,Species_Names,0))&lt;&gt;1),"N/A",$S16/MAX(IF(NOT(ISNA(MATCH(Combo_Species_Names,IF(Species_Availability="Yes",IF(Species_Evo_Numbers=1,Species_Names)),0))),Combo_Gym_Offense)))</f>
        <v>#VALUE!</v>
      </c>
      <c r="K16" s="23" t="e">
        <f t="array" ref="K16">IF(OR(INDEX(Species_Availability,MATCH($N16,Species_Names,0))="No",INDEX(Species_Evo_Numbers,MATCH($N16,Species_Names,0))&lt;&gt;1),"N/A",RANK($Y16,IF(NOT(ISNA(MATCH(Combo_Species_Names,IF(Species_Availability="Yes",IF(Species_Evo_Numbers=1,Species_Names)),0))),Combo_Gym_Defense),0))</f>
        <v>#VALUE!</v>
      </c>
      <c r="L16" s="24" t="e">
        <f t="array" ref="L16">IF(OR(INDEX(Species_Availability,MATCH($N16,Species_Names,0))="No",INDEX(Species_Evo_Numbers,MATCH($N16,Species_Names,0))&lt;&gt;1),"N/A",$Y16/MAX(IF(NOT(ISNA(MATCH(Combo_Species_Names,IF(Species_Availability="Yes",IF(Species_Evo_Numbers=1,Species_Names)),0))),Combo_Gym_Defense)))</f>
        <v>#VALUE!</v>
      </c>
      <c r="M16" s="28">
        <f t="array" ref="M16">INDEX(Species_Pdex_Numbers,MATCH($N16,Species_Names,0))</f>
        <v>131</v>
      </c>
      <c r="N16" s="30" t="s">
        <v>348</v>
      </c>
      <c r="O16" s="31" t="s">
        <v>87</v>
      </c>
      <c r="P16" s="31" t="s">
        <v>209</v>
      </c>
      <c r="Q16" s="17" t="e">
        <f t="shared" si="0"/>
        <v>#VALUE!</v>
      </c>
      <c r="R16" s="32" t="e">
        <f t="array" ref="R16">IF(OR(AND(COUNTBLANK(Combo_Opponent_Type_1)=1,COUNTBLANK(Combo_Opponent_Type_2)=0),AND(AND(COUNTBLANK(Combo_Opponent_Type_1)=0,COUNTBLANK(Combo_Opponent_Type_2)=0),Combo_Opponent_Type_1=Combo_Opponent_Type_2)),
"Check Types",($S16*INDEX(Species_Tankiness,MATCH($N16,Species_Names,0)))/225)</f>
        <v>#VALUE!</v>
      </c>
      <c r="S16" s="32" t="e">
        <f t="array" ref="S16">IF(OR(AND(COUNTBLANK(Combo_Opponent_Type_1)=1,COUNTBLANK(Combo_Opponent_Type_2)=0),AND(AND(COUNTBLANK(Combo_Opponent_Type_1)=0,COUNTBLANK(Combo_Opponent_Type_2)=0),Combo_Opponent_Type_1=Combo_Opponent_Type_2)),
"Check Types",(
IF($W16&gt;=((1-Game_Weave_Human_Error)*$X16),$W16,$X16)*INDEX(Species_Attack,MATCH($N16,Species_Names,0)))/11)</f>
        <v>#VALUE!</v>
      </c>
      <c r="T16" s="33" t="e">
        <f t="shared" si="1"/>
        <v>#VALUE!</v>
      </c>
      <c r="U16" s="33">
        <f t="array" ref="U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16,Quick_Names,0))),Type_Species)),0),1)*IF(COUNTBLANK(Combo_Opponent_Type_2)=0,INDEX(Type_Damage_Multipliers,MATCH(Combo_Opponent_Type_2,IF(Type_Move=(INDEX(Quick_Type,MATCH($O16,Quick_Names,0))),Type_Species)),0),1)*(IF(OR(INDEX(Quick_Type,MATCH($O16,Quick_Names,0))=INDEX(Species_Type_1,MATCH($N16,Species_Names,0)),INDEX(Quick_Type,MATCH($O16,Quick_Names,0))=INDEX(Species_Type_2,MATCH($N16,Species_Names,0))),Game_STAB_Multiplier,1)))</f>
        <v>1.25</v>
      </c>
      <c r="V16" s="33">
        <f t="array" ref="V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16,Charge_Names,0))),Type_Species)),0),1)*IF(COUNTBLANK(Combo_Opponent_Type_2)=0,INDEX(Type_Damage_Multipliers,MATCH(Combo_Opponent_Type_2,IF(Type_Move=(INDEX(Charge_Type,MATCH($P16,Charge_Names,0))),Type_Species)),0),1)*
IF(OR(INDEX(Charge_Type,MATCH($P16,Charge_Names,0))=INDEX(Species_Type_1,MATCH($N16,Species_Names,0)),INDEX(Charge_Type,MATCH($P16,Charge_Names,0))=INDEX(Species_Type_2,MATCH($N16,Species_Names,0))),Game_STAB_Multiplier,1))</f>
        <v>1.25</v>
      </c>
      <c r="W16" s="33" t="s">
        <v>422</v>
      </c>
      <c r="X16" s="33" t="s">
        <v>434</v>
      </c>
      <c r="Y16" s="32" t="e">
        <f t="array" ref="Y16">((($Z16)*
INDEX(Species_Attack,MATCH($N16,Species_Names,0))*
INDEX(Species_Tankiness,MATCH($N16,Species_Names,0)))/1000)</f>
        <v>#VALUE!</v>
      </c>
      <c r="Z16" s="33" t="s">
        <v>435</v>
      </c>
    </row>
    <row r="17" spans="1:26" ht="14.25" customHeight="1" x14ac:dyDescent="0.2">
      <c r="A17" s="9" t="str">
        <f>Game_Type12</f>
        <v>Ice</v>
      </c>
      <c r="B17" s="22" t="str">
        <f t="array" ref="B17">CONCATENATE(TEXT($M17,"000"),".",TEXT(INDEX(Quick_Number,MATCH($O17,Quick_Names,0)),"000"),".",TEXT(INDEX(Charge_Number,MATCH($P17,Charge_Names,0)),"000"))</f>
        <v>143.212.031</v>
      </c>
      <c r="C17" s="23" t="e">
        <f t="array" ref="C17">RANK($S17,IF(Combo_Species_Names=$N17,Combo_Gym_Offense),0)</f>
        <v>#VALUE!</v>
      </c>
      <c r="D17" s="24" t="e">
        <f t="array" ref="D17">$S17/MAX(IF(Combo_Species_Names=$N17,Combo_Gym_Offense))</f>
        <v>#VALUE!</v>
      </c>
      <c r="E17" s="23" t="e">
        <f t="array" ref="E17">RANK($Y17,IF(Combo_Species_Names=$N17,Combo_Gym_Defense),0)</f>
        <v>#VALUE!</v>
      </c>
      <c r="F17" s="25" t="e">
        <f t="array" ref="F17">$Y17/MAX(IF(Combo_Species_Names=$N17,Combo_Gym_Defense))</f>
        <v>#VALUE!</v>
      </c>
      <c r="G17" s="23" t="e">
        <f t="array" ref="G17">IF(OR(INDEX(Species_Availability,MATCH($N17,Species_Names,0))="No",INDEX(Species_Evo_Numbers,MATCH($N17,Species_Names,0))&lt;&gt;1),"N/A",RANK($R17,IF(NOT(ISNA(MATCH(Combo_Species_Names,IF(Species_Availability="Yes",IF(Species_Evo_Numbers=1,Species_Names)),0))),Combo_Duel_Ability),0))</f>
        <v>#VALUE!</v>
      </c>
      <c r="H17" s="24" t="e">
        <f t="array" ref="H17">IF(OR(INDEX(Species_Availability,MATCH($N17,Species_Names,0))="No",INDEX(Species_Evo_Numbers,MATCH($N17,Species_Names,0))&lt;&gt;1),"N/A",$R17/MAX(IF(NOT(ISNA(MATCH(Combo_Species_Names,IF(Species_Availability="Yes",IF(Species_Evo_Numbers=1,Species_Names)),0))),Combo_Duel_Ability)))</f>
        <v>#VALUE!</v>
      </c>
      <c r="I17" s="23" t="e">
        <f t="array" ref="I17">IF(OR(INDEX(Species_Availability,MATCH($N17,Species_Names,0))="No",INDEX(Species_Evo_Numbers,MATCH($N17,Species_Names,0))&lt;&gt;1),"N/A",RANK($S17,IF(NOT(ISNA(MATCH(Combo_Species_Names,IF(Species_Availability="Yes",IF(Species_Evo_Numbers=1,Species_Names)),0))),Combo_Gym_Offense),0))</f>
        <v>#VALUE!</v>
      </c>
      <c r="J17" s="24" t="e">
        <f t="array" ref="J17">IF(OR(INDEX(Species_Availability,MATCH($N17,Species_Names,0))="No",INDEX(Species_Evo_Numbers,MATCH($N17,Species_Names,0))&lt;&gt;1),"N/A",$S17/MAX(IF(NOT(ISNA(MATCH(Combo_Species_Names,IF(Species_Availability="Yes",IF(Species_Evo_Numbers=1,Species_Names)),0))),Combo_Gym_Offense)))</f>
        <v>#VALUE!</v>
      </c>
      <c r="K17" s="23" t="e">
        <f t="array" ref="K17">IF(OR(INDEX(Species_Availability,MATCH($N17,Species_Names,0))="No",INDEX(Species_Evo_Numbers,MATCH($N17,Species_Names,0))&lt;&gt;1),"N/A",RANK($Y17,IF(NOT(ISNA(MATCH(Combo_Species_Names,IF(Species_Availability="Yes",IF(Species_Evo_Numbers=1,Species_Names)),0))),Combo_Gym_Defense),0))</f>
        <v>#VALUE!</v>
      </c>
      <c r="L17" s="24" t="e">
        <f t="array" ref="L17">IF(OR(INDEX(Species_Availability,MATCH($N17,Species_Names,0))="No",INDEX(Species_Evo_Numbers,MATCH($N17,Species_Names,0))&lt;&gt;1),"N/A",$Y17/MAX(IF(NOT(ISNA(MATCH(Combo_Species_Names,IF(Species_Availability="Yes",IF(Species_Evo_Numbers=1,Species_Names)),0))),Combo_Gym_Defense)))</f>
        <v>#VALUE!</v>
      </c>
      <c r="M17" s="28">
        <f t="array" ref="M17">INDEX(Species_Pdex_Numbers,MATCH($N17,Species_Names,0))</f>
        <v>143</v>
      </c>
      <c r="N17" s="30" t="s">
        <v>127</v>
      </c>
      <c r="O17" s="31" t="s">
        <v>105</v>
      </c>
      <c r="P17" s="31" t="s">
        <v>169</v>
      </c>
      <c r="Q17" s="17" t="e">
        <f t="shared" si="0"/>
        <v>#VALUE!</v>
      </c>
      <c r="R17" s="32" t="e">
        <f t="array" ref="R17">IF(OR(AND(COUNTBLANK(Combo_Opponent_Type_1)=1,COUNTBLANK(Combo_Opponent_Type_2)=0),AND(AND(COUNTBLANK(Combo_Opponent_Type_1)=0,COUNTBLANK(Combo_Opponent_Type_2)=0),Combo_Opponent_Type_1=Combo_Opponent_Type_2)),
"Check Types",($S17*INDEX(Species_Tankiness,MATCH($N17,Species_Names,0)))/225)</f>
        <v>#VALUE!</v>
      </c>
      <c r="S17" s="32" t="e">
        <f t="array" ref="S17">IF(OR(AND(COUNTBLANK(Combo_Opponent_Type_1)=1,COUNTBLANK(Combo_Opponent_Type_2)=0),AND(AND(COUNTBLANK(Combo_Opponent_Type_1)=0,COUNTBLANK(Combo_Opponent_Type_2)=0),Combo_Opponent_Type_1=Combo_Opponent_Type_2)),
"Check Types",(
IF($W17&gt;=((1-Game_Weave_Human_Error)*$X17),$W17,$X17)*INDEX(Species_Attack,MATCH($N17,Species_Names,0)))/11)</f>
        <v>#VALUE!</v>
      </c>
      <c r="T17" s="33" t="e">
        <f t="shared" si="1"/>
        <v>#VALUE!</v>
      </c>
      <c r="U17" s="33">
        <f t="array" ref="U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17,Quick_Names,0))),Type_Species)),0),1)*IF(COUNTBLANK(Combo_Opponent_Type_2)=0,INDEX(Type_Damage_Multipliers,MATCH(Combo_Opponent_Type_2,IF(Type_Move=(INDEX(Quick_Type,MATCH($O17,Quick_Names,0))),Type_Species)),0),1)*(IF(OR(INDEX(Quick_Type,MATCH($O17,Quick_Names,0))=INDEX(Species_Type_1,MATCH($N17,Species_Names,0)),INDEX(Quick_Type,MATCH($O17,Quick_Names,0))=INDEX(Species_Type_2,MATCH($N17,Species_Names,0))),Game_STAB_Multiplier,1)))</f>
        <v>1</v>
      </c>
      <c r="V17" s="33">
        <f t="array" ref="V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17,Charge_Names,0))),Type_Species)),0),1)*IF(COUNTBLANK(Combo_Opponent_Type_2)=0,INDEX(Type_Damage_Multipliers,MATCH(Combo_Opponent_Type_2,IF(Type_Move=(INDEX(Charge_Type,MATCH($P17,Charge_Names,0))),Type_Species)),0),1)*
IF(OR(INDEX(Charge_Type,MATCH($P17,Charge_Names,0))=INDEX(Species_Type_1,MATCH($N17,Species_Names,0)),INDEX(Charge_Type,MATCH($P17,Charge_Names,0))=INDEX(Species_Type_2,MATCH($N17,Species_Names,0))),Game_STAB_Multiplier,1))</f>
        <v>1</v>
      </c>
      <c r="W17" s="33" t="s">
        <v>409</v>
      </c>
      <c r="X17" s="33" t="s">
        <v>436</v>
      </c>
      <c r="Y17" s="32" t="e">
        <f t="array" ref="Y17">((($Z17)*
INDEX(Species_Attack,MATCH($N17,Species_Names,0))*
INDEX(Species_Tankiness,MATCH($N17,Species_Names,0)))/1000)</f>
        <v>#VALUE!</v>
      </c>
      <c r="Z17" s="33" t="s">
        <v>431</v>
      </c>
    </row>
    <row r="18" spans="1:26" ht="14.25" customHeight="1" x14ac:dyDescent="0.2">
      <c r="A18" s="9" t="str">
        <f>Game_Type13</f>
        <v>Normal</v>
      </c>
      <c r="B18" s="22" t="str">
        <f t="array" ref="B18">CONCATENATE(TEXT($M18,"000"),".",TEXT(INDEX(Quick_Number,MATCH($O18,Quick_Names,0)),"000"),".",TEXT(INDEX(Charge_Number,MATCH($P18,Charge_Names,0)),"000"))</f>
        <v>143.234.031</v>
      </c>
      <c r="C18" s="23" t="e">
        <f t="array" ref="C18">RANK($S18,IF(Combo_Species_Names=$N18,Combo_Gym_Offense),0)</f>
        <v>#VALUE!</v>
      </c>
      <c r="D18" s="24" t="e">
        <f t="array" ref="D18">$S18/MAX(IF(Combo_Species_Names=$N18,Combo_Gym_Offense))</f>
        <v>#VALUE!</v>
      </c>
      <c r="E18" s="23" t="e">
        <f t="array" ref="E18">RANK($Y18,IF(Combo_Species_Names=$N18,Combo_Gym_Defense),0)</f>
        <v>#VALUE!</v>
      </c>
      <c r="F18" s="25" t="e">
        <f t="array" ref="F18">$Y18/MAX(IF(Combo_Species_Names=$N18,Combo_Gym_Defense))</f>
        <v>#VALUE!</v>
      </c>
      <c r="G18" s="23" t="e">
        <f t="array" ref="G18">IF(OR(INDEX(Species_Availability,MATCH($N18,Species_Names,0))="No",INDEX(Species_Evo_Numbers,MATCH($N18,Species_Names,0))&lt;&gt;1),"N/A",RANK($R18,IF(NOT(ISNA(MATCH(Combo_Species_Names,IF(Species_Availability="Yes",IF(Species_Evo_Numbers=1,Species_Names)),0))),Combo_Duel_Ability),0))</f>
        <v>#VALUE!</v>
      </c>
      <c r="H18" s="24" t="e">
        <f t="array" ref="H18">IF(OR(INDEX(Species_Availability,MATCH($N18,Species_Names,0))="No",INDEX(Species_Evo_Numbers,MATCH($N18,Species_Names,0))&lt;&gt;1),"N/A",$R18/MAX(IF(NOT(ISNA(MATCH(Combo_Species_Names,IF(Species_Availability="Yes",IF(Species_Evo_Numbers=1,Species_Names)),0))),Combo_Duel_Ability)))</f>
        <v>#VALUE!</v>
      </c>
      <c r="I18" s="23" t="e">
        <f t="array" ref="I18">IF(OR(INDEX(Species_Availability,MATCH($N18,Species_Names,0))="No",INDEX(Species_Evo_Numbers,MATCH($N18,Species_Names,0))&lt;&gt;1),"N/A",RANK($S18,IF(NOT(ISNA(MATCH(Combo_Species_Names,IF(Species_Availability="Yes",IF(Species_Evo_Numbers=1,Species_Names)),0))),Combo_Gym_Offense),0))</f>
        <v>#VALUE!</v>
      </c>
      <c r="J18" s="24" t="e">
        <f t="array" ref="J18">IF(OR(INDEX(Species_Availability,MATCH($N18,Species_Names,0))="No",INDEX(Species_Evo_Numbers,MATCH($N18,Species_Names,0))&lt;&gt;1),"N/A",$S18/MAX(IF(NOT(ISNA(MATCH(Combo_Species_Names,IF(Species_Availability="Yes",IF(Species_Evo_Numbers=1,Species_Names)),0))),Combo_Gym_Offense)))</f>
        <v>#VALUE!</v>
      </c>
      <c r="K18" s="23" t="e">
        <f t="array" ref="K18">IF(OR(INDEX(Species_Availability,MATCH($N18,Species_Names,0))="No",INDEX(Species_Evo_Numbers,MATCH($N18,Species_Names,0))&lt;&gt;1),"N/A",RANK($Y18,IF(NOT(ISNA(MATCH(Combo_Species_Names,IF(Species_Availability="Yes",IF(Species_Evo_Numbers=1,Species_Names)),0))),Combo_Gym_Defense),0))</f>
        <v>#VALUE!</v>
      </c>
      <c r="L18" s="24" t="e">
        <f t="array" ref="L18">IF(OR(INDEX(Species_Availability,MATCH($N18,Species_Names,0))="No",INDEX(Species_Evo_Numbers,MATCH($N18,Species_Names,0))&lt;&gt;1),"N/A",$Y18/MAX(IF(NOT(ISNA(MATCH(Combo_Species_Names,IF(Species_Availability="Yes",IF(Species_Evo_Numbers=1,Species_Names)),0))),Combo_Gym_Defense)))</f>
        <v>#VALUE!</v>
      </c>
      <c r="M18" s="28">
        <f t="array" ref="M18">INDEX(Species_Pdex_Numbers,MATCH($N18,Species_Names,0))</f>
        <v>143</v>
      </c>
      <c r="N18" s="30" t="s">
        <v>127</v>
      </c>
      <c r="O18" s="31" t="s">
        <v>79</v>
      </c>
      <c r="P18" s="31" t="s">
        <v>169</v>
      </c>
      <c r="Q18" s="17" t="e">
        <f t="shared" si="0"/>
        <v>#VALUE!</v>
      </c>
      <c r="R18" s="32" t="e">
        <f t="array" ref="R18">IF(OR(AND(COUNTBLANK(Combo_Opponent_Type_1)=1,COUNTBLANK(Combo_Opponent_Type_2)=0),AND(AND(COUNTBLANK(Combo_Opponent_Type_1)=0,COUNTBLANK(Combo_Opponent_Type_2)=0),Combo_Opponent_Type_1=Combo_Opponent_Type_2)),
"Check Types",($S18*INDEX(Species_Tankiness,MATCH($N18,Species_Names,0)))/225)</f>
        <v>#VALUE!</v>
      </c>
      <c r="S18" s="32" t="e">
        <f t="array" ref="S18">IF(OR(AND(COUNTBLANK(Combo_Opponent_Type_1)=1,COUNTBLANK(Combo_Opponent_Type_2)=0),AND(AND(COUNTBLANK(Combo_Opponent_Type_1)=0,COUNTBLANK(Combo_Opponent_Type_2)=0),Combo_Opponent_Type_1=Combo_Opponent_Type_2)),
"Check Types",(
IF($W18&gt;=((1-Game_Weave_Human_Error)*$X18),$W18,$X18)*INDEX(Species_Attack,MATCH($N18,Species_Names,0)))/11)</f>
        <v>#VALUE!</v>
      </c>
      <c r="T18" s="33" t="e">
        <f t="shared" si="1"/>
        <v>#VALUE!</v>
      </c>
      <c r="U18" s="33">
        <f t="array" ref="U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18,Quick_Names,0))),Type_Species)),0),1)*IF(COUNTBLANK(Combo_Opponent_Type_2)=0,INDEX(Type_Damage_Multipliers,MATCH(Combo_Opponent_Type_2,IF(Type_Move=(INDEX(Quick_Type,MATCH($O18,Quick_Names,0))),Type_Species)),0),1)*(IF(OR(INDEX(Quick_Type,MATCH($O18,Quick_Names,0))=INDEX(Species_Type_1,MATCH($N18,Species_Names,0)),INDEX(Quick_Type,MATCH($O18,Quick_Names,0))=INDEX(Species_Type_2,MATCH($N18,Species_Names,0))),Game_STAB_Multiplier,1)))</f>
        <v>1</v>
      </c>
      <c r="V18" s="33">
        <f t="array" ref="V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18,Charge_Names,0))),Type_Species)),0),1)*IF(COUNTBLANK(Combo_Opponent_Type_2)=0,INDEX(Type_Damage_Multipliers,MATCH(Combo_Opponent_Type_2,IF(Type_Move=(INDEX(Charge_Type,MATCH($P18,Charge_Names,0))),Type_Species)),0),1)*
IF(OR(INDEX(Charge_Type,MATCH($P18,Charge_Names,0))=INDEX(Species_Type_1,MATCH($N18,Species_Names,0)),INDEX(Charge_Type,MATCH($P18,Charge_Names,0))=INDEX(Species_Type_2,MATCH($N18,Species_Names,0))),Game_STAB_Multiplier,1))</f>
        <v>1</v>
      </c>
      <c r="W18" s="33" t="s">
        <v>419</v>
      </c>
      <c r="X18" s="33" t="s">
        <v>437</v>
      </c>
      <c r="Y18" s="32" t="e">
        <f t="array" ref="Y18">((($Z18)*
INDEX(Species_Attack,MATCH($N18,Species_Names,0))*
INDEX(Species_Tankiness,MATCH($N18,Species_Names,0)))/1000)</f>
        <v>#VALUE!</v>
      </c>
      <c r="Z18" s="33" t="s">
        <v>438</v>
      </c>
    </row>
    <row r="19" spans="1:26" ht="14.25" customHeight="1" x14ac:dyDescent="0.2">
      <c r="A19" s="9" t="str">
        <f>Game_Type14</f>
        <v>Poison</v>
      </c>
      <c r="B19" s="22" t="str">
        <f t="array" ref="B19">CONCATENATE(TEXT($M19,"000"),".",TEXT(INDEX(Quick_Number,MATCH($O19,Quick_Names,0)),"000"),".",TEXT(INDEX(Charge_Number,MATCH($P19,Charge_Names,0)),"000"))</f>
        <v>131.217.039</v>
      </c>
      <c r="C19" s="23" t="e">
        <f t="array" ref="C19">RANK($S19,IF(Combo_Species_Names=$N19,Combo_Gym_Offense),0)</f>
        <v>#VALUE!</v>
      </c>
      <c r="D19" s="24" t="e">
        <f t="array" ref="D19">$S19/MAX(IF(Combo_Species_Names=$N19,Combo_Gym_Offense))</f>
        <v>#VALUE!</v>
      </c>
      <c r="E19" s="23" t="e">
        <f t="array" ref="E19">RANK($Y19,IF(Combo_Species_Names=$N19,Combo_Gym_Defense),0)</f>
        <v>#VALUE!</v>
      </c>
      <c r="F19" s="25" t="e">
        <f t="array" ref="F19">$Y19/MAX(IF(Combo_Species_Names=$N19,Combo_Gym_Defense))</f>
        <v>#VALUE!</v>
      </c>
      <c r="G19" s="23" t="e">
        <f t="array" ref="G19">IF(OR(INDEX(Species_Availability,MATCH($N19,Species_Names,0))="No",INDEX(Species_Evo_Numbers,MATCH($N19,Species_Names,0))&lt;&gt;1),"N/A",RANK($R19,IF(NOT(ISNA(MATCH(Combo_Species_Names,IF(Species_Availability="Yes",IF(Species_Evo_Numbers=1,Species_Names)),0))),Combo_Duel_Ability),0))</f>
        <v>#VALUE!</v>
      </c>
      <c r="H19" s="24" t="e">
        <f t="array" ref="H19">IF(OR(INDEX(Species_Availability,MATCH($N19,Species_Names,0))="No",INDEX(Species_Evo_Numbers,MATCH($N19,Species_Names,0))&lt;&gt;1),"N/A",$R19/MAX(IF(NOT(ISNA(MATCH(Combo_Species_Names,IF(Species_Availability="Yes",IF(Species_Evo_Numbers=1,Species_Names)),0))),Combo_Duel_Ability)))</f>
        <v>#VALUE!</v>
      </c>
      <c r="I19" s="23" t="e">
        <f t="array" ref="I19">IF(OR(INDEX(Species_Availability,MATCH($N19,Species_Names,0))="No",INDEX(Species_Evo_Numbers,MATCH($N19,Species_Names,0))&lt;&gt;1),"N/A",RANK($S19,IF(NOT(ISNA(MATCH(Combo_Species_Names,IF(Species_Availability="Yes",IF(Species_Evo_Numbers=1,Species_Names)),0))),Combo_Gym_Offense),0))</f>
        <v>#VALUE!</v>
      </c>
      <c r="J19" s="24" t="e">
        <f t="array" ref="J19">IF(OR(INDEX(Species_Availability,MATCH($N19,Species_Names,0))="No",INDEX(Species_Evo_Numbers,MATCH($N19,Species_Names,0))&lt;&gt;1),"N/A",$S19/MAX(IF(NOT(ISNA(MATCH(Combo_Species_Names,IF(Species_Availability="Yes",IF(Species_Evo_Numbers=1,Species_Names)),0))),Combo_Gym_Offense)))</f>
        <v>#VALUE!</v>
      </c>
      <c r="K19" s="23" t="e">
        <f t="array" ref="K19">IF(OR(INDEX(Species_Availability,MATCH($N19,Species_Names,0))="No",INDEX(Species_Evo_Numbers,MATCH($N19,Species_Names,0))&lt;&gt;1),"N/A",RANK($Y19,IF(NOT(ISNA(MATCH(Combo_Species_Names,IF(Species_Availability="Yes",IF(Species_Evo_Numbers=1,Species_Names)),0))),Combo_Gym_Defense),0))</f>
        <v>#VALUE!</v>
      </c>
      <c r="L19" s="24" t="e">
        <f t="array" ref="L19">IF(OR(INDEX(Species_Availability,MATCH($N19,Species_Names,0))="No",INDEX(Species_Evo_Numbers,MATCH($N19,Species_Names,0))&lt;&gt;1),"N/A",$Y19/MAX(IF(NOT(ISNA(MATCH(Combo_Species_Names,IF(Species_Availability="Yes",IF(Species_Evo_Numbers=1,Species_Names)),0))),Combo_Gym_Defense)))</f>
        <v>#VALUE!</v>
      </c>
      <c r="M19" s="28">
        <f t="array" ref="M19">INDEX(Species_Pdex_Numbers,MATCH($N19,Species_Names,0))</f>
        <v>131</v>
      </c>
      <c r="N19" s="30" t="s">
        <v>348</v>
      </c>
      <c r="O19" s="31" t="s">
        <v>95</v>
      </c>
      <c r="P19" s="31" t="s">
        <v>209</v>
      </c>
      <c r="Q19" s="17" t="e">
        <f t="shared" si="0"/>
        <v>#VALUE!</v>
      </c>
      <c r="R19" s="32" t="e">
        <f t="array" ref="R19">IF(OR(AND(COUNTBLANK(Combo_Opponent_Type_1)=1,COUNTBLANK(Combo_Opponent_Type_2)=0),AND(AND(COUNTBLANK(Combo_Opponent_Type_1)=0,COUNTBLANK(Combo_Opponent_Type_2)=0),Combo_Opponent_Type_1=Combo_Opponent_Type_2)),
"Check Types",($S19*INDEX(Species_Tankiness,MATCH($N19,Species_Names,0)))/225)</f>
        <v>#VALUE!</v>
      </c>
      <c r="S19" s="32" t="e">
        <f t="array" ref="S19">IF(OR(AND(COUNTBLANK(Combo_Opponent_Type_1)=1,COUNTBLANK(Combo_Opponent_Type_2)=0),AND(AND(COUNTBLANK(Combo_Opponent_Type_1)=0,COUNTBLANK(Combo_Opponent_Type_2)=0),Combo_Opponent_Type_1=Combo_Opponent_Type_2)),
"Check Types",(
IF($W19&gt;=((1-Game_Weave_Human_Error)*$X19),$W19,$X19)*INDEX(Species_Attack,MATCH($N19,Species_Names,0)))/11)</f>
        <v>#VALUE!</v>
      </c>
      <c r="T19" s="33" t="e">
        <f t="shared" si="1"/>
        <v>#VALUE!</v>
      </c>
      <c r="U19" s="33">
        <f t="array" ref="U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19,Quick_Names,0))),Type_Species)),0),1)*IF(COUNTBLANK(Combo_Opponent_Type_2)=0,INDEX(Type_Damage_Multipliers,MATCH(Combo_Opponent_Type_2,IF(Type_Move=(INDEX(Quick_Type,MATCH($O19,Quick_Names,0))),Type_Species)),0),1)*(IF(OR(INDEX(Quick_Type,MATCH($O19,Quick_Names,0))=INDEX(Species_Type_1,MATCH($N19,Species_Names,0)),INDEX(Quick_Type,MATCH($O19,Quick_Names,0))=INDEX(Species_Type_2,MATCH($N19,Species_Names,0))),Game_STAB_Multiplier,1)))</f>
        <v>1.25</v>
      </c>
      <c r="V19" s="33">
        <f t="array" ref="V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19,Charge_Names,0))),Type_Species)),0),1)*IF(COUNTBLANK(Combo_Opponent_Type_2)=0,INDEX(Type_Damage_Multipliers,MATCH(Combo_Opponent_Type_2,IF(Type_Move=(INDEX(Charge_Type,MATCH($P19,Charge_Names,0))),Type_Species)),0),1)*
IF(OR(INDEX(Charge_Type,MATCH($P19,Charge_Names,0))=INDEX(Species_Type_1,MATCH($N19,Species_Names,0)),INDEX(Charge_Type,MATCH($P19,Charge_Names,0))=INDEX(Species_Type_2,MATCH($N19,Species_Names,0))),Game_STAB_Multiplier,1))</f>
        <v>1.25</v>
      </c>
      <c r="W19" s="33" t="s">
        <v>427</v>
      </c>
      <c r="X19" s="33" t="s">
        <v>439</v>
      </c>
      <c r="Y19" s="32" t="e">
        <f t="array" ref="Y19">((($Z19)*
INDEX(Species_Attack,MATCH($N19,Species_Names,0))*
INDEX(Species_Tankiness,MATCH($N19,Species_Names,0)))/1000)</f>
        <v>#VALUE!</v>
      </c>
      <c r="Z19" s="33" t="s">
        <v>440</v>
      </c>
    </row>
    <row r="20" spans="1:26" ht="14.25" customHeight="1" x14ac:dyDescent="0.2">
      <c r="A20" s="9" t="str">
        <f>Game_Type15</f>
        <v>Psychic</v>
      </c>
      <c r="B20" s="22" t="str">
        <f t="array" ref="B20">CONCATENATE(TEXT($M20,"000"),".",TEXT(INDEX(Quick_Number,MATCH($O20,Quick_Names,0)),"000"),".",TEXT(INDEX(Charge_Number,MATCH($P20,Charge_Names,0)),"000"))</f>
        <v>149.239.082</v>
      </c>
      <c r="C20" s="23" t="e">
        <f t="array" ref="C20">RANK($S20,IF(Combo_Species_Names=$N20,Combo_Gym_Offense),0)</f>
        <v>#VALUE!</v>
      </c>
      <c r="D20" s="24" t="e">
        <f t="array" ref="D20">$S20/MAX(IF(Combo_Species_Names=$N20,Combo_Gym_Offense))</f>
        <v>#VALUE!</v>
      </c>
      <c r="E20" s="23" t="e">
        <f t="array" ref="E20">RANK($Y20,IF(Combo_Species_Names=$N20,Combo_Gym_Defense),0)</f>
        <v>#VALUE!</v>
      </c>
      <c r="F20" s="25" t="e">
        <f t="array" ref="F20">$Y20/MAX(IF(Combo_Species_Names=$N20,Combo_Gym_Defense))</f>
        <v>#VALUE!</v>
      </c>
      <c r="G20" s="23" t="e">
        <f t="array" ref="G20">IF(OR(INDEX(Species_Availability,MATCH($N20,Species_Names,0))="No",INDEX(Species_Evo_Numbers,MATCH($N20,Species_Names,0))&lt;&gt;1),"N/A",RANK($R20,IF(NOT(ISNA(MATCH(Combo_Species_Names,IF(Species_Availability="Yes",IF(Species_Evo_Numbers=1,Species_Names)),0))),Combo_Duel_Ability),0))</f>
        <v>#VALUE!</v>
      </c>
      <c r="H20" s="24" t="e">
        <f t="array" ref="H20">IF(OR(INDEX(Species_Availability,MATCH($N20,Species_Names,0))="No",INDEX(Species_Evo_Numbers,MATCH($N20,Species_Names,0))&lt;&gt;1),"N/A",$R20/MAX(IF(NOT(ISNA(MATCH(Combo_Species_Names,IF(Species_Availability="Yes",IF(Species_Evo_Numbers=1,Species_Names)),0))),Combo_Duel_Ability)))</f>
        <v>#VALUE!</v>
      </c>
      <c r="I20" s="23" t="e">
        <f t="array" ref="I20">IF(OR(INDEX(Species_Availability,MATCH($N20,Species_Names,0))="No",INDEX(Species_Evo_Numbers,MATCH($N20,Species_Names,0))&lt;&gt;1),"N/A",RANK($S20,IF(NOT(ISNA(MATCH(Combo_Species_Names,IF(Species_Availability="Yes",IF(Species_Evo_Numbers=1,Species_Names)),0))),Combo_Gym_Offense),0))</f>
        <v>#VALUE!</v>
      </c>
      <c r="J20" s="24" t="e">
        <f t="array" ref="J20">IF(OR(INDEX(Species_Availability,MATCH($N20,Species_Names,0))="No",INDEX(Species_Evo_Numbers,MATCH($N20,Species_Names,0))&lt;&gt;1),"N/A",$S20/MAX(IF(NOT(ISNA(MATCH(Combo_Species_Names,IF(Species_Availability="Yes",IF(Species_Evo_Numbers=1,Species_Names)),0))),Combo_Gym_Offense)))</f>
        <v>#VALUE!</v>
      </c>
      <c r="K20" s="23" t="e">
        <f t="array" ref="K20">IF(OR(INDEX(Species_Availability,MATCH($N20,Species_Names,0))="No",INDEX(Species_Evo_Numbers,MATCH($N20,Species_Names,0))&lt;&gt;1),"N/A",RANK($Y20,IF(NOT(ISNA(MATCH(Combo_Species_Names,IF(Species_Availability="Yes",IF(Species_Evo_Numbers=1,Species_Names)),0))),Combo_Gym_Defense),0))</f>
        <v>#VALUE!</v>
      </c>
      <c r="L20" s="24" t="e">
        <f t="array" ref="L20">IF(OR(INDEX(Species_Availability,MATCH($N20,Species_Names,0))="No",INDEX(Species_Evo_Numbers,MATCH($N20,Species_Names,0))&lt;&gt;1),"N/A",$Y20/MAX(IF(NOT(ISNA(MATCH(Combo_Species_Names,IF(Species_Availability="Yes",IF(Species_Evo_Numbers=1,Species_Names)),0))),Combo_Gym_Defense)))</f>
        <v>#VALUE!</v>
      </c>
      <c r="M20" s="28">
        <f t="array" ref="M20">INDEX(Species_Pdex_Numbers,MATCH($N20,Species_Names,0))</f>
        <v>149</v>
      </c>
      <c r="N20" s="30" t="s">
        <v>204</v>
      </c>
      <c r="O20" s="31" t="s">
        <v>80</v>
      </c>
      <c r="P20" s="31" t="s">
        <v>207</v>
      </c>
      <c r="Q20" s="17" t="e">
        <f t="shared" si="0"/>
        <v>#VALUE!</v>
      </c>
      <c r="R20" s="32" t="e">
        <f t="array" ref="R20">IF(OR(AND(COUNTBLANK(Combo_Opponent_Type_1)=1,COUNTBLANK(Combo_Opponent_Type_2)=0),AND(AND(COUNTBLANK(Combo_Opponent_Type_1)=0,COUNTBLANK(Combo_Opponent_Type_2)=0),Combo_Opponent_Type_1=Combo_Opponent_Type_2)),
"Check Types",($S20*INDEX(Species_Tankiness,MATCH($N20,Species_Names,0)))/225)</f>
        <v>#VALUE!</v>
      </c>
      <c r="S20" s="32" t="e">
        <f t="array" ref="S20">IF(OR(AND(COUNTBLANK(Combo_Opponent_Type_1)=1,COUNTBLANK(Combo_Opponent_Type_2)=0),AND(AND(COUNTBLANK(Combo_Opponent_Type_1)=0,COUNTBLANK(Combo_Opponent_Type_2)=0),Combo_Opponent_Type_1=Combo_Opponent_Type_2)),
"Check Types",(
IF($W20&gt;=((1-Game_Weave_Human_Error)*$X20),$W20,$X20)*INDEX(Species_Attack,MATCH($N20,Species_Names,0)))/11)</f>
        <v>#VALUE!</v>
      </c>
      <c r="T20" s="33" t="e">
        <f t="shared" si="1"/>
        <v>#VALUE!</v>
      </c>
      <c r="U20" s="33">
        <f t="array" ref="U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20,Quick_Names,0))),Type_Species)),0),1)*IF(COUNTBLANK(Combo_Opponent_Type_2)=0,INDEX(Type_Damage_Multipliers,MATCH(Combo_Opponent_Type_2,IF(Type_Move=(INDEX(Quick_Type,MATCH($O20,Quick_Names,0))),Type_Species)),0),1)*(IF(OR(INDEX(Quick_Type,MATCH($O20,Quick_Names,0))=INDEX(Species_Type_1,MATCH($N20,Species_Names,0)),INDEX(Quick_Type,MATCH($O20,Quick_Names,0))=INDEX(Species_Type_2,MATCH($N20,Species_Names,0))),Game_STAB_Multiplier,1)))</f>
        <v>1</v>
      </c>
      <c r="V20" s="33">
        <f t="array" ref="V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20,Charge_Names,0))),Type_Species)),0),1)*IF(COUNTBLANK(Combo_Opponent_Type_2)=0,INDEX(Type_Damage_Multipliers,MATCH(Combo_Opponent_Type_2,IF(Type_Move=(INDEX(Charge_Type,MATCH($P20,Charge_Names,0))),Type_Species)),0),1)*
IF(OR(INDEX(Charge_Type,MATCH($P20,Charge_Names,0))=INDEX(Species_Type_1,MATCH($N20,Species_Names,0)),INDEX(Charge_Type,MATCH($P20,Charge_Names,0))=INDEX(Species_Type_2,MATCH($N20,Species_Names,0))),Game_STAB_Multiplier,1))</f>
        <v>1.25</v>
      </c>
      <c r="W20" s="33" t="s">
        <v>441</v>
      </c>
      <c r="X20" s="33" t="s">
        <v>442</v>
      </c>
      <c r="Y20" s="32" t="e">
        <f t="array" ref="Y20">((($Z20)*
INDEX(Species_Attack,MATCH($N20,Species_Names,0))*
INDEX(Species_Tankiness,MATCH($N20,Species_Names,0)))/1000)</f>
        <v>#VALUE!</v>
      </c>
      <c r="Z20" s="33" t="s">
        <v>443</v>
      </c>
    </row>
    <row r="21" spans="1:26" ht="14.25" customHeight="1" x14ac:dyDescent="0.2">
      <c r="A21" s="9" t="str">
        <f>Game_Type16</f>
        <v>Rock</v>
      </c>
      <c r="B21" s="22" t="str">
        <f t="array" ref="B21">CONCATENATE(TEXT($M21,"000"),".",TEXT(INDEX(Quick_Number,MATCH($O21,Quick_Names,0)),"000"),".",TEXT(INDEX(Charge_Number,MATCH($P21,Charge_Names,0)),"000"))</f>
        <v>134.230.058</v>
      </c>
      <c r="C21" s="23" t="e">
        <f t="array" ref="C21">RANK($S21,IF(Combo_Species_Names=$N21,Combo_Gym_Offense),0)</f>
        <v>#VALUE!</v>
      </c>
      <c r="D21" s="24" t="e">
        <f t="array" ref="D21">$S21/MAX(IF(Combo_Species_Names=$N21,Combo_Gym_Offense))</f>
        <v>#VALUE!</v>
      </c>
      <c r="E21" s="23" t="e">
        <f t="array" ref="E21">RANK($Y21,IF(Combo_Species_Names=$N21,Combo_Gym_Defense),0)</f>
        <v>#VALUE!</v>
      </c>
      <c r="F21" s="25" t="e">
        <f t="array" ref="F21">$Y21/MAX(IF(Combo_Species_Names=$N21,Combo_Gym_Defense))</f>
        <v>#VALUE!</v>
      </c>
      <c r="G21" s="23" t="e">
        <f t="array" ref="G21">IF(OR(INDEX(Species_Availability,MATCH($N21,Species_Names,0))="No",INDEX(Species_Evo_Numbers,MATCH($N21,Species_Names,0))&lt;&gt;1),"N/A",RANK($R21,IF(NOT(ISNA(MATCH(Combo_Species_Names,IF(Species_Availability="Yes",IF(Species_Evo_Numbers=1,Species_Names)),0))),Combo_Duel_Ability),0))</f>
        <v>#VALUE!</v>
      </c>
      <c r="H21" s="24" t="e">
        <f t="array" ref="H21">IF(OR(INDEX(Species_Availability,MATCH($N21,Species_Names,0))="No",INDEX(Species_Evo_Numbers,MATCH($N21,Species_Names,0))&lt;&gt;1),"N/A",$R21/MAX(IF(NOT(ISNA(MATCH(Combo_Species_Names,IF(Species_Availability="Yes",IF(Species_Evo_Numbers=1,Species_Names)),0))),Combo_Duel_Ability)))</f>
        <v>#VALUE!</v>
      </c>
      <c r="I21" s="23" t="e">
        <f t="array" ref="I21">IF(OR(INDEX(Species_Availability,MATCH($N21,Species_Names,0))="No",INDEX(Species_Evo_Numbers,MATCH($N21,Species_Names,0))&lt;&gt;1),"N/A",RANK($S21,IF(NOT(ISNA(MATCH(Combo_Species_Names,IF(Species_Availability="Yes",IF(Species_Evo_Numbers=1,Species_Names)),0))),Combo_Gym_Offense),0))</f>
        <v>#VALUE!</v>
      </c>
      <c r="J21" s="24" t="e">
        <f t="array" ref="J21">IF(OR(INDEX(Species_Availability,MATCH($N21,Species_Names,0))="No",INDEX(Species_Evo_Numbers,MATCH($N21,Species_Names,0))&lt;&gt;1),"N/A",$S21/MAX(IF(NOT(ISNA(MATCH(Combo_Species_Names,IF(Species_Availability="Yes",IF(Species_Evo_Numbers=1,Species_Names)),0))),Combo_Gym_Offense)))</f>
        <v>#VALUE!</v>
      </c>
      <c r="K21" s="23" t="e">
        <f t="array" ref="K21">IF(OR(INDEX(Species_Availability,MATCH($N21,Species_Names,0))="No",INDEX(Species_Evo_Numbers,MATCH($N21,Species_Names,0))&lt;&gt;1),"N/A",RANK($Y21,IF(NOT(ISNA(MATCH(Combo_Species_Names,IF(Species_Availability="Yes",IF(Species_Evo_Numbers=1,Species_Names)),0))),Combo_Gym_Defense),0))</f>
        <v>#VALUE!</v>
      </c>
      <c r="L21" s="24" t="e">
        <f t="array" ref="L21">IF(OR(INDEX(Species_Availability,MATCH($N21,Species_Names,0))="No",INDEX(Species_Evo_Numbers,MATCH($N21,Species_Names,0))&lt;&gt;1),"N/A",$Y21/MAX(IF(NOT(ISNA(MATCH(Combo_Species_Names,IF(Species_Availability="Yes",IF(Species_Evo_Numbers=1,Species_Names)),0))),Combo_Gym_Defense)))</f>
        <v>#VALUE!</v>
      </c>
      <c r="M21" s="28">
        <f t="array" ref="M21">INDEX(Species_Pdex_Numbers,MATCH($N21,Species_Names,0))</f>
        <v>134</v>
      </c>
      <c r="N21" s="30" t="s">
        <v>352</v>
      </c>
      <c r="O21" s="31" t="s">
        <v>65</v>
      </c>
      <c r="P21" s="31" t="s">
        <v>198</v>
      </c>
      <c r="Q21" s="17" t="e">
        <f t="shared" si="0"/>
        <v>#VALUE!</v>
      </c>
      <c r="R21" s="32" t="e">
        <f t="array" ref="R21">IF(OR(AND(COUNTBLANK(Combo_Opponent_Type_1)=1,COUNTBLANK(Combo_Opponent_Type_2)=0),AND(AND(COUNTBLANK(Combo_Opponent_Type_1)=0,COUNTBLANK(Combo_Opponent_Type_2)=0),Combo_Opponent_Type_1=Combo_Opponent_Type_2)),
"Check Types",($S21*INDEX(Species_Tankiness,MATCH($N21,Species_Names,0)))/225)</f>
        <v>#VALUE!</v>
      </c>
      <c r="S21" s="32" t="e">
        <f t="array" ref="S21">IF(OR(AND(COUNTBLANK(Combo_Opponent_Type_1)=1,COUNTBLANK(Combo_Opponent_Type_2)=0),AND(AND(COUNTBLANK(Combo_Opponent_Type_1)=0,COUNTBLANK(Combo_Opponent_Type_2)=0),Combo_Opponent_Type_1=Combo_Opponent_Type_2)),
"Check Types",(
IF($W21&gt;=((1-Game_Weave_Human_Error)*$X21),$W21,$X21)*INDEX(Species_Attack,MATCH($N21,Species_Names,0)))/11)</f>
        <v>#VALUE!</v>
      </c>
      <c r="T21" s="33" t="e">
        <f t="shared" si="1"/>
        <v>#VALUE!</v>
      </c>
      <c r="U21" s="33">
        <f t="array" ref="U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21,Quick_Names,0))),Type_Species)),0),1)*IF(COUNTBLANK(Combo_Opponent_Type_2)=0,INDEX(Type_Damage_Multipliers,MATCH(Combo_Opponent_Type_2,IF(Type_Move=(INDEX(Quick_Type,MATCH($O21,Quick_Names,0))),Type_Species)),0),1)*(IF(OR(INDEX(Quick_Type,MATCH($O21,Quick_Names,0))=INDEX(Species_Type_1,MATCH($N21,Species_Names,0)),INDEX(Quick_Type,MATCH($O21,Quick_Names,0))=INDEX(Species_Type_2,MATCH($N21,Species_Names,0))),Game_STAB_Multiplier,1)))</f>
        <v>1.25</v>
      </c>
      <c r="V21" s="33">
        <f t="array" ref="V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21,Charge_Names,0))),Type_Species)),0),1)*IF(COUNTBLANK(Combo_Opponent_Type_2)=0,INDEX(Type_Damage_Multipliers,MATCH(Combo_Opponent_Type_2,IF(Type_Move=(INDEX(Charge_Type,MATCH($P21,Charge_Names,0))),Type_Species)),0),1)*
IF(OR(INDEX(Charge_Type,MATCH($P21,Charge_Names,0))=INDEX(Species_Type_1,MATCH($N21,Species_Names,0)),INDEX(Charge_Type,MATCH($P21,Charge_Names,0))=INDEX(Species_Type_2,MATCH($N21,Species_Names,0))),Game_STAB_Multiplier,1))</f>
        <v>1.25</v>
      </c>
      <c r="W21" s="33" t="s">
        <v>412</v>
      </c>
      <c r="X21" s="33" t="s">
        <v>444</v>
      </c>
      <c r="Y21" s="32" t="e">
        <f t="array" ref="Y21">((($Z21)*
INDEX(Species_Attack,MATCH($N21,Species_Names,0))*
INDEX(Species_Tankiness,MATCH($N21,Species_Names,0)))/1000)</f>
        <v>#VALUE!</v>
      </c>
      <c r="Z21" s="33" t="s">
        <v>445</v>
      </c>
    </row>
    <row r="22" spans="1:26" ht="14.25" customHeight="1" x14ac:dyDescent="0.2">
      <c r="A22" s="9" t="str">
        <f>Game_Type17</f>
        <v>Steel</v>
      </c>
      <c r="B22" s="22" t="str">
        <f t="array" ref="B22">CONCATENATE(TEXT($M22,"000"),".",TEXT(INDEX(Quick_Number,MATCH($O22,Quick_Names,0)),"000"),".",TEXT(INDEX(Charge_Number,MATCH($P22,Charge_Names,0)),"000"))</f>
        <v>149.239.014</v>
      </c>
      <c r="C22" s="23" t="e">
        <f t="array" ref="C22">RANK($S22,IF(Combo_Species_Names=$N22,Combo_Gym_Offense),0)</f>
        <v>#VALUE!</v>
      </c>
      <c r="D22" s="24" t="e">
        <f t="array" ref="D22">$S22/MAX(IF(Combo_Species_Names=$N22,Combo_Gym_Offense))</f>
        <v>#VALUE!</v>
      </c>
      <c r="E22" s="23" t="e">
        <f t="array" ref="E22">RANK($Y22,IF(Combo_Species_Names=$N22,Combo_Gym_Defense),0)</f>
        <v>#VALUE!</v>
      </c>
      <c r="F22" s="25" t="e">
        <f t="array" ref="F22">$Y22/MAX(IF(Combo_Species_Names=$N22,Combo_Gym_Defense))</f>
        <v>#VALUE!</v>
      </c>
      <c r="G22" s="23" t="e">
        <f t="array" ref="G22">IF(OR(INDEX(Species_Availability,MATCH($N22,Species_Names,0))="No",INDEX(Species_Evo_Numbers,MATCH($N22,Species_Names,0))&lt;&gt;1),"N/A",RANK($R22,IF(NOT(ISNA(MATCH(Combo_Species_Names,IF(Species_Availability="Yes",IF(Species_Evo_Numbers=1,Species_Names)),0))),Combo_Duel_Ability),0))</f>
        <v>#VALUE!</v>
      </c>
      <c r="H22" s="24" t="e">
        <f t="array" ref="H22">IF(OR(INDEX(Species_Availability,MATCH($N22,Species_Names,0))="No",INDEX(Species_Evo_Numbers,MATCH($N22,Species_Names,0))&lt;&gt;1),"N/A",$R22/MAX(IF(NOT(ISNA(MATCH(Combo_Species_Names,IF(Species_Availability="Yes",IF(Species_Evo_Numbers=1,Species_Names)),0))),Combo_Duel_Ability)))</f>
        <v>#VALUE!</v>
      </c>
      <c r="I22" s="23" t="e">
        <f t="array" ref="I22">IF(OR(INDEX(Species_Availability,MATCH($N22,Species_Names,0))="No",INDEX(Species_Evo_Numbers,MATCH($N22,Species_Names,0))&lt;&gt;1),"N/A",RANK($S22,IF(NOT(ISNA(MATCH(Combo_Species_Names,IF(Species_Availability="Yes",IF(Species_Evo_Numbers=1,Species_Names)),0))),Combo_Gym_Offense),0))</f>
        <v>#VALUE!</v>
      </c>
      <c r="J22" s="24" t="e">
        <f t="array" ref="J22">IF(OR(INDEX(Species_Availability,MATCH($N22,Species_Names,0))="No",INDEX(Species_Evo_Numbers,MATCH($N22,Species_Names,0))&lt;&gt;1),"N/A",$S22/MAX(IF(NOT(ISNA(MATCH(Combo_Species_Names,IF(Species_Availability="Yes",IF(Species_Evo_Numbers=1,Species_Names)),0))),Combo_Gym_Offense)))</f>
        <v>#VALUE!</v>
      </c>
      <c r="K22" s="23" t="e">
        <f t="array" ref="K22">IF(OR(INDEX(Species_Availability,MATCH($N22,Species_Names,0))="No",INDEX(Species_Evo_Numbers,MATCH($N22,Species_Names,0))&lt;&gt;1),"N/A",RANK($Y22,IF(NOT(ISNA(MATCH(Combo_Species_Names,IF(Species_Availability="Yes",IF(Species_Evo_Numbers=1,Species_Names)),0))),Combo_Gym_Defense),0))</f>
        <v>#VALUE!</v>
      </c>
      <c r="L22" s="24" t="e">
        <f t="array" ref="L22">IF(OR(INDEX(Species_Availability,MATCH($N22,Species_Names,0))="No",INDEX(Species_Evo_Numbers,MATCH($N22,Species_Names,0))&lt;&gt;1),"N/A",$Y22/MAX(IF(NOT(ISNA(MATCH(Combo_Species_Names,IF(Species_Availability="Yes",IF(Species_Evo_Numbers=1,Species_Names)),0))),Combo_Gym_Defense)))</f>
        <v>#VALUE!</v>
      </c>
      <c r="M22" s="28">
        <f t="array" ref="M22">INDEX(Species_Pdex_Numbers,MATCH($N22,Species_Names,0))</f>
        <v>149</v>
      </c>
      <c r="N22" s="30" t="s">
        <v>204</v>
      </c>
      <c r="O22" s="31" t="s">
        <v>80</v>
      </c>
      <c r="P22" s="31" t="s">
        <v>130</v>
      </c>
      <c r="Q22" s="17" t="e">
        <f t="shared" si="0"/>
        <v>#VALUE!</v>
      </c>
      <c r="R22" s="32" t="e">
        <f t="array" ref="R22">IF(OR(AND(COUNTBLANK(Combo_Opponent_Type_1)=1,COUNTBLANK(Combo_Opponent_Type_2)=0),AND(AND(COUNTBLANK(Combo_Opponent_Type_1)=0,COUNTBLANK(Combo_Opponent_Type_2)=0),Combo_Opponent_Type_1=Combo_Opponent_Type_2)),
"Check Types",($S22*INDEX(Species_Tankiness,MATCH($N22,Species_Names,0)))/225)</f>
        <v>#VALUE!</v>
      </c>
      <c r="S22" s="32" t="e">
        <f t="array" ref="S22">IF(OR(AND(COUNTBLANK(Combo_Opponent_Type_1)=1,COUNTBLANK(Combo_Opponent_Type_2)=0),AND(AND(COUNTBLANK(Combo_Opponent_Type_1)=0,COUNTBLANK(Combo_Opponent_Type_2)=0),Combo_Opponent_Type_1=Combo_Opponent_Type_2)),
"Check Types",(
IF($W22&gt;=((1-Game_Weave_Human_Error)*$X22),$W22,$X22)*INDEX(Species_Attack,MATCH($N22,Species_Names,0)))/11)</f>
        <v>#VALUE!</v>
      </c>
      <c r="T22" s="33" t="e">
        <f t="shared" si="1"/>
        <v>#VALUE!</v>
      </c>
      <c r="U22" s="33">
        <f t="array" ref="U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22,Quick_Names,0))),Type_Species)),0),1)*IF(COUNTBLANK(Combo_Opponent_Type_2)=0,INDEX(Type_Damage_Multipliers,MATCH(Combo_Opponent_Type_2,IF(Type_Move=(INDEX(Quick_Type,MATCH($O22,Quick_Names,0))),Type_Species)),0),1)*(IF(OR(INDEX(Quick_Type,MATCH($O22,Quick_Names,0))=INDEX(Species_Type_1,MATCH($N22,Species_Names,0)),INDEX(Quick_Type,MATCH($O22,Quick_Names,0))=INDEX(Species_Type_2,MATCH($N22,Species_Names,0))),Game_STAB_Multiplier,1)))</f>
        <v>1</v>
      </c>
      <c r="V22" s="33">
        <f t="array" ref="V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22,Charge_Names,0))),Type_Species)),0),1)*IF(COUNTBLANK(Combo_Opponent_Type_2)=0,INDEX(Type_Damage_Multipliers,MATCH(Combo_Opponent_Type_2,IF(Type_Move=(INDEX(Charge_Type,MATCH($P22,Charge_Names,0))),Type_Species)),0),1)*
IF(OR(INDEX(Charge_Type,MATCH($P22,Charge_Names,0))=INDEX(Species_Type_1,MATCH($N22,Species_Names,0)),INDEX(Charge_Type,MATCH($P22,Charge_Names,0))=INDEX(Species_Type_2,MATCH($N22,Species_Names,0))),Game_STAB_Multiplier,1))</f>
        <v>1</v>
      </c>
      <c r="W22" s="33" t="s">
        <v>441</v>
      </c>
      <c r="X22" s="33" t="s">
        <v>446</v>
      </c>
      <c r="Y22" s="32" t="e">
        <f t="array" ref="Y22">((($Z22)*
INDEX(Species_Attack,MATCH($N22,Species_Names,0))*
INDEX(Species_Tankiness,MATCH($N22,Species_Names,0)))/1000)</f>
        <v>#VALUE!</v>
      </c>
      <c r="Z22" s="33" t="s">
        <v>447</v>
      </c>
    </row>
    <row r="23" spans="1:26" ht="14.25" customHeight="1" x14ac:dyDescent="0.2">
      <c r="A23" s="9" t="str">
        <f>Game_Type18</f>
        <v>Water</v>
      </c>
      <c r="B23" s="22" t="str">
        <f t="array" ref="B23">CONCATENATE(TEXT($M23,"000"),".",TEXT(INDEX(Quick_Number,MATCH($O23,Quick_Names,0)),"000"),".",TEXT(INDEX(Charge_Number,MATCH($P23,Charge_Names,0)),"000"))</f>
        <v>059.240.103</v>
      </c>
      <c r="C23" s="23" t="e">
        <f t="array" ref="C23">RANK($S23,IF(Combo_Species_Names=$N23,Combo_Gym_Offense),0)</f>
        <v>#VALUE!</v>
      </c>
      <c r="D23" s="24" t="e">
        <f t="array" ref="D23">$S23/MAX(IF(Combo_Species_Names=$N23,Combo_Gym_Offense))</f>
        <v>#VALUE!</v>
      </c>
      <c r="E23" s="23" t="e">
        <f t="array" ref="E23">RANK($Y23,IF(Combo_Species_Names=$N23,Combo_Gym_Defense),0)</f>
        <v>#VALUE!</v>
      </c>
      <c r="F23" s="25" t="e">
        <f t="array" ref="F23">$Y23/MAX(IF(Combo_Species_Names=$N23,Combo_Gym_Defense))</f>
        <v>#VALUE!</v>
      </c>
      <c r="G23" s="23" t="e">
        <f t="array" ref="G23">IF(OR(INDEX(Species_Availability,MATCH($N23,Species_Names,0))="No",INDEX(Species_Evo_Numbers,MATCH($N23,Species_Names,0))&lt;&gt;1),"N/A",RANK($R23,IF(NOT(ISNA(MATCH(Combo_Species_Names,IF(Species_Availability="Yes",IF(Species_Evo_Numbers=1,Species_Names)),0))),Combo_Duel_Ability),0))</f>
        <v>#VALUE!</v>
      </c>
      <c r="H23" s="24" t="e">
        <f t="array" ref="H23">IF(OR(INDEX(Species_Availability,MATCH($N23,Species_Names,0))="No",INDEX(Species_Evo_Numbers,MATCH($N23,Species_Names,0))&lt;&gt;1),"N/A",$R23/MAX(IF(NOT(ISNA(MATCH(Combo_Species_Names,IF(Species_Availability="Yes",IF(Species_Evo_Numbers=1,Species_Names)),0))),Combo_Duel_Ability)))</f>
        <v>#VALUE!</v>
      </c>
      <c r="I23" s="23" t="e">
        <f t="array" ref="I23">IF(OR(INDEX(Species_Availability,MATCH($N23,Species_Names,0))="No",INDEX(Species_Evo_Numbers,MATCH($N23,Species_Names,0))&lt;&gt;1),"N/A",RANK($S23,IF(NOT(ISNA(MATCH(Combo_Species_Names,IF(Species_Availability="Yes",IF(Species_Evo_Numbers=1,Species_Names)),0))),Combo_Gym_Offense),0))</f>
        <v>#VALUE!</v>
      </c>
      <c r="J23" s="24" t="e">
        <f t="array" ref="J23">IF(OR(INDEX(Species_Availability,MATCH($N23,Species_Names,0))="No",INDEX(Species_Evo_Numbers,MATCH($N23,Species_Names,0))&lt;&gt;1),"N/A",$S23/MAX(IF(NOT(ISNA(MATCH(Combo_Species_Names,IF(Species_Availability="Yes",IF(Species_Evo_Numbers=1,Species_Names)),0))),Combo_Gym_Offense)))</f>
        <v>#VALUE!</v>
      </c>
      <c r="K23" s="23" t="e">
        <f t="array" ref="K23">IF(OR(INDEX(Species_Availability,MATCH($N23,Species_Names,0))="No",INDEX(Species_Evo_Numbers,MATCH($N23,Species_Names,0))&lt;&gt;1),"N/A",RANK($Y23,IF(NOT(ISNA(MATCH(Combo_Species_Names,IF(Species_Availability="Yes",IF(Species_Evo_Numbers=1,Species_Names)),0))),Combo_Gym_Defense),0))</f>
        <v>#VALUE!</v>
      </c>
      <c r="L23" s="24" t="e">
        <f t="array" ref="L23">IF(OR(INDEX(Species_Availability,MATCH($N23,Species_Names,0))="No",INDEX(Species_Evo_Numbers,MATCH($N23,Species_Names,0))&lt;&gt;1),"N/A",$Y23/MAX(IF(NOT(ISNA(MATCH(Combo_Species_Names,IF(Species_Availability="Yes",IF(Species_Evo_Numbers=1,Species_Names)),0))),Combo_Gym_Defense)))</f>
        <v>#VALUE!</v>
      </c>
      <c r="M23" s="28">
        <f t="array" ref="M23">INDEX(Species_Pdex_Numbers,MATCH($N23,Species_Names,0))</f>
        <v>59</v>
      </c>
      <c r="N23" s="30" t="s">
        <v>208</v>
      </c>
      <c r="O23" s="31" t="s">
        <v>71</v>
      </c>
      <c r="P23" s="31" t="s">
        <v>163</v>
      </c>
      <c r="Q23" s="17" t="e">
        <f t="shared" si="0"/>
        <v>#VALUE!</v>
      </c>
      <c r="R23" s="32" t="e">
        <f t="array" ref="R23">IF(OR(AND(COUNTBLANK(Combo_Opponent_Type_1)=1,COUNTBLANK(Combo_Opponent_Type_2)=0),AND(AND(COUNTBLANK(Combo_Opponent_Type_1)=0,COUNTBLANK(Combo_Opponent_Type_2)=0),Combo_Opponent_Type_1=Combo_Opponent_Type_2)),
"Check Types",($S23*INDEX(Species_Tankiness,MATCH($N23,Species_Names,0)))/225)</f>
        <v>#VALUE!</v>
      </c>
      <c r="S23" s="32" t="e">
        <f t="array" ref="S23">IF(OR(AND(COUNTBLANK(Combo_Opponent_Type_1)=1,COUNTBLANK(Combo_Opponent_Type_2)=0),AND(AND(COUNTBLANK(Combo_Opponent_Type_1)=0,COUNTBLANK(Combo_Opponent_Type_2)=0),Combo_Opponent_Type_1=Combo_Opponent_Type_2)),
"Check Types",(
IF($W23&gt;=((1-Game_Weave_Human_Error)*$X23),$W23,$X23)*INDEX(Species_Attack,MATCH($N23,Species_Names,0)))/11)</f>
        <v>#VALUE!</v>
      </c>
      <c r="T23" s="33" t="e">
        <f t="shared" si="1"/>
        <v>#VALUE!</v>
      </c>
      <c r="U23" s="33">
        <f t="array" ref="U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23,Quick_Names,0))),Type_Species)),0),1)*IF(COUNTBLANK(Combo_Opponent_Type_2)=0,INDEX(Type_Damage_Multipliers,MATCH(Combo_Opponent_Type_2,IF(Type_Move=(INDEX(Quick_Type,MATCH($O23,Quick_Names,0))),Type_Species)),0),1)*(IF(OR(INDEX(Quick_Type,MATCH($O23,Quick_Names,0))=INDEX(Species_Type_1,MATCH($N23,Species_Names,0)),INDEX(Quick_Type,MATCH($O23,Quick_Names,0))=INDEX(Species_Type_2,MATCH($N23,Species_Names,0))),Game_STAB_Multiplier,1)))</f>
        <v>1.25</v>
      </c>
      <c r="V23" s="33">
        <f t="array" ref="V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23,Charge_Names,0))),Type_Species)),0),1)*IF(COUNTBLANK(Combo_Opponent_Type_2)=0,INDEX(Type_Damage_Multipliers,MATCH(Combo_Opponent_Type_2,IF(Type_Move=(INDEX(Charge_Type,MATCH($P23,Charge_Names,0))),Type_Species)),0),1)*
IF(OR(INDEX(Charge_Type,MATCH($P23,Charge_Names,0))=INDEX(Species_Type_1,MATCH($N23,Species_Names,0)),INDEX(Charge_Type,MATCH($P23,Charge_Names,0))=INDEX(Species_Type_2,MATCH($N23,Species_Names,0))),Game_STAB_Multiplier,1))</f>
        <v>1.25</v>
      </c>
      <c r="W23" s="33" t="s">
        <v>448</v>
      </c>
      <c r="X23" s="33" t="s">
        <v>449</v>
      </c>
      <c r="Y23" s="32" t="e">
        <f t="array" ref="Y23">((($Z23)*
INDEX(Species_Attack,MATCH($N23,Species_Names,0))*
INDEX(Species_Tankiness,MATCH($N23,Species_Names,0)))/1000)</f>
        <v>#VALUE!</v>
      </c>
      <c r="Z23" s="33" t="s">
        <v>421</v>
      </c>
    </row>
    <row r="24" spans="1:26" ht="14.25" customHeight="1" x14ac:dyDescent="0.2">
      <c r="A24" s="29">
        <f>CF_High_Duel_Ability</f>
        <v>350</v>
      </c>
      <c r="B24" s="22" t="str">
        <f t="array" ref="B24">CONCATENATE(TEXT($M24,"000"),".",TEXT(INDEX(Quick_Number,MATCH($O24,Quick_Names,0)),"000"),".",TEXT(INDEX(Charge_Number,MATCH($P24,Charge_Names,0)),"000"))</f>
        <v>149.239.083</v>
      </c>
      <c r="C24" s="23" t="e">
        <f t="array" ref="C24">RANK($S24,IF(Combo_Species_Names=$N24,Combo_Gym_Offense),0)</f>
        <v>#VALUE!</v>
      </c>
      <c r="D24" s="24" t="e">
        <f t="array" ref="D24">$S24/MAX(IF(Combo_Species_Names=$N24,Combo_Gym_Offense))</f>
        <v>#VALUE!</v>
      </c>
      <c r="E24" s="23" t="e">
        <f t="array" ref="E24">RANK($Y24,IF(Combo_Species_Names=$N24,Combo_Gym_Defense),0)</f>
        <v>#VALUE!</v>
      </c>
      <c r="F24" s="25" t="e">
        <f t="array" ref="F24">$Y24/MAX(IF(Combo_Species_Names=$N24,Combo_Gym_Defense))</f>
        <v>#VALUE!</v>
      </c>
      <c r="G24" s="23" t="e">
        <f t="array" ref="G24">IF(OR(INDEX(Species_Availability,MATCH($N24,Species_Names,0))="No",INDEX(Species_Evo_Numbers,MATCH($N24,Species_Names,0))&lt;&gt;1),"N/A",RANK($R24,IF(NOT(ISNA(MATCH(Combo_Species_Names,IF(Species_Availability="Yes",IF(Species_Evo_Numbers=1,Species_Names)),0))),Combo_Duel_Ability),0))</f>
        <v>#VALUE!</v>
      </c>
      <c r="H24" s="24" t="e">
        <f t="array" ref="H24">IF(OR(INDEX(Species_Availability,MATCH($N24,Species_Names,0))="No",INDEX(Species_Evo_Numbers,MATCH($N24,Species_Names,0))&lt;&gt;1),"N/A",$R24/MAX(IF(NOT(ISNA(MATCH(Combo_Species_Names,IF(Species_Availability="Yes",IF(Species_Evo_Numbers=1,Species_Names)),0))),Combo_Duel_Ability)))</f>
        <v>#VALUE!</v>
      </c>
      <c r="I24" s="23" t="e">
        <f t="array" ref="I24">IF(OR(INDEX(Species_Availability,MATCH($N24,Species_Names,0))="No",INDEX(Species_Evo_Numbers,MATCH($N24,Species_Names,0))&lt;&gt;1),"N/A",RANK($S24,IF(NOT(ISNA(MATCH(Combo_Species_Names,IF(Species_Availability="Yes",IF(Species_Evo_Numbers=1,Species_Names)),0))),Combo_Gym_Offense),0))</f>
        <v>#VALUE!</v>
      </c>
      <c r="J24" s="24" t="e">
        <f t="array" ref="J24">IF(OR(INDEX(Species_Availability,MATCH($N24,Species_Names,0))="No",INDEX(Species_Evo_Numbers,MATCH($N24,Species_Names,0))&lt;&gt;1),"N/A",$S24/MAX(IF(NOT(ISNA(MATCH(Combo_Species_Names,IF(Species_Availability="Yes",IF(Species_Evo_Numbers=1,Species_Names)),0))),Combo_Gym_Offense)))</f>
        <v>#VALUE!</v>
      </c>
      <c r="K24" s="23" t="e">
        <f t="array" ref="K24">IF(OR(INDEX(Species_Availability,MATCH($N24,Species_Names,0))="No",INDEX(Species_Evo_Numbers,MATCH($N24,Species_Names,0))&lt;&gt;1),"N/A",RANK($Y24,IF(NOT(ISNA(MATCH(Combo_Species_Names,IF(Species_Availability="Yes",IF(Species_Evo_Numbers=1,Species_Names)),0))),Combo_Gym_Defense),0))</f>
        <v>#VALUE!</v>
      </c>
      <c r="L24" s="24" t="e">
        <f t="array" ref="L24">IF(OR(INDEX(Species_Availability,MATCH($N24,Species_Names,0))="No",INDEX(Species_Evo_Numbers,MATCH($N24,Species_Names,0))&lt;&gt;1),"N/A",$Y24/MAX(IF(NOT(ISNA(MATCH(Combo_Species_Names,IF(Species_Availability="Yes",IF(Species_Evo_Numbers=1,Species_Names)),0))),Combo_Gym_Defense)))</f>
        <v>#VALUE!</v>
      </c>
      <c r="M24" s="28">
        <f t="array" ref="M24">INDEX(Species_Pdex_Numbers,MATCH($N24,Species_Names,0))</f>
        <v>149</v>
      </c>
      <c r="N24" s="30" t="s">
        <v>204</v>
      </c>
      <c r="O24" s="31" t="s">
        <v>80</v>
      </c>
      <c r="P24" s="31" t="s">
        <v>155</v>
      </c>
      <c r="Q24" s="17" t="e">
        <f t="shared" si="0"/>
        <v>#VALUE!</v>
      </c>
      <c r="R24" s="32" t="e">
        <f t="array" ref="R24">IF(OR(AND(COUNTBLANK(Combo_Opponent_Type_1)=1,COUNTBLANK(Combo_Opponent_Type_2)=0),AND(AND(COUNTBLANK(Combo_Opponent_Type_1)=0,COUNTBLANK(Combo_Opponent_Type_2)=0),Combo_Opponent_Type_1=Combo_Opponent_Type_2)),
"Check Types",($S24*INDEX(Species_Tankiness,MATCH($N24,Species_Names,0)))/225)</f>
        <v>#VALUE!</v>
      </c>
      <c r="S24" s="32" t="e">
        <f t="array" ref="S24">IF(OR(AND(COUNTBLANK(Combo_Opponent_Type_1)=1,COUNTBLANK(Combo_Opponent_Type_2)=0),AND(AND(COUNTBLANK(Combo_Opponent_Type_1)=0,COUNTBLANK(Combo_Opponent_Type_2)=0),Combo_Opponent_Type_1=Combo_Opponent_Type_2)),
"Check Types",(
IF($W24&gt;=((1-Game_Weave_Human_Error)*$X24),$W24,$X24)*INDEX(Species_Attack,MATCH($N24,Species_Names,0)))/11)</f>
        <v>#VALUE!</v>
      </c>
      <c r="T24" s="33" t="e">
        <f t="shared" si="1"/>
        <v>#VALUE!</v>
      </c>
      <c r="U24" s="33">
        <f t="array" ref="U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24,Quick_Names,0))),Type_Species)),0),1)*IF(COUNTBLANK(Combo_Opponent_Type_2)=0,INDEX(Type_Damage_Multipliers,MATCH(Combo_Opponent_Type_2,IF(Type_Move=(INDEX(Quick_Type,MATCH($O24,Quick_Names,0))),Type_Species)),0),1)*(IF(OR(INDEX(Quick_Type,MATCH($O24,Quick_Names,0))=INDEX(Species_Type_1,MATCH($N24,Species_Names,0)),INDEX(Quick_Type,MATCH($O24,Quick_Names,0))=INDEX(Species_Type_2,MATCH($N24,Species_Names,0))),Game_STAB_Multiplier,1)))</f>
        <v>1</v>
      </c>
      <c r="V24" s="33">
        <f t="array" ref="V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24,Charge_Names,0))),Type_Species)),0),1)*IF(COUNTBLANK(Combo_Opponent_Type_2)=0,INDEX(Type_Damage_Multipliers,MATCH(Combo_Opponent_Type_2,IF(Type_Move=(INDEX(Charge_Type,MATCH($P24,Charge_Names,0))),Type_Species)),0),1)*
IF(OR(INDEX(Charge_Type,MATCH($P24,Charge_Names,0))=INDEX(Species_Type_1,MATCH($N24,Species_Names,0)),INDEX(Charge_Type,MATCH($P24,Charge_Names,0))=INDEX(Species_Type_2,MATCH($N24,Species_Names,0))),Game_STAB_Multiplier,1))</f>
        <v>1.25</v>
      </c>
      <c r="W24" s="33" t="s">
        <v>441</v>
      </c>
      <c r="X24" s="33" t="s">
        <v>450</v>
      </c>
      <c r="Y24" s="32" t="e">
        <f t="array" ref="Y24">((($Z24)*
INDEX(Species_Attack,MATCH($N24,Species_Names,0))*
INDEX(Species_Tankiness,MATCH($N24,Species_Names,0)))/1000)</f>
        <v>#VALUE!</v>
      </c>
      <c r="Z24" s="33" t="s">
        <v>447</v>
      </c>
    </row>
    <row r="25" spans="1:26" ht="14.25" customHeight="1" x14ac:dyDescent="0.2">
      <c r="A25" s="29">
        <f>CF_Med_Duel_Ability</f>
        <v>275</v>
      </c>
      <c r="B25" s="22" t="str">
        <f t="array" ref="B25">CONCATENATE(TEXT($M25,"000"),".",TEXT(INDEX(Quick_Number,MATCH($O25,Quick_Names,0)),"000"),".",TEXT(INDEX(Charge_Number,MATCH($P25,Charge_Names,0)),"000"))</f>
        <v>131.218.082</v>
      </c>
      <c r="C25" s="23" t="e">
        <f t="array" ref="C25">RANK($S25,IF(Combo_Species_Names=$N25,Combo_Gym_Offense),0)</f>
        <v>#VALUE!</v>
      </c>
      <c r="D25" s="24" t="e">
        <f t="array" ref="D25">$S25/MAX(IF(Combo_Species_Names=$N25,Combo_Gym_Offense))</f>
        <v>#VALUE!</v>
      </c>
      <c r="E25" s="23" t="e">
        <f t="array" ref="E25">RANK($Y25,IF(Combo_Species_Names=$N25,Combo_Gym_Defense),0)</f>
        <v>#VALUE!</v>
      </c>
      <c r="F25" s="25" t="e">
        <f t="array" ref="F25">$Y25/MAX(IF(Combo_Species_Names=$N25,Combo_Gym_Defense))</f>
        <v>#VALUE!</v>
      </c>
      <c r="G25" s="23" t="e">
        <f t="array" ref="G25">IF(OR(INDEX(Species_Availability,MATCH($N25,Species_Names,0))="No",INDEX(Species_Evo_Numbers,MATCH($N25,Species_Names,0))&lt;&gt;1),"N/A",RANK($R25,IF(NOT(ISNA(MATCH(Combo_Species_Names,IF(Species_Availability="Yes",IF(Species_Evo_Numbers=1,Species_Names)),0))),Combo_Duel_Ability),0))</f>
        <v>#VALUE!</v>
      </c>
      <c r="H25" s="24" t="e">
        <f t="array" ref="H25">IF(OR(INDEX(Species_Availability,MATCH($N25,Species_Names,0))="No",INDEX(Species_Evo_Numbers,MATCH($N25,Species_Names,0))&lt;&gt;1),"N/A",$R25/MAX(IF(NOT(ISNA(MATCH(Combo_Species_Names,IF(Species_Availability="Yes",IF(Species_Evo_Numbers=1,Species_Names)),0))),Combo_Duel_Ability)))</f>
        <v>#VALUE!</v>
      </c>
      <c r="I25" s="23" t="e">
        <f t="array" ref="I25">IF(OR(INDEX(Species_Availability,MATCH($N25,Species_Names,0))="No",INDEX(Species_Evo_Numbers,MATCH($N25,Species_Names,0))&lt;&gt;1),"N/A",RANK($S25,IF(NOT(ISNA(MATCH(Combo_Species_Names,IF(Species_Availability="Yes",IF(Species_Evo_Numbers=1,Species_Names)),0))),Combo_Gym_Offense),0))</f>
        <v>#VALUE!</v>
      </c>
      <c r="J25" s="24" t="e">
        <f t="array" ref="J25">IF(OR(INDEX(Species_Availability,MATCH($N25,Species_Names,0))="No",INDEX(Species_Evo_Numbers,MATCH($N25,Species_Names,0))&lt;&gt;1),"N/A",$S25/MAX(IF(NOT(ISNA(MATCH(Combo_Species_Names,IF(Species_Availability="Yes",IF(Species_Evo_Numbers=1,Species_Names)),0))),Combo_Gym_Offense)))</f>
        <v>#VALUE!</v>
      </c>
      <c r="K25" s="23" t="e">
        <f t="array" ref="K25">IF(OR(INDEX(Species_Availability,MATCH($N25,Species_Names,0))="No",INDEX(Species_Evo_Numbers,MATCH($N25,Species_Names,0))&lt;&gt;1),"N/A",RANK($Y25,IF(NOT(ISNA(MATCH(Combo_Species_Names,IF(Species_Availability="Yes",IF(Species_Evo_Numbers=1,Species_Names)),0))),Combo_Gym_Defense),0))</f>
        <v>#VALUE!</v>
      </c>
      <c r="L25" s="24" t="e">
        <f t="array" ref="L25">IF(OR(INDEX(Species_Availability,MATCH($N25,Species_Names,0))="No",INDEX(Species_Evo_Numbers,MATCH($N25,Species_Names,0))&lt;&gt;1),"N/A",$Y25/MAX(IF(NOT(ISNA(MATCH(Combo_Species_Names,IF(Species_Availability="Yes",IF(Species_Evo_Numbers=1,Species_Names)),0))),Combo_Gym_Defense)))</f>
        <v>#VALUE!</v>
      </c>
      <c r="M25" s="28">
        <f t="array" ref="M25">INDEX(Species_Pdex_Numbers,MATCH($N25,Species_Names,0))</f>
        <v>131</v>
      </c>
      <c r="N25" s="30" t="s">
        <v>348</v>
      </c>
      <c r="O25" s="31" t="s">
        <v>87</v>
      </c>
      <c r="P25" s="31" t="s">
        <v>207</v>
      </c>
      <c r="Q25" s="17" t="e">
        <f t="shared" si="0"/>
        <v>#VALUE!</v>
      </c>
      <c r="R25" s="32" t="e">
        <f t="array" ref="R25">IF(OR(AND(COUNTBLANK(Combo_Opponent_Type_1)=1,COUNTBLANK(Combo_Opponent_Type_2)=0),AND(AND(COUNTBLANK(Combo_Opponent_Type_1)=0,COUNTBLANK(Combo_Opponent_Type_2)=0),Combo_Opponent_Type_1=Combo_Opponent_Type_2)),
"Check Types",($S25*INDEX(Species_Tankiness,MATCH($N25,Species_Names,0)))/225)</f>
        <v>#VALUE!</v>
      </c>
      <c r="S25" s="32" t="e">
        <f t="array" ref="S25">IF(OR(AND(COUNTBLANK(Combo_Opponent_Type_1)=1,COUNTBLANK(Combo_Opponent_Type_2)=0),AND(AND(COUNTBLANK(Combo_Opponent_Type_1)=0,COUNTBLANK(Combo_Opponent_Type_2)=0),Combo_Opponent_Type_1=Combo_Opponent_Type_2)),
"Check Types",(
IF($W25&gt;=((1-Game_Weave_Human_Error)*$X25),$W25,$X25)*INDEX(Species_Attack,MATCH($N25,Species_Names,0)))/11)</f>
        <v>#VALUE!</v>
      </c>
      <c r="T25" s="33" t="e">
        <f t="shared" si="1"/>
        <v>#VALUE!</v>
      </c>
      <c r="U25" s="33">
        <f t="array" ref="U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25,Quick_Names,0))),Type_Species)),0),1)*IF(COUNTBLANK(Combo_Opponent_Type_2)=0,INDEX(Type_Damage_Multipliers,MATCH(Combo_Opponent_Type_2,IF(Type_Move=(INDEX(Quick_Type,MATCH($O25,Quick_Names,0))),Type_Species)),0),1)*(IF(OR(INDEX(Quick_Type,MATCH($O25,Quick_Names,0))=INDEX(Species_Type_1,MATCH($N25,Species_Names,0)),INDEX(Quick_Type,MATCH($O25,Quick_Names,0))=INDEX(Species_Type_2,MATCH($N25,Species_Names,0))),Game_STAB_Multiplier,1)))</f>
        <v>1.25</v>
      </c>
      <c r="V25" s="33">
        <f t="array" ref="V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25,Charge_Names,0))),Type_Species)),0),1)*IF(COUNTBLANK(Combo_Opponent_Type_2)=0,INDEX(Type_Damage_Multipliers,MATCH(Combo_Opponent_Type_2,IF(Type_Move=(INDEX(Charge_Type,MATCH($P25,Charge_Names,0))),Type_Species)),0),1)*
IF(OR(INDEX(Charge_Type,MATCH($P25,Charge_Names,0))=INDEX(Species_Type_1,MATCH($N25,Species_Names,0)),INDEX(Charge_Type,MATCH($P25,Charge_Names,0))=INDEX(Species_Type_2,MATCH($N25,Species_Names,0))),Game_STAB_Multiplier,1))</f>
        <v>1</v>
      </c>
      <c r="W25" s="33" t="s">
        <v>422</v>
      </c>
      <c r="X25" s="33" t="s">
        <v>451</v>
      </c>
      <c r="Y25" s="32" t="e">
        <f t="array" ref="Y25">((($Z25)*
INDEX(Species_Attack,MATCH($N25,Species_Names,0))*
INDEX(Species_Tankiness,MATCH($N25,Species_Names,0)))/1000)</f>
        <v>#VALUE!</v>
      </c>
      <c r="Z25" s="33" t="s">
        <v>452</v>
      </c>
    </row>
    <row r="26" spans="1:26" ht="14.25" customHeight="1" x14ac:dyDescent="0.2">
      <c r="A26" s="29">
        <f>CF_Low_Duel_Ability</f>
        <v>200</v>
      </c>
      <c r="B26" s="22" t="str">
        <f t="array" ref="B26">CONCATENATE(TEXT($M26,"000"),".",TEXT(INDEX(Quick_Number,MATCH($O26,Quick_Names,0)),"000"),".",TEXT(INDEX(Charge_Number,MATCH($P26,Charge_Names,0)),"000"))</f>
        <v>059.202.103</v>
      </c>
      <c r="C26" s="23" t="e">
        <f t="array" ref="C26">RANK($S26,IF(Combo_Species_Names=$N26,Combo_Gym_Offense),0)</f>
        <v>#VALUE!</v>
      </c>
      <c r="D26" s="24" t="e">
        <f t="array" ref="D26">$S26/MAX(IF(Combo_Species_Names=$N26,Combo_Gym_Offense))</f>
        <v>#VALUE!</v>
      </c>
      <c r="E26" s="23" t="e">
        <f t="array" ref="E26">RANK($Y26,IF(Combo_Species_Names=$N26,Combo_Gym_Defense),0)</f>
        <v>#VALUE!</v>
      </c>
      <c r="F26" s="25" t="e">
        <f t="array" ref="F26">$Y26/MAX(IF(Combo_Species_Names=$N26,Combo_Gym_Defense))</f>
        <v>#VALUE!</v>
      </c>
      <c r="G26" s="23" t="e">
        <f t="array" ref="G26">IF(OR(INDEX(Species_Availability,MATCH($N26,Species_Names,0))="No",INDEX(Species_Evo_Numbers,MATCH($N26,Species_Names,0))&lt;&gt;1),"N/A",RANK($R26,IF(NOT(ISNA(MATCH(Combo_Species_Names,IF(Species_Availability="Yes",IF(Species_Evo_Numbers=1,Species_Names)),0))),Combo_Duel_Ability),0))</f>
        <v>#VALUE!</v>
      </c>
      <c r="H26" s="24" t="e">
        <f t="array" ref="H26">IF(OR(INDEX(Species_Availability,MATCH($N26,Species_Names,0))="No",INDEX(Species_Evo_Numbers,MATCH($N26,Species_Names,0))&lt;&gt;1),"N/A",$R26/MAX(IF(NOT(ISNA(MATCH(Combo_Species_Names,IF(Species_Availability="Yes",IF(Species_Evo_Numbers=1,Species_Names)),0))),Combo_Duel_Ability)))</f>
        <v>#VALUE!</v>
      </c>
      <c r="I26" s="23" t="e">
        <f t="array" ref="I26">IF(OR(INDEX(Species_Availability,MATCH($N26,Species_Names,0))="No",INDEX(Species_Evo_Numbers,MATCH($N26,Species_Names,0))&lt;&gt;1),"N/A",RANK($S26,IF(NOT(ISNA(MATCH(Combo_Species_Names,IF(Species_Availability="Yes",IF(Species_Evo_Numbers=1,Species_Names)),0))),Combo_Gym_Offense),0))</f>
        <v>#VALUE!</v>
      </c>
      <c r="J26" s="24" t="e">
        <f t="array" ref="J26">IF(OR(INDEX(Species_Availability,MATCH($N26,Species_Names,0))="No",INDEX(Species_Evo_Numbers,MATCH($N26,Species_Names,0))&lt;&gt;1),"N/A",$S26/MAX(IF(NOT(ISNA(MATCH(Combo_Species_Names,IF(Species_Availability="Yes",IF(Species_Evo_Numbers=1,Species_Names)),0))),Combo_Gym_Offense)))</f>
        <v>#VALUE!</v>
      </c>
      <c r="K26" s="23" t="e">
        <f t="array" ref="K26">IF(OR(INDEX(Species_Availability,MATCH($N26,Species_Names,0))="No",INDEX(Species_Evo_Numbers,MATCH($N26,Species_Names,0))&lt;&gt;1),"N/A",RANK($Y26,IF(NOT(ISNA(MATCH(Combo_Species_Names,IF(Species_Availability="Yes",IF(Species_Evo_Numbers=1,Species_Names)),0))),Combo_Gym_Defense),0))</f>
        <v>#VALUE!</v>
      </c>
      <c r="L26" s="24" t="e">
        <f t="array" ref="L26">IF(OR(INDEX(Species_Availability,MATCH($N26,Species_Names,0))="No",INDEX(Species_Evo_Numbers,MATCH($N26,Species_Names,0))&lt;&gt;1),"N/A",$Y26/MAX(IF(NOT(ISNA(MATCH(Combo_Species_Names,IF(Species_Availability="Yes",IF(Species_Evo_Numbers=1,Species_Names)),0))),Combo_Gym_Defense)))</f>
        <v>#VALUE!</v>
      </c>
      <c r="M26" s="28">
        <f t="array" ref="M26">INDEX(Species_Pdex_Numbers,MATCH($N26,Species_Names,0))</f>
        <v>59</v>
      </c>
      <c r="N26" s="30" t="s">
        <v>208</v>
      </c>
      <c r="O26" s="31" t="s">
        <v>59</v>
      </c>
      <c r="P26" s="31" t="s">
        <v>163</v>
      </c>
      <c r="Q26" s="17" t="e">
        <f t="shared" si="0"/>
        <v>#VALUE!</v>
      </c>
      <c r="R26" s="32" t="e">
        <f t="array" ref="R26">IF(OR(AND(COUNTBLANK(Combo_Opponent_Type_1)=1,COUNTBLANK(Combo_Opponent_Type_2)=0),AND(AND(COUNTBLANK(Combo_Opponent_Type_1)=0,COUNTBLANK(Combo_Opponent_Type_2)=0),Combo_Opponent_Type_1=Combo_Opponent_Type_2)),
"Check Types",($S26*INDEX(Species_Tankiness,MATCH($N26,Species_Names,0)))/225)</f>
        <v>#VALUE!</v>
      </c>
      <c r="S26" s="32" t="e">
        <f t="array" ref="S26">IF(OR(AND(COUNTBLANK(Combo_Opponent_Type_1)=1,COUNTBLANK(Combo_Opponent_Type_2)=0),AND(AND(COUNTBLANK(Combo_Opponent_Type_1)=0,COUNTBLANK(Combo_Opponent_Type_2)=0),Combo_Opponent_Type_1=Combo_Opponent_Type_2)),
"Check Types",(
IF($W26&gt;=((1-Game_Weave_Human_Error)*$X26),$W26,$X26)*INDEX(Species_Attack,MATCH($N26,Species_Names,0)))/11)</f>
        <v>#VALUE!</v>
      </c>
      <c r="T26" s="33" t="e">
        <f t="shared" si="1"/>
        <v>#VALUE!</v>
      </c>
      <c r="U26" s="33">
        <f t="array" ref="U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26,Quick_Names,0))),Type_Species)),0),1)*IF(COUNTBLANK(Combo_Opponent_Type_2)=0,INDEX(Type_Damage_Multipliers,MATCH(Combo_Opponent_Type_2,IF(Type_Move=(INDEX(Quick_Type,MATCH($O26,Quick_Names,0))),Type_Species)),0),1)*(IF(OR(INDEX(Quick_Type,MATCH($O26,Quick_Names,0))=INDEX(Species_Type_1,MATCH($N26,Species_Names,0)),INDEX(Quick_Type,MATCH($O26,Quick_Names,0))=INDEX(Species_Type_2,MATCH($N26,Species_Names,0))),Game_STAB_Multiplier,1)))</f>
        <v>1</v>
      </c>
      <c r="V26" s="33">
        <f t="array" ref="V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26,Charge_Names,0))),Type_Species)),0),1)*IF(COUNTBLANK(Combo_Opponent_Type_2)=0,INDEX(Type_Damage_Multipliers,MATCH(Combo_Opponent_Type_2,IF(Type_Move=(INDEX(Charge_Type,MATCH($P26,Charge_Names,0))),Type_Species)),0),1)*
IF(OR(INDEX(Charge_Type,MATCH($P26,Charge_Names,0))=INDEX(Species_Type_1,MATCH($N26,Species_Names,0)),INDEX(Charge_Type,MATCH($P26,Charge_Names,0))=INDEX(Species_Type_2,MATCH($N26,Species_Names,0))),Game_STAB_Multiplier,1))</f>
        <v>1.25</v>
      </c>
      <c r="W26" s="33" t="s">
        <v>453</v>
      </c>
      <c r="X26" s="33" t="s">
        <v>423</v>
      </c>
      <c r="Y26" s="32" t="e">
        <f t="array" ref="Y26">((($Z26)*
INDEX(Species_Attack,MATCH($N26,Species_Names,0))*
INDEX(Species_Tankiness,MATCH($N26,Species_Names,0)))/1000)</f>
        <v>#VALUE!</v>
      </c>
      <c r="Z26" s="33" t="s">
        <v>454</v>
      </c>
    </row>
    <row r="27" spans="1:26" ht="14.25" customHeight="1" x14ac:dyDescent="0.2">
      <c r="A27" s="29">
        <f>CF_High_Gym_Offense</f>
        <v>350</v>
      </c>
      <c r="B27" s="22" t="str">
        <f t="array" ref="B27">CONCATENATE(TEXT($M27,"000"),".",TEXT(INDEX(Quick_Number,MATCH($O27,Quick_Names,0)),"000"),".",TEXT(INDEX(Charge_Number,MATCH($P27,Charge_Names,0)),"000"))</f>
        <v>131.217.082</v>
      </c>
      <c r="C27" s="23" t="e">
        <f t="array" ref="C27">RANK($S27,IF(Combo_Species_Names=$N27,Combo_Gym_Offense),0)</f>
        <v>#VALUE!</v>
      </c>
      <c r="D27" s="24" t="e">
        <f t="array" ref="D27">$S27/MAX(IF(Combo_Species_Names=$N27,Combo_Gym_Offense))</f>
        <v>#VALUE!</v>
      </c>
      <c r="E27" s="23" t="e">
        <f t="array" ref="E27">RANK($Y27,IF(Combo_Species_Names=$N27,Combo_Gym_Defense),0)</f>
        <v>#VALUE!</v>
      </c>
      <c r="F27" s="25" t="e">
        <f t="array" ref="F27">$Y27/MAX(IF(Combo_Species_Names=$N27,Combo_Gym_Defense))</f>
        <v>#VALUE!</v>
      </c>
      <c r="G27" s="23" t="e">
        <f t="array" ref="G27">IF(OR(INDEX(Species_Availability,MATCH($N27,Species_Names,0))="No",INDEX(Species_Evo_Numbers,MATCH($N27,Species_Names,0))&lt;&gt;1),"N/A",RANK($R27,IF(NOT(ISNA(MATCH(Combo_Species_Names,IF(Species_Availability="Yes",IF(Species_Evo_Numbers=1,Species_Names)),0))),Combo_Duel_Ability),0))</f>
        <v>#VALUE!</v>
      </c>
      <c r="H27" s="24" t="e">
        <f t="array" ref="H27">IF(OR(INDEX(Species_Availability,MATCH($N27,Species_Names,0))="No",INDEX(Species_Evo_Numbers,MATCH($N27,Species_Names,0))&lt;&gt;1),"N/A",$R27/MAX(IF(NOT(ISNA(MATCH(Combo_Species_Names,IF(Species_Availability="Yes",IF(Species_Evo_Numbers=1,Species_Names)),0))),Combo_Duel_Ability)))</f>
        <v>#VALUE!</v>
      </c>
      <c r="I27" s="23" t="e">
        <f t="array" ref="I27">IF(OR(INDEX(Species_Availability,MATCH($N27,Species_Names,0))="No",INDEX(Species_Evo_Numbers,MATCH($N27,Species_Names,0))&lt;&gt;1),"N/A",RANK($S27,IF(NOT(ISNA(MATCH(Combo_Species_Names,IF(Species_Availability="Yes",IF(Species_Evo_Numbers=1,Species_Names)),0))),Combo_Gym_Offense),0))</f>
        <v>#VALUE!</v>
      </c>
      <c r="J27" s="24" t="e">
        <f t="array" ref="J27">IF(OR(INDEX(Species_Availability,MATCH($N27,Species_Names,0))="No",INDEX(Species_Evo_Numbers,MATCH($N27,Species_Names,0))&lt;&gt;1),"N/A",$S27/MAX(IF(NOT(ISNA(MATCH(Combo_Species_Names,IF(Species_Availability="Yes",IF(Species_Evo_Numbers=1,Species_Names)),0))),Combo_Gym_Offense)))</f>
        <v>#VALUE!</v>
      </c>
      <c r="K27" s="23" t="e">
        <f t="array" ref="K27">IF(OR(INDEX(Species_Availability,MATCH($N27,Species_Names,0))="No",INDEX(Species_Evo_Numbers,MATCH($N27,Species_Names,0))&lt;&gt;1),"N/A",RANK($Y27,IF(NOT(ISNA(MATCH(Combo_Species_Names,IF(Species_Availability="Yes",IF(Species_Evo_Numbers=1,Species_Names)),0))),Combo_Gym_Defense),0))</f>
        <v>#VALUE!</v>
      </c>
      <c r="L27" s="24" t="e">
        <f t="array" ref="L27">IF(OR(INDEX(Species_Availability,MATCH($N27,Species_Names,0))="No",INDEX(Species_Evo_Numbers,MATCH($N27,Species_Names,0))&lt;&gt;1),"N/A",$Y27/MAX(IF(NOT(ISNA(MATCH(Combo_Species_Names,IF(Species_Availability="Yes",IF(Species_Evo_Numbers=1,Species_Names)),0))),Combo_Gym_Defense)))</f>
        <v>#VALUE!</v>
      </c>
      <c r="M27" s="28">
        <f t="array" ref="M27">INDEX(Species_Pdex_Numbers,MATCH($N27,Species_Names,0))</f>
        <v>131</v>
      </c>
      <c r="N27" s="30" t="s">
        <v>348</v>
      </c>
      <c r="O27" s="31" t="s">
        <v>95</v>
      </c>
      <c r="P27" s="31" t="s">
        <v>207</v>
      </c>
      <c r="Q27" s="17" t="e">
        <f t="shared" si="0"/>
        <v>#VALUE!</v>
      </c>
      <c r="R27" s="32" t="e">
        <f t="array" ref="R27">IF(OR(AND(COUNTBLANK(Combo_Opponent_Type_1)=1,COUNTBLANK(Combo_Opponent_Type_2)=0),AND(AND(COUNTBLANK(Combo_Opponent_Type_1)=0,COUNTBLANK(Combo_Opponent_Type_2)=0),Combo_Opponent_Type_1=Combo_Opponent_Type_2)),
"Check Types",($S27*INDEX(Species_Tankiness,MATCH($N27,Species_Names,0)))/225)</f>
        <v>#VALUE!</v>
      </c>
      <c r="S27" s="32" t="e">
        <f t="array" ref="S27">IF(OR(AND(COUNTBLANK(Combo_Opponent_Type_1)=1,COUNTBLANK(Combo_Opponent_Type_2)=0),AND(AND(COUNTBLANK(Combo_Opponent_Type_1)=0,COUNTBLANK(Combo_Opponent_Type_2)=0),Combo_Opponent_Type_1=Combo_Opponent_Type_2)),
"Check Types",(
IF($W27&gt;=((1-Game_Weave_Human_Error)*$X27),$W27,$X27)*INDEX(Species_Attack,MATCH($N27,Species_Names,0)))/11)</f>
        <v>#VALUE!</v>
      </c>
      <c r="T27" s="33" t="e">
        <f t="shared" si="1"/>
        <v>#VALUE!</v>
      </c>
      <c r="U27" s="33">
        <f t="array" ref="U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27,Quick_Names,0))),Type_Species)),0),1)*IF(COUNTBLANK(Combo_Opponent_Type_2)=0,INDEX(Type_Damage_Multipliers,MATCH(Combo_Opponent_Type_2,IF(Type_Move=(INDEX(Quick_Type,MATCH($O27,Quick_Names,0))),Type_Species)),0),1)*(IF(OR(INDEX(Quick_Type,MATCH($O27,Quick_Names,0))=INDEX(Species_Type_1,MATCH($N27,Species_Names,0)),INDEX(Quick_Type,MATCH($O27,Quick_Names,0))=INDEX(Species_Type_2,MATCH($N27,Species_Names,0))),Game_STAB_Multiplier,1)))</f>
        <v>1.25</v>
      </c>
      <c r="V27" s="33">
        <f t="array" ref="V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27,Charge_Names,0))),Type_Species)),0),1)*IF(COUNTBLANK(Combo_Opponent_Type_2)=0,INDEX(Type_Damage_Multipliers,MATCH(Combo_Opponent_Type_2,IF(Type_Move=(INDEX(Charge_Type,MATCH($P27,Charge_Names,0))),Type_Species)),0),1)*
IF(OR(INDEX(Charge_Type,MATCH($P27,Charge_Names,0))=INDEX(Species_Type_1,MATCH($N27,Species_Names,0)),INDEX(Charge_Type,MATCH($P27,Charge_Names,0))=INDEX(Species_Type_2,MATCH($N27,Species_Names,0))),Game_STAB_Multiplier,1))</f>
        <v>1</v>
      </c>
      <c r="W27" s="33" t="s">
        <v>427</v>
      </c>
      <c r="X27" s="33" t="s">
        <v>455</v>
      </c>
      <c r="Y27" s="32" t="e">
        <f t="array" ref="Y27">((($Z27)*
INDEX(Species_Attack,MATCH($N27,Species_Names,0))*
INDEX(Species_Tankiness,MATCH($N27,Species_Names,0)))/1000)</f>
        <v>#VALUE!</v>
      </c>
      <c r="Z27" s="33" t="s">
        <v>456</v>
      </c>
    </row>
    <row r="28" spans="1:26" ht="14.25" customHeight="1" x14ac:dyDescent="0.2">
      <c r="A28" s="29">
        <f>CF_Med_Gym_Offense</f>
        <v>275</v>
      </c>
      <c r="B28" s="22" t="str">
        <f t="array" ref="B28">CONCATENATE(TEXT($M28,"000"),".",TEXT(INDEX(Quick_Number,MATCH($O28,Quick_Names,0)),"000"),".",TEXT(INDEX(Charge_Number,MATCH($P28,Charge_Names,0)),"000"))</f>
        <v>103.234.116</v>
      </c>
      <c r="C28" s="23" t="e">
        <f t="array" ref="C28">RANK($S28,IF(Combo_Species_Names=$N28,Combo_Gym_Offense),0)</f>
        <v>#VALUE!</v>
      </c>
      <c r="D28" s="24" t="e">
        <f t="array" ref="D28">$S28/MAX(IF(Combo_Species_Names=$N28,Combo_Gym_Offense))</f>
        <v>#VALUE!</v>
      </c>
      <c r="E28" s="23" t="e">
        <f t="array" ref="E28">RANK($Y28,IF(Combo_Species_Names=$N28,Combo_Gym_Defense),0)</f>
        <v>#VALUE!</v>
      </c>
      <c r="F28" s="25" t="e">
        <f t="array" ref="F28">$Y28/MAX(IF(Combo_Species_Names=$N28,Combo_Gym_Defense))</f>
        <v>#VALUE!</v>
      </c>
      <c r="G28" s="23" t="e">
        <f t="array" ref="G28">IF(OR(INDEX(Species_Availability,MATCH($N28,Species_Names,0))="No",INDEX(Species_Evo_Numbers,MATCH($N28,Species_Names,0))&lt;&gt;1),"N/A",RANK($R28,IF(NOT(ISNA(MATCH(Combo_Species_Names,IF(Species_Availability="Yes",IF(Species_Evo_Numbers=1,Species_Names)),0))),Combo_Duel_Ability),0))</f>
        <v>#VALUE!</v>
      </c>
      <c r="H28" s="24" t="e">
        <f t="array" ref="H28">IF(OR(INDEX(Species_Availability,MATCH($N28,Species_Names,0))="No",INDEX(Species_Evo_Numbers,MATCH($N28,Species_Names,0))&lt;&gt;1),"N/A",$R28/MAX(IF(NOT(ISNA(MATCH(Combo_Species_Names,IF(Species_Availability="Yes",IF(Species_Evo_Numbers=1,Species_Names)),0))),Combo_Duel_Ability)))</f>
        <v>#VALUE!</v>
      </c>
      <c r="I28" s="23" t="e">
        <f t="array" ref="I28">IF(OR(INDEX(Species_Availability,MATCH($N28,Species_Names,0))="No",INDEX(Species_Evo_Numbers,MATCH($N28,Species_Names,0))&lt;&gt;1),"N/A",RANK($S28,IF(NOT(ISNA(MATCH(Combo_Species_Names,IF(Species_Availability="Yes",IF(Species_Evo_Numbers=1,Species_Names)),0))),Combo_Gym_Offense),0))</f>
        <v>#VALUE!</v>
      </c>
      <c r="J28" s="24" t="e">
        <f t="array" ref="J28">IF(OR(INDEX(Species_Availability,MATCH($N28,Species_Names,0))="No",INDEX(Species_Evo_Numbers,MATCH($N28,Species_Names,0))&lt;&gt;1),"N/A",$S28/MAX(IF(NOT(ISNA(MATCH(Combo_Species_Names,IF(Species_Availability="Yes",IF(Species_Evo_Numbers=1,Species_Names)),0))),Combo_Gym_Offense)))</f>
        <v>#VALUE!</v>
      </c>
      <c r="K28" s="23" t="e">
        <f t="array" ref="K28">IF(OR(INDEX(Species_Availability,MATCH($N28,Species_Names,0))="No",INDEX(Species_Evo_Numbers,MATCH($N28,Species_Names,0))&lt;&gt;1),"N/A",RANK($Y28,IF(NOT(ISNA(MATCH(Combo_Species_Names,IF(Species_Availability="Yes",IF(Species_Evo_Numbers=1,Species_Names)),0))),Combo_Gym_Defense),0))</f>
        <v>#VALUE!</v>
      </c>
      <c r="L28" s="24" t="e">
        <f t="array" ref="L28">IF(OR(INDEX(Species_Availability,MATCH($N28,Species_Names,0))="No",INDEX(Species_Evo_Numbers,MATCH($N28,Species_Names,0))&lt;&gt;1),"N/A",$Y28/MAX(IF(NOT(ISNA(MATCH(Combo_Species_Names,IF(Species_Availability="Yes",IF(Species_Evo_Numbers=1,Species_Names)),0))),Combo_Gym_Defense)))</f>
        <v>#VALUE!</v>
      </c>
      <c r="M28" s="28">
        <f t="array" ref="M28">INDEX(Species_Pdex_Numbers,MATCH($N28,Species_Names,0))</f>
        <v>103</v>
      </c>
      <c r="N28" s="30" t="s">
        <v>309</v>
      </c>
      <c r="O28" s="31" t="s">
        <v>79</v>
      </c>
      <c r="P28" s="31" t="s">
        <v>160</v>
      </c>
      <c r="Q28" s="17" t="e">
        <f t="shared" si="0"/>
        <v>#VALUE!</v>
      </c>
      <c r="R28" s="32" t="e">
        <f t="array" ref="R28">IF(OR(AND(COUNTBLANK(Combo_Opponent_Type_1)=1,COUNTBLANK(Combo_Opponent_Type_2)=0),AND(AND(COUNTBLANK(Combo_Opponent_Type_1)=0,COUNTBLANK(Combo_Opponent_Type_2)=0),Combo_Opponent_Type_1=Combo_Opponent_Type_2)),
"Check Types",($S28*INDEX(Species_Tankiness,MATCH($N28,Species_Names,0)))/225)</f>
        <v>#VALUE!</v>
      </c>
      <c r="S28" s="32" t="e">
        <f t="array" ref="S28">IF(OR(AND(COUNTBLANK(Combo_Opponent_Type_1)=1,COUNTBLANK(Combo_Opponent_Type_2)=0),AND(AND(COUNTBLANK(Combo_Opponent_Type_1)=0,COUNTBLANK(Combo_Opponent_Type_2)=0),Combo_Opponent_Type_1=Combo_Opponent_Type_2)),
"Check Types",(
IF($W28&gt;=((1-Game_Weave_Human_Error)*$X28),$W28,$X28)*INDEX(Species_Attack,MATCH($N28,Species_Names,0)))/11)</f>
        <v>#VALUE!</v>
      </c>
      <c r="T28" s="33" t="e">
        <f t="shared" si="1"/>
        <v>#VALUE!</v>
      </c>
      <c r="U28" s="33">
        <f t="array" ref="U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28,Quick_Names,0))),Type_Species)),0),1)*IF(COUNTBLANK(Combo_Opponent_Type_2)=0,INDEX(Type_Damage_Multipliers,MATCH(Combo_Opponent_Type_2,IF(Type_Move=(INDEX(Quick_Type,MATCH($O28,Quick_Names,0))),Type_Species)),0),1)*(IF(OR(INDEX(Quick_Type,MATCH($O28,Quick_Names,0))=INDEX(Species_Type_1,MATCH($N28,Species_Names,0)),INDEX(Quick_Type,MATCH($O28,Quick_Names,0))=INDEX(Species_Type_2,MATCH($N28,Species_Names,0))),Game_STAB_Multiplier,1)))</f>
        <v>1.25</v>
      </c>
      <c r="V28" s="33">
        <f t="array" ref="V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28,Charge_Names,0))),Type_Species)),0),1)*IF(COUNTBLANK(Combo_Opponent_Type_2)=0,INDEX(Type_Damage_Multipliers,MATCH(Combo_Opponent_Type_2,IF(Type_Move=(INDEX(Charge_Type,MATCH($P28,Charge_Names,0))),Type_Species)),0),1)*
IF(OR(INDEX(Charge_Type,MATCH($P28,Charge_Names,0))=INDEX(Species_Type_1,MATCH($N28,Species_Names,0)),INDEX(Charge_Type,MATCH($P28,Charge_Names,0))=INDEX(Species_Type_2,MATCH($N28,Species_Names,0))),Game_STAB_Multiplier,1))</f>
        <v>1.25</v>
      </c>
      <c r="W28" s="33" t="s">
        <v>446</v>
      </c>
      <c r="X28" s="33" t="s">
        <v>457</v>
      </c>
      <c r="Y28" s="32" t="e">
        <f t="array" ref="Y28">((($Z28)*
INDEX(Species_Attack,MATCH($N28,Species_Names,0))*
INDEX(Species_Tankiness,MATCH($N28,Species_Names,0)))/1000)</f>
        <v>#VALUE!</v>
      </c>
      <c r="Z28" s="33" t="s">
        <v>458</v>
      </c>
    </row>
    <row r="29" spans="1:26" ht="14.25" customHeight="1" x14ac:dyDescent="0.2">
      <c r="A29" s="29">
        <f>CF_Low_Gym_Offense</f>
        <v>200</v>
      </c>
      <c r="B29" s="22" t="str">
        <f t="array" ref="B29">CONCATENATE(TEXT($M29,"000"),".",TEXT(INDEX(Quick_Number,MATCH($O29,Quick_Names,0)),"000"),".",TEXT(INDEX(Charge_Number,MATCH($P29,Charge_Names,0)),"000"))</f>
        <v>059.240.024</v>
      </c>
      <c r="C29" s="23" t="e">
        <f t="array" ref="C29">RANK($S29,IF(Combo_Species_Names=$N29,Combo_Gym_Offense),0)</f>
        <v>#VALUE!</v>
      </c>
      <c r="D29" s="24" t="e">
        <f t="array" ref="D29">$S29/MAX(IF(Combo_Species_Names=$N29,Combo_Gym_Offense))</f>
        <v>#VALUE!</v>
      </c>
      <c r="E29" s="23" t="e">
        <f t="array" ref="E29">RANK($Y29,IF(Combo_Species_Names=$N29,Combo_Gym_Defense),0)</f>
        <v>#VALUE!</v>
      </c>
      <c r="F29" s="25" t="e">
        <f t="array" ref="F29">$Y29/MAX(IF(Combo_Species_Names=$N29,Combo_Gym_Defense))</f>
        <v>#VALUE!</v>
      </c>
      <c r="G29" s="23" t="e">
        <f t="array" ref="G29">IF(OR(INDEX(Species_Availability,MATCH($N29,Species_Names,0))="No",INDEX(Species_Evo_Numbers,MATCH($N29,Species_Names,0))&lt;&gt;1),"N/A",RANK($R29,IF(NOT(ISNA(MATCH(Combo_Species_Names,IF(Species_Availability="Yes",IF(Species_Evo_Numbers=1,Species_Names)),0))),Combo_Duel_Ability),0))</f>
        <v>#VALUE!</v>
      </c>
      <c r="H29" s="24" t="e">
        <f t="array" ref="H29">IF(OR(INDEX(Species_Availability,MATCH($N29,Species_Names,0))="No",INDEX(Species_Evo_Numbers,MATCH($N29,Species_Names,0))&lt;&gt;1),"N/A",$R29/MAX(IF(NOT(ISNA(MATCH(Combo_Species_Names,IF(Species_Availability="Yes",IF(Species_Evo_Numbers=1,Species_Names)),0))),Combo_Duel_Ability)))</f>
        <v>#VALUE!</v>
      </c>
      <c r="I29" s="23" t="e">
        <f t="array" ref="I29">IF(OR(INDEX(Species_Availability,MATCH($N29,Species_Names,0))="No",INDEX(Species_Evo_Numbers,MATCH($N29,Species_Names,0))&lt;&gt;1),"N/A",RANK($S29,IF(NOT(ISNA(MATCH(Combo_Species_Names,IF(Species_Availability="Yes",IF(Species_Evo_Numbers=1,Species_Names)),0))),Combo_Gym_Offense),0))</f>
        <v>#VALUE!</v>
      </c>
      <c r="J29" s="24" t="e">
        <f t="array" ref="J29">IF(OR(INDEX(Species_Availability,MATCH($N29,Species_Names,0))="No",INDEX(Species_Evo_Numbers,MATCH($N29,Species_Names,0))&lt;&gt;1),"N/A",$S29/MAX(IF(NOT(ISNA(MATCH(Combo_Species_Names,IF(Species_Availability="Yes",IF(Species_Evo_Numbers=1,Species_Names)),0))),Combo_Gym_Offense)))</f>
        <v>#VALUE!</v>
      </c>
      <c r="K29" s="23" t="e">
        <f t="array" ref="K29">IF(OR(INDEX(Species_Availability,MATCH($N29,Species_Names,0))="No",INDEX(Species_Evo_Numbers,MATCH($N29,Species_Names,0))&lt;&gt;1),"N/A",RANK($Y29,IF(NOT(ISNA(MATCH(Combo_Species_Names,IF(Species_Availability="Yes",IF(Species_Evo_Numbers=1,Species_Names)),0))),Combo_Gym_Defense),0))</f>
        <v>#VALUE!</v>
      </c>
      <c r="L29" s="24" t="e">
        <f t="array" ref="L29">IF(OR(INDEX(Species_Availability,MATCH($N29,Species_Names,0))="No",INDEX(Species_Evo_Numbers,MATCH($N29,Species_Names,0))&lt;&gt;1),"N/A",$Y29/MAX(IF(NOT(ISNA(MATCH(Combo_Species_Names,IF(Species_Availability="Yes",IF(Species_Evo_Numbers=1,Species_Names)),0))),Combo_Gym_Defense)))</f>
        <v>#VALUE!</v>
      </c>
      <c r="M29" s="28">
        <f t="array" ref="M29">INDEX(Species_Pdex_Numbers,MATCH($N29,Species_Names,0))</f>
        <v>59</v>
      </c>
      <c r="N29" s="30" t="s">
        <v>208</v>
      </c>
      <c r="O29" s="31" t="s">
        <v>71</v>
      </c>
      <c r="P29" s="31" t="s">
        <v>200</v>
      </c>
      <c r="Q29" s="17" t="e">
        <f t="shared" si="0"/>
        <v>#VALUE!</v>
      </c>
      <c r="R29" s="32" t="e">
        <f t="array" ref="R29">IF(OR(AND(COUNTBLANK(Combo_Opponent_Type_1)=1,COUNTBLANK(Combo_Opponent_Type_2)=0),AND(AND(COUNTBLANK(Combo_Opponent_Type_1)=0,COUNTBLANK(Combo_Opponent_Type_2)=0),Combo_Opponent_Type_1=Combo_Opponent_Type_2)),
"Check Types",($S29*INDEX(Species_Tankiness,MATCH($N29,Species_Names,0)))/225)</f>
        <v>#VALUE!</v>
      </c>
      <c r="S29" s="32" t="e">
        <f t="array" ref="S29">IF(OR(AND(COUNTBLANK(Combo_Opponent_Type_1)=1,COUNTBLANK(Combo_Opponent_Type_2)=0),AND(AND(COUNTBLANK(Combo_Opponent_Type_1)=0,COUNTBLANK(Combo_Opponent_Type_2)=0),Combo_Opponent_Type_1=Combo_Opponent_Type_2)),
"Check Types",(
IF($W29&gt;=((1-Game_Weave_Human_Error)*$X29),$W29,$X29)*INDEX(Species_Attack,MATCH($N29,Species_Names,0)))/11)</f>
        <v>#VALUE!</v>
      </c>
      <c r="T29" s="33" t="e">
        <f t="shared" si="1"/>
        <v>#VALUE!</v>
      </c>
      <c r="U29" s="33">
        <f t="array" ref="U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29,Quick_Names,0))),Type_Species)),0),1)*IF(COUNTBLANK(Combo_Opponent_Type_2)=0,INDEX(Type_Damage_Multipliers,MATCH(Combo_Opponent_Type_2,IF(Type_Move=(INDEX(Quick_Type,MATCH($O29,Quick_Names,0))),Type_Species)),0),1)*(IF(OR(INDEX(Quick_Type,MATCH($O29,Quick_Names,0))=INDEX(Species_Type_1,MATCH($N29,Species_Names,0)),INDEX(Quick_Type,MATCH($O29,Quick_Names,0))=INDEX(Species_Type_2,MATCH($N29,Species_Names,0))),Game_STAB_Multiplier,1)))</f>
        <v>1.25</v>
      </c>
      <c r="V29" s="33">
        <f t="array" ref="V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29,Charge_Names,0))),Type_Species)),0),1)*IF(COUNTBLANK(Combo_Opponent_Type_2)=0,INDEX(Type_Damage_Multipliers,MATCH(Combo_Opponent_Type_2,IF(Type_Move=(INDEX(Charge_Type,MATCH($P29,Charge_Names,0))),Type_Species)),0),1)*
IF(OR(INDEX(Charge_Type,MATCH($P29,Charge_Names,0))=INDEX(Species_Type_1,MATCH($N29,Species_Names,0)),INDEX(Charge_Type,MATCH($P29,Charge_Names,0))=INDEX(Species_Type_2,MATCH($N29,Species_Names,0))),Game_STAB_Multiplier,1))</f>
        <v>1.25</v>
      </c>
      <c r="W29" s="33" t="s">
        <v>448</v>
      </c>
      <c r="X29" s="33" t="s">
        <v>459</v>
      </c>
      <c r="Y29" s="32" t="e">
        <f t="array" ref="Y29">((($Z29)*
INDEX(Species_Attack,MATCH($N29,Species_Names,0))*
INDEX(Species_Tankiness,MATCH($N29,Species_Names,0)))/1000)</f>
        <v>#VALUE!</v>
      </c>
      <c r="Z29" s="33" t="s">
        <v>460</v>
      </c>
    </row>
    <row r="30" spans="1:26" ht="14.25" customHeight="1" x14ac:dyDescent="0.2">
      <c r="A30" s="29">
        <f>CF_High_Gym_Defense</f>
        <v>350</v>
      </c>
      <c r="B30" s="22" t="str">
        <f t="array" ref="B30">CONCATENATE(TEXT($M30,"000"),".",TEXT(INDEX(Quick_Number,MATCH($O30,Quick_Names,0)),"000"),".",TEXT(INDEX(Charge_Number,MATCH($P30,Charge_Names,0)),"000"))</f>
        <v>009.230.107</v>
      </c>
      <c r="C30" s="23" t="e">
        <f t="array" ref="C30">RANK($S30,IF(Combo_Species_Names=$N30,Combo_Gym_Offense),0)</f>
        <v>#VALUE!</v>
      </c>
      <c r="D30" s="24" t="e">
        <f t="array" ref="D30">$S30/MAX(IF(Combo_Species_Names=$N30,Combo_Gym_Offense))</f>
        <v>#VALUE!</v>
      </c>
      <c r="E30" s="23" t="e">
        <f t="array" ref="E30">RANK($Y30,IF(Combo_Species_Names=$N30,Combo_Gym_Defense),0)</f>
        <v>#VALUE!</v>
      </c>
      <c r="F30" s="25" t="e">
        <f t="array" ref="F30">$Y30/MAX(IF(Combo_Species_Names=$N30,Combo_Gym_Defense))</f>
        <v>#VALUE!</v>
      </c>
      <c r="G30" s="23" t="e">
        <f t="array" ref="G30">IF(OR(INDEX(Species_Availability,MATCH($N30,Species_Names,0))="No",INDEX(Species_Evo_Numbers,MATCH($N30,Species_Names,0))&lt;&gt;1),"N/A",RANK($R30,IF(NOT(ISNA(MATCH(Combo_Species_Names,IF(Species_Availability="Yes",IF(Species_Evo_Numbers=1,Species_Names)),0))),Combo_Duel_Ability),0))</f>
        <v>#VALUE!</v>
      </c>
      <c r="H30" s="24" t="e">
        <f t="array" ref="H30">IF(OR(INDEX(Species_Availability,MATCH($N30,Species_Names,0))="No",INDEX(Species_Evo_Numbers,MATCH($N30,Species_Names,0))&lt;&gt;1),"N/A",$R30/MAX(IF(NOT(ISNA(MATCH(Combo_Species_Names,IF(Species_Availability="Yes",IF(Species_Evo_Numbers=1,Species_Names)),0))),Combo_Duel_Ability)))</f>
        <v>#VALUE!</v>
      </c>
      <c r="I30" s="23" t="e">
        <f t="array" ref="I30">IF(OR(INDEX(Species_Availability,MATCH($N30,Species_Names,0))="No",INDEX(Species_Evo_Numbers,MATCH($N30,Species_Names,0))&lt;&gt;1),"N/A",RANK($S30,IF(NOT(ISNA(MATCH(Combo_Species_Names,IF(Species_Availability="Yes",IF(Species_Evo_Numbers=1,Species_Names)),0))),Combo_Gym_Offense),0))</f>
        <v>#VALUE!</v>
      </c>
      <c r="J30" s="24" t="e">
        <f t="array" ref="J30">IF(OR(INDEX(Species_Availability,MATCH($N30,Species_Names,0))="No",INDEX(Species_Evo_Numbers,MATCH($N30,Species_Names,0))&lt;&gt;1),"N/A",$S30/MAX(IF(NOT(ISNA(MATCH(Combo_Species_Names,IF(Species_Availability="Yes",IF(Species_Evo_Numbers=1,Species_Names)),0))),Combo_Gym_Offense)))</f>
        <v>#VALUE!</v>
      </c>
      <c r="K30" s="23" t="e">
        <f t="array" ref="K30">IF(OR(INDEX(Species_Availability,MATCH($N30,Species_Names,0))="No",INDEX(Species_Evo_Numbers,MATCH($N30,Species_Names,0))&lt;&gt;1),"N/A",RANK($Y30,IF(NOT(ISNA(MATCH(Combo_Species_Names,IF(Species_Availability="Yes",IF(Species_Evo_Numbers=1,Species_Names)),0))),Combo_Gym_Defense),0))</f>
        <v>#VALUE!</v>
      </c>
      <c r="L30" s="24" t="e">
        <f t="array" ref="L30">IF(OR(INDEX(Species_Availability,MATCH($N30,Species_Names,0))="No",INDEX(Species_Evo_Numbers,MATCH($N30,Species_Names,0))&lt;&gt;1),"N/A",$Y30/MAX(IF(NOT(ISNA(MATCH(Combo_Species_Names,IF(Species_Availability="Yes",IF(Species_Evo_Numbers=1,Species_Names)),0))),Combo_Gym_Defense)))</f>
        <v>#VALUE!</v>
      </c>
      <c r="M30" s="28">
        <f t="array" ref="M30">INDEX(Species_Pdex_Numbers,MATCH($N30,Species_Names,0))</f>
        <v>9</v>
      </c>
      <c r="N30" s="30" t="s">
        <v>93</v>
      </c>
      <c r="O30" s="31" t="s">
        <v>65</v>
      </c>
      <c r="P30" s="31" t="s">
        <v>170</v>
      </c>
      <c r="Q30" s="17" t="e">
        <f t="shared" si="0"/>
        <v>#VALUE!</v>
      </c>
      <c r="R30" s="32" t="e">
        <f t="array" ref="R30">IF(OR(AND(COUNTBLANK(Combo_Opponent_Type_1)=1,COUNTBLANK(Combo_Opponent_Type_2)=0),AND(AND(COUNTBLANK(Combo_Opponent_Type_1)=0,COUNTBLANK(Combo_Opponent_Type_2)=0),Combo_Opponent_Type_1=Combo_Opponent_Type_2)),
"Check Types",($S30*INDEX(Species_Tankiness,MATCH($N30,Species_Names,0)))/225)</f>
        <v>#VALUE!</v>
      </c>
      <c r="S30" s="32" t="e">
        <f t="array" ref="S30">IF(OR(AND(COUNTBLANK(Combo_Opponent_Type_1)=1,COUNTBLANK(Combo_Opponent_Type_2)=0),AND(AND(COUNTBLANK(Combo_Opponent_Type_1)=0,COUNTBLANK(Combo_Opponent_Type_2)=0),Combo_Opponent_Type_1=Combo_Opponent_Type_2)),
"Check Types",(
IF($W30&gt;=((1-Game_Weave_Human_Error)*$X30),$W30,$X30)*INDEX(Species_Attack,MATCH($N30,Species_Names,0)))/11)</f>
        <v>#VALUE!</v>
      </c>
      <c r="T30" s="33" t="e">
        <f t="shared" si="1"/>
        <v>#VALUE!</v>
      </c>
      <c r="U30" s="33">
        <f t="array" ref="U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30,Quick_Names,0))),Type_Species)),0),1)*IF(COUNTBLANK(Combo_Opponent_Type_2)=0,INDEX(Type_Damage_Multipliers,MATCH(Combo_Opponent_Type_2,IF(Type_Move=(INDEX(Quick_Type,MATCH($O30,Quick_Names,0))),Type_Species)),0),1)*(IF(OR(INDEX(Quick_Type,MATCH($O30,Quick_Names,0))=INDEX(Species_Type_1,MATCH($N30,Species_Names,0)),INDEX(Quick_Type,MATCH($O30,Quick_Names,0))=INDEX(Species_Type_2,MATCH($N30,Species_Names,0))),Game_STAB_Multiplier,1)))</f>
        <v>1.25</v>
      </c>
      <c r="V30" s="33">
        <f t="array" ref="V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30,Charge_Names,0))),Type_Species)),0),1)*IF(COUNTBLANK(Combo_Opponent_Type_2)=0,INDEX(Type_Damage_Multipliers,MATCH(Combo_Opponent_Type_2,IF(Type_Move=(INDEX(Charge_Type,MATCH($P30,Charge_Names,0))),Type_Species)),0),1)*
IF(OR(INDEX(Charge_Type,MATCH($P30,Charge_Names,0))=INDEX(Species_Type_1,MATCH($N30,Species_Names,0)),INDEX(Charge_Type,MATCH($P30,Charge_Names,0))=INDEX(Species_Type_2,MATCH($N30,Species_Names,0))),Game_STAB_Multiplier,1))</f>
        <v>1.25</v>
      </c>
      <c r="W30" s="33" t="s">
        <v>412</v>
      </c>
      <c r="X30" s="33" t="s">
        <v>425</v>
      </c>
      <c r="Y30" s="32" t="e">
        <f t="array" ref="Y30">((($Z30)*
INDEX(Species_Attack,MATCH($N30,Species_Names,0))*
INDEX(Species_Tankiness,MATCH($N30,Species_Names,0)))/1000)</f>
        <v>#VALUE!</v>
      </c>
      <c r="Z30" s="33" t="s">
        <v>426</v>
      </c>
    </row>
    <row r="31" spans="1:26" ht="14.25" customHeight="1" x14ac:dyDescent="0.2">
      <c r="A31" s="29">
        <f>CF_Med_Gym_Defense</f>
        <v>275</v>
      </c>
      <c r="B31" s="22" t="str">
        <f t="array" ref="B31">CONCATENATE(TEXT($M31,"000"),".",TEXT(INDEX(Quick_Number,MATCH($O31,Quick_Names,0)),"000"),".",TEXT(INDEX(Charge_Number,MATCH($P31,Charge_Names,0)),"000"))</f>
        <v>080.230.108</v>
      </c>
      <c r="C31" s="23" t="e">
        <f t="array" ref="C31">RANK($S31,IF(Combo_Species_Names=$N31,Combo_Gym_Offense),0)</f>
        <v>#VALUE!</v>
      </c>
      <c r="D31" s="24" t="e">
        <f t="array" ref="D31">$S31/MAX(IF(Combo_Species_Names=$N31,Combo_Gym_Offense))</f>
        <v>#VALUE!</v>
      </c>
      <c r="E31" s="23" t="e">
        <f t="array" ref="E31">RANK($Y31,IF(Combo_Species_Names=$N31,Combo_Gym_Defense),0)</f>
        <v>#VALUE!</v>
      </c>
      <c r="F31" s="25" t="e">
        <f t="array" ref="F31">$Y31/MAX(IF(Combo_Species_Names=$N31,Combo_Gym_Defense))</f>
        <v>#VALUE!</v>
      </c>
      <c r="G31" s="23" t="e">
        <f t="array" ref="G31">IF(OR(INDEX(Species_Availability,MATCH($N31,Species_Names,0))="No",INDEX(Species_Evo_Numbers,MATCH($N31,Species_Names,0))&lt;&gt;1),"N/A",RANK($R31,IF(NOT(ISNA(MATCH(Combo_Species_Names,IF(Species_Availability="Yes",IF(Species_Evo_Numbers=1,Species_Names)),0))),Combo_Duel_Ability),0))</f>
        <v>#VALUE!</v>
      </c>
      <c r="H31" s="24" t="e">
        <f t="array" ref="H31">IF(OR(INDEX(Species_Availability,MATCH($N31,Species_Names,0))="No",INDEX(Species_Evo_Numbers,MATCH($N31,Species_Names,0))&lt;&gt;1),"N/A",$R31/MAX(IF(NOT(ISNA(MATCH(Combo_Species_Names,IF(Species_Availability="Yes",IF(Species_Evo_Numbers=1,Species_Names)),0))),Combo_Duel_Ability)))</f>
        <v>#VALUE!</v>
      </c>
      <c r="I31" s="23" t="e">
        <f t="array" ref="I31">IF(OR(INDEX(Species_Availability,MATCH($N31,Species_Names,0))="No",INDEX(Species_Evo_Numbers,MATCH($N31,Species_Names,0))&lt;&gt;1),"N/A",RANK($S31,IF(NOT(ISNA(MATCH(Combo_Species_Names,IF(Species_Availability="Yes",IF(Species_Evo_Numbers=1,Species_Names)),0))),Combo_Gym_Offense),0))</f>
        <v>#VALUE!</v>
      </c>
      <c r="J31" s="24" t="e">
        <f t="array" ref="J31">IF(OR(INDEX(Species_Availability,MATCH($N31,Species_Names,0))="No",INDEX(Species_Evo_Numbers,MATCH($N31,Species_Names,0))&lt;&gt;1),"N/A",$S31/MAX(IF(NOT(ISNA(MATCH(Combo_Species_Names,IF(Species_Availability="Yes",IF(Species_Evo_Numbers=1,Species_Names)),0))),Combo_Gym_Offense)))</f>
        <v>#VALUE!</v>
      </c>
      <c r="K31" s="23" t="e">
        <f t="array" ref="K31">IF(OR(INDEX(Species_Availability,MATCH($N31,Species_Names,0))="No",INDEX(Species_Evo_Numbers,MATCH($N31,Species_Names,0))&lt;&gt;1),"N/A",RANK($Y31,IF(NOT(ISNA(MATCH(Combo_Species_Names,IF(Species_Availability="Yes",IF(Species_Evo_Numbers=1,Species_Names)),0))),Combo_Gym_Defense),0))</f>
        <v>#VALUE!</v>
      </c>
      <c r="L31" s="24" t="e">
        <f t="array" ref="L31">IF(OR(INDEX(Species_Availability,MATCH($N31,Species_Names,0))="No",INDEX(Species_Evo_Numbers,MATCH($N31,Species_Names,0))&lt;&gt;1),"N/A",$Y31/MAX(IF(NOT(ISNA(MATCH(Combo_Species_Names,IF(Species_Availability="Yes",IF(Species_Evo_Numbers=1,Species_Names)),0))),Combo_Gym_Defense)))</f>
        <v>#VALUE!</v>
      </c>
      <c r="M31" s="28">
        <f t="array" ref="M31">INDEX(Species_Pdex_Numbers,MATCH($N31,Species_Names,0))</f>
        <v>80</v>
      </c>
      <c r="N31" s="30" t="s">
        <v>252</v>
      </c>
      <c r="O31" s="31" t="s">
        <v>65</v>
      </c>
      <c r="P31" s="31" t="s">
        <v>58</v>
      </c>
      <c r="Q31" s="17" t="e">
        <f t="shared" si="0"/>
        <v>#VALUE!</v>
      </c>
      <c r="R31" s="32" t="e">
        <f t="array" ref="R31">IF(OR(AND(COUNTBLANK(Combo_Opponent_Type_1)=1,COUNTBLANK(Combo_Opponent_Type_2)=0),AND(AND(COUNTBLANK(Combo_Opponent_Type_1)=0,COUNTBLANK(Combo_Opponent_Type_2)=0),Combo_Opponent_Type_1=Combo_Opponent_Type_2)),
"Check Types",($S31*INDEX(Species_Tankiness,MATCH($N31,Species_Names,0)))/225)</f>
        <v>#VALUE!</v>
      </c>
      <c r="S31" s="32" t="e">
        <f t="array" ref="S31">IF(OR(AND(COUNTBLANK(Combo_Opponent_Type_1)=1,COUNTBLANK(Combo_Opponent_Type_2)=0),AND(AND(COUNTBLANK(Combo_Opponent_Type_1)=0,COUNTBLANK(Combo_Opponent_Type_2)=0),Combo_Opponent_Type_1=Combo_Opponent_Type_2)),
"Check Types",(
IF($W31&gt;=((1-Game_Weave_Human_Error)*$X31),$W31,$X31)*INDEX(Species_Attack,MATCH($N31,Species_Names,0)))/11)</f>
        <v>#VALUE!</v>
      </c>
      <c r="T31" s="33" t="e">
        <f t="shared" si="1"/>
        <v>#VALUE!</v>
      </c>
      <c r="U31" s="33">
        <f t="array" ref="U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31,Quick_Names,0))),Type_Species)),0),1)*IF(COUNTBLANK(Combo_Opponent_Type_2)=0,INDEX(Type_Damage_Multipliers,MATCH(Combo_Opponent_Type_2,IF(Type_Move=(INDEX(Quick_Type,MATCH($O31,Quick_Names,0))),Type_Species)),0),1)*(IF(OR(INDEX(Quick_Type,MATCH($O31,Quick_Names,0))=INDEX(Species_Type_1,MATCH($N31,Species_Names,0)),INDEX(Quick_Type,MATCH($O31,Quick_Names,0))=INDEX(Species_Type_2,MATCH($N31,Species_Names,0))),Game_STAB_Multiplier,1)))</f>
        <v>1.25</v>
      </c>
      <c r="V31" s="33">
        <f t="array" ref="V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31,Charge_Names,0))),Type_Species)),0),1)*IF(COUNTBLANK(Combo_Opponent_Type_2)=0,INDEX(Type_Damage_Multipliers,MATCH(Combo_Opponent_Type_2,IF(Type_Move=(INDEX(Charge_Type,MATCH($P31,Charge_Names,0))),Type_Species)),0),1)*
IF(OR(INDEX(Charge_Type,MATCH($P31,Charge_Names,0))=INDEX(Species_Type_1,MATCH($N31,Species_Names,0)),INDEX(Charge_Type,MATCH($P31,Charge_Names,0))=INDEX(Species_Type_2,MATCH($N31,Species_Names,0))),Game_STAB_Multiplier,1))</f>
        <v>1.25</v>
      </c>
      <c r="W31" s="33" t="s">
        <v>412</v>
      </c>
      <c r="X31" s="33" t="s">
        <v>461</v>
      </c>
      <c r="Y31" s="32" t="e">
        <f t="array" ref="Y31">((($Z31)*
INDEX(Species_Attack,MATCH($N31,Species_Names,0))*
INDEX(Species_Tankiness,MATCH($N31,Species_Names,0)))/1000)</f>
        <v>#VALUE!</v>
      </c>
      <c r="Z31" s="33" t="s">
        <v>462</v>
      </c>
    </row>
    <row r="32" spans="1:26" ht="14.25" customHeight="1" x14ac:dyDescent="0.2">
      <c r="A32" s="29">
        <f>CF_Low_Gym_Defense</f>
        <v>200</v>
      </c>
      <c r="B32" s="22" t="str">
        <f t="array" ref="B32">CONCATENATE(TEXT($M32,"000"),".",TEXT(INDEX(Quick_Number,MATCH($O32,Quick_Names,0)),"000"),".",TEXT(INDEX(Charge_Number,MATCH($P32,Charge_Names,0)),"000"))</f>
        <v>130.202.107</v>
      </c>
      <c r="C32" s="23" t="e">
        <f t="array" ref="C32">RANK($S32,IF(Combo_Species_Names=$N32,Combo_Gym_Offense),0)</f>
        <v>#VALUE!</v>
      </c>
      <c r="D32" s="24" t="e">
        <f t="array" ref="D32">$S32/MAX(IF(Combo_Species_Names=$N32,Combo_Gym_Offense))</f>
        <v>#VALUE!</v>
      </c>
      <c r="E32" s="23" t="e">
        <f t="array" ref="E32">RANK($Y32,IF(Combo_Species_Names=$N32,Combo_Gym_Defense),0)</f>
        <v>#VALUE!</v>
      </c>
      <c r="F32" s="25" t="e">
        <f t="array" ref="F32">$Y32/MAX(IF(Combo_Species_Names=$N32,Combo_Gym_Defense))</f>
        <v>#VALUE!</v>
      </c>
      <c r="G32" s="23" t="e">
        <f t="array" ref="G32">IF(OR(INDEX(Species_Availability,MATCH($N32,Species_Names,0))="No",INDEX(Species_Evo_Numbers,MATCH($N32,Species_Names,0))&lt;&gt;1),"N/A",RANK($R32,IF(NOT(ISNA(MATCH(Combo_Species_Names,IF(Species_Availability="Yes",IF(Species_Evo_Numbers=1,Species_Names)),0))),Combo_Duel_Ability),0))</f>
        <v>#VALUE!</v>
      </c>
      <c r="H32" s="24" t="e">
        <f t="array" ref="H32">IF(OR(INDEX(Species_Availability,MATCH($N32,Species_Names,0))="No",INDEX(Species_Evo_Numbers,MATCH($N32,Species_Names,0))&lt;&gt;1),"N/A",$R32/MAX(IF(NOT(ISNA(MATCH(Combo_Species_Names,IF(Species_Availability="Yes",IF(Species_Evo_Numbers=1,Species_Names)),0))),Combo_Duel_Ability)))</f>
        <v>#VALUE!</v>
      </c>
      <c r="I32" s="23" t="e">
        <f t="array" ref="I32">IF(OR(INDEX(Species_Availability,MATCH($N32,Species_Names,0))="No",INDEX(Species_Evo_Numbers,MATCH($N32,Species_Names,0))&lt;&gt;1),"N/A",RANK($S32,IF(NOT(ISNA(MATCH(Combo_Species_Names,IF(Species_Availability="Yes",IF(Species_Evo_Numbers=1,Species_Names)),0))),Combo_Gym_Offense),0))</f>
        <v>#VALUE!</v>
      </c>
      <c r="J32" s="24" t="e">
        <f t="array" ref="J32">IF(OR(INDEX(Species_Availability,MATCH($N32,Species_Names,0))="No",INDEX(Species_Evo_Numbers,MATCH($N32,Species_Names,0))&lt;&gt;1),"N/A",$S32/MAX(IF(NOT(ISNA(MATCH(Combo_Species_Names,IF(Species_Availability="Yes",IF(Species_Evo_Numbers=1,Species_Names)),0))),Combo_Gym_Offense)))</f>
        <v>#VALUE!</v>
      </c>
      <c r="K32" s="23" t="e">
        <f t="array" ref="K32">IF(OR(INDEX(Species_Availability,MATCH($N32,Species_Names,0))="No",INDEX(Species_Evo_Numbers,MATCH($N32,Species_Names,0))&lt;&gt;1),"N/A",RANK($Y32,IF(NOT(ISNA(MATCH(Combo_Species_Names,IF(Species_Availability="Yes",IF(Species_Evo_Numbers=1,Species_Names)),0))),Combo_Gym_Defense),0))</f>
        <v>#VALUE!</v>
      </c>
      <c r="L32" s="24" t="e">
        <f t="array" ref="L32">IF(OR(INDEX(Species_Availability,MATCH($N32,Species_Names,0))="No",INDEX(Species_Evo_Numbers,MATCH($N32,Species_Names,0))&lt;&gt;1),"N/A",$Y32/MAX(IF(NOT(ISNA(MATCH(Combo_Species_Names,IF(Species_Availability="Yes",IF(Species_Evo_Numbers=1,Species_Names)),0))),Combo_Gym_Defense)))</f>
        <v>#VALUE!</v>
      </c>
      <c r="M32" s="28">
        <f t="array" ref="M32">INDEX(Species_Pdex_Numbers,MATCH($N32,Species_Names,0))</f>
        <v>130</v>
      </c>
      <c r="N32" s="30" t="s">
        <v>347</v>
      </c>
      <c r="O32" s="31" t="s">
        <v>59</v>
      </c>
      <c r="P32" s="31" t="s">
        <v>170</v>
      </c>
      <c r="Q32" s="17" t="e">
        <f t="shared" si="0"/>
        <v>#VALUE!</v>
      </c>
      <c r="R32" s="32" t="e">
        <f t="array" ref="R32">IF(OR(AND(COUNTBLANK(Combo_Opponent_Type_1)=1,COUNTBLANK(Combo_Opponent_Type_2)=0),AND(AND(COUNTBLANK(Combo_Opponent_Type_1)=0,COUNTBLANK(Combo_Opponent_Type_2)=0),Combo_Opponent_Type_1=Combo_Opponent_Type_2)),
"Check Types",($S32*INDEX(Species_Tankiness,MATCH($N32,Species_Names,0)))/225)</f>
        <v>#VALUE!</v>
      </c>
      <c r="S32" s="32" t="e">
        <f t="array" ref="S32">IF(OR(AND(COUNTBLANK(Combo_Opponent_Type_1)=1,COUNTBLANK(Combo_Opponent_Type_2)=0),AND(AND(COUNTBLANK(Combo_Opponent_Type_1)=0,COUNTBLANK(Combo_Opponent_Type_2)=0),Combo_Opponent_Type_1=Combo_Opponent_Type_2)),
"Check Types",(
IF($W32&gt;=((1-Game_Weave_Human_Error)*$X32),$W32,$X32)*INDEX(Species_Attack,MATCH($N32,Species_Names,0)))/11)</f>
        <v>#VALUE!</v>
      </c>
      <c r="T32" s="33" t="e">
        <f t="shared" si="1"/>
        <v>#VALUE!</v>
      </c>
      <c r="U32" s="33">
        <f t="array" ref="U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32,Quick_Names,0))),Type_Species)),0),1)*IF(COUNTBLANK(Combo_Opponent_Type_2)=0,INDEX(Type_Damage_Multipliers,MATCH(Combo_Opponent_Type_2,IF(Type_Move=(INDEX(Quick_Type,MATCH($O32,Quick_Names,0))),Type_Species)),0),1)*(IF(OR(INDEX(Quick_Type,MATCH($O32,Quick_Names,0))=INDEX(Species_Type_1,MATCH($N32,Species_Names,0)),INDEX(Quick_Type,MATCH($O32,Quick_Names,0))=INDEX(Species_Type_2,MATCH($N32,Species_Names,0))),Game_STAB_Multiplier,1)))</f>
        <v>1</v>
      </c>
      <c r="V32" s="33">
        <f t="array" ref="V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32,Charge_Names,0))),Type_Species)),0),1)*IF(COUNTBLANK(Combo_Opponent_Type_2)=0,INDEX(Type_Damage_Multipliers,MATCH(Combo_Opponent_Type_2,IF(Type_Move=(INDEX(Charge_Type,MATCH($P32,Charge_Names,0))),Type_Species)),0),1)*
IF(OR(INDEX(Charge_Type,MATCH($P32,Charge_Names,0))=INDEX(Species_Type_1,MATCH($N32,Species_Names,0)),INDEX(Charge_Type,MATCH($P32,Charge_Names,0))=INDEX(Species_Type_2,MATCH($N32,Species_Names,0))),Game_STAB_Multiplier,1))</f>
        <v>1.25</v>
      </c>
      <c r="W32" s="33" t="s">
        <v>453</v>
      </c>
      <c r="X32" s="33" t="s">
        <v>463</v>
      </c>
      <c r="Y32" s="32" t="e">
        <f t="array" ref="Y32">((($Z32)*
INDEX(Species_Attack,MATCH($N32,Species_Names,0))*
INDEX(Species_Tankiness,MATCH($N32,Species_Names,0)))/1000)</f>
        <v>#VALUE!</v>
      </c>
      <c r="Z32" s="33" t="s">
        <v>464</v>
      </c>
    </row>
    <row r="33" spans="1:26" ht="14.25" customHeight="1" x14ac:dyDescent="0.2">
      <c r="A33" s="9">
        <f>(MAX(Game_Type_Multipliers)^2)*Game_STAB_Multiplier</f>
        <v>1.953125</v>
      </c>
      <c r="B33" s="22" t="str">
        <f t="array" ref="B33">CONCATENATE(TEXT($M33,"000"),".",TEXT(INDEX(Quick_Number,MATCH($O33,Quick_Names,0)),"000"),".",TEXT(INDEX(Charge_Number,MATCH($P33,Charge_Names,0)),"000"))</f>
        <v>130.204.107</v>
      </c>
      <c r="C33" s="23" t="e">
        <f t="array" ref="C33">RANK($S33,IF(Combo_Species_Names=$N33,Combo_Gym_Offense),0)</f>
        <v>#VALUE!</v>
      </c>
      <c r="D33" s="24" t="e">
        <f t="array" ref="D33">$S33/MAX(IF(Combo_Species_Names=$N33,Combo_Gym_Offense))</f>
        <v>#VALUE!</v>
      </c>
      <c r="E33" s="23" t="e">
        <f t="array" ref="E33">RANK($Y33,IF(Combo_Species_Names=$N33,Combo_Gym_Defense),0)</f>
        <v>#VALUE!</v>
      </c>
      <c r="F33" s="25" t="e">
        <f t="array" ref="F33">$Y33/MAX(IF(Combo_Species_Names=$N33,Combo_Gym_Defense))</f>
        <v>#VALUE!</v>
      </c>
      <c r="G33" s="23" t="e">
        <f t="array" ref="G33">IF(OR(INDEX(Species_Availability,MATCH($N33,Species_Names,0))="No",INDEX(Species_Evo_Numbers,MATCH($N33,Species_Names,0))&lt;&gt;1),"N/A",RANK($R33,IF(NOT(ISNA(MATCH(Combo_Species_Names,IF(Species_Availability="Yes",IF(Species_Evo_Numbers=1,Species_Names)),0))),Combo_Duel_Ability),0))</f>
        <v>#VALUE!</v>
      </c>
      <c r="H33" s="24" t="e">
        <f t="array" ref="H33">IF(OR(INDEX(Species_Availability,MATCH($N33,Species_Names,0))="No",INDEX(Species_Evo_Numbers,MATCH($N33,Species_Names,0))&lt;&gt;1),"N/A",$R33/MAX(IF(NOT(ISNA(MATCH(Combo_Species_Names,IF(Species_Availability="Yes",IF(Species_Evo_Numbers=1,Species_Names)),0))),Combo_Duel_Ability)))</f>
        <v>#VALUE!</v>
      </c>
      <c r="I33" s="23" t="e">
        <f t="array" ref="I33">IF(OR(INDEX(Species_Availability,MATCH($N33,Species_Names,0))="No",INDEX(Species_Evo_Numbers,MATCH($N33,Species_Names,0))&lt;&gt;1),"N/A",RANK($S33,IF(NOT(ISNA(MATCH(Combo_Species_Names,IF(Species_Availability="Yes",IF(Species_Evo_Numbers=1,Species_Names)),0))),Combo_Gym_Offense),0))</f>
        <v>#VALUE!</v>
      </c>
      <c r="J33" s="24" t="e">
        <f t="array" ref="J33">IF(OR(INDEX(Species_Availability,MATCH($N33,Species_Names,0))="No",INDEX(Species_Evo_Numbers,MATCH($N33,Species_Names,0))&lt;&gt;1),"N/A",$S33/MAX(IF(NOT(ISNA(MATCH(Combo_Species_Names,IF(Species_Availability="Yes",IF(Species_Evo_Numbers=1,Species_Names)),0))),Combo_Gym_Offense)))</f>
        <v>#VALUE!</v>
      </c>
      <c r="K33" s="23" t="e">
        <f t="array" ref="K33">IF(OR(INDEX(Species_Availability,MATCH($N33,Species_Names,0))="No",INDEX(Species_Evo_Numbers,MATCH($N33,Species_Names,0))&lt;&gt;1),"N/A",RANK($Y33,IF(NOT(ISNA(MATCH(Combo_Species_Names,IF(Species_Availability="Yes",IF(Species_Evo_Numbers=1,Species_Names)),0))),Combo_Gym_Defense),0))</f>
        <v>#VALUE!</v>
      </c>
      <c r="L33" s="24" t="e">
        <f t="array" ref="L33">IF(OR(INDEX(Species_Availability,MATCH($N33,Species_Names,0))="No",INDEX(Species_Evo_Numbers,MATCH($N33,Species_Names,0))&lt;&gt;1),"N/A",$Y33/MAX(IF(NOT(ISNA(MATCH(Combo_Species_Names,IF(Species_Availability="Yes",IF(Species_Evo_Numbers=1,Species_Names)),0))),Combo_Gym_Defense)))</f>
        <v>#VALUE!</v>
      </c>
      <c r="M33" s="28">
        <f t="array" ref="M33">INDEX(Species_Pdex_Numbers,MATCH($N33,Species_Names,0))</f>
        <v>130</v>
      </c>
      <c r="N33" s="30" t="s">
        <v>347</v>
      </c>
      <c r="O33" s="31" t="s">
        <v>62</v>
      </c>
      <c r="P33" s="31" t="s">
        <v>170</v>
      </c>
      <c r="Q33" s="17" t="e">
        <f t="shared" si="0"/>
        <v>#VALUE!</v>
      </c>
      <c r="R33" s="32" t="e">
        <f t="array" ref="R33">IF(OR(AND(COUNTBLANK(Combo_Opponent_Type_1)=1,COUNTBLANK(Combo_Opponent_Type_2)=0),AND(AND(COUNTBLANK(Combo_Opponent_Type_1)=0,COUNTBLANK(Combo_Opponent_Type_2)=0),Combo_Opponent_Type_1=Combo_Opponent_Type_2)),
"Check Types",($S33*INDEX(Species_Tankiness,MATCH($N33,Species_Names,0)))/225)</f>
        <v>#VALUE!</v>
      </c>
      <c r="S33" s="32" t="e">
        <f t="array" ref="S33">IF(OR(AND(COUNTBLANK(Combo_Opponent_Type_1)=1,COUNTBLANK(Combo_Opponent_Type_2)=0),AND(AND(COUNTBLANK(Combo_Opponent_Type_1)=0,COUNTBLANK(Combo_Opponent_Type_2)=0),Combo_Opponent_Type_1=Combo_Opponent_Type_2)),
"Check Types",(
IF($W33&gt;=((1-Game_Weave_Human_Error)*$X33),$W33,$X33)*INDEX(Species_Attack,MATCH($N33,Species_Names,0)))/11)</f>
        <v>#VALUE!</v>
      </c>
      <c r="T33" s="33" t="e">
        <f t="shared" si="1"/>
        <v>#VALUE!</v>
      </c>
      <c r="U33" s="33">
        <f t="array" ref="U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33,Quick_Names,0))),Type_Species)),0),1)*IF(COUNTBLANK(Combo_Opponent_Type_2)=0,INDEX(Type_Damage_Multipliers,MATCH(Combo_Opponent_Type_2,IF(Type_Move=(INDEX(Quick_Type,MATCH($O33,Quick_Names,0))),Type_Species)),0),1)*(IF(OR(INDEX(Quick_Type,MATCH($O33,Quick_Names,0))=INDEX(Species_Type_1,MATCH($N33,Species_Names,0)),INDEX(Quick_Type,MATCH($O33,Quick_Names,0))=INDEX(Species_Type_2,MATCH($N33,Species_Names,0))),Game_STAB_Multiplier,1)))</f>
        <v>1</v>
      </c>
      <c r="V33" s="33">
        <f t="array" ref="V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33,Charge_Names,0))),Type_Species)),0),1)*IF(COUNTBLANK(Combo_Opponent_Type_2)=0,INDEX(Type_Damage_Multipliers,MATCH(Combo_Opponent_Type_2,IF(Type_Move=(INDEX(Charge_Type,MATCH($P33,Charge_Names,0))),Type_Species)),0),1)*
IF(OR(INDEX(Charge_Type,MATCH($P33,Charge_Names,0))=INDEX(Species_Type_1,MATCH($N33,Species_Names,0)),INDEX(Charge_Type,MATCH($P33,Charge_Names,0))=INDEX(Species_Type_2,MATCH($N33,Species_Names,0))),Game_STAB_Multiplier,1))</f>
        <v>1.25</v>
      </c>
      <c r="W33" s="33" t="s">
        <v>453</v>
      </c>
      <c r="X33" s="33" t="s">
        <v>463</v>
      </c>
      <c r="Y33" s="32" t="e">
        <f t="array" ref="Y33">((($Z33)*
INDEX(Species_Attack,MATCH($N33,Species_Names,0))*
INDEX(Species_Tankiness,MATCH($N33,Species_Names,0)))/1000)</f>
        <v>#VALUE!</v>
      </c>
      <c r="Z33" s="33" t="s">
        <v>464</v>
      </c>
    </row>
    <row r="34" spans="1:26" ht="14.25" customHeight="1" x14ac:dyDescent="0.2">
      <c r="A34" s="9">
        <f>MIN(Game_Type_Multipliers)^2</f>
        <v>0.64000000000000012</v>
      </c>
      <c r="B34" s="22" t="str">
        <f t="array" ref="B34">CONCATENATE(TEXT($M34,"000"),".",TEXT(INDEX(Quick_Number,MATCH($O34,Quick_Names,0)),"000"),".",TEXT(INDEX(Charge_Number,MATCH($P34,Charge_Names,0)),"000"))</f>
        <v>134.230.105</v>
      </c>
      <c r="C34" s="23" t="e">
        <f t="array" ref="C34">RANK($S34,IF(Combo_Species_Names=$N34,Combo_Gym_Offense),0)</f>
        <v>#VALUE!</v>
      </c>
      <c r="D34" s="24" t="e">
        <f t="array" ref="D34">$S34/MAX(IF(Combo_Species_Names=$N34,Combo_Gym_Offense))</f>
        <v>#VALUE!</v>
      </c>
      <c r="E34" s="23" t="e">
        <f t="array" ref="E34">RANK($Y34,IF(Combo_Species_Names=$N34,Combo_Gym_Defense),0)</f>
        <v>#VALUE!</v>
      </c>
      <c r="F34" s="25" t="e">
        <f t="array" ref="F34">$Y34/MAX(IF(Combo_Species_Names=$N34,Combo_Gym_Defense))</f>
        <v>#VALUE!</v>
      </c>
      <c r="G34" s="23" t="e">
        <f t="array" ref="G34">IF(OR(INDEX(Species_Availability,MATCH($N34,Species_Names,0))="No",INDEX(Species_Evo_Numbers,MATCH($N34,Species_Names,0))&lt;&gt;1),"N/A",RANK($R34,IF(NOT(ISNA(MATCH(Combo_Species_Names,IF(Species_Availability="Yes",IF(Species_Evo_Numbers=1,Species_Names)),0))),Combo_Duel_Ability),0))</f>
        <v>#VALUE!</v>
      </c>
      <c r="H34" s="24" t="e">
        <f t="array" ref="H34">IF(OR(INDEX(Species_Availability,MATCH($N34,Species_Names,0))="No",INDEX(Species_Evo_Numbers,MATCH($N34,Species_Names,0))&lt;&gt;1),"N/A",$R34/MAX(IF(NOT(ISNA(MATCH(Combo_Species_Names,IF(Species_Availability="Yes",IF(Species_Evo_Numbers=1,Species_Names)),0))),Combo_Duel_Ability)))</f>
        <v>#VALUE!</v>
      </c>
      <c r="I34" s="23" t="e">
        <f t="array" ref="I34">IF(OR(INDEX(Species_Availability,MATCH($N34,Species_Names,0))="No",INDEX(Species_Evo_Numbers,MATCH($N34,Species_Names,0))&lt;&gt;1),"N/A",RANK($S34,IF(NOT(ISNA(MATCH(Combo_Species_Names,IF(Species_Availability="Yes",IF(Species_Evo_Numbers=1,Species_Names)),0))),Combo_Gym_Offense),0))</f>
        <v>#VALUE!</v>
      </c>
      <c r="J34" s="24" t="e">
        <f t="array" ref="J34">IF(OR(INDEX(Species_Availability,MATCH($N34,Species_Names,0))="No",INDEX(Species_Evo_Numbers,MATCH($N34,Species_Names,0))&lt;&gt;1),"N/A",$S34/MAX(IF(NOT(ISNA(MATCH(Combo_Species_Names,IF(Species_Availability="Yes",IF(Species_Evo_Numbers=1,Species_Names)),0))),Combo_Gym_Offense)))</f>
        <v>#VALUE!</v>
      </c>
      <c r="K34" s="23" t="e">
        <f t="array" ref="K34">IF(OR(INDEX(Species_Availability,MATCH($N34,Species_Names,0))="No",INDEX(Species_Evo_Numbers,MATCH($N34,Species_Names,0))&lt;&gt;1),"N/A",RANK($Y34,IF(NOT(ISNA(MATCH(Combo_Species_Names,IF(Species_Availability="Yes",IF(Species_Evo_Numbers=1,Species_Names)),0))),Combo_Gym_Defense),0))</f>
        <v>#VALUE!</v>
      </c>
      <c r="L34" s="24" t="e">
        <f t="array" ref="L34">IF(OR(INDEX(Species_Availability,MATCH($N34,Species_Names,0))="No",INDEX(Species_Evo_Numbers,MATCH($N34,Species_Names,0))&lt;&gt;1),"N/A",$Y34/MAX(IF(NOT(ISNA(MATCH(Combo_Species_Names,IF(Species_Availability="Yes",IF(Species_Evo_Numbers=1,Species_Names)),0))),Combo_Gym_Defense)))</f>
        <v>#VALUE!</v>
      </c>
      <c r="M34" s="28">
        <f t="array" ref="M34">INDEX(Species_Pdex_Numbers,MATCH($N34,Species_Names,0))</f>
        <v>134</v>
      </c>
      <c r="N34" s="30" t="s">
        <v>352</v>
      </c>
      <c r="O34" s="31" t="s">
        <v>65</v>
      </c>
      <c r="P34" s="31" t="s">
        <v>281</v>
      </c>
      <c r="Q34" s="17" t="e">
        <f t="shared" si="0"/>
        <v>#VALUE!</v>
      </c>
      <c r="R34" s="32" t="e">
        <f t="array" ref="R34">IF(OR(AND(COUNTBLANK(Combo_Opponent_Type_1)=1,COUNTBLANK(Combo_Opponent_Type_2)=0),AND(AND(COUNTBLANK(Combo_Opponent_Type_1)=0,COUNTBLANK(Combo_Opponent_Type_2)=0),Combo_Opponent_Type_1=Combo_Opponent_Type_2)),
"Check Types",($S34*INDEX(Species_Tankiness,MATCH($N34,Species_Names,0)))/225)</f>
        <v>#VALUE!</v>
      </c>
      <c r="S34" s="32" t="e">
        <f t="array" ref="S34">IF(OR(AND(COUNTBLANK(Combo_Opponent_Type_1)=1,COUNTBLANK(Combo_Opponent_Type_2)=0),AND(AND(COUNTBLANK(Combo_Opponent_Type_1)=0,COUNTBLANK(Combo_Opponent_Type_2)=0),Combo_Opponent_Type_1=Combo_Opponent_Type_2)),
"Check Types",(
IF($W34&gt;=((1-Game_Weave_Human_Error)*$X34),$W34,$X34)*INDEX(Species_Attack,MATCH($N34,Species_Names,0)))/11)</f>
        <v>#VALUE!</v>
      </c>
      <c r="T34" s="33" t="e">
        <f t="shared" si="1"/>
        <v>#VALUE!</v>
      </c>
      <c r="U34" s="33">
        <f t="array" ref="U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34,Quick_Names,0))),Type_Species)),0),1)*IF(COUNTBLANK(Combo_Opponent_Type_2)=0,INDEX(Type_Damage_Multipliers,MATCH(Combo_Opponent_Type_2,IF(Type_Move=(INDEX(Quick_Type,MATCH($O34,Quick_Names,0))),Type_Species)),0),1)*(IF(OR(INDEX(Quick_Type,MATCH($O34,Quick_Names,0))=INDEX(Species_Type_1,MATCH($N34,Species_Names,0)),INDEX(Quick_Type,MATCH($O34,Quick_Names,0))=INDEX(Species_Type_2,MATCH($N34,Species_Names,0))),Game_STAB_Multiplier,1)))</f>
        <v>1.25</v>
      </c>
      <c r="V34" s="33">
        <f t="array" ref="V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34,Charge_Names,0))),Type_Species)),0),1)*IF(COUNTBLANK(Combo_Opponent_Type_2)=0,INDEX(Type_Damage_Multipliers,MATCH(Combo_Opponent_Type_2,IF(Type_Move=(INDEX(Charge_Type,MATCH($P34,Charge_Names,0))),Type_Species)),0),1)*
IF(OR(INDEX(Charge_Type,MATCH($P34,Charge_Names,0))=INDEX(Species_Type_1,MATCH($N34,Species_Names,0)),INDEX(Charge_Type,MATCH($P34,Charge_Names,0))=INDEX(Species_Type_2,MATCH($N34,Species_Names,0))),Game_STAB_Multiplier,1))</f>
        <v>1.25</v>
      </c>
      <c r="W34" s="33" t="s">
        <v>412</v>
      </c>
      <c r="X34" s="33" t="s">
        <v>465</v>
      </c>
      <c r="Y34" s="32" t="e">
        <f t="array" ref="Y34">((($Z34)*
INDEX(Species_Attack,MATCH($N34,Species_Names,0))*
INDEX(Species_Tankiness,MATCH($N34,Species_Names,0)))/1000)</f>
        <v>#VALUE!</v>
      </c>
      <c r="Z34" s="33" t="s">
        <v>466</v>
      </c>
    </row>
    <row r="35" spans="1:26" ht="14.25" customHeight="1" x14ac:dyDescent="0.2">
      <c r="A35" s="40">
        <f>CF_High_ODPS</f>
        <v>20</v>
      </c>
      <c r="B35" s="22" t="str">
        <f t="array" ref="B35">CONCATENATE(TEXT($M35,"000"),".",TEXT(INDEX(Quick_Number,MATCH($O35,Quick_Names,0)),"000"),".",TEXT(INDEX(Charge_Number,MATCH($P35,Charge_Names,0)),"000"))</f>
        <v>103.235.116</v>
      </c>
      <c r="C35" s="23" t="e">
        <f t="array" ref="C35">RANK($S35,IF(Combo_Species_Names=$N35,Combo_Gym_Offense),0)</f>
        <v>#VALUE!</v>
      </c>
      <c r="D35" s="24" t="e">
        <f t="array" ref="D35">$S35/MAX(IF(Combo_Species_Names=$N35,Combo_Gym_Offense))</f>
        <v>#VALUE!</v>
      </c>
      <c r="E35" s="23" t="e">
        <f t="array" ref="E35">RANK($Y35,IF(Combo_Species_Names=$N35,Combo_Gym_Defense),0)</f>
        <v>#VALUE!</v>
      </c>
      <c r="F35" s="25" t="e">
        <f t="array" ref="F35">$Y35/MAX(IF(Combo_Species_Names=$N35,Combo_Gym_Defense))</f>
        <v>#VALUE!</v>
      </c>
      <c r="G35" s="23" t="e">
        <f t="array" ref="G35">IF(OR(INDEX(Species_Availability,MATCH($N35,Species_Names,0))="No",INDEX(Species_Evo_Numbers,MATCH($N35,Species_Names,0))&lt;&gt;1),"N/A",RANK($R35,IF(NOT(ISNA(MATCH(Combo_Species_Names,IF(Species_Availability="Yes",IF(Species_Evo_Numbers=1,Species_Names)),0))),Combo_Duel_Ability),0))</f>
        <v>#VALUE!</v>
      </c>
      <c r="H35" s="24" t="e">
        <f t="array" ref="H35">IF(OR(INDEX(Species_Availability,MATCH($N35,Species_Names,0))="No",INDEX(Species_Evo_Numbers,MATCH($N35,Species_Names,0))&lt;&gt;1),"N/A",$R35/MAX(IF(NOT(ISNA(MATCH(Combo_Species_Names,IF(Species_Availability="Yes",IF(Species_Evo_Numbers=1,Species_Names)),0))),Combo_Duel_Ability)))</f>
        <v>#VALUE!</v>
      </c>
      <c r="I35" s="23" t="e">
        <f t="array" ref="I35">IF(OR(INDEX(Species_Availability,MATCH($N35,Species_Names,0))="No",INDEX(Species_Evo_Numbers,MATCH($N35,Species_Names,0))&lt;&gt;1),"N/A",RANK($S35,IF(NOT(ISNA(MATCH(Combo_Species_Names,IF(Species_Availability="Yes",IF(Species_Evo_Numbers=1,Species_Names)),0))),Combo_Gym_Offense),0))</f>
        <v>#VALUE!</v>
      </c>
      <c r="J35" s="24" t="e">
        <f t="array" ref="J35">IF(OR(INDEX(Species_Availability,MATCH($N35,Species_Names,0))="No",INDEX(Species_Evo_Numbers,MATCH($N35,Species_Names,0))&lt;&gt;1),"N/A",$S35/MAX(IF(NOT(ISNA(MATCH(Combo_Species_Names,IF(Species_Availability="Yes",IF(Species_Evo_Numbers=1,Species_Names)),0))),Combo_Gym_Offense)))</f>
        <v>#VALUE!</v>
      </c>
      <c r="K35" s="23" t="e">
        <f t="array" ref="K35">IF(OR(INDEX(Species_Availability,MATCH($N35,Species_Names,0))="No",INDEX(Species_Evo_Numbers,MATCH($N35,Species_Names,0))&lt;&gt;1),"N/A",RANK($Y35,IF(NOT(ISNA(MATCH(Combo_Species_Names,IF(Species_Availability="Yes",IF(Species_Evo_Numbers=1,Species_Names)),0))),Combo_Gym_Defense),0))</f>
        <v>#VALUE!</v>
      </c>
      <c r="L35" s="24" t="e">
        <f t="array" ref="L35">IF(OR(INDEX(Species_Availability,MATCH($N35,Species_Names,0))="No",INDEX(Species_Evo_Numbers,MATCH($N35,Species_Names,0))&lt;&gt;1),"N/A",$Y35/MAX(IF(NOT(ISNA(MATCH(Combo_Species_Names,IF(Species_Availability="Yes",IF(Species_Evo_Numbers=1,Species_Names)),0))),Combo_Gym_Defense)))</f>
        <v>#VALUE!</v>
      </c>
      <c r="M35" s="28">
        <f t="array" ref="M35">INDEX(Species_Pdex_Numbers,MATCH($N35,Species_Names,0))</f>
        <v>103</v>
      </c>
      <c r="N35" s="30" t="s">
        <v>309</v>
      </c>
      <c r="O35" s="31" t="s">
        <v>108</v>
      </c>
      <c r="P35" s="31" t="s">
        <v>160</v>
      </c>
      <c r="Q35" s="17" t="e">
        <f t="shared" si="0"/>
        <v>#VALUE!</v>
      </c>
      <c r="R35" s="32" t="e">
        <f t="array" ref="R35">IF(OR(AND(COUNTBLANK(Combo_Opponent_Type_1)=1,COUNTBLANK(Combo_Opponent_Type_2)=0),AND(AND(COUNTBLANK(Combo_Opponent_Type_1)=0,COUNTBLANK(Combo_Opponent_Type_2)=0),Combo_Opponent_Type_1=Combo_Opponent_Type_2)),
"Check Types",($S35*INDEX(Species_Tankiness,MATCH($N35,Species_Names,0)))/225)</f>
        <v>#VALUE!</v>
      </c>
      <c r="S35" s="32" t="e">
        <f t="array" ref="S35">IF(OR(AND(COUNTBLANK(Combo_Opponent_Type_1)=1,COUNTBLANK(Combo_Opponent_Type_2)=0),AND(AND(COUNTBLANK(Combo_Opponent_Type_1)=0,COUNTBLANK(Combo_Opponent_Type_2)=0),Combo_Opponent_Type_1=Combo_Opponent_Type_2)),
"Check Types",(
IF($W35&gt;=((1-Game_Weave_Human_Error)*$X35),$W35,$X35)*INDEX(Species_Attack,MATCH($N35,Species_Names,0)))/11)</f>
        <v>#VALUE!</v>
      </c>
      <c r="T35" s="33" t="e">
        <f t="shared" si="1"/>
        <v>#VALUE!</v>
      </c>
      <c r="U35" s="33">
        <f t="array" ref="U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35,Quick_Names,0))),Type_Species)),0),1)*IF(COUNTBLANK(Combo_Opponent_Type_2)=0,INDEX(Type_Damage_Multipliers,MATCH(Combo_Opponent_Type_2,IF(Type_Move=(INDEX(Quick_Type,MATCH($O35,Quick_Names,0))),Type_Species)),0),1)*(IF(OR(INDEX(Quick_Type,MATCH($O35,Quick_Names,0))=INDEX(Species_Type_1,MATCH($N35,Species_Names,0)),INDEX(Quick_Type,MATCH($O35,Quick_Names,0))=INDEX(Species_Type_2,MATCH($N35,Species_Names,0))),Game_STAB_Multiplier,1)))</f>
        <v>1.25</v>
      </c>
      <c r="V35" s="33">
        <f t="array" ref="V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35,Charge_Names,0))),Type_Species)),0),1)*IF(COUNTBLANK(Combo_Opponent_Type_2)=0,INDEX(Type_Damage_Multipliers,MATCH(Combo_Opponent_Type_2,IF(Type_Move=(INDEX(Charge_Type,MATCH($P35,Charge_Names,0))),Type_Species)),0),1)*
IF(OR(INDEX(Charge_Type,MATCH($P35,Charge_Names,0))=INDEX(Species_Type_1,MATCH($N35,Species_Names,0)),INDEX(Charge_Type,MATCH($P35,Charge_Names,0))=INDEX(Species_Type_2,MATCH($N35,Species_Names,0))),Game_STAB_Multiplier,1))</f>
        <v>1.25</v>
      </c>
      <c r="W35" s="33" t="s">
        <v>467</v>
      </c>
      <c r="X35" s="33" t="s">
        <v>468</v>
      </c>
      <c r="Y35" s="32" t="e">
        <f t="array" ref="Y35">((($Z35)*
INDEX(Species_Attack,MATCH($N35,Species_Names,0))*
INDEX(Species_Tankiness,MATCH($N35,Species_Names,0)))/1000)</f>
        <v>#VALUE!</v>
      </c>
      <c r="Z35" s="33" t="s">
        <v>469</v>
      </c>
    </row>
    <row r="36" spans="1:26" ht="14.25" customHeight="1" x14ac:dyDescent="0.2">
      <c r="A36" s="40">
        <f>CF_Med_ODPS</f>
        <v>15</v>
      </c>
      <c r="B36" s="22" t="str">
        <f t="array" ref="B36">CONCATENATE(TEXT($M36,"000"),".",TEXT(INDEX(Quick_Number,MATCH($O36,Quick_Names,0)),"000"),".",TEXT(INDEX(Charge_Number,MATCH($P36,Charge_Names,0)),"000"))</f>
        <v>103.234.108</v>
      </c>
      <c r="C36" s="23" t="e">
        <f t="array" ref="C36">RANK($S36,IF(Combo_Species_Names=$N36,Combo_Gym_Offense),0)</f>
        <v>#VALUE!</v>
      </c>
      <c r="D36" s="24" t="e">
        <f t="array" ref="D36">$S36/MAX(IF(Combo_Species_Names=$N36,Combo_Gym_Offense))</f>
        <v>#VALUE!</v>
      </c>
      <c r="E36" s="23" t="e">
        <f t="array" ref="E36">RANK($Y36,IF(Combo_Species_Names=$N36,Combo_Gym_Defense),0)</f>
        <v>#VALUE!</v>
      </c>
      <c r="F36" s="25" t="e">
        <f t="array" ref="F36">$Y36/MAX(IF(Combo_Species_Names=$N36,Combo_Gym_Defense))</f>
        <v>#VALUE!</v>
      </c>
      <c r="G36" s="23" t="e">
        <f t="array" ref="G36">IF(OR(INDEX(Species_Availability,MATCH($N36,Species_Names,0))="No",INDEX(Species_Evo_Numbers,MATCH($N36,Species_Names,0))&lt;&gt;1),"N/A",RANK($R36,IF(NOT(ISNA(MATCH(Combo_Species_Names,IF(Species_Availability="Yes",IF(Species_Evo_Numbers=1,Species_Names)),0))),Combo_Duel_Ability),0))</f>
        <v>#VALUE!</v>
      </c>
      <c r="H36" s="24" t="e">
        <f t="array" ref="H36">IF(OR(INDEX(Species_Availability,MATCH($N36,Species_Names,0))="No",INDEX(Species_Evo_Numbers,MATCH($N36,Species_Names,0))&lt;&gt;1),"N/A",$R36/MAX(IF(NOT(ISNA(MATCH(Combo_Species_Names,IF(Species_Availability="Yes",IF(Species_Evo_Numbers=1,Species_Names)),0))),Combo_Duel_Ability)))</f>
        <v>#VALUE!</v>
      </c>
      <c r="I36" s="23" t="e">
        <f t="array" ref="I36">IF(OR(INDEX(Species_Availability,MATCH($N36,Species_Names,0))="No",INDEX(Species_Evo_Numbers,MATCH($N36,Species_Names,0))&lt;&gt;1),"N/A",RANK($S36,IF(NOT(ISNA(MATCH(Combo_Species_Names,IF(Species_Availability="Yes",IF(Species_Evo_Numbers=1,Species_Names)),0))),Combo_Gym_Offense),0))</f>
        <v>#VALUE!</v>
      </c>
      <c r="J36" s="24" t="e">
        <f t="array" ref="J36">IF(OR(INDEX(Species_Availability,MATCH($N36,Species_Names,0))="No",INDEX(Species_Evo_Numbers,MATCH($N36,Species_Names,0))&lt;&gt;1),"N/A",$S36/MAX(IF(NOT(ISNA(MATCH(Combo_Species_Names,IF(Species_Availability="Yes",IF(Species_Evo_Numbers=1,Species_Names)),0))),Combo_Gym_Offense)))</f>
        <v>#VALUE!</v>
      </c>
      <c r="K36" s="23" t="e">
        <f t="array" ref="K36">IF(OR(INDEX(Species_Availability,MATCH($N36,Species_Names,0))="No",INDEX(Species_Evo_Numbers,MATCH($N36,Species_Names,0))&lt;&gt;1),"N/A",RANK($Y36,IF(NOT(ISNA(MATCH(Combo_Species_Names,IF(Species_Availability="Yes",IF(Species_Evo_Numbers=1,Species_Names)),0))),Combo_Gym_Defense),0))</f>
        <v>#VALUE!</v>
      </c>
      <c r="L36" s="24" t="e">
        <f t="array" ref="L36">IF(OR(INDEX(Species_Availability,MATCH($N36,Species_Names,0))="No",INDEX(Species_Evo_Numbers,MATCH($N36,Species_Names,0))&lt;&gt;1),"N/A",$Y36/MAX(IF(NOT(ISNA(MATCH(Combo_Species_Names,IF(Species_Availability="Yes",IF(Species_Evo_Numbers=1,Species_Names)),0))),Combo_Gym_Defense)))</f>
        <v>#VALUE!</v>
      </c>
      <c r="M36" s="28">
        <f t="array" ref="M36">INDEX(Species_Pdex_Numbers,MATCH($N36,Species_Names,0))</f>
        <v>103</v>
      </c>
      <c r="N36" s="30" t="s">
        <v>309</v>
      </c>
      <c r="O36" s="31" t="s">
        <v>79</v>
      </c>
      <c r="P36" s="31" t="s">
        <v>58</v>
      </c>
      <c r="Q36" s="17" t="e">
        <f t="shared" si="0"/>
        <v>#VALUE!</v>
      </c>
      <c r="R36" s="32" t="e">
        <f t="array" ref="R36">IF(OR(AND(COUNTBLANK(Combo_Opponent_Type_1)=1,COUNTBLANK(Combo_Opponent_Type_2)=0),AND(AND(COUNTBLANK(Combo_Opponent_Type_1)=0,COUNTBLANK(Combo_Opponent_Type_2)=0),Combo_Opponent_Type_1=Combo_Opponent_Type_2)),
"Check Types",($S36*INDEX(Species_Tankiness,MATCH($N36,Species_Names,0)))/225)</f>
        <v>#VALUE!</v>
      </c>
      <c r="S36" s="32" t="e">
        <f t="array" ref="S36">IF(OR(AND(COUNTBLANK(Combo_Opponent_Type_1)=1,COUNTBLANK(Combo_Opponent_Type_2)=0),AND(AND(COUNTBLANK(Combo_Opponent_Type_1)=0,COUNTBLANK(Combo_Opponent_Type_2)=0),Combo_Opponent_Type_1=Combo_Opponent_Type_2)),
"Check Types",(
IF($W36&gt;=((1-Game_Weave_Human_Error)*$X36),$W36,$X36)*INDEX(Species_Attack,MATCH($N36,Species_Names,0)))/11)</f>
        <v>#VALUE!</v>
      </c>
      <c r="T36" s="33" t="e">
        <f t="shared" si="1"/>
        <v>#VALUE!</v>
      </c>
      <c r="U36" s="33">
        <f t="array" ref="U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36,Quick_Names,0))),Type_Species)),0),1)*IF(COUNTBLANK(Combo_Opponent_Type_2)=0,INDEX(Type_Damage_Multipliers,MATCH(Combo_Opponent_Type_2,IF(Type_Move=(INDEX(Quick_Type,MATCH($O36,Quick_Names,0))),Type_Species)),0),1)*(IF(OR(INDEX(Quick_Type,MATCH($O36,Quick_Names,0))=INDEX(Species_Type_1,MATCH($N36,Species_Names,0)),INDEX(Quick_Type,MATCH($O36,Quick_Names,0))=INDEX(Species_Type_2,MATCH($N36,Species_Names,0))),Game_STAB_Multiplier,1)))</f>
        <v>1.25</v>
      </c>
      <c r="V36" s="33">
        <f t="array" ref="V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36,Charge_Names,0))),Type_Species)),0),1)*IF(COUNTBLANK(Combo_Opponent_Type_2)=0,INDEX(Type_Damage_Multipliers,MATCH(Combo_Opponent_Type_2,IF(Type_Move=(INDEX(Charge_Type,MATCH($P36,Charge_Names,0))),Type_Species)),0),1)*
IF(OR(INDEX(Charge_Type,MATCH($P36,Charge_Names,0))=INDEX(Species_Type_1,MATCH($N36,Species_Names,0)),INDEX(Charge_Type,MATCH($P36,Charge_Names,0))=INDEX(Species_Type_2,MATCH($N36,Species_Names,0))),Game_STAB_Multiplier,1))</f>
        <v>1.25</v>
      </c>
      <c r="W36" s="33" t="s">
        <v>446</v>
      </c>
      <c r="X36" s="33" t="s">
        <v>470</v>
      </c>
      <c r="Y36" s="32" t="e">
        <f t="array" ref="Y36">((($Z36)*
INDEX(Species_Attack,MATCH($N36,Species_Names,0))*
INDEX(Species_Tankiness,MATCH($N36,Species_Names,0)))/1000)</f>
        <v>#VALUE!</v>
      </c>
      <c r="Z36" s="33" t="s">
        <v>471</v>
      </c>
    </row>
    <row r="37" spans="1:26" ht="14.25" customHeight="1" x14ac:dyDescent="0.2">
      <c r="A37" s="40">
        <f>CF_Low_ODPS</f>
        <v>10</v>
      </c>
      <c r="B37" s="22" t="str">
        <f t="array" ref="B37">CONCATENATE(TEXT($M37,"000"),".",TEXT(INDEX(Quick_Number,MATCH($O37,Quick_Names,0)),"000"),".",TEXT(INDEX(Charge_Number,MATCH($P37,Charge_Names,0)),"000"))</f>
        <v>059.202.024</v>
      </c>
      <c r="C37" s="23" t="e">
        <f t="array" ref="C37">RANK($S37,IF(Combo_Species_Names=$N37,Combo_Gym_Offense),0)</f>
        <v>#VALUE!</v>
      </c>
      <c r="D37" s="24" t="e">
        <f t="array" ref="D37">$S37/MAX(IF(Combo_Species_Names=$N37,Combo_Gym_Offense))</f>
        <v>#VALUE!</v>
      </c>
      <c r="E37" s="23" t="e">
        <f t="array" ref="E37">RANK($Y37,IF(Combo_Species_Names=$N37,Combo_Gym_Defense),0)</f>
        <v>#VALUE!</v>
      </c>
      <c r="F37" s="25" t="e">
        <f t="array" ref="F37">$Y37/MAX(IF(Combo_Species_Names=$N37,Combo_Gym_Defense))</f>
        <v>#VALUE!</v>
      </c>
      <c r="G37" s="23" t="e">
        <f t="array" ref="G37">IF(OR(INDEX(Species_Availability,MATCH($N37,Species_Names,0))="No",INDEX(Species_Evo_Numbers,MATCH($N37,Species_Names,0))&lt;&gt;1),"N/A",RANK($R37,IF(NOT(ISNA(MATCH(Combo_Species_Names,IF(Species_Availability="Yes",IF(Species_Evo_Numbers=1,Species_Names)),0))),Combo_Duel_Ability),0))</f>
        <v>#VALUE!</v>
      </c>
      <c r="H37" s="24" t="e">
        <f t="array" ref="H37">IF(OR(INDEX(Species_Availability,MATCH($N37,Species_Names,0))="No",INDEX(Species_Evo_Numbers,MATCH($N37,Species_Names,0))&lt;&gt;1),"N/A",$R37/MAX(IF(NOT(ISNA(MATCH(Combo_Species_Names,IF(Species_Availability="Yes",IF(Species_Evo_Numbers=1,Species_Names)),0))),Combo_Duel_Ability)))</f>
        <v>#VALUE!</v>
      </c>
      <c r="I37" s="23" t="e">
        <f t="array" ref="I37">IF(OR(INDEX(Species_Availability,MATCH($N37,Species_Names,0))="No",INDEX(Species_Evo_Numbers,MATCH($N37,Species_Names,0))&lt;&gt;1),"N/A",RANK($S37,IF(NOT(ISNA(MATCH(Combo_Species_Names,IF(Species_Availability="Yes",IF(Species_Evo_Numbers=1,Species_Names)),0))),Combo_Gym_Offense),0))</f>
        <v>#VALUE!</v>
      </c>
      <c r="J37" s="24" t="e">
        <f t="array" ref="J37">IF(OR(INDEX(Species_Availability,MATCH($N37,Species_Names,0))="No",INDEX(Species_Evo_Numbers,MATCH($N37,Species_Names,0))&lt;&gt;1),"N/A",$S37/MAX(IF(NOT(ISNA(MATCH(Combo_Species_Names,IF(Species_Availability="Yes",IF(Species_Evo_Numbers=1,Species_Names)),0))),Combo_Gym_Offense)))</f>
        <v>#VALUE!</v>
      </c>
      <c r="K37" s="23" t="e">
        <f t="array" ref="K37">IF(OR(INDEX(Species_Availability,MATCH($N37,Species_Names,0))="No",INDEX(Species_Evo_Numbers,MATCH($N37,Species_Names,0))&lt;&gt;1),"N/A",RANK($Y37,IF(NOT(ISNA(MATCH(Combo_Species_Names,IF(Species_Availability="Yes",IF(Species_Evo_Numbers=1,Species_Names)),0))),Combo_Gym_Defense),0))</f>
        <v>#VALUE!</v>
      </c>
      <c r="L37" s="24" t="e">
        <f t="array" ref="L37">IF(OR(INDEX(Species_Availability,MATCH($N37,Species_Names,0))="No",INDEX(Species_Evo_Numbers,MATCH($N37,Species_Names,0))&lt;&gt;1),"N/A",$Y37/MAX(IF(NOT(ISNA(MATCH(Combo_Species_Names,IF(Species_Availability="Yes",IF(Species_Evo_Numbers=1,Species_Names)),0))),Combo_Gym_Defense)))</f>
        <v>#VALUE!</v>
      </c>
      <c r="M37" s="28">
        <f t="array" ref="M37">INDEX(Species_Pdex_Numbers,MATCH($N37,Species_Names,0))</f>
        <v>59</v>
      </c>
      <c r="N37" s="30" t="s">
        <v>208</v>
      </c>
      <c r="O37" s="31" t="s">
        <v>59</v>
      </c>
      <c r="P37" s="31" t="s">
        <v>200</v>
      </c>
      <c r="Q37" s="17" t="e">
        <f t="shared" si="0"/>
        <v>#VALUE!</v>
      </c>
      <c r="R37" s="32" t="e">
        <f t="array" ref="R37">IF(OR(AND(COUNTBLANK(Combo_Opponent_Type_1)=1,COUNTBLANK(Combo_Opponent_Type_2)=0),AND(AND(COUNTBLANK(Combo_Opponent_Type_1)=0,COUNTBLANK(Combo_Opponent_Type_2)=0),Combo_Opponent_Type_1=Combo_Opponent_Type_2)),
"Check Types",($S37*INDEX(Species_Tankiness,MATCH($N37,Species_Names,0)))/225)</f>
        <v>#VALUE!</v>
      </c>
      <c r="S37" s="32" t="e">
        <f t="array" ref="S37">IF(OR(AND(COUNTBLANK(Combo_Opponent_Type_1)=1,COUNTBLANK(Combo_Opponent_Type_2)=0),AND(AND(COUNTBLANK(Combo_Opponent_Type_1)=0,COUNTBLANK(Combo_Opponent_Type_2)=0),Combo_Opponent_Type_1=Combo_Opponent_Type_2)),
"Check Types",(
IF($W37&gt;=((1-Game_Weave_Human_Error)*$X37),$W37,$X37)*INDEX(Species_Attack,MATCH($N37,Species_Names,0)))/11)</f>
        <v>#VALUE!</v>
      </c>
      <c r="T37" s="33" t="e">
        <f t="shared" si="1"/>
        <v>#VALUE!</v>
      </c>
      <c r="U37" s="33">
        <f t="array" ref="U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37,Quick_Names,0))),Type_Species)),0),1)*IF(COUNTBLANK(Combo_Opponent_Type_2)=0,INDEX(Type_Damage_Multipliers,MATCH(Combo_Opponent_Type_2,IF(Type_Move=(INDEX(Quick_Type,MATCH($O37,Quick_Names,0))),Type_Species)),0),1)*(IF(OR(INDEX(Quick_Type,MATCH($O37,Quick_Names,0))=INDEX(Species_Type_1,MATCH($N37,Species_Names,0)),INDEX(Quick_Type,MATCH($O37,Quick_Names,0))=INDEX(Species_Type_2,MATCH($N37,Species_Names,0))),Game_STAB_Multiplier,1)))</f>
        <v>1</v>
      </c>
      <c r="V37" s="33">
        <f t="array" ref="V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37,Charge_Names,0))),Type_Species)),0),1)*IF(COUNTBLANK(Combo_Opponent_Type_2)=0,INDEX(Type_Damage_Multipliers,MATCH(Combo_Opponent_Type_2,IF(Type_Move=(INDEX(Charge_Type,MATCH($P37,Charge_Names,0))),Type_Species)),0),1)*
IF(OR(INDEX(Charge_Type,MATCH($P37,Charge_Names,0))=INDEX(Species_Type_1,MATCH($N37,Species_Names,0)),INDEX(Charge_Type,MATCH($P37,Charge_Names,0))=INDEX(Species_Type_2,MATCH($N37,Species_Names,0))),Game_STAB_Multiplier,1))</f>
        <v>1.25</v>
      </c>
      <c r="W37" s="33" t="s">
        <v>453</v>
      </c>
      <c r="X37" s="33" t="s">
        <v>472</v>
      </c>
      <c r="Y37" s="32" t="e">
        <f t="array" ref="Y37">((($Z37)*
INDEX(Species_Attack,MATCH($N37,Species_Names,0))*
INDEX(Species_Tankiness,MATCH($N37,Species_Names,0)))/1000)</f>
        <v>#VALUE!</v>
      </c>
      <c r="Z37" s="33" t="s">
        <v>473</v>
      </c>
    </row>
    <row r="38" spans="1:26" ht="14.25" customHeight="1" x14ac:dyDescent="0.2">
      <c r="A38" s="40">
        <f>CF_High_DDPS</f>
        <v>8</v>
      </c>
      <c r="B38" s="22" t="str">
        <f t="array" ref="B38">CONCATENATE(TEXT($M38,"000"),".",TEXT(INDEX(Quick_Number,MATCH($O38,Quick_Names,0)),"000"),".",TEXT(INDEX(Charge_Number,MATCH($P38,Charge_Names,0)),"000"))</f>
        <v>089.224.092</v>
      </c>
      <c r="C38" s="23" t="e">
        <f t="array" ref="C38">RANK($S38,IF(Combo_Species_Names=$N38,Combo_Gym_Offense),0)</f>
        <v>#VALUE!</v>
      </c>
      <c r="D38" s="24" t="e">
        <f t="array" ref="D38">$S38/MAX(IF(Combo_Species_Names=$N38,Combo_Gym_Offense))</f>
        <v>#VALUE!</v>
      </c>
      <c r="E38" s="23" t="e">
        <f t="array" ref="E38">RANK($Y38,IF(Combo_Species_Names=$N38,Combo_Gym_Defense),0)</f>
        <v>#VALUE!</v>
      </c>
      <c r="F38" s="25" t="e">
        <f t="array" ref="F38">$Y38/MAX(IF(Combo_Species_Names=$N38,Combo_Gym_Defense))</f>
        <v>#VALUE!</v>
      </c>
      <c r="G38" s="23" t="e">
        <f t="array" ref="G38">IF(OR(INDEX(Species_Availability,MATCH($N38,Species_Names,0))="No",INDEX(Species_Evo_Numbers,MATCH($N38,Species_Names,0))&lt;&gt;1),"N/A",RANK($R38,IF(NOT(ISNA(MATCH(Combo_Species_Names,IF(Species_Availability="Yes",IF(Species_Evo_Numbers=1,Species_Names)),0))),Combo_Duel_Ability),0))</f>
        <v>#VALUE!</v>
      </c>
      <c r="H38" s="24" t="e">
        <f t="array" ref="H38">IF(OR(INDEX(Species_Availability,MATCH($N38,Species_Names,0))="No",INDEX(Species_Evo_Numbers,MATCH($N38,Species_Names,0))&lt;&gt;1),"N/A",$R38/MAX(IF(NOT(ISNA(MATCH(Combo_Species_Names,IF(Species_Availability="Yes",IF(Species_Evo_Numbers=1,Species_Names)),0))),Combo_Duel_Ability)))</f>
        <v>#VALUE!</v>
      </c>
      <c r="I38" s="23" t="e">
        <f t="array" ref="I38">IF(OR(INDEX(Species_Availability,MATCH($N38,Species_Names,0))="No",INDEX(Species_Evo_Numbers,MATCH($N38,Species_Names,0))&lt;&gt;1),"N/A",RANK($S38,IF(NOT(ISNA(MATCH(Combo_Species_Names,IF(Species_Availability="Yes",IF(Species_Evo_Numbers=1,Species_Names)),0))),Combo_Gym_Offense),0))</f>
        <v>#VALUE!</v>
      </c>
      <c r="J38" s="24" t="e">
        <f t="array" ref="J38">IF(OR(INDEX(Species_Availability,MATCH($N38,Species_Names,0))="No",INDEX(Species_Evo_Numbers,MATCH($N38,Species_Names,0))&lt;&gt;1),"N/A",$S38/MAX(IF(NOT(ISNA(MATCH(Combo_Species_Names,IF(Species_Availability="Yes",IF(Species_Evo_Numbers=1,Species_Names)),0))),Combo_Gym_Offense)))</f>
        <v>#VALUE!</v>
      </c>
      <c r="K38" s="23" t="e">
        <f t="array" ref="K38">IF(OR(INDEX(Species_Availability,MATCH($N38,Species_Names,0))="No",INDEX(Species_Evo_Numbers,MATCH($N38,Species_Names,0))&lt;&gt;1),"N/A",RANK($Y38,IF(NOT(ISNA(MATCH(Combo_Species_Names,IF(Species_Availability="Yes",IF(Species_Evo_Numbers=1,Species_Names)),0))),Combo_Gym_Defense),0))</f>
        <v>#VALUE!</v>
      </c>
      <c r="L38" s="24" t="e">
        <f t="array" ref="L38">IF(OR(INDEX(Species_Availability,MATCH($N38,Species_Names,0))="No",INDEX(Species_Evo_Numbers,MATCH($N38,Species_Names,0))&lt;&gt;1),"N/A",$Y38/MAX(IF(NOT(ISNA(MATCH(Combo_Species_Names,IF(Species_Availability="Yes",IF(Species_Evo_Numbers=1,Species_Names)),0))),Combo_Gym_Defense)))</f>
        <v>#VALUE!</v>
      </c>
      <c r="M38" s="28">
        <f t="array" ref="M38">INDEX(Species_Pdex_Numbers,MATCH($N38,Species_Names,0))</f>
        <v>89</v>
      </c>
      <c r="N38" s="30" t="s">
        <v>272</v>
      </c>
      <c r="O38" s="31" t="s">
        <v>77</v>
      </c>
      <c r="P38" s="31" t="s">
        <v>176</v>
      </c>
      <c r="Q38" s="17" t="e">
        <f t="shared" si="0"/>
        <v>#VALUE!</v>
      </c>
      <c r="R38" s="32" t="e">
        <f t="array" ref="R38">IF(OR(AND(COUNTBLANK(Combo_Opponent_Type_1)=1,COUNTBLANK(Combo_Opponent_Type_2)=0),AND(AND(COUNTBLANK(Combo_Opponent_Type_1)=0,COUNTBLANK(Combo_Opponent_Type_2)=0),Combo_Opponent_Type_1=Combo_Opponent_Type_2)),
"Check Types",($S38*INDEX(Species_Tankiness,MATCH($N38,Species_Names,0)))/225)</f>
        <v>#VALUE!</v>
      </c>
      <c r="S38" s="32" t="e">
        <f t="array" ref="S38">IF(OR(AND(COUNTBLANK(Combo_Opponent_Type_1)=1,COUNTBLANK(Combo_Opponent_Type_2)=0),AND(AND(COUNTBLANK(Combo_Opponent_Type_1)=0,COUNTBLANK(Combo_Opponent_Type_2)=0),Combo_Opponent_Type_1=Combo_Opponent_Type_2)),
"Check Types",(
IF($W38&gt;=((1-Game_Weave_Human_Error)*$X38),$W38,$X38)*INDEX(Species_Attack,MATCH($N38,Species_Names,0)))/11)</f>
        <v>#VALUE!</v>
      </c>
      <c r="T38" s="33" t="e">
        <f t="shared" si="1"/>
        <v>#VALUE!</v>
      </c>
      <c r="U38" s="33">
        <f t="array" ref="U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38,Quick_Names,0))),Type_Species)),0),1)*IF(COUNTBLANK(Combo_Opponent_Type_2)=0,INDEX(Type_Damage_Multipliers,MATCH(Combo_Opponent_Type_2,IF(Type_Move=(INDEX(Quick_Type,MATCH($O38,Quick_Names,0))),Type_Species)),0),1)*(IF(OR(INDEX(Quick_Type,MATCH($O38,Quick_Names,0))=INDEX(Species_Type_1,MATCH($N38,Species_Names,0)),INDEX(Quick_Type,MATCH($O38,Quick_Names,0))=INDEX(Species_Type_2,MATCH($N38,Species_Names,0))),Game_STAB_Multiplier,1)))</f>
        <v>1.25</v>
      </c>
      <c r="V38" s="33">
        <f t="array" ref="V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38,Charge_Names,0))),Type_Species)),0),1)*IF(COUNTBLANK(Combo_Opponent_Type_2)=0,INDEX(Type_Damage_Multipliers,MATCH(Combo_Opponent_Type_2,IF(Type_Move=(INDEX(Charge_Type,MATCH($P38,Charge_Names,0))),Type_Species)),0),1)*
IF(OR(INDEX(Charge_Type,MATCH($P38,Charge_Names,0))=INDEX(Species_Type_1,MATCH($N38,Species_Names,0)),INDEX(Charge_Type,MATCH($P38,Charge_Names,0))=INDEX(Species_Type_2,MATCH($N38,Species_Names,0))),Game_STAB_Multiplier,1))</f>
        <v>1.25</v>
      </c>
      <c r="W38" s="33" t="s">
        <v>446</v>
      </c>
      <c r="X38" s="33" t="s">
        <v>474</v>
      </c>
      <c r="Y38" s="32" t="e">
        <f t="array" ref="Y38">((($Z38)*
INDEX(Species_Attack,MATCH($N38,Species_Names,0))*
INDEX(Species_Tankiness,MATCH($N38,Species_Names,0)))/1000)</f>
        <v>#VALUE!</v>
      </c>
      <c r="Z38" s="33" t="s">
        <v>475</v>
      </c>
    </row>
    <row r="39" spans="1:26" ht="14.25" customHeight="1" x14ac:dyDescent="0.2">
      <c r="A39" s="40">
        <f>CF_Med_DDPS</f>
        <v>6.5</v>
      </c>
      <c r="B39" s="22" t="str">
        <f t="array" ref="B39">CONCATENATE(TEXT($M39,"000"),".",TEXT(INDEX(Quick_Number,MATCH($O39,Quick_Names,0)),"000"),".",TEXT(INDEX(Charge_Number,MATCH($P39,Charge_Names,0)),"000"))</f>
        <v>003.214.116</v>
      </c>
      <c r="C39" s="23" t="e">
        <f t="array" ref="C39">RANK($S39,IF(Combo_Species_Names=$N39,Combo_Gym_Offense),0)</f>
        <v>#VALUE!</v>
      </c>
      <c r="D39" s="24" t="e">
        <f t="array" ref="D39">$S39/MAX(IF(Combo_Species_Names=$N39,Combo_Gym_Offense))</f>
        <v>#VALUE!</v>
      </c>
      <c r="E39" s="23" t="e">
        <f t="array" ref="E39">RANK($Y39,IF(Combo_Species_Names=$N39,Combo_Gym_Defense),0)</f>
        <v>#VALUE!</v>
      </c>
      <c r="F39" s="25" t="e">
        <f t="array" ref="F39">$Y39/MAX(IF(Combo_Species_Names=$N39,Combo_Gym_Defense))</f>
        <v>#VALUE!</v>
      </c>
      <c r="G39" s="23" t="e">
        <f t="array" ref="G39">IF(OR(INDEX(Species_Availability,MATCH($N39,Species_Names,0))="No",INDEX(Species_Evo_Numbers,MATCH($N39,Species_Names,0))&lt;&gt;1),"N/A",RANK($R39,IF(NOT(ISNA(MATCH(Combo_Species_Names,IF(Species_Availability="Yes",IF(Species_Evo_Numbers=1,Species_Names)),0))),Combo_Duel_Ability),0))</f>
        <v>#VALUE!</v>
      </c>
      <c r="H39" s="24" t="e">
        <f t="array" ref="H39">IF(OR(INDEX(Species_Availability,MATCH($N39,Species_Names,0))="No",INDEX(Species_Evo_Numbers,MATCH($N39,Species_Names,0))&lt;&gt;1),"N/A",$R39/MAX(IF(NOT(ISNA(MATCH(Combo_Species_Names,IF(Species_Availability="Yes",IF(Species_Evo_Numbers=1,Species_Names)),0))),Combo_Duel_Ability)))</f>
        <v>#VALUE!</v>
      </c>
      <c r="I39" s="23" t="e">
        <f t="array" ref="I39">IF(OR(INDEX(Species_Availability,MATCH($N39,Species_Names,0))="No",INDEX(Species_Evo_Numbers,MATCH($N39,Species_Names,0))&lt;&gt;1),"N/A",RANK($S39,IF(NOT(ISNA(MATCH(Combo_Species_Names,IF(Species_Availability="Yes",IF(Species_Evo_Numbers=1,Species_Names)),0))),Combo_Gym_Offense),0))</f>
        <v>#VALUE!</v>
      </c>
      <c r="J39" s="24" t="e">
        <f t="array" ref="J39">IF(OR(INDEX(Species_Availability,MATCH($N39,Species_Names,0))="No",INDEX(Species_Evo_Numbers,MATCH($N39,Species_Names,0))&lt;&gt;1),"N/A",$S39/MAX(IF(NOT(ISNA(MATCH(Combo_Species_Names,IF(Species_Availability="Yes",IF(Species_Evo_Numbers=1,Species_Names)),0))),Combo_Gym_Offense)))</f>
        <v>#VALUE!</v>
      </c>
      <c r="K39" s="23" t="e">
        <f t="array" ref="K39">IF(OR(INDEX(Species_Availability,MATCH($N39,Species_Names,0))="No",INDEX(Species_Evo_Numbers,MATCH($N39,Species_Names,0))&lt;&gt;1),"N/A",RANK($Y39,IF(NOT(ISNA(MATCH(Combo_Species_Names,IF(Species_Availability="Yes",IF(Species_Evo_Numbers=1,Species_Names)),0))),Combo_Gym_Defense),0))</f>
        <v>#VALUE!</v>
      </c>
      <c r="L39" s="24" t="e">
        <f t="array" ref="L39">IF(OR(INDEX(Species_Availability,MATCH($N39,Species_Names,0))="No",INDEX(Species_Evo_Numbers,MATCH($N39,Species_Names,0))&lt;&gt;1),"N/A",$Y39/MAX(IF(NOT(ISNA(MATCH(Combo_Species_Names,IF(Species_Availability="Yes",IF(Species_Evo_Numbers=1,Species_Names)),0))),Combo_Gym_Defense)))</f>
        <v>#VALUE!</v>
      </c>
      <c r="M39" s="28">
        <f t="array" ref="M39">INDEX(Species_Pdex_Numbers,MATCH($N39,Species_Names,0))</f>
        <v>3</v>
      </c>
      <c r="N39" s="30" t="s">
        <v>67</v>
      </c>
      <c r="O39" s="31" t="s">
        <v>94</v>
      </c>
      <c r="P39" s="31" t="s">
        <v>160</v>
      </c>
      <c r="Q39" s="17" t="e">
        <f t="shared" si="0"/>
        <v>#VALUE!</v>
      </c>
      <c r="R39" s="32" t="e">
        <f t="array" ref="R39">IF(OR(AND(COUNTBLANK(Combo_Opponent_Type_1)=1,COUNTBLANK(Combo_Opponent_Type_2)=0),AND(AND(COUNTBLANK(Combo_Opponent_Type_1)=0,COUNTBLANK(Combo_Opponent_Type_2)=0),Combo_Opponent_Type_1=Combo_Opponent_Type_2)),
"Check Types",($S39*INDEX(Species_Tankiness,MATCH($N39,Species_Names,0)))/225)</f>
        <v>#VALUE!</v>
      </c>
      <c r="S39" s="32" t="e">
        <f t="array" ref="S39">IF(OR(AND(COUNTBLANK(Combo_Opponent_Type_1)=1,COUNTBLANK(Combo_Opponent_Type_2)=0),AND(AND(COUNTBLANK(Combo_Opponent_Type_1)=0,COUNTBLANK(Combo_Opponent_Type_2)=0),Combo_Opponent_Type_1=Combo_Opponent_Type_2)),
"Check Types",(
IF($W39&gt;=((1-Game_Weave_Human_Error)*$X39),$W39,$X39)*INDEX(Species_Attack,MATCH($N39,Species_Names,0)))/11)</f>
        <v>#VALUE!</v>
      </c>
      <c r="T39" s="33" t="e">
        <f t="shared" si="1"/>
        <v>#VALUE!</v>
      </c>
      <c r="U39" s="33">
        <f t="array" ref="U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39,Quick_Names,0))),Type_Species)),0),1)*IF(COUNTBLANK(Combo_Opponent_Type_2)=0,INDEX(Type_Damage_Multipliers,MATCH(Combo_Opponent_Type_2,IF(Type_Move=(INDEX(Quick_Type,MATCH($O39,Quick_Names,0))),Type_Species)),0),1)*(IF(OR(INDEX(Quick_Type,MATCH($O39,Quick_Names,0))=INDEX(Species_Type_1,MATCH($N39,Species_Names,0)),INDEX(Quick_Type,MATCH($O39,Quick_Names,0))=INDEX(Species_Type_2,MATCH($N39,Species_Names,0))),Game_STAB_Multiplier,1)))</f>
        <v>1.25</v>
      </c>
      <c r="V39" s="33">
        <f t="array" ref="V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39,Charge_Names,0))),Type_Species)),0),1)*IF(COUNTBLANK(Combo_Opponent_Type_2)=0,INDEX(Type_Damage_Multipliers,MATCH(Combo_Opponent_Type_2,IF(Type_Move=(INDEX(Charge_Type,MATCH($P39,Charge_Names,0))),Type_Species)),0),1)*
IF(OR(INDEX(Charge_Type,MATCH($P39,Charge_Names,0))=INDEX(Species_Type_1,MATCH($N39,Species_Names,0)),INDEX(Charge_Type,MATCH($P39,Charge_Names,0))=INDEX(Species_Type_2,MATCH($N39,Species_Names,0))),Game_STAB_Multiplier,1))</f>
        <v>1.25</v>
      </c>
      <c r="W39" s="33" t="s">
        <v>476</v>
      </c>
      <c r="X39" s="33" t="s">
        <v>477</v>
      </c>
      <c r="Y39" s="32" t="e">
        <f t="array" ref="Y39">((($Z39)*
INDEX(Species_Attack,MATCH($N39,Species_Names,0))*
INDEX(Species_Tankiness,MATCH($N39,Species_Names,0)))/1000)</f>
        <v>#VALUE!</v>
      </c>
      <c r="Z39" s="33" t="s">
        <v>478</v>
      </c>
    </row>
    <row r="40" spans="1:26" ht="14.25" customHeight="1" x14ac:dyDescent="0.2">
      <c r="A40" s="40">
        <f>CF_Low_DDPS</f>
        <v>5</v>
      </c>
      <c r="B40" s="22" t="str">
        <f t="array" ref="B40">CONCATENATE(TEXT($M40,"000"),".",TEXT(INDEX(Quick_Number,MATCH($O40,Quick_Names,0)),"000"),".",TEXT(INDEX(Charge_Number,MATCH($P40,Charge_Names,0)),"000"))</f>
        <v>089.224.091</v>
      </c>
      <c r="C40" s="23" t="e">
        <f t="array" ref="C40">RANK($S40,IF(Combo_Species_Names=$N40,Combo_Gym_Offense),0)</f>
        <v>#VALUE!</v>
      </c>
      <c r="D40" s="24" t="e">
        <f t="array" ref="D40">$S40/MAX(IF(Combo_Species_Names=$N40,Combo_Gym_Offense))</f>
        <v>#VALUE!</v>
      </c>
      <c r="E40" s="23" t="e">
        <f t="array" ref="E40">RANK($Y40,IF(Combo_Species_Names=$N40,Combo_Gym_Defense),0)</f>
        <v>#VALUE!</v>
      </c>
      <c r="F40" s="25" t="e">
        <f t="array" ref="F40">$Y40/MAX(IF(Combo_Species_Names=$N40,Combo_Gym_Defense))</f>
        <v>#VALUE!</v>
      </c>
      <c r="G40" s="23" t="e">
        <f t="array" ref="G40">IF(OR(INDEX(Species_Availability,MATCH($N40,Species_Names,0))="No",INDEX(Species_Evo_Numbers,MATCH($N40,Species_Names,0))&lt;&gt;1),"N/A",RANK($R40,IF(NOT(ISNA(MATCH(Combo_Species_Names,IF(Species_Availability="Yes",IF(Species_Evo_Numbers=1,Species_Names)),0))),Combo_Duel_Ability),0))</f>
        <v>#VALUE!</v>
      </c>
      <c r="H40" s="24" t="e">
        <f t="array" ref="H40">IF(OR(INDEX(Species_Availability,MATCH($N40,Species_Names,0))="No",INDEX(Species_Evo_Numbers,MATCH($N40,Species_Names,0))&lt;&gt;1),"N/A",$R40/MAX(IF(NOT(ISNA(MATCH(Combo_Species_Names,IF(Species_Availability="Yes",IF(Species_Evo_Numbers=1,Species_Names)),0))),Combo_Duel_Ability)))</f>
        <v>#VALUE!</v>
      </c>
      <c r="I40" s="23" t="e">
        <f t="array" ref="I40">IF(OR(INDEX(Species_Availability,MATCH($N40,Species_Names,0))="No",INDEX(Species_Evo_Numbers,MATCH($N40,Species_Names,0))&lt;&gt;1),"N/A",RANK($S40,IF(NOT(ISNA(MATCH(Combo_Species_Names,IF(Species_Availability="Yes",IF(Species_Evo_Numbers=1,Species_Names)),0))),Combo_Gym_Offense),0))</f>
        <v>#VALUE!</v>
      </c>
      <c r="J40" s="24" t="e">
        <f t="array" ref="J40">IF(OR(INDEX(Species_Availability,MATCH($N40,Species_Names,0))="No",INDEX(Species_Evo_Numbers,MATCH($N40,Species_Names,0))&lt;&gt;1),"N/A",$S40/MAX(IF(NOT(ISNA(MATCH(Combo_Species_Names,IF(Species_Availability="Yes",IF(Species_Evo_Numbers=1,Species_Names)),0))),Combo_Gym_Offense)))</f>
        <v>#VALUE!</v>
      </c>
      <c r="K40" s="23" t="e">
        <f t="array" ref="K40">IF(OR(INDEX(Species_Availability,MATCH($N40,Species_Names,0))="No",INDEX(Species_Evo_Numbers,MATCH($N40,Species_Names,0))&lt;&gt;1),"N/A",RANK($Y40,IF(NOT(ISNA(MATCH(Combo_Species_Names,IF(Species_Availability="Yes",IF(Species_Evo_Numbers=1,Species_Names)),0))),Combo_Gym_Defense),0))</f>
        <v>#VALUE!</v>
      </c>
      <c r="L40" s="24" t="e">
        <f t="array" ref="L40">IF(OR(INDEX(Species_Availability,MATCH($N40,Species_Names,0))="No",INDEX(Species_Evo_Numbers,MATCH($N40,Species_Names,0))&lt;&gt;1),"N/A",$Y40/MAX(IF(NOT(ISNA(MATCH(Combo_Species_Names,IF(Species_Availability="Yes",IF(Species_Evo_Numbers=1,Species_Names)),0))),Combo_Gym_Defense)))</f>
        <v>#VALUE!</v>
      </c>
      <c r="M40" s="28">
        <f t="array" ref="M40">INDEX(Species_Pdex_Numbers,MATCH($N40,Species_Names,0))</f>
        <v>89</v>
      </c>
      <c r="N40" s="30" t="s">
        <v>272</v>
      </c>
      <c r="O40" s="31" t="s">
        <v>77</v>
      </c>
      <c r="P40" s="31" t="s">
        <v>186</v>
      </c>
      <c r="Q40" s="17" t="e">
        <f t="shared" si="0"/>
        <v>#VALUE!</v>
      </c>
      <c r="R40" s="32" t="e">
        <f t="array" ref="R40">IF(OR(AND(COUNTBLANK(Combo_Opponent_Type_1)=1,COUNTBLANK(Combo_Opponent_Type_2)=0),AND(AND(COUNTBLANK(Combo_Opponent_Type_1)=0,COUNTBLANK(Combo_Opponent_Type_2)=0),Combo_Opponent_Type_1=Combo_Opponent_Type_2)),
"Check Types",($S40*INDEX(Species_Tankiness,MATCH($N40,Species_Names,0)))/225)</f>
        <v>#VALUE!</v>
      </c>
      <c r="S40" s="32" t="e">
        <f t="array" ref="S40">IF(OR(AND(COUNTBLANK(Combo_Opponent_Type_1)=1,COUNTBLANK(Combo_Opponent_Type_2)=0),AND(AND(COUNTBLANK(Combo_Opponent_Type_1)=0,COUNTBLANK(Combo_Opponent_Type_2)=0),Combo_Opponent_Type_1=Combo_Opponent_Type_2)),
"Check Types",(
IF($W40&gt;=((1-Game_Weave_Human_Error)*$X40),$W40,$X40)*INDEX(Species_Attack,MATCH($N40,Species_Names,0)))/11)</f>
        <v>#VALUE!</v>
      </c>
      <c r="T40" s="33" t="e">
        <f t="shared" si="1"/>
        <v>#VALUE!</v>
      </c>
      <c r="U40" s="33">
        <f t="array" ref="U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40,Quick_Names,0))),Type_Species)),0),1)*IF(COUNTBLANK(Combo_Opponent_Type_2)=0,INDEX(Type_Damage_Multipliers,MATCH(Combo_Opponent_Type_2,IF(Type_Move=(INDEX(Quick_Type,MATCH($O40,Quick_Names,0))),Type_Species)),0),1)*(IF(OR(INDEX(Quick_Type,MATCH($O40,Quick_Names,0))=INDEX(Species_Type_1,MATCH($N40,Species_Names,0)),INDEX(Quick_Type,MATCH($O40,Quick_Names,0))=INDEX(Species_Type_2,MATCH($N40,Species_Names,0))),Game_STAB_Multiplier,1)))</f>
        <v>1.25</v>
      </c>
      <c r="V40" s="33">
        <f t="array" ref="V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40,Charge_Names,0))),Type_Species)),0),1)*IF(COUNTBLANK(Combo_Opponent_Type_2)=0,INDEX(Type_Damage_Multipliers,MATCH(Combo_Opponent_Type_2,IF(Type_Move=(INDEX(Charge_Type,MATCH($P40,Charge_Names,0))),Type_Species)),0),1)*
IF(OR(INDEX(Charge_Type,MATCH($P40,Charge_Names,0))=INDEX(Species_Type_1,MATCH($N40,Species_Names,0)),INDEX(Charge_Type,MATCH($P40,Charge_Names,0))=INDEX(Species_Type_2,MATCH($N40,Species_Names,0))),Game_STAB_Multiplier,1))</f>
        <v>1.25</v>
      </c>
      <c r="W40" s="33" t="s">
        <v>446</v>
      </c>
      <c r="X40" s="33" t="s">
        <v>479</v>
      </c>
      <c r="Y40" s="32" t="e">
        <f t="array" ref="Y40">((($Z40)*
INDEX(Species_Attack,MATCH($N40,Species_Names,0))*
INDEX(Species_Tankiness,MATCH($N40,Species_Names,0)))/1000)</f>
        <v>#VALUE!</v>
      </c>
      <c r="Z40" s="33" t="s">
        <v>480</v>
      </c>
    </row>
    <row r="41" spans="1:26" ht="14.25" customHeight="1" x14ac:dyDescent="0.2">
      <c r="A41" s="86"/>
      <c r="B41" s="22" t="str">
        <f t="array" ref="B41">CONCATENATE(TEXT($M41,"000"),".",TEXT(INDEX(Quick_Number,MATCH($O41,Quick_Names,0)),"000"),".",TEXT(INDEX(Charge_Number,MATCH($P41,Charge_Names,0)),"000"))</f>
        <v>062.237.107</v>
      </c>
      <c r="C41" s="23" t="e">
        <f t="array" ref="C41">RANK($S41,IF(Combo_Species_Names=$N41,Combo_Gym_Offense),0)</f>
        <v>#VALUE!</v>
      </c>
      <c r="D41" s="24" t="e">
        <f t="array" ref="D41">$S41/MAX(IF(Combo_Species_Names=$N41,Combo_Gym_Offense))</f>
        <v>#VALUE!</v>
      </c>
      <c r="E41" s="23" t="e">
        <f t="array" ref="E41">RANK($Y41,IF(Combo_Species_Names=$N41,Combo_Gym_Defense),0)</f>
        <v>#VALUE!</v>
      </c>
      <c r="F41" s="25" t="e">
        <f t="array" ref="F41">$Y41/MAX(IF(Combo_Species_Names=$N41,Combo_Gym_Defense))</f>
        <v>#VALUE!</v>
      </c>
      <c r="G41" s="23" t="e">
        <f t="array" ref="G41">IF(OR(INDEX(Species_Availability,MATCH($N41,Species_Names,0))="No",INDEX(Species_Evo_Numbers,MATCH($N41,Species_Names,0))&lt;&gt;1),"N/A",RANK($R41,IF(NOT(ISNA(MATCH(Combo_Species_Names,IF(Species_Availability="Yes",IF(Species_Evo_Numbers=1,Species_Names)),0))),Combo_Duel_Ability),0))</f>
        <v>#VALUE!</v>
      </c>
      <c r="H41" s="24" t="e">
        <f t="array" ref="H41">IF(OR(INDEX(Species_Availability,MATCH($N41,Species_Names,0))="No",INDEX(Species_Evo_Numbers,MATCH($N41,Species_Names,0))&lt;&gt;1),"N/A",$R41/MAX(IF(NOT(ISNA(MATCH(Combo_Species_Names,IF(Species_Availability="Yes",IF(Species_Evo_Numbers=1,Species_Names)),0))),Combo_Duel_Ability)))</f>
        <v>#VALUE!</v>
      </c>
      <c r="I41" s="23" t="e">
        <f t="array" ref="I41">IF(OR(INDEX(Species_Availability,MATCH($N41,Species_Names,0))="No",INDEX(Species_Evo_Numbers,MATCH($N41,Species_Names,0))&lt;&gt;1),"N/A",RANK($S41,IF(NOT(ISNA(MATCH(Combo_Species_Names,IF(Species_Availability="Yes",IF(Species_Evo_Numbers=1,Species_Names)),0))),Combo_Gym_Offense),0))</f>
        <v>#VALUE!</v>
      </c>
      <c r="J41" s="24" t="e">
        <f t="array" ref="J41">IF(OR(INDEX(Species_Availability,MATCH($N41,Species_Names,0))="No",INDEX(Species_Evo_Numbers,MATCH($N41,Species_Names,0))&lt;&gt;1),"N/A",$S41/MAX(IF(NOT(ISNA(MATCH(Combo_Species_Names,IF(Species_Availability="Yes",IF(Species_Evo_Numbers=1,Species_Names)),0))),Combo_Gym_Offense)))</f>
        <v>#VALUE!</v>
      </c>
      <c r="K41" s="23" t="e">
        <f t="array" ref="K41">IF(OR(INDEX(Species_Availability,MATCH($N41,Species_Names,0))="No",INDEX(Species_Evo_Numbers,MATCH($N41,Species_Names,0))&lt;&gt;1),"N/A",RANK($Y41,IF(NOT(ISNA(MATCH(Combo_Species_Names,IF(Species_Availability="Yes",IF(Species_Evo_Numbers=1,Species_Names)),0))),Combo_Gym_Defense),0))</f>
        <v>#VALUE!</v>
      </c>
      <c r="L41" s="24" t="e">
        <f t="array" ref="L41">IF(OR(INDEX(Species_Availability,MATCH($N41,Species_Names,0))="No",INDEX(Species_Evo_Numbers,MATCH($N41,Species_Names,0))&lt;&gt;1),"N/A",$Y41/MAX(IF(NOT(ISNA(MATCH(Combo_Species_Names,IF(Species_Availability="Yes",IF(Species_Evo_Numbers=1,Species_Names)),0))),Combo_Gym_Defense)))</f>
        <v>#VALUE!</v>
      </c>
      <c r="M41" s="28">
        <f t="array" ref="M41">INDEX(Species_Pdex_Numbers,MATCH($N41,Species_Names,0))</f>
        <v>62</v>
      </c>
      <c r="N41" s="30" t="s">
        <v>215</v>
      </c>
      <c r="O41" s="31" t="s">
        <v>92</v>
      </c>
      <c r="P41" s="31" t="s">
        <v>170</v>
      </c>
      <c r="Q41" s="17" t="e">
        <f t="shared" si="0"/>
        <v>#VALUE!</v>
      </c>
      <c r="R41" s="32" t="e">
        <f t="array" ref="R41">IF(OR(AND(COUNTBLANK(Combo_Opponent_Type_1)=1,COUNTBLANK(Combo_Opponent_Type_2)=0),AND(AND(COUNTBLANK(Combo_Opponent_Type_1)=0,COUNTBLANK(Combo_Opponent_Type_2)=0),Combo_Opponent_Type_1=Combo_Opponent_Type_2)),
"Check Types",($S41*INDEX(Species_Tankiness,MATCH($N41,Species_Names,0)))/225)</f>
        <v>#VALUE!</v>
      </c>
      <c r="S41" s="32" t="e">
        <f t="array" ref="S41">IF(OR(AND(COUNTBLANK(Combo_Opponent_Type_1)=1,COUNTBLANK(Combo_Opponent_Type_2)=0),AND(AND(COUNTBLANK(Combo_Opponent_Type_1)=0,COUNTBLANK(Combo_Opponent_Type_2)=0),Combo_Opponent_Type_1=Combo_Opponent_Type_2)),
"Check Types",(
IF($W41&gt;=((1-Game_Weave_Human_Error)*$X41),$W41,$X41)*INDEX(Species_Attack,MATCH($N41,Species_Names,0)))/11)</f>
        <v>#VALUE!</v>
      </c>
      <c r="T41" s="33" t="e">
        <f t="shared" si="1"/>
        <v>#VALUE!</v>
      </c>
      <c r="U41" s="33">
        <f t="array" ref="U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41,Quick_Names,0))),Type_Species)),0),1)*IF(COUNTBLANK(Combo_Opponent_Type_2)=0,INDEX(Type_Damage_Multipliers,MATCH(Combo_Opponent_Type_2,IF(Type_Move=(INDEX(Quick_Type,MATCH($O41,Quick_Names,0))),Type_Species)),0),1)*(IF(OR(INDEX(Quick_Type,MATCH($O41,Quick_Names,0))=INDEX(Species_Type_1,MATCH($N41,Species_Names,0)),INDEX(Quick_Type,MATCH($O41,Quick_Names,0))=INDEX(Species_Type_2,MATCH($N41,Species_Names,0))),Game_STAB_Multiplier,1)))</f>
        <v>1.25</v>
      </c>
      <c r="V41" s="33">
        <f t="array" ref="V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41,Charge_Names,0))),Type_Species)),0),1)*IF(COUNTBLANK(Combo_Opponent_Type_2)=0,INDEX(Type_Damage_Multipliers,MATCH(Combo_Opponent_Type_2,IF(Type_Move=(INDEX(Charge_Type,MATCH($P41,Charge_Names,0))),Type_Species)),0),1)*
IF(OR(INDEX(Charge_Type,MATCH($P41,Charge_Names,0))=INDEX(Species_Type_1,MATCH($N41,Species_Names,0)),INDEX(Charge_Type,MATCH($P41,Charge_Names,0))=INDEX(Species_Type_2,MATCH($N41,Species_Names,0))),Game_STAB_Multiplier,1))</f>
        <v>1.25</v>
      </c>
      <c r="W41" s="33" t="s">
        <v>481</v>
      </c>
      <c r="X41" s="33" t="s">
        <v>482</v>
      </c>
      <c r="Y41" s="32" t="e">
        <f t="array" ref="Y41">((($Z41)*
INDEX(Species_Attack,MATCH($N41,Species_Names,0))*
INDEX(Species_Tankiness,MATCH($N41,Species_Names,0)))/1000)</f>
        <v>#VALUE!</v>
      </c>
      <c r="Z41" s="33" t="s">
        <v>483</v>
      </c>
    </row>
    <row r="42" spans="1:26" ht="14.25" customHeight="1" x14ac:dyDescent="0.2">
      <c r="A42" s="86"/>
      <c r="B42" s="22" t="str">
        <f t="array" ref="B42">CONCATENATE(TEXT($M42,"000"),".",TEXT(INDEX(Quick_Number,MATCH($O42,Quick_Names,0)),"000"),".",TEXT(INDEX(Charge_Number,MATCH($P42,Charge_Names,0)),"000"))</f>
        <v>103.234.059</v>
      </c>
      <c r="C42" s="23" t="e">
        <f t="array" ref="C42">RANK($S42,IF(Combo_Species_Names=$N42,Combo_Gym_Offense),0)</f>
        <v>#VALUE!</v>
      </c>
      <c r="D42" s="24" t="e">
        <f t="array" ref="D42">$S42/MAX(IF(Combo_Species_Names=$N42,Combo_Gym_Offense))</f>
        <v>#VALUE!</v>
      </c>
      <c r="E42" s="23" t="e">
        <f t="array" ref="E42">RANK($Y42,IF(Combo_Species_Names=$N42,Combo_Gym_Defense),0)</f>
        <v>#VALUE!</v>
      </c>
      <c r="F42" s="25" t="e">
        <f t="array" ref="F42">$Y42/MAX(IF(Combo_Species_Names=$N42,Combo_Gym_Defense))</f>
        <v>#VALUE!</v>
      </c>
      <c r="G42" s="23" t="e">
        <f t="array" ref="G42">IF(OR(INDEX(Species_Availability,MATCH($N42,Species_Names,0))="No",INDEX(Species_Evo_Numbers,MATCH($N42,Species_Names,0))&lt;&gt;1),"N/A",RANK($R42,IF(NOT(ISNA(MATCH(Combo_Species_Names,IF(Species_Availability="Yes",IF(Species_Evo_Numbers=1,Species_Names)),0))),Combo_Duel_Ability),0))</f>
        <v>#VALUE!</v>
      </c>
      <c r="H42" s="24" t="e">
        <f t="array" ref="H42">IF(OR(INDEX(Species_Availability,MATCH($N42,Species_Names,0))="No",INDEX(Species_Evo_Numbers,MATCH($N42,Species_Names,0))&lt;&gt;1),"N/A",$R42/MAX(IF(NOT(ISNA(MATCH(Combo_Species_Names,IF(Species_Availability="Yes",IF(Species_Evo_Numbers=1,Species_Names)),0))),Combo_Duel_Ability)))</f>
        <v>#VALUE!</v>
      </c>
      <c r="I42" s="23" t="e">
        <f t="array" ref="I42">IF(OR(INDEX(Species_Availability,MATCH($N42,Species_Names,0))="No",INDEX(Species_Evo_Numbers,MATCH($N42,Species_Names,0))&lt;&gt;1),"N/A",RANK($S42,IF(NOT(ISNA(MATCH(Combo_Species_Names,IF(Species_Availability="Yes",IF(Species_Evo_Numbers=1,Species_Names)),0))),Combo_Gym_Offense),0))</f>
        <v>#VALUE!</v>
      </c>
      <c r="J42" s="24" t="e">
        <f t="array" ref="J42">IF(OR(INDEX(Species_Availability,MATCH($N42,Species_Names,0))="No",INDEX(Species_Evo_Numbers,MATCH($N42,Species_Names,0))&lt;&gt;1),"N/A",$S42/MAX(IF(NOT(ISNA(MATCH(Combo_Species_Names,IF(Species_Availability="Yes",IF(Species_Evo_Numbers=1,Species_Names)),0))),Combo_Gym_Offense)))</f>
        <v>#VALUE!</v>
      </c>
      <c r="K42" s="23" t="e">
        <f t="array" ref="K42">IF(OR(INDEX(Species_Availability,MATCH($N42,Species_Names,0))="No",INDEX(Species_Evo_Numbers,MATCH($N42,Species_Names,0))&lt;&gt;1),"N/A",RANK($Y42,IF(NOT(ISNA(MATCH(Combo_Species_Names,IF(Species_Availability="Yes",IF(Species_Evo_Numbers=1,Species_Names)),0))),Combo_Gym_Defense),0))</f>
        <v>#VALUE!</v>
      </c>
      <c r="L42" s="24" t="e">
        <f t="array" ref="L42">IF(OR(INDEX(Species_Availability,MATCH($N42,Species_Names,0))="No",INDEX(Species_Evo_Numbers,MATCH($N42,Species_Names,0))&lt;&gt;1),"N/A",$Y42/MAX(IF(NOT(ISNA(MATCH(Combo_Species_Names,IF(Species_Availability="Yes",IF(Species_Evo_Numbers=1,Species_Names)),0))),Combo_Gym_Defense)))</f>
        <v>#VALUE!</v>
      </c>
      <c r="M42" s="28">
        <f t="array" ref="M42">INDEX(Species_Pdex_Numbers,MATCH($N42,Species_Names,0))</f>
        <v>103</v>
      </c>
      <c r="N42" s="30" t="s">
        <v>309</v>
      </c>
      <c r="O42" s="31" t="s">
        <v>79</v>
      </c>
      <c r="P42" s="31" t="s">
        <v>213</v>
      </c>
      <c r="Q42" s="17" t="e">
        <f t="shared" si="0"/>
        <v>#VALUE!</v>
      </c>
      <c r="R42" s="32" t="e">
        <f t="array" ref="R42">IF(OR(AND(COUNTBLANK(Combo_Opponent_Type_1)=1,COUNTBLANK(Combo_Opponent_Type_2)=0),AND(AND(COUNTBLANK(Combo_Opponent_Type_1)=0,COUNTBLANK(Combo_Opponent_Type_2)=0),Combo_Opponent_Type_1=Combo_Opponent_Type_2)),
"Check Types",($S42*INDEX(Species_Tankiness,MATCH($N42,Species_Names,0)))/225)</f>
        <v>#VALUE!</v>
      </c>
      <c r="S42" s="32" t="e">
        <f t="array" ref="S42">IF(OR(AND(COUNTBLANK(Combo_Opponent_Type_1)=1,COUNTBLANK(Combo_Opponent_Type_2)=0),AND(AND(COUNTBLANK(Combo_Opponent_Type_1)=0,COUNTBLANK(Combo_Opponent_Type_2)=0),Combo_Opponent_Type_1=Combo_Opponent_Type_2)),
"Check Types",(
IF($W42&gt;=((1-Game_Weave_Human_Error)*$X42),$W42,$X42)*INDEX(Species_Attack,MATCH($N42,Species_Names,0)))/11)</f>
        <v>#VALUE!</v>
      </c>
      <c r="T42" s="33" t="e">
        <f t="shared" si="1"/>
        <v>#VALUE!</v>
      </c>
      <c r="U42" s="33">
        <f t="array" ref="U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42,Quick_Names,0))),Type_Species)),0),1)*IF(COUNTBLANK(Combo_Opponent_Type_2)=0,INDEX(Type_Damage_Multipliers,MATCH(Combo_Opponent_Type_2,IF(Type_Move=(INDEX(Quick_Type,MATCH($O42,Quick_Names,0))),Type_Species)),0),1)*(IF(OR(INDEX(Quick_Type,MATCH($O42,Quick_Names,0))=INDEX(Species_Type_1,MATCH($N42,Species_Names,0)),INDEX(Quick_Type,MATCH($O42,Quick_Names,0))=INDEX(Species_Type_2,MATCH($N42,Species_Names,0))),Game_STAB_Multiplier,1)))</f>
        <v>1.25</v>
      </c>
      <c r="V42" s="33">
        <f t="array" ref="V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42,Charge_Names,0))),Type_Species)),0),1)*IF(COUNTBLANK(Combo_Opponent_Type_2)=0,INDEX(Type_Damage_Multipliers,MATCH(Combo_Opponent_Type_2,IF(Type_Move=(INDEX(Charge_Type,MATCH($P42,Charge_Names,0))),Type_Species)),0),1)*
IF(OR(INDEX(Charge_Type,MATCH($P42,Charge_Names,0))=INDEX(Species_Type_1,MATCH($N42,Species_Names,0)),INDEX(Charge_Type,MATCH($P42,Charge_Names,0))=INDEX(Species_Type_2,MATCH($N42,Species_Names,0))),Game_STAB_Multiplier,1))</f>
        <v>1.25</v>
      </c>
      <c r="W42" s="33" t="s">
        <v>446</v>
      </c>
      <c r="X42" s="33" t="s">
        <v>484</v>
      </c>
      <c r="Y42" s="32" t="e">
        <f t="array" ref="Y42">((($Z42)*
INDEX(Species_Attack,MATCH($N42,Species_Names,0))*
INDEX(Species_Tankiness,MATCH($N42,Species_Names,0)))/1000)</f>
        <v>#VALUE!</v>
      </c>
      <c r="Z42" s="33" t="s">
        <v>485</v>
      </c>
    </row>
    <row r="43" spans="1:26" ht="14.25" customHeight="1" x14ac:dyDescent="0.2">
      <c r="A43" s="86"/>
      <c r="B43" s="22" t="str">
        <f t="array" ref="B43">CONCATENATE(TEXT($M43,"000"),".",TEXT(INDEX(Quick_Number,MATCH($O43,Quick_Names,0)),"000"),".",TEXT(INDEX(Charge_Number,MATCH($P43,Charge_Names,0)),"000"))</f>
        <v>031.224.031</v>
      </c>
      <c r="C43" s="23" t="e">
        <f t="array" ref="C43">RANK($S43,IF(Combo_Species_Names=$N43,Combo_Gym_Offense),0)</f>
        <v>#VALUE!</v>
      </c>
      <c r="D43" s="24" t="e">
        <f t="array" ref="D43">$S43/MAX(IF(Combo_Species_Names=$N43,Combo_Gym_Offense))</f>
        <v>#VALUE!</v>
      </c>
      <c r="E43" s="23" t="e">
        <f t="array" ref="E43">RANK($Y43,IF(Combo_Species_Names=$N43,Combo_Gym_Defense),0)</f>
        <v>#VALUE!</v>
      </c>
      <c r="F43" s="25" t="e">
        <f t="array" ref="F43">$Y43/MAX(IF(Combo_Species_Names=$N43,Combo_Gym_Defense))</f>
        <v>#VALUE!</v>
      </c>
      <c r="G43" s="23" t="e">
        <f t="array" ref="G43">IF(OR(INDEX(Species_Availability,MATCH($N43,Species_Names,0))="No",INDEX(Species_Evo_Numbers,MATCH($N43,Species_Names,0))&lt;&gt;1),"N/A",RANK($R43,IF(NOT(ISNA(MATCH(Combo_Species_Names,IF(Species_Availability="Yes",IF(Species_Evo_Numbers=1,Species_Names)),0))),Combo_Duel_Ability),0))</f>
        <v>#VALUE!</v>
      </c>
      <c r="H43" s="24" t="e">
        <f t="array" ref="H43">IF(OR(INDEX(Species_Availability,MATCH($N43,Species_Names,0))="No",INDEX(Species_Evo_Numbers,MATCH($N43,Species_Names,0))&lt;&gt;1),"N/A",$R43/MAX(IF(NOT(ISNA(MATCH(Combo_Species_Names,IF(Species_Availability="Yes",IF(Species_Evo_Numbers=1,Species_Names)),0))),Combo_Duel_Ability)))</f>
        <v>#VALUE!</v>
      </c>
      <c r="I43" s="23" t="e">
        <f t="array" ref="I43">IF(OR(INDEX(Species_Availability,MATCH($N43,Species_Names,0))="No",INDEX(Species_Evo_Numbers,MATCH($N43,Species_Names,0))&lt;&gt;1),"N/A",RANK($S43,IF(NOT(ISNA(MATCH(Combo_Species_Names,IF(Species_Availability="Yes",IF(Species_Evo_Numbers=1,Species_Names)),0))),Combo_Gym_Offense),0))</f>
        <v>#VALUE!</v>
      </c>
      <c r="J43" s="24" t="e">
        <f t="array" ref="J43">IF(OR(INDEX(Species_Availability,MATCH($N43,Species_Names,0))="No",INDEX(Species_Evo_Numbers,MATCH($N43,Species_Names,0))&lt;&gt;1),"N/A",$S43/MAX(IF(NOT(ISNA(MATCH(Combo_Species_Names,IF(Species_Availability="Yes",IF(Species_Evo_Numbers=1,Species_Names)),0))),Combo_Gym_Offense)))</f>
        <v>#VALUE!</v>
      </c>
      <c r="K43" s="23" t="e">
        <f t="array" ref="K43">IF(OR(INDEX(Species_Availability,MATCH($N43,Species_Names,0))="No",INDEX(Species_Evo_Numbers,MATCH($N43,Species_Names,0))&lt;&gt;1),"N/A",RANK($Y43,IF(NOT(ISNA(MATCH(Combo_Species_Names,IF(Species_Availability="Yes",IF(Species_Evo_Numbers=1,Species_Names)),0))),Combo_Gym_Defense),0))</f>
        <v>#VALUE!</v>
      </c>
      <c r="L43" s="24" t="e">
        <f t="array" ref="L43">IF(OR(INDEX(Species_Availability,MATCH($N43,Species_Names,0))="No",INDEX(Species_Evo_Numbers,MATCH($N43,Species_Names,0))&lt;&gt;1),"N/A",$Y43/MAX(IF(NOT(ISNA(MATCH(Combo_Species_Names,IF(Species_Availability="Yes",IF(Species_Evo_Numbers=1,Species_Names)),0))),Combo_Gym_Defense)))</f>
        <v>#VALUE!</v>
      </c>
      <c r="M43" s="28">
        <f t="array" ref="M43">INDEX(Species_Pdex_Numbers,MATCH($N43,Species_Names,0))</f>
        <v>31</v>
      </c>
      <c r="N43" s="30" t="s">
        <v>152</v>
      </c>
      <c r="O43" s="31" t="s">
        <v>77</v>
      </c>
      <c r="P43" s="31" t="s">
        <v>169</v>
      </c>
      <c r="Q43" s="17" t="e">
        <f t="shared" si="0"/>
        <v>#VALUE!</v>
      </c>
      <c r="R43" s="32" t="e">
        <f t="array" ref="R43">IF(OR(AND(COUNTBLANK(Combo_Opponent_Type_1)=1,COUNTBLANK(Combo_Opponent_Type_2)=0),AND(AND(COUNTBLANK(Combo_Opponent_Type_1)=0,COUNTBLANK(Combo_Opponent_Type_2)=0),Combo_Opponent_Type_1=Combo_Opponent_Type_2)),
"Check Types",($S43*INDEX(Species_Tankiness,MATCH($N43,Species_Names,0)))/225)</f>
        <v>#VALUE!</v>
      </c>
      <c r="S43" s="32" t="e">
        <f t="array" ref="S43">IF(OR(AND(COUNTBLANK(Combo_Opponent_Type_1)=1,COUNTBLANK(Combo_Opponent_Type_2)=0),AND(AND(COUNTBLANK(Combo_Opponent_Type_1)=0,COUNTBLANK(Combo_Opponent_Type_2)=0),Combo_Opponent_Type_1=Combo_Opponent_Type_2)),
"Check Types",(
IF($W43&gt;=((1-Game_Weave_Human_Error)*$X43),$W43,$X43)*INDEX(Species_Attack,MATCH($N43,Species_Names,0)))/11)</f>
        <v>#VALUE!</v>
      </c>
      <c r="T43" s="33" t="e">
        <f t="shared" si="1"/>
        <v>#VALUE!</v>
      </c>
      <c r="U43" s="33">
        <f t="array" ref="U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43,Quick_Names,0))),Type_Species)),0),1)*IF(COUNTBLANK(Combo_Opponent_Type_2)=0,INDEX(Type_Damage_Multipliers,MATCH(Combo_Opponent_Type_2,IF(Type_Move=(INDEX(Quick_Type,MATCH($O43,Quick_Names,0))),Type_Species)),0),1)*(IF(OR(INDEX(Quick_Type,MATCH($O43,Quick_Names,0))=INDEX(Species_Type_1,MATCH($N43,Species_Names,0)),INDEX(Quick_Type,MATCH($O43,Quick_Names,0))=INDEX(Species_Type_2,MATCH($N43,Species_Names,0))),Game_STAB_Multiplier,1)))</f>
        <v>1.25</v>
      </c>
      <c r="V43" s="33">
        <f t="array" ref="V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43,Charge_Names,0))),Type_Species)),0),1)*IF(COUNTBLANK(Combo_Opponent_Type_2)=0,INDEX(Type_Damage_Multipliers,MATCH(Combo_Opponent_Type_2,IF(Type_Move=(INDEX(Charge_Type,MATCH($P43,Charge_Names,0))),Type_Species)),0),1)*
IF(OR(INDEX(Charge_Type,MATCH($P43,Charge_Names,0))=INDEX(Species_Type_1,MATCH($N43,Species_Names,0)),INDEX(Charge_Type,MATCH($P43,Charge_Names,0))=INDEX(Species_Type_2,MATCH($N43,Species_Names,0))),Game_STAB_Multiplier,1))</f>
        <v>1.25</v>
      </c>
      <c r="W43" s="33" t="s">
        <v>446</v>
      </c>
      <c r="X43" s="33" t="s">
        <v>486</v>
      </c>
      <c r="Y43" s="32" t="e">
        <f t="array" ref="Y43">((($Z43)*
INDEX(Species_Attack,MATCH($N43,Species_Names,0))*
INDEX(Species_Tankiness,MATCH($N43,Species_Names,0)))/1000)</f>
        <v>#VALUE!</v>
      </c>
      <c r="Z43" s="33" t="s">
        <v>487</v>
      </c>
    </row>
    <row r="44" spans="1:26" ht="14.25" customHeight="1" x14ac:dyDescent="0.2">
      <c r="A44" s="86"/>
      <c r="B44" s="22" t="str">
        <f t="array" ref="B44">CONCATENATE(TEXT($M44,"000"),".",TEXT(INDEX(Quick_Number,MATCH($O44,Quick_Names,0)),"000"),".",TEXT(INDEX(Charge_Number,MATCH($P44,Charge_Names,0)),"000"))</f>
        <v>009.202.107</v>
      </c>
      <c r="C44" s="23" t="e">
        <f t="array" ref="C44">RANK($S44,IF(Combo_Species_Names=$N44,Combo_Gym_Offense),0)</f>
        <v>#VALUE!</v>
      </c>
      <c r="D44" s="24" t="e">
        <f t="array" ref="D44">$S44/MAX(IF(Combo_Species_Names=$N44,Combo_Gym_Offense))</f>
        <v>#VALUE!</v>
      </c>
      <c r="E44" s="23" t="e">
        <f t="array" ref="E44">RANK($Y44,IF(Combo_Species_Names=$N44,Combo_Gym_Defense),0)</f>
        <v>#VALUE!</v>
      </c>
      <c r="F44" s="25" t="e">
        <f t="array" ref="F44">$Y44/MAX(IF(Combo_Species_Names=$N44,Combo_Gym_Defense))</f>
        <v>#VALUE!</v>
      </c>
      <c r="G44" s="23" t="e">
        <f t="array" ref="G44">IF(OR(INDEX(Species_Availability,MATCH($N44,Species_Names,0))="No",INDEX(Species_Evo_Numbers,MATCH($N44,Species_Names,0))&lt;&gt;1),"N/A",RANK($R44,IF(NOT(ISNA(MATCH(Combo_Species_Names,IF(Species_Availability="Yes",IF(Species_Evo_Numbers=1,Species_Names)),0))),Combo_Duel_Ability),0))</f>
        <v>#VALUE!</v>
      </c>
      <c r="H44" s="24" t="e">
        <f t="array" ref="H44">IF(OR(INDEX(Species_Availability,MATCH($N44,Species_Names,0))="No",INDEX(Species_Evo_Numbers,MATCH($N44,Species_Names,0))&lt;&gt;1),"N/A",$R44/MAX(IF(NOT(ISNA(MATCH(Combo_Species_Names,IF(Species_Availability="Yes",IF(Species_Evo_Numbers=1,Species_Names)),0))),Combo_Duel_Ability)))</f>
        <v>#VALUE!</v>
      </c>
      <c r="I44" s="23" t="e">
        <f t="array" ref="I44">IF(OR(INDEX(Species_Availability,MATCH($N44,Species_Names,0))="No",INDEX(Species_Evo_Numbers,MATCH($N44,Species_Names,0))&lt;&gt;1),"N/A",RANK($S44,IF(NOT(ISNA(MATCH(Combo_Species_Names,IF(Species_Availability="Yes",IF(Species_Evo_Numbers=1,Species_Names)),0))),Combo_Gym_Offense),0))</f>
        <v>#VALUE!</v>
      </c>
      <c r="J44" s="24" t="e">
        <f t="array" ref="J44">IF(OR(INDEX(Species_Availability,MATCH($N44,Species_Names,0))="No",INDEX(Species_Evo_Numbers,MATCH($N44,Species_Names,0))&lt;&gt;1),"N/A",$S44/MAX(IF(NOT(ISNA(MATCH(Combo_Species_Names,IF(Species_Availability="Yes",IF(Species_Evo_Numbers=1,Species_Names)),0))),Combo_Gym_Offense)))</f>
        <v>#VALUE!</v>
      </c>
      <c r="K44" s="23" t="e">
        <f t="array" ref="K44">IF(OR(INDEX(Species_Availability,MATCH($N44,Species_Names,0))="No",INDEX(Species_Evo_Numbers,MATCH($N44,Species_Names,0))&lt;&gt;1),"N/A",RANK($Y44,IF(NOT(ISNA(MATCH(Combo_Species_Names,IF(Species_Availability="Yes",IF(Species_Evo_Numbers=1,Species_Names)),0))),Combo_Gym_Defense),0))</f>
        <v>#VALUE!</v>
      </c>
      <c r="L44" s="24" t="e">
        <f t="array" ref="L44">IF(OR(INDEX(Species_Availability,MATCH($N44,Species_Names,0))="No",INDEX(Species_Evo_Numbers,MATCH($N44,Species_Names,0))&lt;&gt;1),"N/A",$Y44/MAX(IF(NOT(ISNA(MATCH(Combo_Species_Names,IF(Species_Availability="Yes",IF(Species_Evo_Numbers=1,Species_Names)),0))),Combo_Gym_Defense)))</f>
        <v>#VALUE!</v>
      </c>
      <c r="M44" s="28">
        <f t="array" ref="M44">INDEX(Species_Pdex_Numbers,MATCH($N44,Species_Names,0))</f>
        <v>9</v>
      </c>
      <c r="N44" s="30" t="s">
        <v>93</v>
      </c>
      <c r="O44" s="31" t="s">
        <v>59</v>
      </c>
      <c r="P44" s="31" t="s">
        <v>170</v>
      </c>
      <c r="Q44" s="17" t="e">
        <f t="shared" si="0"/>
        <v>#VALUE!</v>
      </c>
      <c r="R44" s="32" t="e">
        <f t="array" ref="R44">IF(OR(AND(COUNTBLANK(Combo_Opponent_Type_1)=1,COUNTBLANK(Combo_Opponent_Type_2)=0),AND(AND(COUNTBLANK(Combo_Opponent_Type_1)=0,COUNTBLANK(Combo_Opponent_Type_2)=0),Combo_Opponent_Type_1=Combo_Opponent_Type_2)),
"Check Types",($S44*INDEX(Species_Tankiness,MATCH($N44,Species_Names,0)))/225)</f>
        <v>#VALUE!</v>
      </c>
      <c r="S44" s="32" t="e">
        <f t="array" ref="S44">IF(OR(AND(COUNTBLANK(Combo_Opponent_Type_1)=1,COUNTBLANK(Combo_Opponent_Type_2)=0),AND(AND(COUNTBLANK(Combo_Opponent_Type_1)=0,COUNTBLANK(Combo_Opponent_Type_2)=0),Combo_Opponent_Type_1=Combo_Opponent_Type_2)),
"Check Types",(
IF($W44&gt;=((1-Game_Weave_Human_Error)*$X44),$W44,$X44)*INDEX(Species_Attack,MATCH($N44,Species_Names,0)))/11)</f>
        <v>#VALUE!</v>
      </c>
      <c r="T44" s="33" t="e">
        <f t="shared" si="1"/>
        <v>#VALUE!</v>
      </c>
      <c r="U44" s="33">
        <f t="array" ref="U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44,Quick_Names,0))),Type_Species)),0),1)*IF(COUNTBLANK(Combo_Opponent_Type_2)=0,INDEX(Type_Damage_Multipliers,MATCH(Combo_Opponent_Type_2,IF(Type_Move=(INDEX(Quick_Type,MATCH($O44,Quick_Names,0))),Type_Species)),0),1)*(IF(OR(INDEX(Quick_Type,MATCH($O44,Quick_Names,0))=INDEX(Species_Type_1,MATCH($N44,Species_Names,0)),INDEX(Quick_Type,MATCH($O44,Quick_Names,0))=INDEX(Species_Type_2,MATCH($N44,Species_Names,0))),Game_STAB_Multiplier,1)))</f>
        <v>1</v>
      </c>
      <c r="V44" s="33">
        <f t="array" ref="V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44,Charge_Names,0))),Type_Species)),0),1)*IF(COUNTBLANK(Combo_Opponent_Type_2)=0,INDEX(Type_Damage_Multipliers,MATCH(Combo_Opponent_Type_2,IF(Type_Move=(INDEX(Charge_Type,MATCH($P44,Charge_Names,0))),Type_Species)),0),1)*
IF(OR(INDEX(Charge_Type,MATCH($P44,Charge_Names,0))=INDEX(Species_Type_1,MATCH($N44,Species_Names,0)),INDEX(Charge_Type,MATCH($P44,Charge_Names,0))=INDEX(Species_Type_2,MATCH($N44,Species_Names,0))),Game_STAB_Multiplier,1))</f>
        <v>1.25</v>
      </c>
      <c r="W44" s="33" t="s">
        <v>453</v>
      </c>
      <c r="X44" s="33" t="s">
        <v>463</v>
      </c>
      <c r="Y44" s="32" t="e">
        <f t="array" ref="Y44">((($Z44)*
INDEX(Species_Attack,MATCH($N44,Species_Names,0))*
INDEX(Species_Tankiness,MATCH($N44,Species_Names,0)))/1000)</f>
        <v>#VALUE!</v>
      </c>
      <c r="Z44" s="33" t="s">
        <v>464</v>
      </c>
    </row>
    <row r="45" spans="1:26" ht="14.25" customHeight="1" x14ac:dyDescent="0.2">
      <c r="A45" s="86"/>
      <c r="B45" s="22" t="str">
        <f t="array" ref="B45">CONCATENATE(TEXT($M45,"000"),".",TEXT(INDEX(Quick_Number,MATCH($O45,Quick_Names,0)),"000"),".",TEXT(INDEX(Charge_Number,MATCH($P45,Charge_Names,0)),"000"))</f>
        <v>031.202.031</v>
      </c>
      <c r="C45" s="23" t="e">
        <f t="array" ref="C45">RANK($S45,IF(Combo_Species_Names=$N45,Combo_Gym_Offense),0)</f>
        <v>#VALUE!</v>
      </c>
      <c r="D45" s="24" t="e">
        <f t="array" ref="D45">$S45/MAX(IF(Combo_Species_Names=$N45,Combo_Gym_Offense))</f>
        <v>#VALUE!</v>
      </c>
      <c r="E45" s="23" t="e">
        <f t="array" ref="E45">RANK($Y45,IF(Combo_Species_Names=$N45,Combo_Gym_Defense),0)</f>
        <v>#VALUE!</v>
      </c>
      <c r="F45" s="25" t="e">
        <f t="array" ref="F45">$Y45/MAX(IF(Combo_Species_Names=$N45,Combo_Gym_Defense))</f>
        <v>#VALUE!</v>
      </c>
      <c r="G45" s="23" t="e">
        <f t="array" ref="G45">IF(OR(INDEX(Species_Availability,MATCH($N45,Species_Names,0))="No",INDEX(Species_Evo_Numbers,MATCH($N45,Species_Names,0))&lt;&gt;1),"N/A",RANK($R45,IF(NOT(ISNA(MATCH(Combo_Species_Names,IF(Species_Availability="Yes",IF(Species_Evo_Numbers=1,Species_Names)),0))),Combo_Duel_Ability),0))</f>
        <v>#VALUE!</v>
      </c>
      <c r="H45" s="24" t="e">
        <f t="array" ref="H45">IF(OR(INDEX(Species_Availability,MATCH($N45,Species_Names,0))="No",INDEX(Species_Evo_Numbers,MATCH($N45,Species_Names,0))&lt;&gt;1),"N/A",$R45/MAX(IF(NOT(ISNA(MATCH(Combo_Species_Names,IF(Species_Availability="Yes",IF(Species_Evo_Numbers=1,Species_Names)),0))),Combo_Duel_Ability)))</f>
        <v>#VALUE!</v>
      </c>
      <c r="I45" s="23" t="e">
        <f t="array" ref="I45">IF(OR(INDEX(Species_Availability,MATCH($N45,Species_Names,0))="No",INDEX(Species_Evo_Numbers,MATCH($N45,Species_Names,0))&lt;&gt;1),"N/A",RANK($S45,IF(NOT(ISNA(MATCH(Combo_Species_Names,IF(Species_Availability="Yes",IF(Species_Evo_Numbers=1,Species_Names)),0))),Combo_Gym_Offense),0))</f>
        <v>#VALUE!</v>
      </c>
      <c r="J45" s="24" t="e">
        <f t="array" ref="J45">IF(OR(INDEX(Species_Availability,MATCH($N45,Species_Names,0))="No",INDEX(Species_Evo_Numbers,MATCH($N45,Species_Names,0))&lt;&gt;1),"N/A",$S45/MAX(IF(NOT(ISNA(MATCH(Combo_Species_Names,IF(Species_Availability="Yes",IF(Species_Evo_Numbers=1,Species_Names)),0))),Combo_Gym_Offense)))</f>
        <v>#VALUE!</v>
      </c>
      <c r="K45" s="23" t="e">
        <f t="array" ref="K45">IF(OR(INDEX(Species_Availability,MATCH($N45,Species_Names,0))="No",INDEX(Species_Evo_Numbers,MATCH($N45,Species_Names,0))&lt;&gt;1),"N/A",RANK($Y45,IF(NOT(ISNA(MATCH(Combo_Species_Names,IF(Species_Availability="Yes",IF(Species_Evo_Numbers=1,Species_Names)),0))),Combo_Gym_Defense),0))</f>
        <v>#VALUE!</v>
      </c>
      <c r="L45" s="24" t="e">
        <f t="array" ref="L45">IF(OR(INDEX(Species_Availability,MATCH($N45,Species_Names,0))="No",INDEX(Species_Evo_Numbers,MATCH($N45,Species_Names,0))&lt;&gt;1),"N/A",$Y45/MAX(IF(NOT(ISNA(MATCH(Combo_Species_Names,IF(Species_Availability="Yes",IF(Species_Evo_Numbers=1,Species_Names)),0))),Combo_Gym_Defense)))</f>
        <v>#VALUE!</v>
      </c>
      <c r="M45" s="28">
        <f t="array" ref="M45">INDEX(Species_Pdex_Numbers,MATCH($N45,Species_Names,0))</f>
        <v>31</v>
      </c>
      <c r="N45" s="30" t="s">
        <v>152</v>
      </c>
      <c r="O45" s="31" t="s">
        <v>59</v>
      </c>
      <c r="P45" s="31" t="s">
        <v>169</v>
      </c>
      <c r="Q45" s="17" t="e">
        <f t="shared" si="0"/>
        <v>#VALUE!</v>
      </c>
      <c r="R45" s="32" t="e">
        <f t="array" ref="R45">IF(OR(AND(COUNTBLANK(Combo_Opponent_Type_1)=1,COUNTBLANK(Combo_Opponent_Type_2)=0),AND(AND(COUNTBLANK(Combo_Opponent_Type_1)=0,COUNTBLANK(Combo_Opponent_Type_2)=0),Combo_Opponent_Type_1=Combo_Opponent_Type_2)),
"Check Types",($S45*INDEX(Species_Tankiness,MATCH($N45,Species_Names,0)))/225)</f>
        <v>#VALUE!</v>
      </c>
      <c r="S45" s="32" t="e">
        <f t="array" ref="S45">IF(OR(AND(COUNTBLANK(Combo_Opponent_Type_1)=1,COUNTBLANK(Combo_Opponent_Type_2)=0),AND(AND(COUNTBLANK(Combo_Opponent_Type_1)=0,COUNTBLANK(Combo_Opponent_Type_2)=0),Combo_Opponent_Type_1=Combo_Opponent_Type_2)),
"Check Types",(
IF($W45&gt;=((1-Game_Weave_Human_Error)*$X45),$W45,$X45)*INDEX(Species_Attack,MATCH($N45,Species_Names,0)))/11)</f>
        <v>#VALUE!</v>
      </c>
      <c r="T45" s="33" t="e">
        <f t="shared" si="1"/>
        <v>#VALUE!</v>
      </c>
      <c r="U45" s="33">
        <f t="array" ref="U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45,Quick_Names,0))),Type_Species)),0),1)*IF(COUNTBLANK(Combo_Opponent_Type_2)=0,INDEX(Type_Damage_Multipliers,MATCH(Combo_Opponent_Type_2,IF(Type_Move=(INDEX(Quick_Type,MATCH($O45,Quick_Names,0))),Type_Species)),0),1)*(IF(OR(INDEX(Quick_Type,MATCH($O45,Quick_Names,0))=INDEX(Species_Type_1,MATCH($N45,Species_Names,0)),INDEX(Quick_Type,MATCH($O45,Quick_Names,0))=INDEX(Species_Type_2,MATCH($N45,Species_Names,0))),Game_STAB_Multiplier,1)))</f>
        <v>1</v>
      </c>
      <c r="V45" s="33">
        <f t="array" ref="V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45,Charge_Names,0))),Type_Species)),0),1)*IF(COUNTBLANK(Combo_Opponent_Type_2)=0,INDEX(Type_Damage_Multipliers,MATCH(Combo_Opponent_Type_2,IF(Type_Move=(INDEX(Charge_Type,MATCH($P45,Charge_Names,0))),Type_Species)),0),1)*
IF(OR(INDEX(Charge_Type,MATCH($P45,Charge_Names,0))=INDEX(Species_Type_1,MATCH($N45,Species_Names,0)),INDEX(Charge_Type,MATCH($P45,Charge_Names,0))=INDEX(Species_Type_2,MATCH($N45,Species_Names,0))),Game_STAB_Multiplier,1))</f>
        <v>1.25</v>
      </c>
      <c r="W45" s="33" t="s">
        <v>453</v>
      </c>
      <c r="X45" s="33" t="s">
        <v>488</v>
      </c>
      <c r="Y45" s="32" t="e">
        <f t="array" ref="Y45">((($Z45)*
INDEX(Species_Attack,MATCH($N45,Species_Names,0))*
INDEX(Species_Tankiness,MATCH($N45,Species_Names,0)))/1000)</f>
        <v>#VALUE!</v>
      </c>
      <c r="Z45" s="33" t="s">
        <v>454</v>
      </c>
    </row>
    <row r="46" spans="1:26" ht="14.25" customHeight="1" x14ac:dyDescent="0.2">
      <c r="A46" s="86"/>
      <c r="B46" s="22" t="str">
        <f t="array" ref="B46">CONCATENATE(TEXT($M46,"000"),".",TEXT(INDEX(Quick_Number,MATCH($O46,Quick_Names,0)),"000"),".",TEXT(INDEX(Charge_Number,MATCH($P46,Charge_Names,0)),"000"))</f>
        <v>006.210.103</v>
      </c>
      <c r="C46" s="23" t="e">
        <f t="array" ref="C46">RANK($S46,IF(Combo_Species_Names=$N46,Combo_Gym_Offense),0)</f>
        <v>#VALUE!</v>
      </c>
      <c r="D46" s="24" t="e">
        <f t="array" ref="D46">$S46/MAX(IF(Combo_Species_Names=$N46,Combo_Gym_Offense))</f>
        <v>#VALUE!</v>
      </c>
      <c r="E46" s="23" t="e">
        <f t="array" ref="E46">RANK($Y46,IF(Combo_Species_Names=$N46,Combo_Gym_Defense),0)</f>
        <v>#VALUE!</v>
      </c>
      <c r="F46" s="25" t="e">
        <f t="array" ref="F46">$Y46/MAX(IF(Combo_Species_Names=$N46,Combo_Gym_Defense))</f>
        <v>#VALUE!</v>
      </c>
      <c r="G46" s="23" t="e">
        <f t="array" ref="G46">IF(OR(INDEX(Species_Availability,MATCH($N46,Species_Names,0))="No",INDEX(Species_Evo_Numbers,MATCH($N46,Species_Names,0))&lt;&gt;1),"N/A",RANK($R46,IF(NOT(ISNA(MATCH(Combo_Species_Names,IF(Species_Availability="Yes",IF(Species_Evo_Numbers=1,Species_Names)),0))),Combo_Duel_Ability),0))</f>
        <v>#VALUE!</v>
      </c>
      <c r="H46" s="24" t="e">
        <f t="array" ref="H46">IF(OR(INDEX(Species_Availability,MATCH($N46,Species_Names,0))="No",INDEX(Species_Evo_Numbers,MATCH($N46,Species_Names,0))&lt;&gt;1),"N/A",$R46/MAX(IF(NOT(ISNA(MATCH(Combo_Species_Names,IF(Species_Availability="Yes",IF(Species_Evo_Numbers=1,Species_Names)),0))),Combo_Duel_Ability)))</f>
        <v>#VALUE!</v>
      </c>
      <c r="I46" s="23" t="e">
        <f t="array" ref="I46">IF(OR(INDEX(Species_Availability,MATCH($N46,Species_Names,0))="No",INDEX(Species_Evo_Numbers,MATCH($N46,Species_Names,0))&lt;&gt;1),"N/A",RANK($S46,IF(NOT(ISNA(MATCH(Combo_Species_Names,IF(Species_Availability="Yes",IF(Species_Evo_Numbers=1,Species_Names)),0))),Combo_Gym_Offense),0))</f>
        <v>#VALUE!</v>
      </c>
      <c r="J46" s="24" t="e">
        <f t="array" ref="J46">IF(OR(INDEX(Species_Availability,MATCH($N46,Species_Names,0))="No",INDEX(Species_Evo_Numbers,MATCH($N46,Species_Names,0))&lt;&gt;1),"N/A",$S46/MAX(IF(NOT(ISNA(MATCH(Combo_Species_Names,IF(Species_Availability="Yes",IF(Species_Evo_Numbers=1,Species_Names)),0))),Combo_Gym_Offense)))</f>
        <v>#VALUE!</v>
      </c>
      <c r="K46" s="23" t="e">
        <f t="array" ref="K46">IF(OR(INDEX(Species_Availability,MATCH($N46,Species_Names,0))="No",INDEX(Species_Evo_Numbers,MATCH($N46,Species_Names,0))&lt;&gt;1),"N/A",RANK($Y46,IF(NOT(ISNA(MATCH(Combo_Species_Names,IF(Species_Availability="Yes",IF(Species_Evo_Numbers=1,Species_Names)),0))),Combo_Gym_Defense),0))</f>
        <v>#VALUE!</v>
      </c>
      <c r="L46" s="24" t="e">
        <f t="array" ref="L46">IF(OR(INDEX(Species_Availability,MATCH($N46,Species_Names,0))="No",INDEX(Species_Evo_Numbers,MATCH($N46,Species_Names,0))&lt;&gt;1),"N/A",$Y46/MAX(IF(NOT(ISNA(MATCH(Combo_Species_Names,IF(Species_Availability="Yes",IF(Species_Evo_Numbers=1,Species_Names)),0))),Combo_Gym_Defense)))</f>
        <v>#VALUE!</v>
      </c>
      <c r="M46" s="28">
        <f t="array" ref="M46">INDEX(Species_Pdex_Numbers,MATCH($N46,Species_Names,0))</f>
        <v>6</v>
      </c>
      <c r="N46" s="30" t="s">
        <v>81</v>
      </c>
      <c r="O46" s="31" t="s">
        <v>69</v>
      </c>
      <c r="P46" s="31" t="s">
        <v>163</v>
      </c>
      <c r="Q46" s="17" t="e">
        <f t="shared" si="0"/>
        <v>#VALUE!</v>
      </c>
      <c r="R46" s="32" t="e">
        <f t="array" ref="R46">IF(OR(AND(COUNTBLANK(Combo_Opponent_Type_1)=1,COUNTBLANK(Combo_Opponent_Type_2)=0),AND(AND(COUNTBLANK(Combo_Opponent_Type_1)=0,COUNTBLANK(Combo_Opponent_Type_2)=0),Combo_Opponent_Type_1=Combo_Opponent_Type_2)),
"Check Types",($S46*INDEX(Species_Tankiness,MATCH($N46,Species_Names,0)))/225)</f>
        <v>#VALUE!</v>
      </c>
      <c r="S46" s="32" t="e">
        <f t="array" ref="S46">IF(OR(AND(COUNTBLANK(Combo_Opponent_Type_1)=1,COUNTBLANK(Combo_Opponent_Type_2)=0),AND(AND(COUNTBLANK(Combo_Opponent_Type_1)=0,COUNTBLANK(Combo_Opponent_Type_2)=0),Combo_Opponent_Type_1=Combo_Opponent_Type_2)),
"Check Types",(
IF($W46&gt;=((1-Game_Weave_Human_Error)*$X46),$W46,$X46)*INDEX(Species_Attack,MATCH($N46,Species_Names,0)))/11)</f>
        <v>#VALUE!</v>
      </c>
      <c r="T46" s="33" t="e">
        <f t="shared" si="1"/>
        <v>#VALUE!</v>
      </c>
      <c r="U46" s="33">
        <f t="array" ref="U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46,Quick_Names,0))),Type_Species)),0),1)*IF(COUNTBLANK(Combo_Opponent_Type_2)=0,INDEX(Type_Damage_Multipliers,MATCH(Combo_Opponent_Type_2,IF(Type_Move=(INDEX(Quick_Type,MATCH($O46,Quick_Names,0))),Type_Species)),0),1)*(IF(OR(INDEX(Quick_Type,MATCH($O46,Quick_Names,0))=INDEX(Species_Type_1,MATCH($N46,Species_Names,0)),INDEX(Quick_Type,MATCH($O46,Quick_Names,0))=INDEX(Species_Type_2,MATCH($N46,Species_Names,0))),Game_STAB_Multiplier,1)))</f>
        <v>1.25</v>
      </c>
      <c r="V46" s="33">
        <f t="array" ref="V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46,Charge_Names,0))),Type_Species)),0),1)*IF(COUNTBLANK(Combo_Opponent_Type_2)=0,INDEX(Type_Damage_Multipliers,MATCH(Combo_Opponent_Type_2,IF(Type_Move=(INDEX(Charge_Type,MATCH($P46,Charge_Names,0))),Type_Species)),0),1)*
IF(OR(INDEX(Charge_Type,MATCH($P46,Charge_Names,0))=INDEX(Species_Type_1,MATCH($N46,Species_Names,0)),INDEX(Charge_Type,MATCH($P46,Charge_Names,0))=INDEX(Species_Type_2,MATCH($N46,Species_Names,0))),Game_STAB_Multiplier,1))</f>
        <v>1.25</v>
      </c>
      <c r="W46" s="33" t="s">
        <v>489</v>
      </c>
      <c r="X46" s="33" t="s">
        <v>490</v>
      </c>
      <c r="Y46" s="32" t="e">
        <f t="array" ref="Y46">((($Z46)*
INDEX(Species_Attack,MATCH($N46,Species_Names,0))*
INDEX(Species_Tankiness,MATCH($N46,Species_Names,0)))/1000)</f>
        <v>#VALUE!</v>
      </c>
      <c r="Z46" s="33" t="s">
        <v>424</v>
      </c>
    </row>
    <row r="47" spans="1:26" ht="14.25" customHeight="1" x14ac:dyDescent="0.2">
      <c r="A47" s="86"/>
      <c r="B47" s="22" t="str">
        <f t="array" ref="B47">CONCATENATE(TEXT($M47,"000"),".",TEXT(INDEX(Quick_Number,MATCH($O47,Quick_Names,0)),"000"),".",TEXT(INDEX(Charge_Number,MATCH($P47,Charge_Names,0)),"000"))</f>
        <v>031.224.032</v>
      </c>
      <c r="C47" s="23" t="e">
        <f t="array" ref="C47">RANK($S47,IF(Combo_Species_Names=$N47,Combo_Gym_Offense),0)</f>
        <v>#VALUE!</v>
      </c>
      <c r="D47" s="24" t="e">
        <f t="array" ref="D47">$S47/MAX(IF(Combo_Species_Names=$N47,Combo_Gym_Offense))</f>
        <v>#VALUE!</v>
      </c>
      <c r="E47" s="23" t="e">
        <f t="array" ref="E47">RANK($Y47,IF(Combo_Species_Names=$N47,Combo_Gym_Defense),0)</f>
        <v>#VALUE!</v>
      </c>
      <c r="F47" s="25" t="e">
        <f t="array" ref="F47">$Y47/MAX(IF(Combo_Species_Names=$N47,Combo_Gym_Defense))</f>
        <v>#VALUE!</v>
      </c>
      <c r="G47" s="23" t="e">
        <f t="array" ref="G47">IF(OR(INDEX(Species_Availability,MATCH($N47,Species_Names,0))="No",INDEX(Species_Evo_Numbers,MATCH($N47,Species_Names,0))&lt;&gt;1),"N/A",RANK($R47,IF(NOT(ISNA(MATCH(Combo_Species_Names,IF(Species_Availability="Yes",IF(Species_Evo_Numbers=1,Species_Names)),0))),Combo_Duel_Ability),0))</f>
        <v>#VALUE!</v>
      </c>
      <c r="H47" s="24" t="e">
        <f t="array" ref="H47">IF(OR(INDEX(Species_Availability,MATCH($N47,Species_Names,0))="No",INDEX(Species_Evo_Numbers,MATCH($N47,Species_Names,0))&lt;&gt;1),"N/A",$R47/MAX(IF(NOT(ISNA(MATCH(Combo_Species_Names,IF(Species_Availability="Yes",IF(Species_Evo_Numbers=1,Species_Names)),0))),Combo_Duel_Ability)))</f>
        <v>#VALUE!</v>
      </c>
      <c r="I47" s="23" t="e">
        <f t="array" ref="I47">IF(OR(INDEX(Species_Availability,MATCH($N47,Species_Names,0))="No",INDEX(Species_Evo_Numbers,MATCH($N47,Species_Names,0))&lt;&gt;1),"N/A",RANK($S47,IF(NOT(ISNA(MATCH(Combo_Species_Names,IF(Species_Availability="Yes",IF(Species_Evo_Numbers=1,Species_Names)),0))),Combo_Gym_Offense),0))</f>
        <v>#VALUE!</v>
      </c>
      <c r="J47" s="24" t="e">
        <f t="array" ref="J47">IF(OR(INDEX(Species_Availability,MATCH($N47,Species_Names,0))="No",INDEX(Species_Evo_Numbers,MATCH($N47,Species_Names,0))&lt;&gt;1),"N/A",$S47/MAX(IF(NOT(ISNA(MATCH(Combo_Species_Names,IF(Species_Availability="Yes",IF(Species_Evo_Numbers=1,Species_Names)),0))),Combo_Gym_Offense)))</f>
        <v>#VALUE!</v>
      </c>
      <c r="K47" s="23" t="e">
        <f t="array" ref="K47">IF(OR(INDEX(Species_Availability,MATCH($N47,Species_Names,0))="No",INDEX(Species_Evo_Numbers,MATCH($N47,Species_Names,0))&lt;&gt;1),"N/A",RANK($Y47,IF(NOT(ISNA(MATCH(Combo_Species_Names,IF(Species_Availability="Yes",IF(Species_Evo_Numbers=1,Species_Names)),0))),Combo_Gym_Defense),0))</f>
        <v>#VALUE!</v>
      </c>
      <c r="L47" s="24" t="e">
        <f t="array" ref="L47">IF(OR(INDEX(Species_Availability,MATCH($N47,Species_Names,0))="No",INDEX(Species_Evo_Numbers,MATCH($N47,Species_Names,0))&lt;&gt;1),"N/A",$Y47/MAX(IF(NOT(ISNA(MATCH(Combo_Species_Names,IF(Species_Availability="Yes",IF(Species_Evo_Numbers=1,Species_Names)),0))),Combo_Gym_Defense)))</f>
        <v>#VALUE!</v>
      </c>
      <c r="M47" s="28">
        <f t="array" ref="M47">INDEX(Species_Pdex_Numbers,MATCH($N47,Species_Names,0))</f>
        <v>31</v>
      </c>
      <c r="N47" s="30" t="s">
        <v>152</v>
      </c>
      <c r="O47" s="31" t="s">
        <v>77</v>
      </c>
      <c r="P47" s="31" t="s">
        <v>149</v>
      </c>
      <c r="Q47" s="17" t="e">
        <f t="shared" si="0"/>
        <v>#VALUE!</v>
      </c>
      <c r="R47" s="32" t="e">
        <f t="array" ref="R47">IF(OR(AND(COUNTBLANK(Combo_Opponent_Type_1)=1,COUNTBLANK(Combo_Opponent_Type_2)=0),AND(AND(COUNTBLANK(Combo_Opponent_Type_1)=0,COUNTBLANK(Combo_Opponent_Type_2)=0),Combo_Opponent_Type_1=Combo_Opponent_Type_2)),
"Check Types",($S47*INDEX(Species_Tankiness,MATCH($N47,Species_Names,0)))/225)</f>
        <v>#VALUE!</v>
      </c>
      <c r="S47" s="32" t="e">
        <f t="array" ref="S47">IF(OR(AND(COUNTBLANK(Combo_Opponent_Type_1)=1,COUNTBLANK(Combo_Opponent_Type_2)=0),AND(AND(COUNTBLANK(Combo_Opponent_Type_1)=0,COUNTBLANK(Combo_Opponent_Type_2)=0),Combo_Opponent_Type_1=Combo_Opponent_Type_2)),
"Check Types",(
IF($W47&gt;=((1-Game_Weave_Human_Error)*$X47),$W47,$X47)*INDEX(Species_Attack,MATCH($N47,Species_Names,0)))/11)</f>
        <v>#VALUE!</v>
      </c>
      <c r="T47" s="33" t="e">
        <f t="shared" si="1"/>
        <v>#VALUE!</v>
      </c>
      <c r="U47" s="33">
        <f t="array" ref="U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47,Quick_Names,0))),Type_Species)),0),1)*IF(COUNTBLANK(Combo_Opponent_Type_2)=0,INDEX(Type_Damage_Multipliers,MATCH(Combo_Opponent_Type_2,IF(Type_Move=(INDEX(Quick_Type,MATCH($O47,Quick_Names,0))),Type_Species)),0),1)*(IF(OR(INDEX(Quick_Type,MATCH($O47,Quick_Names,0))=INDEX(Species_Type_1,MATCH($N47,Species_Names,0)),INDEX(Quick_Type,MATCH($O47,Quick_Names,0))=INDEX(Species_Type_2,MATCH($N47,Species_Names,0))),Game_STAB_Multiplier,1)))</f>
        <v>1.25</v>
      </c>
      <c r="V47" s="33">
        <f t="array" ref="V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47,Charge_Names,0))),Type_Species)),0),1)*IF(COUNTBLANK(Combo_Opponent_Type_2)=0,INDEX(Type_Damage_Multipliers,MATCH(Combo_Opponent_Type_2,IF(Type_Move=(INDEX(Charge_Type,MATCH($P47,Charge_Names,0))),Type_Species)),0),1)*
IF(OR(INDEX(Charge_Type,MATCH($P47,Charge_Names,0))=INDEX(Species_Type_1,MATCH($N47,Species_Names,0)),INDEX(Charge_Type,MATCH($P47,Charge_Names,0))=INDEX(Species_Type_2,MATCH($N47,Species_Names,0))),Game_STAB_Multiplier,1))</f>
        <v>1</v>
      </c>
      <c r="W47" s="33" t="s">
        <v>446</v>
      </c>
      <c r="X47" s="33" t="s">
        <v>491</v>
      </c>
      <c r="Y47" s="32" t="e">
        <f t="array" ref="Y47">((($Z47)*
INDEX(Species_Attack,MATCH($N47,Species_Names,0))*
INDEX(Species_Tankiness,MATCH($N47,Species_Names,0)))/1000)</f>
        <v>#VALUE!</v>
      </c>
      <c r="Z47" s="33" t="s">
        <v>492</v>
      </c>
    </row>
    <row r="48" spans="1:26" ht="14.25" customHeight="1" x14ac:dyDescent="0.2">
      <c r="A48" s="86"/>
      <c r="B48" s="22" t="str">
        <f t="array" ref="B48">CONCATENATE(TEXT($M48,"000"),".",TEXT(INDEX(Quick_Number,MATCH($O48,Quick_Names,0)),"000"),".",TEXT(INDEX(Charge_Number,MATCH($P48,Charge_Names,0)),"000"))</f>
        <v>059.240.095</v>
      </c>
      <c r="C48" s="23" t="e">
        <f t="array" ref="C48">RANK($S48,IF(Combo_Species_Names=$N48,Combo_Gym_Offense),0)</f>
        <v>#VALUE!</v>
      </c>
      <c r="D48" s="24" t="e">
        <f t="array" ref="D48">$S48/MAX(IF(Combo_Species_Names=$N48,Combo_Gym_Offense))</f>
        <v>#VALUE!</v>
      </c>
      <c r="E48" s="23" t="e">
        <f t="array" ref="E48">RANK($Y48,IF(Combo_Species_Names=$N48,Combo_Gym_Defense),0)</f>
        <v>#VALUE!</v>
      </c>
      <c r="F48" s="25" t="e">
        <f t="array" ref="F48">$Y48/MAX(IF(Combo_Species_Names=$N48,Combo_Gym_Defense))</f>
        <v>#VALUE!</v>
      </c>
      <c r="G48" s="23" t="e">
        <f t="array" ref="G48">IF(OR(INDEX(Species_Availability,MATCH($N48,Species_Names,0))="No",INDEX(Species_Evo_Numbers,MATCH($N48,Species_Names,0))&lt;&gt;1),"N/A",RANK($R48,IF(NOT(ISNA(MATCH(Combo_Species_Names,IF(Species_Availability="Yes",IF(Species_Evo_Numbers=1,Species_Names)),0))),Combo_Duel_Ability),0))</f>
        <v>#VALUE!</v>
      </c>
      <c r="H48" s="24" t="e">
        <f t="array" ref="H48">IF(OR(INDEX(Species_Availability,MATCH($N48,Species_Names,0))="No",INDEX(Species_Evo_Numbers,MATCH($N48,Species_Names,0))&lt;&gt;1),"N/A",$R48/MAX(IF(NOT(ISNA(MATCH(Combo_Species_Names,IF(Species_Availability="Yes",IF(Species_Evo_Numbers=1,Species_Names)),0))),Combo_Duel_Ability)))</f>
        <v>#VALUE!</v>
      </c>
      <c r="I48" s="23" t="e">
        <f t="array" ref="I48">IF(OR(INDEX(Species_Availability,MATCH($N48,Species_Names,0))="No",INDEX(Species_Evo_Numbers,MATCH($N48,Species_Names,0))&lt;&gt;1),"N/A",RANK($S48,IF(NOT(ISNA(MATCH(Combo_Species_Names,IF(Species_Availability="Yes",IF(Species_Evo_Numbers=1,Species_Names)),0))),Combo_Gym_Offense),0))</f>
        <v>#VALUE!</v>
      </c>
      <c r="J48" s="24" t="e">
        <f t="array" ref="J48">IF(OR(INDEX(Species_Availability,MATCH($N48,Species_Names,0))="No",INDEX(Species_Evo_Numbers,MATCH($N48,Species_Names,0))&lt;&gt;1),"N/A",$S48/MAX(IF(NOT(ISNA(MATCH(Combo_Species_Names,IF(Species_Availability="Yes",IF(Species_Evo_Numbers=1,Species_Names)),0))),Combo_Gym_Offense)))</f>
        <v>#VALUE!</v>
      </c>
      <c r="K48" s="23" t="e">
        <f t="array" ref="K48">IF(OR(INDEX(Species_Availability,MATCH($N48,Species_Names,0))="No",INDEX(Species_Evo_Numbers,MATCH($N48,Species_Names,0))&lt;&gt;1),"N/A",RANK($Y48,IF(NOT(ISNA(MATCH(Combo_Species_Names,IF(Species_Availability="Yes",IF(Species_Evo_Numbers=1,Species_Names)),0))),Combo_Gym_Defense),0))</f>
        <v>#VALUE!</v>
      </c>
      <c r="L48" s="24" t="e">
        <f t="array" ref="L48">IF(OR(INDEX(Species_Availability,MATCH($N48,Species_Names,0))="No",INDEX(Species_Evo_Numbers,MATCH($N48,Species_Names,0))&lt;&gt;1),"N/A",$Y48/MAX(IF(NOT(ISNA(MATCH(Combo_Species_Names,IF(Species_Availability="Yes",IF(Species_Evo_Numbers=1,Species_Names)),0))),Combo_Gym_Defense)))</f>
        <v>#VALUE!</v>
      </c>
      <c r="M48" s="28">
        <f t="array" ref="M48">INDEX(Species_Pdex_Numbers,MATCH($N48,Species_Names,0))</f>
        <v>59</v>
      </c>
      <c r="N48" s="30" t="s">
        <v>208</v>
      </c>
      <c r="O48" s="31" t="s">
        <v>71</v>
      </c>
      <c r="P48" s="31" t="s">
        <v>291</v>
      </c>
      <c r="Q48" s="17" t="e">
        <f t="shared" si="0"/>
        <v>#VALUE!</v>
      </c>
      <c r="R48" s="32" t="e">
        <f t="array" ref="R48">IF(OR(AND(COUNTBLANK(Combo_Opponent_Type_1)=1,COUNTBLANK(Combo_Opponent_Type_2)=0),AND(AND(COUNTBLANK(Combo_Opponent_Type_1)=0,COUNTBLANK(Combo_Opponent_Type_2)=0),Combo_Opponent_Type_1=Combo_Opponent_Type_2)),
"Check Types",($S48*INDEX(Species_Tankiness,MATCH($N48,Species_Names,0)))/225)</f>
        <v>#VALUE!</v>
      </c>
      <c r="S48" s="32" t="e">
        <f t="array" ref="S48">IF(OR(AND(COUNTBLANK(Combo_Opponent_Type_1)=1,COUNTBLANK(Combo_Opponent_Type_2)=0),AND(AND(COUNTBLANK(Combo_Opponent_Type_1)=0,COUNTBLANK(Combo_Opponent_Type_2)=0),Combo_Opponent_Type_1=Combo_Opponent_Type_2)),
"Check Types",(
IF($W48&gt;=((1-Game_Weave_Human_Error)*$X48),$W48,$X48)*INDEX(Species_Attack,MATCH($N48,Species_Names,0)))/11)</f>
        <v>#VALUE!</v>
      </c>
      <c r="T48" s="33" t="e">
        <f t="shared" si="1"/>
        <v>#VALUE!</v>
      </c>
      <c r="U48" s="33">
        <f t="array" ref="U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48,Quick_Names,0))),Type_Species)),0),1)*IF(COUNTBLANK(Combo_Opponent_Type_2)=0,INDEX(Type_Damage_Multipliers,MATCH(Combo_Opponent_Type_2,IF(Type_Move=(INDEX(Quick_Type,MATCH($O48,Quick_Names,0))),Type_Species)),0),1)*(IF(OR(INDEX(Quick_Type,MATCH($O48,Quick_Names,0))=INDEX(Species_Type_1,MATCH($N48,Species_Names,0)),INDEX(Quick_Type,MATCH($O48,Quick_Names,0))=INDEX(Species_Type_2,MATCH($N48,Species_Names,0))),Game_STAB_Multiplier,1)))</f>
        <v>1.25</v>
      </c>
      <c r="V48" s="33">
        <f t="array" ref="V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48,Charge_Names,0))),Type_Species)),0),1)*IF(COUNTBLANK(Combo_Opponent_Type_2)=0,INDEX(Type_Damage_Multipliers,MATCH(Combo_Opponent_Type_2,IF(Type_Move=(INDEX(Charge_Type,MATCH($P48,Charge_Names,0))),Type_Species)),0),1)*
IF(OR(INDEX(Charge_Type,MATCH($P48,Charge_Names,0))=INDEX(Species_Type_1,MATCH($N48,Species_Names,0)),INDEX(Charge_Type,MATCH($P48,Charge_Names,0))=INDEX(Species_Type_2,MATCH($N48,Species_Names,0))),Game_STAB_Multiplier,1))</f>
        <v>1</v>
      </c>
      <c r="W48" s="33" t="s">
        <v>448</v>
      </c>
      <c r="X48" s="33" t="s">
        <v>493</v>
      </c>
      <c r="Y48" s="32" t="e">
        <f t="array" ref="Y48">((($Z48)*
INDEX(Species_Attack,MATCH($N48,Species_Names,0))*
INDEX(Species_Tankiness,MATCH($N48,Species_Names,0)))/1000)</f>
        <v>#VALUE!</v>
      </c>
      <c r="Z48" s="33" t="s">
        <v>494</v>
      </c>
    </row>
    <row r="49" spans="1:26" ht="14.25" customHeight="1" x14ac:dyDescent="0.2">
      <c r="A49" s="86"/>
      <c r="B49" s="22" t="str">
        <f t="array" ref="B49">CONCATENATE(TEXT($M49,"000"),".",TEXT(INDEX(Quick_Number,MATCH($O49,Quick_Names,0)),"000"),".",TEXT(INDEX(Charge_Number,MATCH($P49,Charge_Names,0)),"000"))</f>
        <v>103.235.108</v>
      </c>
      <c r="C49" s="23" t="e">
        <f t="array" ref="C49">RANK($S49,IF(Combo_Species_Names=$N49,Combo_Gym_Offense),0)</f>
        <v>#VALUE!</v>
      </c>
      <c r="D49" s="24" t="e">
        <f t="array" ref="D49">$S49/MAX(IF(Combo_Species_Names=$N49,Combo_Gym_Offense))</f>
        <v>#VALUE!</v>
      </c>
      <c r="E49" s="23" t="e">
        <f t="array" ref="E49">RANK($Y49,IF(Combo_Species_Names=$N49,Combo_Gym_Defense),0)</f>
        <v>#VALUE!</v>
      </c>
      <c r="F49" s="25" t="e">
        <f t="array" ref="F49">$Y49/MAX(IF(Combo_Species_Names=$N49,Combo_Gym_Defense))</f>
        <v>#VALUE!</v>
      </c>
      <c r="G49" s="23" t="e">
        <f t="array" ref="G49">IF(OR(INDEX(Species_Availability,MATCH($N49,Species_Names,0))="No",INDEX(Species_Evo_Numbers,MATCH($N49,Species_Names,0))&lt;&gt;1),"N/A",RANK($R49,IF(NOT(ISNA(MATCH(Combo_Species_Names,IF(Species_Availability="Yes",IF(Species_Evo_Numbers=1,Species_Names)),0))),Combo_Duel_Ability),0))</f>
        <v>#VALUE!</v>
      </c>
      <c r="H49" s="24" t="e">
        <f t="array" ref="H49">IF(OR(INDEX(Species_Availability,MATCH($N49,Species_Names,0))="No",INDEX(Species_Evo_Numbers,MATCH($N49,Species_Names,0))&lt;&gt;1),"N/A",$R49/MAX(IF(NOT(ISNA(MATCH(Combo_Species_Names,IF(Species_Availability="Yes",IF(Species_Evo_Numbers=1,Species_Names)),0))),Combo_Duel_Ability)))</f>
        <v>#VALUE!</v>
      </c>
      <c r="I49" s="23" t="e">
        <f t="array" ref="I49">IF(OR(INDEX(Species_Availability,MATCH($N49,Species_Names,0))="No",INDEX(Species_Evo_Numbers,MATCH($N49,Species_Names,0))&lt;&gt;1),"N/A",RANK($S49,IF(NOT(ISNA(MATCH(Combo_Species_Names,IF(Species_Availability="Yes",IF(Species_Evo_Numbers=1,Species_Names)),0))),Combo_Gym_Offense),0))</f>
        <v>#VALUE!</v>
      </c>
      <c r="J49" s="24" t="e">
        <f t="array" ref="J49">IF(OR(INDEX(Species_Availability,MATCH($N49,Species_Names,0))="No",INDEX(Species_Evo_Numbers,MATCH($N49,Species_Names,0))&lt;&gt;1),"N/A",$S49/MAX(IF(NOT(ISNA(MATCH(Combo_Species_Names,IF(Species_Availability="Yes",IF(Species_Evo_Numbers=1,Species_Names)),0))),Combo_Gym_Offense)))</f>
        <v>#VALUE!</v>
      </c>
      <c r="K49" s="23" t="e">
        <f t="array" ref="K49">IF(OR(INDEX(Species_Availability,MATCH($N49,Species_Names,0))="No",INDEX(Species_Evo_Numbers,MATCH($N49,Species_Names,0))&lt;&gt;1),"N/A",RANK($Y49,IF(NOT(ISNA(MATCH(Combo_Species_Names,IF(Species_Availability="Yes",IF(Species_Evo_Numbers=1,Species_Names)),0))),Combo_Gym_Defense),0))</f>
        <v>#VALUE!</v>
      </c>
      <c r="L49" s="24" t="e">
        <f t="array" ref="L49">IF(OR(INDEX(Species_Availability,MATCH($N49,Species_Names,0))="No",INDEX(Species_Evo_Numbers,MATCH($N49,Species_Names,0))&lt;&gt;1),"N/A",$Y49/MAX(IF(NOT(ISNA(MATCH(Combo_Species_Names,IF(Species_Availability="Yes",IF(Species_Evo_Numbers=1,Species_Names)),0))),Combo_Gym_Defense)))</f>
        <v>#VALUE!</v>
      </c>
      <c r="M49" s="28">
        <f t="array" ref="M49">INDEX(Species_Pdex_Numbers,MATCH($N49,Species_Names,0))</f>
        <v>103</v>
      </c>
      <c r="N49" s="30" t="s">
        <v>309</v>
      </c>
      <c r="O49" s="31" t="s">
        <v>108</v>
      </c>
      <c r="P49" s="31" t="s">
        <v>58</v>
      </c>
      <c r="Q49" s="17" t="e">
        <f t="shared" si="0"/>
        <v>#VALUE!</v>
      </c>
      <c r="R49" s="32" t="e">
        <f t="array" ref="R49">IF(OR(AND(COUNTBLANK(Combo_Opponent_Type_1)=1,COUNTBLANK(Combo_Opponent_Type_2)=0),AND(AND(COUNTBLANK(Combo_Opponent_Type_1)=0,COUNTBLANK(Combo_Opponent_Type_2)=0),Combo_Opponent_Type_1=Combo_Opponent_Type_2)),
"Check Types",($S49*INDEX(Species_Tankiness,MATCH($N49,Species_Names,0)))/225)</f>
        <v>#VALUE!</v>
      </c>
      <c r="S49" s="32" t="e">
        <f t="array" ref="S49">IF(OR(AND(COUNTBLANK(Combo_Opponent_Type_1)=1,COUNTBLANK(Combo_Opponent_Type_2)=0),AND(AND(COUNTBLANK(Combo_Opponent_Type_1)=0,COUNTBLANK(Combo_Opponent_Type_2)=0),Combo_Opponent_Type_1=Combo_Opponent_Type_2)),
"Check Types",(
IF($W49&gt;=((1-Game_Weave_Human_Error)*$X49),$W49,$X49)*INDEX(Species_Attack,MATCH($N49,Species_Names,0)))/11)</f>
        <v>#VALUE!</v>
      </c>
      <c r="T49" s="33" t="e">
        <f t="shared" si="1"/>
        <v>#VALUE!</v>
      </c>
      <c r="U49" s="33">
        <f t="array" ref="U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49,Quick_Names,0))),Type_Species)),0),1)*IF(COUNTBLANK(Combo_Opponent_Type_2)=0,INDEX(Type_Damage_Multipliers,MATCH(Combo_Opponent_Type_2,IF(Type_Move=(INDEX(Quick_Type,MATCH($O49,Quick_Names,0))),Type_Species)),0),1)*(IF(OR(INDEX(Quick_Type,MATCH($O49,Quick_Names,0))=INDEX(Species_Type_1,MATCH($N49,Species_Names,0)),INDEX(Quick_Type,MATCH($O49,Quick_Names,0))=INDEX(Species_Type_2,MATCH($N49,Species_Names,0))),Game_STAB_Multiplier,1)))</f>
        <v>1.25</v>
      </c>
      <c r="V49" s="33">
        <f t="array" ref="V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49,Charge_Names,0))),Type_Species)),0),1)*IF(COUNTBLANK(Combo_Opponent_Type_2)=0,INDEX(Type_Damage_Multipliers,MATCH(Combo_Opponent_Type_2,IF(Type_Move=(INDEX(Charge_Type,MATCH($P49,Charge_Names,0))),Type_Species)),0),1)*
IF(OR(INDEX(Charge_Type,MATCH($P49,Charge_Names,0))=INDEX(Species_Type_1,MATCH($N49,Species_Names,0)),INDEX(Charge_Type,MATCH($P49,Charge_Names,0))=INDEX(Species_Type_2,MATCH($N49,Species_Names,0))),Game_STAB_Multiplier,1))</f>
        <v>1.25</v>
      </c>
      <c r="W49" s="33" t="s">
        <v>467</v>
      </c>
      <c r="X49" s="33" t="s">
        <v>495</v>
      </c>
      <c r="Y49" s="32" t="e">
        <f t="array" ref="Y49">((($Z49)*
INDEX(Species_Attack,MATCH($N49,Species_Names,0))*
INDEX(Species_Tankiness,MATCH($N49,Species_Names,0)))/1000)</f>
        <v>#VALUE!</v>
      </c>
      <c r="Z49" s="33" t="s">
        <v>440</v>
      </c>
    </row>
    <row r="50" spans="1:26" ht="14.25" customHeight="1" x14ac:dyDescent="0.2">
      <c r="A50" s="86"/>
      <c r="B50" s="22" t="str">
        <f t="array" ref="B50">CONCATENATE(TEXT($M50,"000"),".",TEXT(INDEX(Quick_Number,MATCH($O50,Quick_Names,0)),"000"),".",TEXT(INDEX(Charge_Number,MATCH($P50,Charge_Names,0)),"000"))</f>
        <v>076.216.032</v>
      </c>
      <c r="C50" s="23" t="e">
        <f t="array" ref="C50">RANK($S50,IF(Combo_Species_Names=$N50,Combo_Gym_Offense),0)</f>
        <v>#VALUE!</v>
      </c>
      <c r="D50" s="24" t="e">
        <f t="array" ref="D50">$S50/MAX(IF(Combo_Species_Names=$N50,Combo_Gym_Offense))</f>
        <v>#VALUE!</v>
      </c>
      <c r="E50" s="23" t="e">
        <f t="array" ref="E50">RANK($Y50,IF(Combo_Species_Names=$N50,Combo_Gym_Defense),0)</f>
        <v>#VALUE!</v>
      </c>
      <c r="F50" s="25" t="e">
        <f t="array" ref="F50">$Y50/MAX(IF(Combo_Species_Names=$N50,Combo_Gym_Defense))</f>
        <v>#VALUE!</v>
      </c>
      <c r="G50" s="23" t="e">
        <f t="array" ref="G50">IF(OR(INDEX(Species_Availability,MATCH($N50,Species_Names,0))="No",INDEX(Species_Evo_Numbers,MATCH($N50,Species_Names,0))&lt;&gt;1),"N/A",RANK($R50,IF(NOT(ISNA(MATCH(Combo_Species_Names,IF(Species_Availability="Yes",IF(Species_Evo_Numbers=1,Species_Names)),0))),Combo_Duel_Ability),0))</f>
        <v>#VALUE!</v>
      </c>
      <c r="H50" s="24" t="e">
        <f t="array" ref="H50">IF(OR(INDEX(Species_Availability,MATCH($N50,Species_Names,0))="No",INDEX(Species_Evo_Numbers,MATCH($N50,Species_Names,0))&lt;&gt;1),"N/A",$R50/MAX(IF(NOT(ISNA(MATCH(Combo_Species_Names,IF(Species_Availability="Yes",IF(Species_Evo_Numbers=1,Species_Names)),0))),Combo_Duel_Ability)))</f>
        <v>#VALUE!</v>
      </c>
      <c r="I50" s="23" t="e">
        <f t="array" ref="I50">IF(OR(INDEX(Species_Availability,MATCH($N50,Species_Names,0))="No",INDEX(Species_Evo_Numbers,MATCH($N50,Species_Names,0))&lt;&gt;1),"N/A",RANK($S50,IF(NOT(ISNA(MATCH(Combo_Species_Names,IF(Species_Availability="Yes",IF(Species_Evo_Numbers=1,Species_Names)),0))),Combo_Gym_Offense),0))</f>
        <v>#VALUE!</v>
      </c>
      <c r="J50" s="24" t="e">
        <f t="array" ref="J50">IF(OR(INDEX(Species_Availability,MATCH($N50,Species_Names,0))="No",INDEX(Species_Evo_Numbers,MATCH($N50,Species_Names,0))&lt;&gt;1),"N/A",$S50/MAX(IF(NOT(ISNA(MATCH(Combo_Species_Names,IF(Species_Availability="Yes",IF(Species_Evo_Numbers=1,Species_Names)),0))),Combo_Gym_Offense)))</f>
        <v>#VALUE!</v>
      </c>
      <c r="K50" s="23" t="e">
        <f t="array" ref="K50">IF(OR(INDEX(Species_Availability,MATCH($N50,Species_Names,0))="No",INDEX(Species_Evo_Numbers,MATCH($N50,Species_Names,0))&lt;&gt;1),"N/A",RANK($Y50,IF(NOT(ISNA(MATCH(Combo_Species_Names,IF(Species_Availability="Yes",IF(Species_Evo_Numbers=1,Species_Names)),0))),Combo_Gym_Defense),0))</f>
        <v>#VALUE!</v>
      </c>
      <c r="L50" s="24" t="e">
        <f t="array" ref="L50">IF(OR(INDEX(Species_Availability,MATCH($N50,Species_Names,0))="No",INDEX(Species_Evo_Numbers,MATCH($N50,Species_Names,0))&lt;&gt;1),"N/A",$Y50/MAX(IF(NOT(ISNA(MATCH(Combo_Species_Names,IF(Species_Availability="Yes",IF(Species_Evo_Numbers=1,Species_Names)),0))),Combo_Gym_Defense)))</f>
        <v>#VALUE!</v>
      </c>
      <c r="M50" s="28">
        <f t="array" ref="M50">INDEX(Species_Pdex_Numbers,MATCH($N50,Species_Names,0))</f>
        <v>76</v>
      </c>
      <c r="N50" s="30" t="s">
        <v>244</v>
      </c>
      <c r="O50" s="31" t="s">
        <v>89</v>
      </c>
      <c r="P50" s="31" t="s">
        <v>149</v>
      </c>
      <c r="Q50" s="17" t="e">
        <f t="shared" si="0"/>
        <v>#VALUE!</v>
      </c>
      <c r="R50" s="32" t="e">
        <f t="array" ref="R50">IF(OR(AND(COUNTBLANK(Combo_Opponent_Type_1)=1,COUNTBLANK(Combo_Opponent_Type_2)=0),AND(AND(COUNTBLANK(Combo_Opponent_Type_1)=0,COUNTBLANK(Combo_Opponent_Type_2)=0),Combo_Opponent_Type_1=Combo_Opponent_Type_2)),
"Check Types",($S50*INDEX(Species_Tankiness,MATCH($N50,Species_Names,0)))/225)</f>
        <v>#VALUE!</v>
      </c>
      <c r="S50" s="32" t="e">
        <f t="array" ref="S50">IF(OR(AND(COUNTBLANK(Combo_Opponent_Type_1)=1,COUNTBLANK(Combo_Opponent_Type_2)=0),AND(AND(COUNTBLANK(Combo_Opponent_Type_1)=0,COUNTBLANK(Combo_Opponent_Type_2)=0),Combo_Opponent_Type_1=Combo_Opponent_Type_2)),
"Check Types",(
IF($W50&gt;=((1-Game_Weave_Human_Error)*$X50),$W50,$X50)*INDEX(Species_Attack,MATCH($N50,Species_Names,0)))/11)</f>
        <v>#VALUE!</v>
      </c>
      <c r="T50" s="33" t="e">
        <f t="shared" si="1"/>
        <v>#VALUE!</v>
      </c>
      <c r="U50" s="33">
        <f t="array" ref="U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50,Quick_Names,0))),Type_Species)),0),1)*IF(COUNTBLANK(Combo_Opponent_Type_2)=0,INDEX(Type_Damage_Multipliers,MATCH(Combo_Opponent_Type_2,IF(Type_Move=(INDEX(Quick_Type,MATCH($O50,Quick_Names,0))),Type_Species)),0),1)*(IF(OR(INDEX(Quick_Type,MATCH($O50,Quick_Names,0))=INDEX(Species_Type_1,MATCH($N50,Species_Names,0)),INDEX(Quick_Type,MATCH($O50,Quick_Names,0))=INDEX(Species_Type_2,MATCH($N50,Species_Names,0))),Game_STAB_Multiplier,1)))</f>
        <v>1.25</v>
      </c>
      <c r="V50" s="33">
        <f t="array" ref="V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50,Charge_Names,0))),Type_Species)),0),1)*IF(COUNTBLANK(Combo_Opponent_Type_2)=0,INDEX(Type_Damage_Multipliers,MATCH(Combo_Opponent_Type_2,IF(Type_Move=(INDEX(Charge_Type,MATCH($P50,Charge_Names,0))),Type_Species)),0),1)*
IF(OR(INDEX(Charge_Type,MATCH($P50,Charge_Names,0))=INDEX(Species_Type_1,MATCH($N50,Species_Names,0)),INDEX(Charge_Type,MATCH($P50,Charge_Names,0))=INDEX(Species_Type_2,MATCH($N50,Species_Names,0))),Game_STAB_Multiplier,1))</f>
        <v>1.25</v>
      </c>
      <c r="W50" s="33" t="s">
        <v>496</v>
      </c>
      <c r="X50" s="33" t="s">
        <v>497</v>
      </c>
      <c r="Y50" s="32" t="e">
        <f t="array" ref="Y50">((($Z50)*
INDEX(Species_Attack,MATCH($N50,Species_Names,0))*
INDEX(Species_Tankiness,MATCH($N50,Species_Names,0)))/1000)</f>
        <v>#VALUE!</v>
      </c>
      <c r="Z50" s="33" t="s">
        <v>498</v>
      </c>
    </row>
    <row r="51" spans="1:26" ht="14.25" customHeight="1" x14ac:dyDescent="0.2">
      <c r="A51" s="86"/>
      <c r="B51" s="22" t="str">
        <f t="array" ref="B51">CONCATENATE(TEXT($M51,"000"),".",TEXT(INDEX(Quick_Number,MATCH($O51,Quick_Names,0)),"000"),".",TEXT(INDEX(Charge_Number,MATCH($P51,Charge_Names,0)),"000"))</f>
        <v>003.214.047</v>
      </c>
      <c r="C51" s="23" t="e">
        <f t="array" ref="C51">RANK($S51,IF(Combo_Species_Names=$N51,Combo_Gym_Offense),0)</f>
        <v>#VALUE!</v>
      </c>
      <c r="D51" s="24" t="e">
        <f t="array" ref="D51">$S51/MAX(IF(Combo_Species_Names=$N51,Combo_Gym_Offense))</f>
        <v>#VALUE!</v>
      </c>
      <c r="E51" s="23" t="e">
        <f t="array" ref="E51">RANK($Y51,IF(Combo_Species_Names=$N51,Combo_Gym_Defense),0)</f>
        <v>#VALUE!</v>
      </c>
      <c r="F51" s="25" t="e">
        <f t="array" ref="F51">$Y51/MAX(IF(Combo_Species_Names=$N51,Combo_Gym_Defense))</f>
        <v>#VALUE!</v>
      </c>
      <c r="G51" s="23" t="e">
        <f t="array" ref="G51">IF(OR(INDEX(Species_Availability,MATCH($N51,Species_Names,0))="No",INDEX(Species_Evo_Numbers,MATCH($N51,Species_Names,0))&lt;&gt;1),"N/A",RANK($R51,IF(NOT(ISNA(MATCH(Combo_Species_Names,IF(Species_Availability="Yes",IF(Species_Evo_Numbers=1,Species_Names)),0))),Combo_Duel_Ability),0))</f>
        <v>#VALUE!</v>
      </c>
      <c r="H51" s="24" t="e">
        <f t="array" ref="H51">IF(OR(INDEX(Species_Availability,MATCH($N51,Species_Names,0))="No",INDEX(Species_Evo_Numbers,MATCH($N51,Species_Names,0))&lt;&gt;1),"N/A",$R51/MAX(IF(NOT(ISNA(MATCH(Combo_Species_Names,IF(Species_Availability="Yes",IF(Species_Evo_Numbers=1,Species_Names)),0))),Combo_Duel_Ability)))</f>
        <v>#VALUE!</v>
      </c>
      <c r="I51" s="23" t="e">
        <f t="array" ref="I51">IF(OR(INDEX(Species_Availability,MATCH($N51,Species_Names,0))="No",INDEX(Species_Evo_Numbers,MATCH($N51,Species_Names,0))&lt;&gt;1),"N/A",RANK($S51,IF(NOT(ISNA(MATCH(Combo_Species_Names,IF(Species_Availability="Yes",IF(Species_Evo_Numbers=1,Species_Names)),0))),Combo_Gym_Offense),0))</f>
        <v>#VALUE!</v>
      </c>
      <c r="J51" s="24" t="e">
        <f t="array" ref="J51">IF(OR(INDEX(Species_Availability,MATCH($N51,Species_Names,0))="No",INDEX(Species_Evo_Numbers,MATCH($N51,Species_Names,0))&lt;&gt;1),"N/A",$S51/MAX(IF(NOT(ISNA(MATCH(Combo_Species_Names,IF(Species_Availability="Yes",IF(Species_Evo_Numbers=1,Species_Names)),0))),Combo_Gym_Offense)))</f>
        <v>#VALUE!</v>
      </c>
      <c r="K51" s="23" t="e">
        <f t="array" ref="K51">IF(OR(INDEX(Species_Availability,MATCH($N51,Species_Names,0))="No",INDEX(Species_Evo_Numbers,MATCH($N51,Species_Names,0))&lt;&gt;1),"N/A",RANK($Y51,IF(NOT(ISNA(MATCH(Combo_Species_Names,IF(Species_Availability="Yes",IF(Species_Evo_Numbers=1,Species_Names)),0))),Combo_Gym_Defense),0))</f>
        <v>#VALUE!</v>
      </c>
      <c r="L51" s="24" t="e">
        <f t="array" ref="L51">IF(OR(INDEX(Species_Availability,MATCH($N51,Species_Names,0))="No",INDEX(Species_Evo_Numbers,MATCH($N51,Species_Names,0))&lt;&gt;1),"N/A",$Y51/MAX(IF(NOT(ISNA(MATCH(Combo_Species_Names,IF(Species_Availability="Yes",IF(Species_Evo_Numbers=1,Species_Names)),0))),Combo_Gym_Defense)))</f>
        <v>#VALUE!</v>
      </c>
      <c r="M51" s="28">
        <f t="array" ref="M51">INDEX(Species_Pdex_Numbers,MATCH($N51,Species_Names,0))</f>
        <v>3</v>
      </c>
      <c r="N51" s="30" t="s">
        <v>67</v>
      </c>
      <c r="O51" s="31" t="s">
        <v>94</v>
      </c>
      <c r="P51" s="31" t="s">
        <v>192</v>
      </c>
      <c r="Q51" s="17" t="e">
        <f t="shared" si="0"/>
        <v>#VALUE!</v>
      </c>
      <c r="R51" s="32" t="e">
        <f t="array" ref="R51">IF(OR(AND(COUNTBLANK(Combo_Opponent_Type_1)=1,COUNTBLANK(Combo_Opponent_Type_2)=0),AND(AND(COUNTBLANK(Combo_Opponent_Type_1)=0,COUNTBLANK(Combo_Opponent_Type_2)=0),Combo_Opponent_Type_1=Combo_Opponent_Type_2)),
"Check Types",($S51*INDEX(Species_Tankiness,MATCH($N51,Species_Names,0)))/225)</f>
        <v>#VALUE!</v>
      </c>
      <c r="S51" s="32" t="e">
        <f t="array" ref="S51">IF(OR(AND(COUNTBLANK(Combo_Opponent_Type_1)=1,COUNTBLANK(Combo_Opponent_Type_2)=0),AND(AND(COUNTBLANK(Combo_Opponent_Type_1)=0,COUNTBLANK(Combo_Opponent_Type_2)=0),Combo_Opponent_Type_1=Combo_Opponent_Type_2)),
"Check Types",(
IF($W51&gt;=((1-Game_Weave_Human_Error)*$X51),$W51,$X51)*INDEX(Species_Attack,MATCH($N51,Species_Names,0)))/11)</f>
        <v>#VALUE!</v>
      </c>
      <c r="T51" s="33" t="e">
        <f t="shared" si="1"/>
        <v>#VALUE!</v>
      </c>
      <c r="U51" s="33">
        <f t="array" ref="U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51,Quick_Names,0))),Type_Species)),0),1)*IF(COUNTBLANK(Combo_Opponent_Type_2)=0,INDEX(Type_Damage_Multipliers,MATCH(Combo_Opponent_Type_2,IF(Type_Move=(INDEX(Quick_Type,MATCH($O51,Quick_Names,0))),Type_Species)),0),1)*(IF(OR(INDEX(Quick_Type,MATCH($O51,Quick_Names,0))=INDEX(Species_Type_1,MATCH($N51,Species_Names,0)),INDEX(Quick_Type,MATCH($O51,Quick_Names,0))=INDEX(Species_Type_2,MATCH($N51,Species_Names,0))),Game_STAB_Multiplier,1)))</f>
        <v>1.25</v>
      </c>
      <c r="V51" s="33">
        <f t="array" ref="V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51,Charge_Names,0))),Type_Species)),0),1)*IF(COUNTBLANK(Combo_Opponent_Type_2)=0,INDEX(Type_Damage_Multipliers,MATCH(Combo_Opponent_Type_2,IF(Type_Move=(INDEX(Charge_Type,MATCH($P51,Charge_Names,0))),Type_Species)),0),1)*
IF(OR(INDEX(Charge_Type,MATCH($P51,Charge_Names,0))=INDEX(Species_Type_1,MATCH($N51,Species_Names,0)),INDEX(Charge_Type,MATCH($P51,Charge_Names,0))=INDEX(Species_Type_2,MATCH($N51,Species_Names,0))),Game_STAB_Multiplier,1))</f>
        <v>1.25</v>
      </c>
      <c r="W51" s="33" t="s">
        <v>476</v>
      </c>
      <c r="X51" s="33" t="s">
        <v>499</v>
      </c>
      <c r="Y51" s="32" t="e">
        <f t="array" ref="Y51">((($Z51)*
INDEX(Species_Attack,MATCH($N51,Species_Names,0))*
INDEX(Species_Tankiness,MATCH($N51,Species_Names,0)))/1000)</f>
        <v>#VALUE!</v>
      </c>
      <c r="Z51" s="33" t="s">
        <v>500</v>
      </c>
    </row>
    <row r="52" spans="1:26" ht="14.25" customHeight="1" x14ac:dyDescent="0.2">
      <c r="A52" s="86"/>
      <c r="B52" s="22" t="str">
        <f t="array" ref="B52">CONCATENATE(TEXT($M52,"000"),".",TEXT(INDEX(Quick_Number,MATCH($O52,Quick_Names,0)),"000"),".",TEXT(INDEX(Charge_Number,MATCH($P52,Charge_Names,0)),"000"))</f>
        <v>003.215.116</v>
      </c>
      <c r="C52" s="23" t="e">
        <f t="array" ref="C52">RANK($S52,IF(Combo_Species_Names=$N52,Combo_Gym_Offense),0)</f>
        <v>#VALUE!</v>
      </c>
      <c r="D52" s="24" t="e">
        <f t="array" ref="D52">$S52/MAX(IF(Combo_Species_Names=$N52,Combo_Gym_Offense))</f>
        <v>#VALUE!</v>
      </c>
      <c r="E52" s="23" t="e">
        <f t="array" ref="E52">RANK($Y52,IF(Combo_Species_Names=$N52,Combo_Gym_Defense),0)</f>
        <v>#VALUE!</v>
      </c>
      <c r="F52" s="25" t="e">
        <f t="array" ref="F52">$Y52/MAX(IF(Combo_Species_Names=$N52,Combo_Gym_Defense))</f>
        <v>#VALUE!</v>
      </c>
      <c r="G52" s="23" t="e">
        <f t="array" ref="G52">IF(OR(INDEX(Species_Availability,MATCH($N52,Species_Names,0))="No",INDEX(Species_Evo_Numbers,MATCH($N52,Species_Names,0))&lt;&gt;1),"N/A",RANK($R52,IF(NOT(ISNA(MATCH(Combo_Species_Names,IF(Species_Availability="Yes",IF(Species_Evo_Numbers=1,Species_Names)),0))),Combo_Duel_Ability),0))</f>
        <v>#VALUE!</v>
      </c>
      <c r="H52" s="24" t="e">
        <f t="array" ref="H52">IF(OR(INDEX(Species_Availability,MATCH($N52,Species_Names,0))="No",INDEX(Species_Evo_Numbers,MATCH($N52,Species_Names,0))&lt;&gt;1),"N/A",$R52/MAX(IF(NOT(ISNA(MATCH(Combo_Species_Names,IF(Species_Availability="Yes",IF(Species_Evo_Numbers=1,Species_Names)),0))),Combo_Duel_Ability)))</f>
        <v>#VALUE!</v>
      </c>
      <c r="I52" s="23" t="e">
        <f t="array" ref="I52">IF(OR(INDEX(Species_Availability,MATCH($N52,Species_Names,0))="No",INDEX(Species_Evo_Numbers,MATCH($N52,Species_Names,0))&lt;&gt;1),"N/A",RANK($S52,IF(NOT(ISNA(MATCH(Combo_Species_Names,IF(Species_Availability="Yes",IF(Species_Evo_Numbers=1,Species_Names)),0))),Combo_Gym_Offense),0))</f>
        <v>#VALUE!</v>
      </c>
      <c r="J52" s="24" t="e">
        <f t="array" ref="J52">IF(OR(INDEX(Species_Availability,MATCH($N52,Species_Names,0))="No",INDEX(Species_Evo_Numbers,MATCH($N52,Species_Names,0))&lt;&gt;1),"N/A",$S52/MAX(IF(NOT(ISNA(MATCH(Combo_Species_Names,IF(Species_Availability="Yes",IF(Species_Evo_Numbers=1,Species_Names)),0))),Combo_Gym_Offense)))</f>
        <v>#VALUE!</v>
      </c>
      <c r="K52" s="23" t="e">
        <f t="array" ref="K52">IF(OR(INDEX(Species_Availability,MATCH($N52,Species_Names,0))="No",INDEX(Species_Evo_Numbers,MATCH($N52,Species_Names,0))&lt;&gt;1),"N/A",RANK($Y52,IF(NOT(ISNA(MATCH(Combo_Species_Names,IF(Species_Availability="Yes",IF(Species_Evo_Numbers=1,Species_Names)),0))),Combo_Gym_Defense),0))</f>
        <v>#VALUE!</v>
      </c>
      <c r="L52" s="24" t="e">
        <f t="array" ref="L52">IF(OR(INDEX(Species_Availability,MATCH($N52,Species_Names,0))="No",INDEX(Species_Evo_Numbers,MATCH($N52,Species_Names,0))&lt;&gt;1),"N/A",$Y52/MAX(IF(NOT(ISNA(MATCH(Combo_Species_Names,IF(Species_Availability="Yes",IF(Species_Evo_Numbers=1,Species_Names)),0))),Combo_Gym_Defense)))</f>
        <v>#VALUE!</v>
      </c>
      <c r="M52" s="28">
        <f t="array" ref="M52">INDEX(Species_Pdex_Numbers,MATCH($N52,Species_Names,0))</f>
        <v>3</v>
      </c>
      <c r="N52" s="30" t="s">
        <v>67</v>
      </c>
      <c r="O52" s="31" t="s">
        <v>102</v>
      </c>
      <c r="P52" s="31" t="s">
        <v>160</v>
      </c>
      <c r="Q52" s="17" t="e">
        <f t="shared" si="0"/>
        <v>#VALUE!</v>
      </c>
      <c r="R52" s="32" t="e">
        <f t="array" ref="R52">IF(OR(AND(COUNTBLANK(Combo_Opponent_Type_1)=1,COUNTBLANK(Combo_Opponent_Type_2)=0),AND(AND(COUNTBLANK(Combo_Opponent_Type_1)=0,COUNTBLANK(Combo_Opponent_Type_2)=0),Combo_Opponent_Type_1=Combo_Opponent_Type_2)),
"Check Types",($S52*INDEX(Species_Tankiness,MATCH($N52,Species_Names,0)))/225)</f>
        <v>#VALUE!</v>
      </c>
      <c r="S52" s="32" t="e">
        <f t="array" ref="S52">IF(OR(AND(COUNTBLANK(Combo_Opponent_Type_1)=1,COUNTBLANK(Combo_Opponent_Type_2)=0),AND(AND(COUNTBLANK(Combo_Opponent_Type_1)=0,COUNTBLANK(Combo_Opponent_Type_2)=0),Combo_Opponent_Type_1=Combo_Opponent_Type_2)),
"Check Types",(
IF($W52&gt;=((1-Game_Weave_Human_Error)*$X52),$W52,$X52)*INDEX(Species_Attack,MATCH($N52,Species_Names,0)))/11)</f>
        <v>#VALUE!</v>
      </c>
      <c r="T52" s="33" t="e">
        <f t="shared" si="1"/>
        <v>#VALUE!</v>
      </c>
      <c r="U52" s="33">
        <f t="array" ref="U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52,Quick_Names,0))),Type_Species)),0),1)*IF(COUNTBLANK(Combo_Opponent_Type_2)=0,INDEX(Type_Damage_Multipliers,MATCH(Combo_Opponent_Type_2,IF(Type_Move=(INDEX(Quick_Type,MATCH($O52,Quick_Names,0))),Type_Species)),0),1)*(IF(OR(INDEX(Quick_Type,MATCH($O52,Quick_Names,0))=INDEX(Species_Type_1,MATCH($N52,Species_Names,0)),INDEX(Quick_Type,MATCH($O52,Quick_Names,0))=INDEX(Species_Type_2,MATCH($N52,Species_Names,0))),Game_STAB_Multiplier,1)))</f>
        <v>1.25</v>
      </c>
      <c r="V52" s="33">
        <f t="array" ref="V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52,Charge_Names,0))),Type_Species)),0),1)*IF(COUNTBLANK(Combo_Opponent_Type_2)=0,INDEX(Type_Damage_Multipliers,MATCH(Combo_Opponent_Type_2,IF(Type_Move=(INDEX(Charge_Type,MATCH($P52,Charge_Names,0))),Type_Species)),0),1)*
IF(OR(INDEX(Charge_Type,MATCH($P52,Charge_Names,0))=INDEX(Species_Type_1,MATCH($N52,Species_Names,0)),INDEX(Charge_Type,MATCH($P52,Charge_Names,0))=INDEX(Species_Type_2,MATCH($N52,Species_Names,0))),Game_STAB_Multiplier,1))</f>
        <v>1.25</v>
      </c>
      <c r="W52" s="33" t="s">
        <v>501</v>
      </c>
      <c r="X52" s="33" t="s">
        <v>502</v>
      </c>
      <c r="Y52" s="32" t="e">
        <f t="array" ref="Y52">((($Z52)*
INDEX(Species_Attack,MATCH($N52,Species_Names,0))*
INDEX(Species_Tankiness,MATCH($N52,Species_Names,0)))/1000)</f>
        <v>#VALUE!</v>
      </c>
      <c r="Z52" s="33" t="s">
        <v>503</v>
      </c>
    </row>
    <row r="53" spans="1:26" ht="14.25" customHeight="1" x14ac:dyDescent="0.2">
      <c r="A53" s="86"/>
      <c r="B53" s="22" t="str">
        <f t="array" ref="B53">CONCATENATE(TEXT($M53,"000"),".",TEXT(INDEX(Quick_Number,MATCH($O53,Quick_Names,0)),"000"),".",TEXT(INDEX(Charge_Number,MATCH($P53,Charge_Names,0)),"000"))</f>
        <v>031.202.032</v>
      </c>
      <c r="C53" s="23" t="e">
        <f t="array" ref="C53">RANK($S53,IF(Combo_Species_Names=$N53,Combo_Gym_Offense),0)</f>
        <v>#VALUE!</v>
      </c>
      <c r="D53" s="24" t="e">
        <f t="array" ref="D53">$S53/MAX(IF(Combo_Species_Names=$N53,Combo_Gym_Offense))</f>
        <v>#VALUE!</v>
      </c>
      <c r="E53" s="23" t="e">
        <f t="array" ref="E53">RANK($Y53,IF(Combo_Species_Names=$N53,Combo_Gym_Defense),0)</f>
        <v>#VALUE!</v>
      </c>
      <c r="F53" s="25" t="e">
        <f t="array" ref="F53">$Y53/MAX(IF(Combo_Species_Names=$N53,Combo_Gym_Defense))</f>
        <v>#VALUE!</v>
      </c>
      <c r="G53" s="23" t="e">
        <f t="array" ref="G53">IF(OR(INDEX(Species_Availability,MATCH($N53,Species_Names,0))="No",INDEX(Species_Evo_Numbers,MATCH($N53,Species_Names,0))&lt;&gt;1),"N/A",RANK($R53,IF(NOT(ISNA(MATCH(Combo_Species_Names,IF(Species_Availability="Yes",IF(Species_Evo_Numbers=1,Species_Names)),0))),Combo_Duel_Ability),0))</f>
        <v>#VALUE!</v>
      </c>
      <c r="H53" s="24" t="e">
        <f t="array" ref="H53">IF(OR(INDEX(Species_Availability,MATCH($N53,Species_Names,0))="No",INDEX(Species_Evo_Numbers,MATCH($N53,Species_Names,0))&lt;&gt;1),"N/A",$R53/MAX(IF(NOT(ISNA(MATCH(Combo_Species_Names,IF(Species_Availability="Yes",IF(Species_Evo_Numbers=1,Species_Names)),0))),Combo_Duel_Ability)))</f>
        <v>#VALUE!</v>
      </c>
      <c r="I53" s="23" t="e">
        <f t="array" ref="I53">IF(OR(INDEX(Species_Availability,MATCH($N53,Species_Names,0))="No",INDEX(Species_Evo_Numbers,MATCH($N53,Species_Names,0))&lt;&gt;1),"N/A",RANK($S53,IF(NOT(ISNA(MATCH(Combo_Species_Names,IF(Species_Availability="Yes",IF(Species_Evo_Numbers=1,Species_Names)),0))),Combo_Gym_Offense),0))</f>
        <v>#VALUE!</v>
      </c>
      <c r="J53" s="24" t="e">
        <f t="array" ref="J53">IF(OR(INDEX(Species_Availability,MATCH($N53,Species_Names,0))="No",INDEX(Species_Evo_Numbers,MATCH($N53,Species_Names,0))&lt;&gt;1),"N/A",$S53/MAX(IF(NOT(ISNA(MATCH(Combo_Species_Names,IF(Species_Availability="Yes",IF(Species_Evo_Numbers=1,Species_Names)),0))),Combo_Gym_Offense)))</f>
        <v>#VALUE!</v>
      </c>
      <c r="K53" s="23" t="e">
        <f t="array" ref="K53">IF(OR(INDEX(Species_Availability,MATCH($N53,Species_Names,0))="No",INDEX(Species_Evo_Numbers,MATCH($N53,Species_Names,0))&lt;&gt;1),"N/A",RANK($Y53,IF(NOT(ISNA(MATCH(Combo_Species_Names,IF(Species_Availability="Yes",IF(Species_Evo_Numbers=1,Species_Names)),0))),Combo_Gym_Defense),0))</f>
        <v>#VALUE!</v>
      </c>
      <c r="L53" s="24" t="e">
        <f t="array" ref="L53">IF(OR(INDEX(Species_Availability,MATCH($N53,Species_Names,0))="No",INDEX(Species_Evo_Numbers,MATCH($N53,Species_Names,0))&lt;&gt;1),"N/A",$Y53/MAX(IF(NOT(ISNA(MATCH(Combo_Species_Names,IF(Species_Availability="Yes",IF(Species_Evo_Numbers=1,Species_Names)),0))),Combo_Gym_Defense)))</f>
        <v>#VALUE!</v>
      </c>
      <c r="M53" s="28">
        <f t="array" ref="M53">INDEX(Species_Pdex_Numbers,MATCH($N53,Species_Names,0))</f>
        <v>31</v>
      </c>
      <c r="N53" s="30" t="s">
        <v>152</v>
      </c>
      <c r="O53" s="31" t="s">
        <v>59</v>
      </c>
      <c r="P53" s="31" t="s">
        <v>149</v>
      </c>
      <c r="Q53" s="17" t="e">
        <f t="shared" si="0"/>
        <v>#VALUE!</v>
      </c>
      <c r="R53" s="32" t="e">
        <f t="array" ref="R53">IF(OR(AND(COUNTBLANK(Combo_Opponent_Type_1)=1,COUNTBLANK(Combo_Opponent_Type_2)=0),AND(AND(COUNTBLANK(Combo_Opponent_Type_1)=0,COUNTBLANK(Combo_Opponent_Type_2)=0),Combo_Opponent_Type_1=Combo_Opponent_Type_2)),
"Check Types",($S53*INDEX(Species_Tankiness,MATCH($N53,Species_Names,0)))/225)</f>
        <v>#VALUE!</v>
      </c>
      <c r="S53" s="32" t="e">
        <f t="array" ref="S53">IF(OR(AND(COUNTBLANK(Combo_Opponent_Type_1)=1,COUNTBLANK(Combo_Opponent_Type_2)=0),AND(AND(COUNTBLANK(Combo_Opponent_Type_1)=0,COUNTBLANK(Combo_Opponent_Type_2)=0),Combo_Opponent_Type_1=Combo_Opponent_Type_2)),
"Check Types",(
IF($W53&gt;=((1-Game_Weave_Human_Error)*$X53),$W53,$X53)*INDEX(Species_Attack,MATCH($N53,Species_Names,0)))/11)</f>
        <v>#VALUE!</v>
      </c>
      <c r="T53" s="33" t="e">
        <f t="shared" si="1"/>
        <v>#VALUE!</v>
      </c>
      <c r="U53" s="33">
        <f t="array" ref="U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53,Quick_Names,0))),Type_Species)),0),1)*IF(COUNTBLANK(Combo_Opponent_Type_2)=0,INDEX(Type_Damage_Multipliers,MATCH(Combo_Opponent_Type_2,IF(Type_Move=(INDEX(Quick_Type,MATCH($O53,Quick_Names,0))),Type_Species)),0),1)*(IF(OR(INDEX(Quick_Type,MATCH($O53,Quick_Names,0))=INDEX(Species_Type_1,MATCH($N53,Species_Names,0)),INDEX(Quick_Type,MATCH($O53,Quick_Names,0))=INDEX(Species_Type_2,MATCH($N53,Species_Names,0))),Game_STAB_Multiplier,1)))</f>
        <v>1</v>
      </c>
      <c r="V53" s="33">
        <f t="array" ref="V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53,Charge_Names,0))),Type_Species)),0),1)*IF(COUNTBLANK(Combo_Opponent_Type_2)=0,INDEX(Type_Damage_Multipliers,MATCH(Combo_Opponent_Type_2,IF(Type_Move=(INDEX(Charge_Type,MATCH($P53,Charge_Names,0))),Type_Species)),0),1)*
IF(OR(INDEX(Charge_Type,MATCH($P53,Charge_Names,0))=INDEX(Species_Type_1,MATCH($N53,Species_Names,0)),INDEX(Charge_Type,MATCH($P53,Charge_Names,0))=INDEX(Species_Type_2,MATCH($N53,Species_Names,0))),Game_STAB_Multiplier,1))</f>
        <v>1</v>
      </c>
      <c r="W53" s="33" t="s">
        <v>453</v>
      </c>
      <c r="X53" s="33" t="s">
        <v>504</v>
      </c>
      <c r="Y53" s="32" t="e">
        <f t="array" ref="Y53">((($Z53)*
INDEX(Species_Attack,MATCH($N53,Species_Names,0))*
INDEX(Species_Tankiness,MATCH($N53,Species_Names,0)))/1000)</f>
        <v>#VALUE!</v>
      </c>
      <c r="Z53" s="33" t="s">
        <v>505</v>
      </c>
    </row>
    <row r="54" spans="1:26" ht="14.25" customHeight="1" x14ac:dyDescent="0.2">
      <c r="A54" s="86"/>
      <c r="B54" s="22" t="str">
        <f t="array" ref="B54">CONCATENATE(TEXT($M54,"000"),".",TEXT(INDEX(Quick_Number,MATCH($O54,Quick_Names,0)),"000"),".",TEXT(INDEX(Charge_Number,MATCH($P54,Charge_Names,0)),"000"))</f>
        <v>003.214.090</v>
      </c>
      <c r="C54" s="23" t="e">
        <f t="array" ref="C54">RANK($S54,IF(Combo_Species_Names=$N54,Combo_Gym_Offense),0)</f>
        <v>#VALUE!</v>
      </c>
      <c r="D54" s="24" t="e">
        <f t="array" ref="D54">$S54/MAX(IF(Combo_Species_Names=$N54,Combo_Gym_Offense))</f>
        <v>#VALUE!</v>
      </c>
      <c r="E54" s="23" t="e">
        <f t="array" ref="E54">RANK($Y54,IF(Combo_Species_Names=$N54,Combo_Gym_Defense),0)</f>
        <v>#VALUE!</v>
      </c>
      <c r="F54" s="25" t="e">
        <f t="array" ref="F54">$Y54/MAX(IF(Combo_Species_Names=$N54,Combo_Gym_Defense))</f>
        <v>#VALUE!</v>
      </c>
      <c r="G54" s="23" t="e">
        <f t="array" ref="G54">IF(OR(INDEX(Species_Availability,MATCH($N54,Species_Names,0))="No",INDEX(Species_Evo_Numbers,MATCH($N54,Species_Names,0))&lt;&gt;1),"N/A",RANK($R54,IF(NOT(ISNA(MATCH(Combo_Species_Names,IF(Species_Availability="Yes",IF(Species_Evo_Numbers=1,Species_Names)),0))),Combo_Duel_Ability),0))</f>
        <v>#VALUE!</v>
      </c>
      <c r="H54" s="24" t="e">
        <f t="array" ref="H54">IF(OR(INDEX(Species_Availability,MATCH($N54,Species_Names,0))="No",INDEX(Species_Evo_Numbers,MATCH($N54,Species_Names,0))&lt;&gt;1),"N/A",$R54/MAX(IF(NOT(ISNA(MATCH(Combo_Species_Names,IF(Species_Availability="Yes",IF(Species_Evo_Numbers=1,Species_Names)),0))),Combo_Duel_Ability)))</f>
        <v>#VALUE!</v>
      </c>
      <c r="I54" s="23" t="e">
        <f t="array" ref="I54">IF(OR(INDEX(Species_Availability,MATCH($N54,Species_Names,0))="No",INDEX(Species_Evo_Numbers,MATCH($N54,Species_Names,0))&lt;&gt;1),"N/A",RANK($S54,IF(NOT(ISNA(MATCH(Combo_Species_Names,IF(Species_Availability="Yes",IF(Species_Evo_Numbers=1,Species_Names)),0))),Combo_Gym_Offense),0))</f>
        <v>#VALUE!</v>
      </c>
      <c r="J54" s="24" t="e">
        <f t="array" ref="J54">IF(OR(INDEX(Species_Availability,MATCH($N54,Species_Names,0))="No",INDEX(Species_Evo_Numbers,MATCH($N54,Species_Names,0))&lt;&gt;1),"N/A",$S54/MAX(IF(NOT(ISNA(MATCH(Combo_Species_Names,IF(Species_Availability="Yes",IF(Species_Evo_Numbers=1,Species_Names)),0))),Combo_Gym_Offense)))</f>
        <v>#VALUE!</v>
      </c>
      <c r="K54" s="23" t="e">
        <f t="array" ref="K54">IF(OR(INDEX(Species_Availability,MATCH($N54,Species_Names,0))="No",INDEX(Species_Evo_Numbers,MATCH($N54,Species_Names,0))&lt;&gt;1),"N/A",RANK($Y54,IF(NOT(ISNA(MATCH(Combo_Species_Names,IF(Species_Availability="Yes",IF(Species_Evo_Numbers=1,Species_Names)),0))),Combo_Gym_Defense),0))</f>
        <v>#VALUE!</v>
      </c>
      <c r="L54" s="24" t="e">
        <f t="array" ref="L54">IF(OR(INDEX(Species_Availability,MATCH($N54,Species_Names,0))="No",INDEX(Species_Evo_Numbers,MATCH($N54,Species_Names,0))&lt;&gt;1),"N/A",$Y54/MAX(IF(NOT(ISNA(MATCH(Combo_Species_Names,IF(Species_Availability="Yes",IF(Species_Evo_Numbers=1,Species_Names)),0))),Combo_Gym_Defense)))</f>
        <v>#VALUE!</v>
      </c>
      <c r="M54" s="28">
        <f t="array" ref="M54">INDEX(Species_Pdex_Numbers,MATCH($N54,Species_Names,0))</f>
        <v>3</v>
      </c>
      <c r="N54" s="30" t="s">
        <v>67</v>
      </c>
      <c r="O54" s="31" t="s">
        <v>94</v>
      </c>
      <c r="P54" s="31" t="s">
        <v>180</v>
      </c>
      <c r="Q54" s="17" t="e">
        <f t="shared" si="0"/>
        <v>#VALUE!</v>
      </c>
      <c r="R54" s="32" t="e">
        <f t="array" ref="R54">IF(OR(AND(COUNTBLANK(Combo_Opponent_Type_1)=1,COUNTBLANK(Combo_Opponent_Type_2)=0),AND(AND(COUNTBLANK(Combo_Opponent_Type_1)=0,COUNTBLANK(Combo_Opponent_Type_2)=0),Combo_Opponent_Type_1=Combo_Opponent_Type_2)),
"Check Types",($S54*INDEX(Species_Tankiness,MATCH($N54,Species_Names,0)))/225)</f>
        <v>#VALUE!</v>
      </c>
      <c r="S54" s="32" t="e">
        <f t="array" ref="S54">IF(OR(AND(COUNTBLANK(Combo_Opponent_Type_1)=1,COUNTBLANK(Combo_Opponent_Type_2)=0),AND(AND(COUNTBLANK(Combo_Opponent_Type_1)=0,COUNTBLANK(Combo_Opponent_Type_2)=0),Combo_Opponent_Type_1=Combo_Opponent_Type_2)),
"Check Types",(
IF($W54&gt;=((1-Game_Weave_Human_Error)*$X54),$W54,$X54)*INDEX(Species_Attack,MATCH($N54,Species_Names,0)))/11)</f>
        <v>#VALUE!</v>
      </c>
      <c r="T54" s="33" t="e">
        <f t="shared" si="1"/>
        <v>#VALUE!</v>
      </c>
      <c r="U54" s="33">
        <f t="array" ref="U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54,Quick_Names,0))),Type_Species)),0),1)*IF(COUNTBLANK(Combo_Opponent_Type_2)=0,INDEX(Type_Damage_Multipliers,MATCH(Combo_Opponent_Type_2,IF(Type_Move=(INDEX(Quick_Type,MATCH($O54,Quick_Names,0))),Type_Species)),0),1)*(IF(OR(INDEX(Quick_Type,MATCH($O54,Quick_Names,0))=INDEX(Species_Type_1,MATCH($N54,Species_Names,0)),INDEX(Quick_Type,MATCH($O54,Quick_Names,0))=INDEX(Species_Type_2,MATCH($N54,Species_Names,0))),Game_STAB_Multiplier,1)))</f>
        <v>1.25</v>
      </c>
      <c r="V54" s="33">
        <f t="array" ref="V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54,Charge_Names,0))),Type_Species)),0),1)*IF(COUNTBLANK(Combo_Opponent_Type_2)=0,INDEX(Type_Damage_Multipliers,MATCH(Combo_Opponent_Type_2,IF(Type_Move=(INDEX(Charge_Type,MATCH($P54,Charge_Names,0))),Type_Species)),0),1)*
IF(OR(INDEX(Charge_Type,MATCH($P54,Charge_Names,0))=INDEX(Species_Type_1,MATCH($N54,Species_Names,0)),INDEX(Charge_Type,MATCH($P54,Charge_Names,0))=INDEX(Species_Type_2,MATCH($N54,Species_Names,0))),Game_STAB_Multiplier,1))</f>
        <v>1.25</v>
      </c>
      <c r="W54" s="33" t="s">
        <v>476</v>
      </c>
      <c r="X54" s="33" t="s">
        <v>506</v>
      </c>
      <c r="Y54" s="32" t="e">
        <f t="array" ref="Y54">((($Z54)*
INDEX(Species_Attack,MATCH($N54,Species_Names,0))*
INDEX(Species_Tankiness,MATCH($N54,Species_Names,0)))/1000)</f>
        <v>#VALUE!</v>
      </c>
      <c r="Z54" s="33" t="s">
        <v>507</v>
      </c>
    </row>
    <row r="55" spans="1:26" ht="14.25" customHeight="1" x14ac:dyDescent="0.2">
      <c r="A55" s="86"/>
      <c r="B55" s="22" t="str">
        <f t="array" ref="B55">CONCATENATE(TEXT($M55,"000"),".",TEXT(INDEX(Quick_Number,MATCH($O55,Quick_Names,0)),"000"),".",TEXT(INDEX(Charge_Number,MATCH($P55,Charge_Names,0)),"000"))</f>
        <v>080.235.108</v>
      </c>
      <c r="C55" s="23" t="e">
        <f t="array" ref="C55">RANK($S55,IF(Combo_Species_Names=$N55,Combo_Gym_Offense),0)</f>
        <v>#VALUE!</v>
      </c>
      <c r="D55" s="24" t="e">
        <f t="array" ref="D55">$S55/MAX(IF(Combo_Species_Names=$N55,Combo_Gym_Offense))</f>
        <v>#VALUE!</v>
      </c>
      <c r="E55" s="23" t="e">
        <f t="array" ref="E55">RANK($Y55,IF(Combo_Species_Names=$N55,Combo_Gym_Defense),0)</f>
        <v>#VALUE!</v>
      </c>
      <c r="F55" s="25" t="e">
        <f t="array" ref="F55">$Y55/MAX(IF(Combo_Species_Names=$N55,Combo_Gym_Defense))</f>
        <v>#VALUE!</v>
      </c>
      <c r="G55" s="23" t="e">
        <f t="array" ref="G55">IF(OR(INDEX(Species_Availability,MATCH($N55,Species_Names,0))="No",INDEX(Species_Evo_Numbers,MATCH($N55,Species_Names,0))&lt;&gt;1),"N/A",RANK($R55,IF(NOT(ISNA(MATCH(Combo_Species_Names,IF(Species_Availability="Yes",IF(Species_Evo_Numbers=1,Species_Names)),0))),Combo_Duel_Ability),0))</f>
        <v>#VALUE!</v>
      </c>
      <c r="H55" s="24" t="e">
        <f t="array" ref="H55">IF(OR(INDEX(Species_Availability,MATCH($N55,Species_Names,0))="No",INDEX(Species_Evo_Numbers,MATCH($N55,Species_Names,0))&lt;&gt;1),"N/A",$R55/MAX(IF(NOT(ISNA(MATCH(Combo_Species_Names,IF(Species_Availability="Yes",IF(Species_Evo_Numbers=1,Species_Names)),0))),Combo_Duel_Ability)))</f>
        <v>#VALUE!</v>
      </c>
      <c r="I55" s="23" t="e">
        <f t="array" ref="I55">IF(OR(INDEX(Species_Availability,MATCH($N55,Species_Names,0))="No",INDEX(Species_Evo_Numbers,MATCH($N55,Species_Names,0))&lt;&gt;1),"N/A",RANK($S55,IF(NOT(ISNA(MATCH(Combo_Species_Names,IF(Species_Availability="Yes",IF(Species_Evo_Numbers=1,Species_Names)),0))),Combo_Gym_Offense),0))</f>
        <v>#VALUE!</v>
      </c>
      <c r="J55" s="24" t="e">
        <f t="array" ref="J55">IF(OR(INDEX(Species_Availability,MATCH($N55,Species_Names,0))="No",INDEX(Species_Evo_Numbers,MATCH($N55,Species_Names,0))&lt;&gt;1),"N/A",$S55/MAX(IF(NOT(ISNA(MATCH(Combo_Species_Names,IF(Species_Availability="Yes",IF(Species_Evo_Numbers=1,Species_Names)),0))),Combo_Gym_Offense)))</f>
        <v>#VALUE!</v>
      </c>
      <c r="K55" s="23" t="e">
        <f t="array" ref="K55">IF(OR(INDEX(Species_Availability,MATCH($N55,Species_Names,0))="No",INDEX(Species_Evo_Numbers,MATCH($N55,Species_Names,0))&lt;&gt;1),"N/A",RANK($Y55,IF(NOT(ISNA(MATCH(Combo_Species_Names,IF(Species_Availability="Yes",IF(Species_Evo_Numbers=1,Species_Names)),0))),Combo_Gym_Defense),0))</f>
        <v>#VALUE!</v>
      </c>
      <c r="L55" s="24" t="e">
        <f t="array" ref="L55">IF(OR(INDEX(Species_Availability,MATCH($N55,Species_Names,0))="No",INDEX(Species_Evo_Numbers,MATCH($N55,Species_Names,0))&lt;&gt;1),"N/A",$Y55/MAX(IF(NOT(ISNA(MATCH(Combo_Species_Names,IF(Species_Availability="Yes",IF(Species_Evo_Numbers=1,Species_Names)),0))),Combo_Gym_Defense)))</f>
        <v>#VALUE!</v>
      </c>
      <c r="M55" s="28">
        <f t="array" ref="M55">INDEX(Species_Pdex_Numbers,MATCH($N55,Species_Names,0))</f>
        <v>80</v>
      </c>
      <c r="N55" s="30" t="s">
        <v>252</v>
      </c>
      <c r="O55" s="31" t="s">
        <v>108</v>
      </c>
      <c r="P55" s="31" t="s">
        <v>58</v>
      </c>
      <c r="Q55" s="17" t="e">
        <f t="shared" si="0"/>
        <v>#VALUE!</v>
      </c>
      <c r="R55" s="32" t="e">
        <f t="array" ref="R55">IF(OR(AND(COUNTBLANK(Combo_Opponent_Type_1)=1,COUNTBLANK(Combo_Opponent_Type_2)=0),AND(AND(COUNTBLANK(Combo_Opponent_Type_1)=0,COUNTBLANK(Combo_Opponent_Type_2)=0),Combo_Opponent_Type_1=Combo_Opponent_Type_2)),
"Check Types",($S55*INDEX(Species_Tankiness,MATCH($N55,Species_Names,0)))/225)</f>
        <v>#VALUE!</v>
      </c>
      <c r="S55" s="32" t="e">
        <f t="array" ref="S55">IF(OR(AND(COUNTBLANK(Combo_Opponent_Type_1)=1,COUNTBLANK(Combo_Opponent_Type_2)=0),AND(AND(COUNTBLANK(Combo_Opponent_Type_1)=0,COUNTBLANK(Combo_Opponent_Type_2)=0),Combo_Opponent_Type_1=Combo_Opponent_Type_2)),
"Check Types",(
IF($W55&gt;=((1-Game_Weave_Human_Error)*$X55),$W55,$X55)*INDEX(Species_Attack,MATCH($N55,Species_Names,0)))/11)</f>
        <v>#VALUE!</v>
      </c>
      <c r="T55" s="33" t="e">
        <f t="shared" si="1"/>
        <v>#VALUE!</v>
      </c>
      <c r="U55" s="33">
        <f t="array" ref="U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55,Quick_Names,0))),Type_Species)),0),1)*IF(COUNTBLANK(Combo_Opponent_Type_2)=0,INDEX(Type_Damage_Multipliers,MATCH(Combo_Opponent_Type_2,IF(Type_Move=(INDEX(Quick_Type,MATCH($O55,Quick_Names,0))),Type_Species)),0),1)*(IF(OR(INDEX(Quick_Type,MATCH($O55,Quick_Names,0))=INDEX(Species_Type_1,MATCH($N55,Species_Names,0)),INDEX(Quick_Type,MATCH($O55,Quick_Names,0))=INDEX(Species_Type_2,MATCH($N55,Species_Names,0))),Game_STAB_Multiplier,1)))</f>
        <v>1.25</v>
      </c>
      <c r="V55" s="33">
        <f t="array" ref="V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55,Charge_Names,0))),Type_Species)),0),1)*IF(COUNTBLANK(Combo_Opponent_Type_2)=0,INDEX(Type_Damage_Multipliers,MATCH(Combo_Opponent_Type_2,IF(Type_Move=(INDEX(Charge_Type,MATCH($P55,Charge_Names,0))),Type_Species)),0),1)*
IF(OR(INDEX(Charge_Type,MATCH($P55,Charge_Names,0))=INDEX(Species_Type_1,MATCH($N55,Species_Names,0)),INDEX(Charge_Type,MATCH($P55,Charge_Names,0))=INDEX(Species_Type_2,MATCH($N55,Species_Names,0))),Game_STAB_Multiplier,1))</f>
        <v>1.25</v>
      </c>
      <c r="W55" s="33" t="s">
        <v>467</v>
      </c>
      <c r="X55" s="33" t="s">
        <v>495</v>
      </c>
      <c r="Y55" s="32" t="e">
        <f t="array" ref="Y55">((($Z55)*
INDEX(Species_Attack,MATCH($N55,Species_Names,0))*
INDEX(Species_Tankiness,MATCH($N55,Species_Names,0)))/1000)</f>
        <v>#VALUE!</v>
      </c>
      <c r="Z55" s="33" t="s">
        <v>440</v>
      </c>
    </row>
    <row r="56" spans="1:26" ht="14.25" customHeight="1" x14ac:dyDescent="0.2">
      <c r="A56" s="86"/>
      <c r="B56" s="22" t="str">
        <f t="array" ref="B56">CONCATENATE(TEXT($M56,"000"),".",TEXT(INDEX(Quick_Number,MATCH($O56,Quick_Names,0)),"000"),".",TEXT(INDEX(Charge_Number,MATCH($P56,Charge_Names,0)),"000"))</f>
        <v>040.222.014</v>
      </c>
      <c r="C56" s="23" t="e">
        <f t="array" ref="C56">RANK($S56,IF(Combo_Species_Names=$N56,Combo_Gym_Offense),0)</f>
        <v>#VALUE!</v>
      </c>
      <c r="D56" s="24" t="e">
        <f t="array" ref="D56">$S56/MAX(IF(Combo_Species_Names=$N56,Combo_Gym_Offense))</f>
        <v>#VALUE!</v>
      </c>
      <c r="E56" s="23" t="e">
        <f t="array" ref="E56">RANK($Y56,IF(Combo_Species_Names=$N56,Combo_Gym_Defense),0)</f>
        <v>#VALUE!</v>
      </c>
      <c r="F56" s="25" t="e">
        <f t="array" ref="F56">$Y56/MAX(IF(Combo_Species_Names=$N56,Combo_Gym_Defense))</f>
        <v>#VALUE!</v>
      </c>
      <c r="G56" s="23" t="e">
        <f t="array" ref="G56">IF(OR(INDEX(Species_Availability,MATCH($N56,Species_Names,0))="No",INDEX(Species_Evo_Numbers,MATCH($N56,Species_Names,0))&lt;&gt;1),"N/A",RANK($R56,IF(NOT(ISNA(MATCH(Combo_Species_Names,IF(Species_Availability="Yes",IF(Species_Evo_Numbers=1,Species_Names)),0))),Combo_Duel_Ability),0))</f>
        <v>#VALUE!</v>
      </c>
      <c r="H56" s="24" t="e">
        <f t="array" ref="H56">IF(OR(INDEX(Species_Availability,MATCH($N56,Species_Names,0))="No",INDEX(Species_Evo_Numbers,MATCH($N56,Species_Names,0))&lt;&gt;1),"N/A",$R56/MAX(IF(NOT(ISNA(MATCH(Combo_Species_Names,IF(Species_Availability="Yes",IF(Species_Evo_Numbers=1,Species_Names)),0))),Combo_Duel_Ability)))</f>
        <v>#VALUE!</v>
      </c>
      <c r="I56" s="23" t="e">
        <f t="array" ref="I56">IF(OR(INDEX(Species_Availability,MATCH($N56,Species_Names,0))="No",INDEX(Species_Evo_Numbers,MATCH($N56,Species_Names,0))&lt;&gt;1),"N/A",RANK($S56,IF(NOT(ISNA(MATCH(Combo_Species_Names,IF(Species_Availability="Yes",IF(Species_Evo_Numbers=1,Species_Names)),0))),Combo_Gym_Offense),0))</f>
        <v>#VALUE!</v>
      </c>
      <c r="J56" s="24" t="e">
        <f t="array" ref="J56">IF(OR(INDEX(Species_Availability,MATCH($N56,Species_Names,0))="No",INDEX(Species_Evo_Numbers,MATCH($N56,Species_Names,0))&lt;&gt;1),"N/A",$S56/MAX(IF(NOT(ISNA(MATCH(Combo_Species_Names,IF(Species_Availability="Yes",IF(Species_Evo_Numbers=1,Species_Names)),0))),Combo_Gym_Offense)))</f>
        <v>#VALUE!</v>
      </c>
      <c r="K56" s="23" t="e">
        <f t="array" ref="K56">IF(OR(INDEX(Species_Availability,MATCH($N56,Species_Names,0))="No",INDEX(Species_Evo_Numbers,MATCH($N56,Species_Names,0))&lt;&gt;1),"N/A",RANK($Y56,IF(NOT(ISNA(MATCH(Combo_Species_Names,IF(Species_Availability="Yes",IF(Species_Evo_Numbers=1,Species_Names)),0))),Combo_Gym_Defense),0))</f>
        <v>#VALUE!</v>
      </c>
      <c r="L56" s="24" t="e">
        <f t="array" ref="L56">IF(OR(INDEX(Species_Availability,MATCH($N56,Species_Names,0))="No",INDEX(Species_Evo_Numbers,MATCH($N56,Species_Names,0))&lt;&gt;1),"N/A",$Y56/MAX(IF(NOT(ISNA(MATCH(Combo_Species_Names,IF(Species_Availability="Yes",IF(Species_Evo_Numbers=1,Species_Names)),0))),Combo_Gym_Defense)))</f>
        <v>#VALUE!</v>
      </c>
      <c r="M56" s="28">
        <f t="array" ref="M56">INDEX(Species_Pdex_Numbers,MATCH($N56,Species_Names,0))</f>
        <v>40</v>
      </c>
      <c r="N56" s="30" t="s">
        <v>171</v>
      </c>
      <c r="O56" s="31" t="s">
        <v>32</v>
      </c>
      <c r="P56" s="31" t="s">
        <v>130</v>
      </c>
      <c r="Q56" s="17" t="e">
        <f t="shared" si="0"/>
        <v>#VALUE!</v>
      </c>
      <c r="R56" s="32" t="e">
        <f t="array" ref="R56">IF(OR(AND(COUNTBLANK(Combo_Opponent_Type_1)=1,COUNTBLANK(Combo_Opponent_Type_2)=0),AND(AND(COUNTBLANK(Combo_Opponent_Type_1)=0,COUNTBLANK(Combo_Opponent_Type_2)=0),Combo_Opponent_Type_1=Combo_Opponent_Type_2)),
"Check Types",($S56*INDEX(Species_Tankiness,MATCH($N56,Species_Names,0)))/225)</f>
        <v>#VALUE!</v>
      </c>
      <c r="S56" s="32" t="e">
        <f t="array" ref="S56">IF(OR(AND(COUNTBLANK(Combo_Opponent_Type_1)=1,COUNTBLANK(Combo_Opponent_Type_2)=0),AND(AND(COUNTBLANK(Combo_Opponent_Type_1)=0,COUNTBLANK(Combo_Opponent_Type_2)=0),Combo_Opponent_Type_1=Combo_Opponent_Type_2)),
"Check Types",(
IF($W56&gt;=((1-Game_Weave_Human_Error)*$X56),$W56,$X56)*INDEX(Species_Attack,MATCH($N56,Species_Names,0)))/11)</f>
        <v>#VALUE!</v>
      </c>
      <c r="T56" s="33" t="e">
        <f t="shared" si="1"/>
        <v>#VALUE!</v>
      </c>
      <c r="U56" s="33">
        <f t="array" ref="U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56,Quick_Names,0))),Type_Species)),0),1)*IF(COUNTBLANK(Combo_Opponent_Type_2)=0,INDEX(Type_Damage_Multipliers,MATCH(Combo_Opponent_Type_2,IF(Type_Move=(INDEX(Quick_Type,MATCH($O56,Quick_Names,0))),Type_Species)),0),1)*(IF(OR(INDEX(Quick_Type,MATCH($O56,Quick_Names,0))=INDEX(Species_Type_1,MATCH($N56,Species_Names,0)),INDEX(Quick_Type,MATCH($O56,Quick_Names,0))=INDEX(Species_Type_2,MATCH($N56,Species_Names,0))),Game_STAB_Multiplier,1)))</f>
        <v>1.25</v>
      </c>
      <c r="V56" s="33">
        <f t="array" ref="V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56,Charge_Names,0))),Type_Species)),0),1)*IF(COUNTBLANK(Combo_Opponent_Type_2)=0,INDEX(Type_Damage_Multipliers,MATCH(Combo_Opponent_Type_2,IF(Type_Move=(INDEX(Charge_Type,MATCH($P56,Charge_Names,0))),Type_Species)),0),1)*
IF(OR(INDEX(Charge_Type,MATCH($P56,Charge_Names,0))=INDEX(Species_Type_1,MATCH($N56,Species_Names,0)),INDEX(Charge_Type,MATCH($P56,Charge_Names,0))=INDEX(Species_Type_2,MATCH($N56,Species_Names,0))),Game_STAB_Multiplier,1))</f>
        <v>1.25</v>
      </c>
      <c r="W56" s="33" t="s">
        <v>508</v>
      </c>
      <c r="X56" s="33" t="s">
        <v>509</v>
      </c>
      <c r="Y56" s="32" t="e">
        <f t="array" ref="Y56">((($Z56)*
INDEX(Species_Attack,MATCH($N56,Species_Names,0))*
INDEX(Species_Tankiness,MATCH($N56,Species_Names,0)))/1000)</f>
        <v>#VALUE!</v>
      </c>
      <c r="Z56" s="33" t="s">
        <v>510</v>
      </c>
    </row>
    <row r="57" spans="1:26" ht="14.25" customHeight="1" x14ac:dyDescent="0.2">
      <c r="A57" s="86"/>
      <c r="B57" s="22" t="str">
        <f t="array" ref="B57">CONCATENATE(TEXT($M57,"000"),".",TEXT(INDEX(Quick_Number,MATCH($O57,Quick_Names,0)),"000"),".",TEXT(INDEX(Charge_Number,MATCH($P57,Charge_Names,0)),"000"))</f>
        <v>089.225.092</v>
      </c>
      <c r="C57" s="23" t="e">
        <f t="array" ref="C57">RANK($S57,IF(Combo_Species_Names=$N57,Combo_Gym_Offense),0)</f>
        <v>#VALUE!</v>
      </c>
      <c r="D57" s="24" t="e">
        <f t="array" ref="D57">$S57/MAX(IF(Combo_Species_Names=$N57,Combo_Gym_Offense))</f>
        <v>#VALUE!</v>
      </c>
      <c r="E57" s="23" t="e">
        <f t="array" ref="E57">RANK($Y57,IF(Combo_Species_Names=$N57,Combo_Gym_Defense),0)</f>
        <v>#VALUE!</v>
      </c>
      <c r="F57" s="25" t="e">
        <f t="array" ref="F57">$Y57/MAX(IF(Combo_Species_Names=$N57,Combo_Gym_Defense))</f>
        <v>#VALUE!</v>
      </c>
      <c r="G57" s="23" t="e">
        <f t="array" ref="G57">IF(OR(INDEX(Species_Availability,MATCH($N57,Species_Names,0))="No",INDEX(Species_Evo_Numbers,MATCH($N57,Species_Names,0))&lt;&gt;1),"N/A",RANK($R57,IF(NOT(ISNA(MATCH(Combo_Species_Names,IF(Species_Availability="Yes",IF(Species_Evo_Numbers=1,Species_Names)),0))),Combo_Duel_Ability),0))</f>
        <v>#VALUE!</v>
      </c>
      <c r="H57" s="24" t="e">
        <f t="array" ref="H57">IF(OR(INDEX(Species_Availability,MATCH($N57,Species_Names,0))="No",INDEX(Species_Evo_Numbers,MATCH($N57,Species_Names,0))&lt;&gt;1),"N/A",$R57/MAX(IF(NOT(ISNA(MATCH(Combo_Species_Names,IF(Species_Availability="Yes",IF(Species_Evo_Numbers=1,Species_Names)),0))),Combo_Duel_Ability)))</f>
        <v>#VALUE!</v>
      </c>
      <c r="I57" s="23" t="e">
        <f t="array" ref="I57">IF(OR(INDEX(Species_Availability,MATCH($N57,Species_Names,0))="No",INDEX(Species_Evo_Numbers,MATCH($N57,Species_Names,0))&lt;&gt;1),"N/A",RANK($S57,IF(NOT(ISNA(MATCH(Combo_Species_Names,IF(Species_Availability="Yes",IF(Species_Evo_Numbers=1,Species_Names)),0))),Combo_Gym_Offense),0))</f>
        <v>#VALUE!</v>
      </c>
      <c r="J57" s="24" t="e">
        <f t="array" ref="J57">IF(OR(INDEX(Species_Availability,MATCH($N57,Species_Names,0))="No",INDEX(Species_Evo_Numbers,MATCH($N57,Species_Names,0))&lt;&gt;1),"N/A",$S57/MAX(IF(NOT(ISNA(MATCH(Combo_Species_Names,IF(Species_Availability="Yes",IF(Species_Evo_Numbers=1,Species_Names)),0))),Combo_Gym_Offense)))</f>
        <v>#VALUE!</v>
      </c>
      <c r="K57" s="23" t="e">
        <f t="array" ref="K57">IF(OR(INDEX(Species_Availability,MATCH($N57,Species_Names,0))="No",INDEX(Species_Evo_Numbers,MATCH($N57,Species_Names,0))&lt;&gt;1),"N/A",RANK($Y57,IF(NOT(ISNA(MATCH(Combo_Species_Names,IF(Species_Availability="Yes",IF(Species_Evo_Numbers=1,Species_Names)),0))),Combo_Gym_Defense),0))</f>
        <v>#VALUE!</v>
      </c>
      <c r="L57" s="24" t="e">
        <f t="array" ref="L57">IF(OR(INDEX(Species_Availability,MATCH($N57,Species_Names,0))="No",INDEX(Species_Evo_Numbers,MATCH($N57,Species_Names,0))&lt;&gt;1),"N/A",$Y57/MAX(IF(NOT(ISNA(MATCH(Combo_Species_Names,IF(Species_Availability="Yes",IF(Species_Evo_Numbers=1,Species_Names)),0))),Combo_Gym_Defense)))</f>
        <v>#VALUE!</v>
      </c>
      <c r="M57" s="28">
        <f t="array" ref="M57">INDEX(Species_Pdex_Numbers,MATCH($N57,Species_Names,0))</f>
        <v>89</v>
      </c>
      <c r="N57" s="30" t="s">
        <v>272</v>
      </c>
      <c r="O57" s="31" t="s">
        <v>110</v>
      </c>
      <c r="P57" s="31" t="s">
        <v>176</v>
      </c>
      <c r="Q57" s="17" t="e">
        <f t="shared" si="0"/>
        <v>#VALUE!</v>
      </c>
      <c r="R57" s="32" t="e">
        <f t="array" ref="R57">IF(OR(AND(COUNTBLANK(Combo_Opponent_Type_1)=1,COUNTBLANK(Combo_Opponent_Type_2)=0),AND(AND(COUNTBLANK(Combo_Opponent_Type_1)=0,COUNTBLANK(Combo_Opponent_Type_2)=0),Combo_Opponent_Type_1=Combo_Opponent_Type_2)),
"Check Types",($S57*INDEX(Species_Tankiness,MATCH($N57,Species_Names,0)))/225)</f>
        <v>#VALUE!</v>
      </c>
      <c r="S57" s="32" t="e">
        <f t="array" ref="S57">IF(OR(AND(COUNTBLANK(Combo_Opponent_Type_1)=1,COUNTBLANK(Combo_Opponent_Type_2)=0),AND(AND(COUNTBLANK(Combo_Opponent_Type_1)=0,COUNTBLANK(Combo_Opponent_Type_2)=0),Combo_Opponent_Type_1=Combo_Opponent_Type_2)),
"Check Types",(
IF($W57&gt;=((1-Game_Weave_Human_Error)*$X57),$W57,$X57)*INDEX(Species_Attack,MATCH($N57,Species_Names,0)))/11)</f>
        <v>#VALUE!</v>
      </c>
      <c r="T57" s="33" t="e">
        <f t="shared" si="1"/>
        <v>#VALUE!</v>
      </c>
      <c r="U57" s="33">
        <f t="array" ref="U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57,Quick_Names,0))),Type_Species)),0),1)*IF(COUNTBLANK(Combo_Opponent_Type_2)=0,INDEX(Type_Damage_Multipliers,MATCH(Combo_Opponent_Type_2,IF(Type_Move=(INDEX(Quick_Type,MATCH($O57,Quick_Names,0))),Type_Species)),0),1)*(IF(OR(INDEX(Quick_Type,MATCH($O57,Quick_Names,0))=INDEX(Species_Type_1,MATCH($N57,Species_Names,0)),INDEX(Quick_Type,MATCH($O57,Quick_Names,0))=INDEX(Species_Type_2,MATCH($N57,Species_Names,0))),Game_STAB_Multiplier,1)))</f>
        <v>1.25</v>
      </c>
      <c r="V57" s="33">
        <f t="array" ref="V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57,Charge_Names,0))),Type_Species)),0),1)*IF(COUNTBLANK(Combo_Opponent_Type_2)=0,INDEX(Type_Damage_Multipliers,MATCH(Combo_Opponent_Type_2,IF(Type_Move=(INDEX(Charge_Type,MATCH($P57,Charge_Names,0))),Type_Species)),0),1)*
IF(OR(INDEX(Charge_Type,MATCH($P57,Charge_Names,0))=INDEX(Species_Type_1,MATCH($N57,Species_Names,0)),INDEX(Charge_Type,MATCH($P57,Charge_Names,0))=INDEX(Species_Type_2,MATCH($N57,Species_Names,0))),Game_STAB_Multiplier,1))</f>
        <v>1.25</v>
      </c>
      <c r="W57" s="33" t="s">
        <v>511</v>
      </c>
      <c r="X57" s="33" t="s">
        <v>512</v>
      </c>
      <c r="Y57" s="32" t="e">
        <f t="array" ref="Y57">((($Z57)*
INDEX(Species_Attack,MATCH($N57,Species_Names,0))*
INDEX(Species_Tankiness,MATCH($N57,Species_Names,0)))/1000)</f>
        <v>#VALUE!</v>
      </c>
      <c r="Z57" s="33" t="s">
        <v>513</v>
      </c>
    </row>
    <row r="58" spans="1:26" ht="14.25" customHeight="1" x14ac:dyDescent="0.2">
      <c r="A58" s="86"/>
      <c r="B58" s="22" t="str">
        <f t="array" ref="B58">CONCATENATE(TEXT($M58,"000"),".",TEXT(INDEX(Quick_Number,MATCH($O58,Quick_Names,0)),"000"),".",TEXT(INDEX(Charge_Number,MATCH($P58,Charge_Names,0)),"000"))</f>
        <v>055.230.107</v>
      </c>
      <c r="C58" s="23" t="e">
        <f t="array" ref="C58">RANK($S58,IF(Combo_Species_Names=$N58,Combo_Gym_Offense),0)</f>
        <v>#VALUE!</v>
      </c>
      <c r="D58" s="24" t="e">
        <f t="array" ref="D58">$S58/MAX(IF(Combo_Species_Names=$N58,Combo_Gym_Offense))</f>
        <v>#VALUE!</v>
      </c>
      <c r="E58" s="23" t="e">
        <f t="array" ref="E58">RANK($Y58,IF(Combo_Species_Names=$N58,Combo_Gym_Defense),0)</f>
        <v>#VALUE!</v>
      </c>
      <c r="F58" s="25" t="e">
        <f t="array" ref="F58">$Y58/MAX(IF(Combo_Species_Names=$N58,Combo_Gym_Defense))</f>
        <v>#VALUE!</v>
      </c>
      <c r="G58" s="23" t="e">
        <f t="array" ref="G58">IF(OR(INDEX(Species_Availability,MATCH($N58,Species_Names,0))="No",INDEX(Species_Evo_Numbers,MATCH($N58,Species_Names,0))&lt;&gt;1),"N/A",RANK($R58,IF(NOT(ISNA(MATCH(Combo_Species_Names,IF(Species_Availability="Yes",IF(Species_Evo_Numbers=1,Species_Names)),0))),Combo_Duel_Ability),0))</f>
        <v>#VALUE!</v>
      </c>
      <c r="H58" s="24" t="e">
        <f t="array" ref="H58">IF(OR(INDEX(Species_Availability,MATCH($N58,Species_Names,0))="No",INDEX(Species_Evo_Numbers,MATCH($N58,Species_Names,0))&lt;&gt;1),"N/A",$R58/MAX(IF(NOT(ISNA(MATCH(Combo_Species_Names,IF(Species_Availability="Yes",IF(Species_Evo_Numbers=1,Species_Names)),0))),Combo_Duel_Ability)))</f>
        <v>#VALUE!</v>
      </c>
      <c r="I58" s="23" t="e">
        <f t="array" ref="I58">IF(OR(INDEX(Species_Availability,MATCH($N58,Species_Names,0))="No",INDEX(Species_Evo_Numbers,MATCH($N58,Species_Names,0))&lt;&gt;1),"N/A",RANK($S58,IF(NOT(ISNA(MATCH(Combo_Species_Names,IF(Species_Availability="Yes",IF(Species_Evo_Numbers=1,Species_Names)),0))),Combo_Gym_Offense),0))</f>
        <v>#VALUE!</v>
      </c>
      <c r="J58" s="24" t="e">
        <f t="array" ref="J58">IF(OR(INDEX(Species_Availability,MATCH($N58,Species_Names,0))="No",INDEX(Species_Evo_Numbers,MATCH($N58,Species_Names,0))&lt;&gt;1),"N/A",$S58/MAX(IF(NOT(ISNA(MATCH(Combo_Species_Names,IF(Species_Availability="Yes",IF(Species_Evo_Numbers=1,Species_Names)),0))),Combo_Gym_Offense)))</f>
        <v>#VALUE!</v>
      </c>
      <c r="K58" s="23" t="e">
        <f t="array" ref="K58">IF(OR(INDEX(Species_Availability,MATCH($N58,Species_Names,0))="No",INDEX(Species_Evo_Numbers,MATCH($N58,Species_Names,0))&lt;&gt;1),"N/A",RANK($Y58,IF(NOT(ISNA(MATCH(Combo_Species_Names,IF(Species_Availability="Yes",IF(Species_Evo_Numbers=1,Species_Names)),0))),Combo_Gym_Defense),0))</f>
        <v>#VALUE!</v>
      </c>
      <c r="L58" s="24" t="e">
        <f t="array" ref="L58">IF(OR(INDEX(Species_Availability,MATCH($N58,Species_Names,0))="No",INDEX(Species_Evo_Numbers,MATCH($N58,Species_Names,0))&lt;&gt;1),"N/A",$Y58/MAX(IF(NOT(ISNA(MATCH(Combo_Species_Names,IF(Species_Availability="Yes",IF(Species_Evo_Numbers=1,Species_Names)),0))),Combo_Gym_Defense)))</f>
        <v>#VALUE!</v>
      </c>
      <c r="M58" s="28">
        <f t="array" ref="M58">INDEX(Species_Pdex_Numbers,MATCH($N58,Species_Names,0))</f>
        <v>55</v>
      </c>
      <c r="N58" s="30" t="s">
        <v>199</v>
      </c>
      <c r="O58" s="31" t="s">
        <v>65</v>
      </c>
      <c r="P58" s="31" t="s">
        <v>170</v>
      </c>
      <c r="Q58" s="17" t="e">
        <f t="shared" si="0"/>
        <v>#VALUE!</v>
      </c>
      <c r="R58" s="32" t="e">
        <f t="array" ref="R58">IF(OR(AND(COUNTBLANK(Combo_Opponent_Type_1)=1,COUNTBLANK(Combo_Opponent_Type_2)=0),AND(AND(COUNTBLANK(Combo_Opponent_Type_1)=0,COUNTBLANK(Combo_Opponent_Type_2)=0),Combo_Opponent_Type_1=Combo_Opponent_Type_2)),
"Check Types",($S58*INDEX(Species_Tankiness,MATCH($N58,Species_Names,0)))/225)</f>
        <v>#VALUE!</v>
      </c>
      <c r="S58" s="32" t="e">
        <f t="array" ref="S58">IF(OR(AND(COUNTBLANK(Combo_Opponent_Type_1)=1,COUNTBLANK(Combo_Opponent_Type_2)=0),AND(AND(COUNTBLANK(Combo_Opponent_Type_1)=0,COUNTBLANK(Combo_Opponent_Type_2)=0),Combo_Opponent_Type_1=Combo_Opponent_Type_2)),
"Check Types",(
IF($W58&gt;=((1-Game_Weave_Human_Error)*$X58),$W58,$X58)*INDEX(Species_Attack,MATCH($N58,Species_Names,0)))/11)</f>
        <v>#VALUE!</v>
      </c>
      <c r="T58" s="33" t="e">
        <f t="shared" si="1"/>
        <v>#VALUE!</v>
      </c>
      <c r="U58" s="33">
        <f t="array" ref="U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58,Quick_Names,0))),Type_Species)),0),1)*IF(COUNTBLANK(Combo_Opponent_Type_2)=0,INDEX(Type_Damage_Multipliers,MATCH(Combo_Opponent_Type_2,IF(Type_Move=(INDEX(Quick_Type,MATCH($O58,Quick_Names,0))),Type_Species)),0),1)*(IF(OR(INDEX(Quick_Type,MATCH($O58,Quick_Names,0))=INDEX(Species_Type_1,MATCH($N58,Species_Names,0)),INDEX(Quick_Type,MATCH($O58,Quick_Names,0))=INDEX(Species_Type_2,MATCH($N58,Species_Names,0))),Game_STAB_Multiplier,1)))</f>
        <v>1.25</v>
      </c>
      <c r="V58" s="33">
        <f t="array" ref="V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58,Charge_Names,0))),Type_Species)),0),1)*IF(COUNTBLANK(Combo_Opponent_Type_2)=0,INDEX(Type_Damage_Multipliers,MATCH(Combo_Opponent_Type_2,IF(Type_Move=(INDEX(Charge_Type,MATCH($P58,Charge_Names,0))),Type_Species)),0),1)*
IF(OR(INDEX(Charge_Type,MATCH($P58,Charge_Names,0))=INDEX(Species_Type_1,MATCH($N58,Species_Names,0)),INDEX(Charge_Type,MATCH($P58,Charge_Names,0))=INDEX(Species_Type_2,MATCH($N58,Species_Names,0))),Game_STAB_Multiplier,1))</f>
        <v>1.25</v>
      </c>
      <c r="W58" s="33" t="s">
        <v>412</v>
      </c>
      <c r="X58" s="33" t="s">
        <v>425</v>
      </c>
      <c r="Y58" s="32" t="e">
        <f t="array" ref="Y58">((($Z58)*
INDEX(Species_Attack,MATCH($N58,Species_Names,0))*
INDEX(Species_Tankiness,MATCH($N58,Species_Names,0)))/1000)</f>
        <v>#VALUE!</v>
      </c>
      <c r="Z58" s="33" t="s">
        <v>426</v>
      </c>
    </row>
    <row r="59" spans="1:26" ht="14.25" customHeight="1" x14ac:dyDescent="0.2">
      <c r="A59" s="86"/>
      <c r="B59" s="22" t="str">
        <f t="array" ref="B59">CONCATENATE(TEXT($M59,"000"),".",TEXT(INDEX(Quick_Number,MATCH($O59,Quick_Names,0)),"000"),".",TEXT(INDEX(Charge_Number,MATCH($P59,Charge_Names,0)),"000"))</f>
        <v>080.230.039</v>
      </c>
      <c r="C59" s="23" t="e">
        <f t="array" ref="C59">RANK($S59,IF(Combo_Species_Names=$N59,Combo_Gym_Offense),0)</f>
        <v>#VALUE!</v>
      </c>
      <c r="D59" s="24" t="e">
        <f t="array" ref="D59">$S59/MAX(IF(Combo_Species_Names=$N59,Combo_Gym_Offense))</f>
        <v>#VALUE!</v>
      </c>
      <c r="E59" s="23" t="e">
        <f t="array" ref="E59">RANK($Y59,IF(Combo_Species_Names=$N59,Combo_Gym_Defense),0)</f>
        <v>#VALUE!</v>
      </c>
      <c r="F59" s="25" t="e">
        <f t="array" ref="F59">$Y59/MAX(IF(Combo_Species_Names=$N59,Combo_Gym_Defense))</f>
        <v>#VALUE!</v>
      </c>
      <c r="G59" s="23" t="e">
        <f t="array" ref="G59">IF(OR(INDEX(Species_Availability,MATCH($N59,Species_Names,0))="No",INDEX(Species_Evo_Numbers,MATCH($N59,Species_Names,0))&lt;&gt;1),"N/A",RANK($R59,IF(NOT(ISNA(MATCH(Combo_Species_Names,IF(Species_Availability="Yes",IF(Species_Evo_Numbers=1,Species_Names)),0))),Combo_Duel_Ability),0))</f>
        <v>#VALUE!</v>
      </c>
      <c r="H59" s="24" t="e">
        <f t="array" ref="H59">IF(OR(INDEX(Species_Availability,MATCH($N59,Species_Names,0))="No",INDEX(Species_Evo_Numbers,MATCH($N59,Species_Names,0))&lt;&gt;1),"N/A",$R59/MAX(IF(NOT(ISNA(MATCH(Combo_Species_Names,IF(Species_Availability="Yes",IF(Species_Evo_Numbers=1,Species_Names)),0))),Combo_Duel_Ability)))</f>
        <v>#VALUE!</v>
      </c>
      <c r="I59" s="23" t="e">
        <f t="array" ref="I59">IF(OR(INDEX(Species_Availability,MATCH($N59,Species_Names,0))="No",INDEX(Species_Evo_Numbers,MATCH($N59,Species_Names,0))&lt;&gt;1),"N/A",RANK($S59,IF(NOT(ISNA(MATCH(Combo_Species_Names,IF(Species_Availability="Yes",IF(Species_Evo_Numbers=1,Species_Names)),0))),Combo_Gym_Offense),0))</f>
        <v>#VALUE!</v>
      </c>
      <c r="J59" s="24" t="e">
        <f t="array" ref="J59">IF(OR(INDEX(Species_Availability,MATCH($N59,Species_Names,0))="No",INDEX(Species_Evo_Numbers,MATCH($N59,Species_Names,0))&lt;&gt;1),"N/A",$S59/MAX(IF(NOT(ISNA(MATCH(Combo_Species_Names,IF(Species_Availability="Yes",IF(Species_Evo_Numbers=1,Species_Names)),0))),Combo_Gym_Offense)))</f>
        <v>#VALUE!</v>
      </c>
      <c r="K59" s="23" t="e">
        <f t="array" ref="K59">IF(OR(INDEX(Species_Availability,MATCH($N59,Species_Names,0))="No",INDEX(Species_Evo_Numbers,MATCH($N59,Species_Names,0))&lt;&gt;1),"N/A",RANK($Y59,IF(NOT(ISNA(MATCH(Combo_Species_Names,IF(Species_Availability="Yes",IF(Species_Evo_Numbers=1,Species_Names)),0))),Combo_Gym_Defense),0))</f>
        <v>#VALUE!</v>
      </c>
      <c r="L59" s="24" t="e">
        <f t="array" ref="L59">IF(OR(INDEX(Species_Availability,MATCH($N59,Species_Names,0))="No",INDEX(Species_Evo_Numbers,MATCH($N59,Species_Names,0))&lt;&gt;1),"N/A",$Y59/MAX(IF(NOT(ISNA(MATCH(Combo_Species_Names,IF(Species_Availability="Yes",IF(Species_Evo_Numbers=1,Species_Names)),0))),Combo_Gym_Defense)))</f>
        <v>#VALUE!</v>
      </c>
      <c r="M59" s="28">
        <f t="array" ref="M59">INDEX(Species_Pdex_Numbers,MATCH($N59,Species_Names,0))</f>
        <v>80</v>
      </c>
      <c r="N59" s="30" t="s">
        <v>252</v>
      </c>
      <c r="O59" s="31" t="s">
        <v>65</v>
      </c>
      <c r="P59" s="31" t="s">
        <v>209</v>
      </c>
      <c r="Q59" s="17" t="e">
        <f t="shared" si="0"/>
        <v>#VALUE!</v>
      </c>
      <c r="R59" s="32" t="e">
        <f t="array" ref="R59">IF(OR(AND(COUNTBLANK(Combo_Opponent_Type_1)=1,COUNTBLANK(Combo_Opponent_Type_2)=0),AND(AND(COUNTBLANK(Combo_Opponent_Type_1)=0,COUNTBLANK(Combo_Opponent_Type_2)=0),Combo_Opponent_Type_1=Combo_Opponent_Type_2)),
"Check Types",($S59*INDEX(Species_Tankiness,MATCH($N59,Species_Names,0)))/225)</f>
        <v>#VALUE!</v>
      </c>
      <c r="S59" s="32" t="e">
        <f t="array" ref="S59">IF(OR(AND(COUNTBLANK(Combo_Opponent_Type_1)=1,COUNTBLANK(Combo_Opponent_Type_2)=0),AND(AND(COUNTBLANK(Combo_Opponent_Type_1)=0,COUNTBLANK(Combo_Opponent_Type_2)=0),Combo_Opponent_Type_1=Combo_Opponent_Type_2)),
"Check Types",(
IF($W59&gt;=((1-Game_Weave_Human_Error)*$X59),$W59,$X59)*INDEX(Species_Attack,MATCH($N59,Species_Names,0)))/11)</f>
        <v>#VALUE!</v>
      </c>
      <c r="T59" s="33" t="e">
        <f t="shared" si="1"/>
        <v>#VALUE!</v>
      </c>
      <c r="U59" s="33">
        <f t="array" ref="U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59,Quick_Names,0))),Type_Species)),0),1)*IF(COUNTBLANK(Combo_Opponent_Type_2)=0,INDEX(Type_Damage_Multipliers,MATCH(Combo_Opponent_Type_2,IF(Type_Move=(INDEX(Quick_Type,MATCH($O59,Quick_Names,0))),Type_Species)),0),1)*(IF(OR(INDEX(Quick_Type,MATCH($O59,Quick_Names,0))=INDEX(Species_Type_1,MATCH($N59,Species_Names,0)),INDEX(Quick_Type,MATCH($O59,Quick_Names,0))=INDEX(Species_Type_2,MATCH($N59,Species_Names,0))),Game_STAB_Multiplier,1)))</f>
        <v>1.25</v>
      </c>
      <c r="V59" s="33">
        <f t="array" ref="V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59,Charge_Names,0))),Type_Species)),0),1)*IF(COUNTBLANK(Combo_Opponent_Type_2)=0,INDEX(Type_Damage_Multipliers,MATCH(Combo_Opponent_Type_2,IF(Type_Move=(INDEX(Charge_Type,MATCH($P59,Charge_Names,0))),Type_Species)),0),1)*
IF(OR(INDEX(Charge_Type,MATCH($P59,Charge_Names,0))=INDEX(Species_Type_1,MATCH($N59,Species_Names,0)),INDEX(Charge_Type,MATCH($P59,Charge_Names,0))=INDEX(Species_Type_2,MATCH($N59,Species_Names,0))),Game_STAB_Multiplier,1))</f>
        <v>1</v>
      </c>
      <c r="W59" s="33" t="s">
        <v>412</v>
      </c>
      <c r="X59" s="33" t="s">
        <v>514</v>
      </c>
      <c r="Y59" s="32" t="e">
        <f t="array" ref="Y59">((($Z59)*
INDEX(Species_Attack,MATCH($N59,Species_Names,0))*
INDEX(Species_Tankiness,MATCH($N59,Species_Names,0)))/1000)</f>
        <v>#VALUE!</v>
      </c>
      <c r="Z59" s="33" t="s">
        <v>515</v>
      </c>
    </row>
    <row r="60" spans="1:26" ht="14.25" customHeight="1" x14ac:dyDescent="0.2">
      <c r="A60" s="86"/>
      <c r="B60" s="22" t="str">
        <f t="array" ref="B60">CONCATENATE(TEXT($M60,"000"),".",TEXT(INDEX(Quick_Number,MATCH($O60,Quick_Names,0)),"000"),".",TEXT(INDEX(Charge_Number,MATCH($P60,Charge_Names,0)),"000"))</f>
        <v>080.230.105</v>
      </c>
      <c r="C60" s="23" t="e">
        <f t="array" ref="C60">RANK($S60,IF(Combo_Species_Names=$N60,Combo_Gym_Offense),0)</f>
        <v>#VALUE!</v>
      </c>
      <c r="D60" s="24" t="e">
        <f t="array" ref="D60">$S60/MAX(IF(Combo_Species_Names=$N60,Combo_Gym_Offense))</f>
        <v>#VALUE!</v>
      </c>
      <c r="E60" s="23" t="e">
        <f t="array" ref="E60">RANK($Y60,IF(Combo_Species_Names=$N60,Combo_Gym_Defense),0)</f>
        <v>#VALUE!</v>
      </c>
      <c r="F60" s="25" t="e">
        <f t="array" ref="F60">$Y60/MAX(IF(Combo_Species_Names=$N60,Combo_Gym_Defense))</f>
        <v>#VALUE!</v>
      </c>
      <c r="G60" s="23" t="e">
        <f t="array" ref="G60">IF(OR(INDEX(Species_Availability,MATCH($N60,Species_Names,0))="No",INDEX(Species_Evo_Numbers,MATCH($N60,Species_Names,0))&lt;&gt;1),"N/A",RANK($R60,IF(NOT(ISNA(MATCH(Combo_Species_Names,IF(Species_Availability="Yes",IF(Species_Evo_Numbers=1,Species_Names)),0))),Combo_Duel_Ability),0))</f>
        <v>#VALUE!</v>
      </c>
      <c r="H60" s="24" t="e">
        <f t="array" ref="H60">IF(OR(INDEX(Species_Availability,MATCH($N60,Species_Names,0))="No",INDEX(Species_Evo_Numbers,MATCH($N60,Species_Names,0))&lt;&gt;1),"N/A",$R60/MAX(IF(NOT(ISNA(MATCH(Combo_Species_Names,IF(Species_Availability="Yes",IF(Species_Evo_Numbers=1,Species_Names)),0))),Combo_Duel_Ability)))</f>
        <v>#VALUE!</v>
      </c>
      <c r="I60" s="23" t="e">
        <f t="array" ref="I60">IF(OR(INDEX(Species_Availability,MATCH($N60,Species_Names,0))="No",INDEX(Species_Evo_Numbers,MATCH($N60,Species_Names,0))&lt;&gt;1),"N/A",RANK($S60,IF(NOT(ISNA(MATCH(Combo_Species_Names,IF(Species_Availability="Yes",IF(Species_Evo_Numbers=1,Species_Names)),0))),Combo_Gym_Offense),0))</f>
        <v>#VALUE!</v>
      </c>
      <c r="J60" s="24" t="e">
        <f t="array" ref="J60">IF(OR(INDEX(Species_Availability,MATCH($N60,Species_Names,0))="No",INDEX(Species_Evo_Numbers,MATCH($N60,Species_Names,0))&lt;&gt;1),"N/A",$S60/MAX(IF(NOT(ISNA(MATCH(Combo_Species_Names,IF(Species_Availability="Yes",IF(Species_Evo_Numbers=1,Species_Names)),0))),Combo_Gym_Offense)))</f>
        <v>#VALUE!</v>
      </c>
      <c r="K60" s="23" t="e">
        <f t="array" ref="K60">IF(OR(INDEX(Species_Availability,MATCH($N60,Species_Names,0))="No",INDEX(Species_Evo_Numbers,MATCH($N60,Species_Names,0))&lt;&gt;1),"N/A",RANK($Y60,IF(NOT(ISNA(MATCH(Combo_Species_Names,IF(Species_Availability="Yes",IF(Species_Evo_Numbers=1,Species_Names)),0))),Combo_Gym_Defense),0))</f>
        <v>#VALUE!</v>
      </c>
      <c r="L60" s="24" t="e">
        <f t="array" ref="L60">IF(OR(INDEX(Species_Availability,MATCH($N60,Species_Names,0))="No",INDEX(Species_Evo_Numbers,MATCH($N60,Species_Names,0))&lt;&gt;1),"N/A",$Y60/MAX(IF(NOT(ISNA(MATCH(Combo_Species_Names,IF(Species_Availability="Yes",IF(Species_Evo_Numbers=1,Species_Names)),0))),Combo_Gym_Defense)))</f>
        <v>#VALUE!</v>
      </c>
      <c r="M60" s="28">
        <f t="array" ref="M60">INDEX(Species_Pdex_Numbers,MATCH($N60,Species_Names,0))</f>
        <v>80</v>
      </c>
      <c r="N60" s="30" t="s">
        <v>252</v>
      </c>
      <c r="O60" s="31" t="s">
        <v>65</v>
      </c>
      <c r="P60" s="31" t="s">
        <v>281</v>
      </c>
      <c r="Q60" s="17" t="e">
        <f t="shared" si="0"/>
        <v>#VALUE!</v>
      </c>
      <c r="R60" s="32" t="e">
        <f t="array" ref="R60">IF(OR(AND(COUNTBLANK(Combo_Opponent_Type_1)=1,COUNTBLANK(Combo_Opponent_Type_2)=0),AND(AND(COUNTBLANK(Combo_Opponent_Type_1)=0,COUNTBLANK(Combo_Opponent_Type_2)=0),Combo_Opponent_Type_1=Combo_Opponent_Type_2)),
"Check Types",($S60*INDEX(Species_Tankiness,MATCH($N60,Species_Names,0)))/225)</f>
        <v>#VALUE!</v>
      </c>
      <c r="S60" s="32" t="e">
        <f t="array" ref="S60">IF(OR(AND(COUNTBLANK(Combo_Opponent_Type_1)=1,COUNTBLANK(Combo_Opponent_Type_2)=0),AND(AND(COUNTBLANK(Combo_Opponent_Type_1)=0,COUNTBLANK(Combo_Opponent_Type_2)=0),Combo_Opponent_Type_1=Combo_Opponent_Type_2)),
"Check Types",(
IF($W60&gt;=((1-Game_Weave_Human_Error)*$X60),$W60,$X60)*INDEX(Species_Attack,MATCH($N60,Species_Names,0)))/11)</f>
        <v>#VALUE!</v>
      </c>
      <c r="T60" s="33" t="e">
        <f t="shared" si="1"/>
        <v>#VALUE!</v>
      </c>
      <c r="U60" s="33">
        <f t="array" ref="U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60,Quick_Names,0))),Type_Species)),0),1)*IF(COUNTBLANK(Combo_Opponent_Type_2)=0,INDEX(Type_Damage_Multipliers,MATCH(Combo_Opponent_Type_2,IF(Type_Move=(INDEX(Quick_Type,MATCH($O60,Quick_Names,0))),Type_Species)),0),1)*(IF(OR(INDEX(Quick_Type,MATCH($O60,Quick_Names,0))=INDEX(Species_Type_1,MATCH($N60,Species_Names,0)),INDEX(Quick_Type,MATCH($O60,Quick_Names,0))=INDEX(Species_Type_2,MATCH($N60,Species_Names,0))),Game_STAB_Multiplier,1)))</f>
        <v>1.25</v>
      </c>
      <c r="V60" s="33">
        <f t="array" ref="V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60,Charge_Names,0))),Type_Species)),0),1)*IF(COUNTBLANK(Combo_Opponent_Type_2)=0,INDEX(Type_Damage_Multipliers,MATCH(Combo_Opponent_Type_2,IF(Type_Move=(INDEX(Charge_Type,MATCH($P60,Charge_Names,0))),Type_Species)),0),1)*
IF(OR(INDEX(Charge_Type,MATCH($P60,Charge_Names,0))=INDEX(Species_Type_1,MATCH($N60,Species_Names,0)),INDEX(Charge_Type,MATCH($P60,Charge_Names,0))=INDEX(Species_Type_2,MATCH($N60,Species_Names,0))),Game_STAB_Multiplier,1))</f>
        <v>1.25</v>
      </c>
      <c r="W60" s="33" t="s">
        <v>412</v>
      </c>
      <c r="X60" s="33" t="s">
        <v>465</v>
      </c>
      <c r="Y60" s="32" t="e">
        <f t="array" ref="Y60">((($Z60)*
INDEX(Species_Attack,MATCH($N60,Species_Names,0))*
INDEX(Species_Tankiness,MATCH($N60,Species_Names,0)))/1000)</f>
        <v>#VALUE!</v>
      </c>
      <c r="Z60" s="33" t="s">
        <v>466</v>
      </c>
    </row>
    <row r="61" spans="1:26" ht="14.25" customHeight="1" x14ac:dyDescent="0.2">
      <c r="A61" s="86"/>
      <c r="B61" s="22" t="str">
        <f t="array" ref="B61">CONCATENATE(TEXT($M61,"000"),".",TEXT(INDEX(Quick_Number,MATCH($O61,Quick_Names,0)),"000"),".",TEXT(INDEX(Charge_Number,MATCH($P61,Charge_Names,0)),"000"))</f>
        <v>103.235.059</v>
      </c>
      <c r="C61" s="23" t="e">
        <f t="array" ref="C61">RANK($S61,IF(Combo_Species_Names=$N61,Combo_Gym_Offense),0)</f>
        <v>#VALUE!</v>
      </c>
      <c r="D61" s="24" t="e">
        <f t="array" ref="D61">$S61/MAX(IF(Combo_Species_Names=$N61,Combo_Gym_Offense))</f>
        <v>#VALUE!</v>
      </c>
      <c r="E61" s="23" t="e">
        <f t="array" ref="E61">RANK($Y61,IF(Combo_Species_Names=$N61,Combo_Gym_Defense),0)</f>
        <v>#VALUE!</v>
      </c>
      <c r="F61" s="25" t="e">
        <f t="array" ref="F61">$Y61/MAX(IF(Combo_Species_Names=$N61,Combo_Gym_Defense))</f>
        <v>#VALUE!</v>
      </c>
      <c r="G61" s="23" t="e">
        <f t="array" ref="G61">IF(OR(INDEX(Species_Availability,MATCH($N61,Species_Names,0))="No",INDEX(Species_Evo_Numbers,MATCH($N61,Species_Names,0))&lt;&gt;1),"N/A",RANK($R61,IF(NOT(ISNA(MATCH(Combo_Species_Names,IF(Species_Availability="Yes",IF(Species_Evo_Numbers=1,Species_Names)),0))),Combo_Duel_Ability),0))</f>
        <v>#VALUE!</v>
      </c>
      <c r="H61" s="24" t="e">
        <f t="array" ref="H61">IF(OR(INDEX(Species_Availability,MATCH($N61,Species_Names,0))="No",INDEX(Species_Evo_Numbers,MATCH($N61,Species_Names,0))&lt;&gt;1),"N/A",$R61/MAX(IF(NOT(ISNA(MATCH(Combo_Species_Names,IF(Species_Availability="Yes",IF(Species_Evo_Numbers=1,Species_Names)),0))),Combo_Duel_Ability)))</f>
        <v>#VALUE!</v>
      </c>
      <c r="I61" s="23" t="e">
        <f t="array" ref="I61">IF(OR(INDEX(Species_Availability,MATCH($N61,Species_Names,0))="No",INDEX(Species_Evo_Numbers,MATCH($N61,Species_Names,0))&lt;&gt;1),"N/A",RANK($S61,IF(NOT(ISNA(MATCH(Combo_Species_Names,IF(Species_Availability="Yes",IF(Species_Evo_Numbers=1,Species_Names)),0))),Combo_Gym_Offense),0))</f>
        <v>#VALUE!</v>
      </c>
      <c r="J61" s="24" t="e">
        <f t="array" ref="J61">IF(OR(INDEX(Species_Availability,MATCH($N61,Species_Names,0))="No",INDEX(Species_Evo_Numbers,MATCH($N61,Species_Names,0))&lt;&gt;1),"N/A",$S61/MAX(IF(NOT(ISNA(MATCH(Combo_Species_Names,IF(Species_Availability="Yes",IF(Species_Evo_Numbers=1,Species_Names)),0))),Combo_Gym_Offense)))</f>
        <v>#VALUE!</v>
      </c>
      <c r="K61" s="23" t="e">
        <f t="array" ref="K61">IF(OR(INDEX(Species_Availability,MATCH($N61,Species_Names,0))="No",INDEX(Species_Evo_Numbers,MATCH($N61,Species_Names,0))&lt;&gt;1),"N/A",RANK($Y61,IF(NOT(ISNA(MATCH(Combo_Species_Names,IF(Species_Availability="Yes",IF(Species_Evo_Numbers=1,Species_Names)),0))),Combo_Gym_Defense),0))</f>
        <v>#VALUE!</v>
      </c>
      <c r="L61" s="24" t="e">
        <f t="array" ref="L61">IF(OR(INDEX(Species_Availability,MATCH($N61,Species_Names,0))="No",INDEX(Species_Evo_Numbers,MATCH($N61,Species_Names,0))&lt;&gt;1),"N/A",$Y61/MAX(IF(NOT(ISNA(MATCH(Combo_Species_Names,IF(Species_Availability="Yes",IF(Species_Evo_Numbers=1,Species_Names)),0))),Combo_Gym_Defense)))</f>
        <v>#VALUE!</v>
      </c>
      <c r="M61" s="28">
        <f t="array" ref="M61">INDEX(Species_Pdex_Numbers,MATCH($N61,Species_Names,0))</f>
        <v>103</v>
      </c>
      <c r="N61" s="30" t="s">
        <v>309</v>
      </c>
      <c r="O61" s="31" t="s">
        <v>108</v>
      </c>
      <c r="P61" s="31" t="s">
        <v>213</v>
      </c>
      <c r="Q61" s="17" t="e">
        <f t="shared" si="0"/>
        <v>#VALUE!</v>
      </c>
      <c r="R61" s="32" t="e">
        <f t="array" ref="R61">IF(OR(AND(COUNTBLANK(Combo_Opponent_Type_1)=1,COUNTBLANK(Combo_Opponent_Type_2)=0),AND(AND(COUNTBLANK(Combo_Opponent_Type_1)=0,COUNTBLANK(Combo_Opponent_Type_2)=0),Combo_Opponent_Type_1=Combo_Opponent_Type_2)),
"Check Types",($S61*INDEX(Species_Tankiness,MATCH($N61,Species_Names,0)))/225)</f>
        <v>#VALUE!</v>
      </c>
      <c r="S61" s="32" t="e">
        <f t="array" ref="S61">IF(OR(AND(COUNTBLANK(Combo_Opponent_Type_1)=1,COUNTBLANK(Combo_Opponent_Type_2)=0),AND(AND(COUNTBLANK(Combo_Opponent_Type_1)=0,COUNTBLANK(Combo_Opponent_Type_2)=0),Combo_Opponent_Type_1=Combo_Opponent_Type_2)),
"Check Types",(
IF($W61&gt;=((1-Game_Weave_Human_Error)*$X61),$W61,$X61)*INDEX(Species_Attack,MATCH($N61,Species_Names,0)))/11)</f>
        <v>#VALUE!</v>
      </c>
      <c r="T61" s="33" t="e">
        <f t="shared" si="1"/>
        <v>#VALUE!</v>
      </c>
      <c r="U61" s="33">
        <f t="array" ref="U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61,Quick_Names,0))),Type_Species)),0),1)*IF(COUNTBLANK(Combo_Opponent_Type_2)=0,INDEX(Type_Damage_Multipliers,MATCH(Combo_Opponent_Type_2,IF(Type_Move=(INDEX(Quick_Type,MATCH($O61,Quick_Names,0))),Type_Species)),0),1)*(IF(OR(INDEX(Quick_Type,MATCH($O61,Quick_Names,0))=INDEX(Species_Type_1,MATCH($N61,Species_Names,0)),INDEX(Quick_Type,MATCH($O61,Quick_Names,0))=INDEX(Species_Type_2,MATCH($N61,Species_Names,0))),Game_STAB_Multiplier,1)))</f>
        <v>1.25</v>
      </c>
      <c r="V61" s="33">
        <f t="array" ref="V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61,Charge_Names,0))),Type_Species)),0),1)*IF(COUNTBLANK(Combo_Opponent_Type_2)=0,INDEX(Type_Damage_Multipliers,MATCH(Combo_Opponent_Type_2,IF(Type_Move=(INDEX(Charge_Type,MATCH($P61,Charge_Names,0))),Type_Species)),0),1)*
IF(OR(INDEX(Charge_Type,MATCH($P61,Charge_Names,0))=INDEX(Species_Type_1,MATCH($N61,Species_Names,0)),INDEX(Charge_Type,MATCH($P61,Charge_Names,0))=INDEX(Species_Type_2,MATCH($N61,Species_Names,0))),Game_STAB_Multiplier,1))</f>
        <v>1.25</v>
      </c>
      <c r="W61" s="33" t="s">
        <v>467</v>
      </c>
      <c r="X61" s="33" t="s">
        <v>516</v>
      </c>
      <c r="Y61" s="32" t="e">
        <f t="array" ref="Y61">((($Z61)*
INDEX(Species_Attack,MATCH($N61,Species_Names,0))*
INDEX(Species_Tankiness,MATCH($N61,Species_Names,0)))/1000)</f>
        <v>#VALUE!</v>
      </c>
      <c r="Z61" s="33" t="s">
        <v>517</v>
      </c>
    </row>
    <row r="62" spans="1:26" ht="14.25" customHeight="1" x14ac:dyDescent="0.2">
      <c r="A62" s="86"/>
      <c r="B62" s="22" t="str">
        <f t="array" ref="B62">CONCATENATE(TEXT($M62,"000"),".",TEXT(INDEX(Quick_Number,MATCH($O62,Quick_Names,0)),"000"),".",TEXT(INDEX(Charge_Number,MATCH($P62,Charge_Names,0)),"000"))</f>
        <v>062.216.107</v>
      </c>
      <c r="C62" s="23" t="e">
        <f t="array" ref="C62">RANK($S62,IF(Combo_Species_Names=$N62,Combo_Gym_Offense),0)</f>
        <v>#VALUE!</v>
      </c>
      <c r="D62" s="24" t="e">
        <f t="array" ref="D62">$S62/MAX(IF(Combo_Species_Names=$N62,Combo_Gym_Offense))</f>
        <v>#VALUE!</v>
      </c>
      <c r="E62" s="23" t="e">
        <f t="array" ref="E62">RANK($Y62,IF(Combo_Species_Names=$N62,Combo_Gym_Defense),0)</f>
        <v>#VALUE!</v>
      </c>
      <c r="F62" s="25" t="e">
        <f t="array" ref="F62">$Y62/MAX(IF(Combo_Species_Names=$N62,Combo_Gym_Defense))</f>
        <v>#VALUE!</v>
      </c>
      <c r="G62" s="23" t="e">
        <f t="array" ref="G62">IF(OR(INDEX(Species_Availability,MATCH($N62,Species_Names,0))="No",INDEX(Species_Evo_Numbers,MATCH($N62,Species_Names,0))&lt;&gt;1),"N/A",RANK($R62,IF(NOT(ISNA(MATCH(Combo_Species_Names,IF(Species_Availability="Yes",IF(Species_Evo_Numbers=1,Species_Names)),0))),Combo_Duel_Ability),0))</f>
        <v>#VALUE!</v>
      </c>
      <c r="H62" s="24" t="e">
        <f t="array" ref="H62">IF(OR(INDEX(Species_Availability,MATCH($N62,Species_Names,0))="No",INDEX(Species_Evo_Numbers,MATCH($N62,Species_Names,0))&lt;&gt;1),"N/A",$R62/MAX(IF(NOT(ISNA(MATCH(Combo_Species_Names,IF(Species_Availability="Yes",IF(Species_Evo_Numbers=1,Species_Names)),0))),Combo_Duel_Ability)))</f>
        <v>#VALUE!</v>
      </c>
      <c r="I62" s="23" t="e">
        <f t="array" ref="I62">IF(OR(INDEX(Species_Availability,MATCH($N62,Species_Names,0))="No",INDEX(Species_Evo_Numbers,MATCH($N62,Species_Names,0))&lt;&gt;1),"N/A",RANK($S62,IF(NOT(ISNA(MATCH(Combo_Species_Names,IF(Species_Availability="Yes",IF(Species_Evo_Numbers=1,Species_Names)),0))),Combo_Gym_Offense),0))</f>
        <v>#VALUE!</v>
      </c>
      <c r="J62" s="24" t="e">
        <f t="array" ref="J62">IF(OR(INDEX(Species_Availability,MATCH($N62,Species_Names,0))="No",INDEX(Species_Evo_Numbers,MATCH($N62,Species_Names,0))&lt;&gt;1),"N/A",$S62/MAX(IF(NOT(ISNA(MATCH(Combo_Species_Names,IF(Species_Availability="Yes",IF(Species_Evo_Numbers=1,Species_Names)),0))),Combo_Gym_Offense)))</f>
        <v>#VALUE!</v>
      </c>
      <c r="K62" s="23" t="e">
        <f t="array" ref="K62">IF(OR(INDEX(Species_Availability,MATCH($N62,Species_Names,0))="No",INDEX(Species_Evo_Numbers,MATCH($N62,Species_Names,0))&lt;&gt;1),"N/A",RANK($Y62,IF(NOT(ISNA(MATCH(Combo_Species_Names,IF(Species_Availability="Yes",IF(Species_Evo_Numbers=1,Species_Names)),0))),Combo_Gym_Defense),0))</f>
        <v>#VALUE!</v>
      </c>
      <c r="L62" s="24" t="e">
        <f t="array" ref="L62">IF(OR(INDEX(Species_Availability,MATCH($N62,Species_Names,0))="No",INDEX(Species_Evo_Numbers,MATCH($N62,Species_Names,0))&lt;&gt;1),"N/A",$Y62/MAX(IF(NOT(ISNA(MATCH(Combo_Species_Names,IF(Species_Availability="Yes",IF(Species_Evo_Numbers=1,Species_Names)),0))),Combo_Gym_Defense)))</f>
        <v>#VALUE!</v>
      </c>
      <c r="M62" s="28">
        <f t="array" ref="M62">INDEX(Species_Pdex_Numbers,MATCH($N62,Species_Names,0))</f>
        <v>62</v>
      </c>
      <c r="N62" s="30" t="s">
        <v>215</v>
      </c>
      <c r="O62" s="31" t="s">
        <v>89</v>
      </c>
      <c r="P62" s="31" t="s">
        <v>170</v>
      </c>
      <c r="Q62" s="17" t="e">
        <f t="shared" si="0"/>
        <v>#VALUE!</v>
      </c>
      <c r="R62" s="32" t="e">
        <f t="array" ref="R62">IF(OR(AND(COUNTBLANK(Combo_Opponent_Type_1)=1,COUNTBLANK(Combo_Opponent_Type_2)=0),AND(AND(COUNTBLANK(Combo_Opponent_Type_1)=0,COUNTBLANK(Combo_Opponent_Type_2)=0),Combo_Opponent_Type_1=Combo_Opponent_Type_2)),
"Check Types",($S62*INDEX(Species_Tankiness,MATCH($N62,Species_Names,0)))/225)</f>
        <v>#VALUE!</v>
      </c>
      <c r="S62" s="32" t="e">
        <f t="array" ref="S62">IF(OR(AND(COUNTBLANK(Combo_Opponent_Type_1)=1,COUNTBLANK(Combo_Opponent_Type_2)=0),AND(AND(COUNTBLANK(Combo_Opponent_Type_1)=0,COUNTBLANK(Combo_Opponent_Type_2)=0),Combo_Opponent_Type_1=Combo_Opponent_Type_2)),
"Check Types",(
IF($W62&gt;=((1-Game_Weave_Human_Error)*$X62),$W62,$X62)*INDEX(Species_Attack,MATCH($N62,Species_Names,0)))/11)</f>
        <v>#VALUE!</v>
      </c>
      <c r="T62" s="33" t="e">
        <f t="shared" si="1"/>
        <v>#VALUE!</v>
      </c>
      <c r="U62" s="33">
        <f t="array" ref="U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62,Quick_Names,0))),Type_Species)),0),1)*IF(COUNTBLANK(Combo_Opponent_Type_2)=0,INDEX(Type_Damage_Multipliers,MATCH(Combo_Opponent_Type_2,IF(Type_Move=(INDEX(Quick_Type,MATCH($O62,Quick_Names,0))),Type_Species)),0),1)*(IF(OR(INDEX(Quick_Type,MATCH($O62,Quick_Names,0))=INDEX(Species_Type_1,MATCH($N62,Species_Names,0)),INDEX(Quick_Type,MATCH($O62,Quick_Names,0))=INDEX(Species_Type_2,MATCH($N62,Species_Names,0))),Game_STAB_Multiplier,1)))</f>
        <v>1</v>
      </c>
      <c r="V62" s="33">
        <f t="array" ref="V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62,Charge_Names,0))),Type_Species)),0),1)*IF(COUNTBLANK(Combo_Opponent_Type_2)=0,INDEX(Type_Damage_Multipliers,MATCH(Combo_Opponent_Type_2,IF(Type_Move=(INDEX(Charge_Type,MATCH($P62,Charge_Names,0))),Type_Species)),0),1)*
IF(OR(INDEX(Charge_Type,MATCH($P62,Charge_Names,0))=INDEX(Species_Type_1,MATCH($N62,Species_Names,0)),INDEX(Charge_Type,MATCH($P62,Charge_Names,0))=INDEX(Species_Type_2,MATCH($N62,Species_Names,0))),Game_STAB_Multiplier,1))</f>
        <v>1.25</v>
      </c>
      <c r="W62" s="33" t="s">
        <v>518</v>
      </c>
      <c r="X62" s="33" t="s">
        <v>519</v>
      </c>
      <c r="Y62" s="32" t="e">
        <f t="array" ref="Y62">((($Z62)*
INDEX(Species_Attack,MATCH($N62,Species_Names,0))*
INDEX(Species_Tankiness,MATCH($N62,Species_Names,0)))/1000)</f>
        <v>#VALUE!</v>
      </c>
      <c r="Z62" s="33" t="s">
        <v>520</v>
      </c>
    </row>
    <row r="63" spans="1:26" ht="14.25" customHeight="1" x14ac:dyDescent="0.2">
      <c r="A63" s="86"/>
      <c r="B63" s="22" t="str">
        <f t="array" ref="B63">CONCATENATE(TEXT($M63,"000"),".",TEXT(INDEX(Quick_Number,MATCH($O63,Quick_Names,0)),"000"),".",TEXT(INDEX(Charge_Number,MATCH($P63,Charge_Names,0)),"000"))</f>
        <v>112.233.032</v>
      </c>
      <c r="C63" s="23" t="e">
        <f t="array" ref="C63">RANK($S63,IF(Combo_Species_Names=$N63,Combo_Gym_Offense),0)</f>
        <v>#VALUE!</v>
      </c>
      <c r="D63" s="24" t="e">
        <f t="array" ref="D63">$S63/MAX(IF(Combo_Species_Names=$N63,Combo_Gym_Offense))</f>
        <v>#VALUE!</v>
      </c>
      <c r="E63" s="23" t="e">
        <f t="array" ref="E63">RANK($Y63,IF(Combo_Species_Names=$N63,Combo_Gym_Defense),0)</f>
        <v>#VALUE!</v>
      </c>
      <c r="F63" s="25" t="e">
        <f t="array" ref="F63">$Y63/MAX(IF(Combo_Species_Names=$N63,Combo_Gym_Defense))</f>
        <v>#VALUE!</v>
      </c>
      <c r="G63" s="23" t="e">
        <f t="array" ref="G63">IF(OR(INDEX(Species_Availability,MATCH($N63,Species_Names,0))="No",INDEX(Species_Evo_Numbers,MATCH($N63,Species_Names,0))&lt;&gt;1),"N/A",RANK($R63,IF(NOT(ISNA(MATCH(Combo_Species_Names,IF(Species_Availability="Yes",IF(Species_Evo_Numbers=1,Species_Names)),0))),Combo_Duel_Ability),0))</f>
        <v>#VALUE!</v>
      </c>
      <c r="H63" s="24" t="e">
        <f t="array" ref="H63">IF(OR(INDEX(Species_Availability,MATCH($N63,Species_Names,0))="No",INDEX(Species_Evo_Numbers,MATCH($N63,Species_Names,0))&lt;&gt;1),"N/A",$R63/MAX(IF(NOT(ISNA(MATCH(Combo_Species_Names,IF(Species_Availability="Yes",IF(Species_Evo_Numbers=1,Species_Names)),0))),Combo_Duel_Ability)))</f>
        <v>#VALUE!</v>
      </c>
      <c r="I63" s="23" t="e">
        <f t="array" ref="I63">IF(OR(INDEX(Species_Availability,MATCH($N63,Species_Names,0))="No",INDEX(Species_Evo_Numbers,MATCH($N63,Species_Names,0))&lt;&gt;1),"N/A",RANK($S63,IF(NOT(ISNA(MATCH(Combo_Species_Names,IF(Species_Availability="Yes",IF(Species_Evo_Numbers=1,Species_Names)),0))),Combo_Gym_Offense),0))</f>
        <v>#VALUE!</v>
      </c>
      <c r="J63" s="24" t="e">
        <f t="array" ref="J63">IF(OR(INDEX(Species_Availability,MATCH($N63,Species_Names,0))="No",INDEX(Species_Evo_Numbers,MATCH($N63,Species_Names,0))&lt;&gt;1),"N/A",$S63/MAX(IF(NOT(ISNA(MATCH(Combo_Species_Names,IF(Species_Availability="Yes",IF(Species_Evo_Numbers=1,Species_Names)),0))),Combo_Gym_Offense)))</f>
        <v>#VALUE!</v>
      </c>
      <c r="K63" s="23" t="e">
        <f t="array" ref="K63">IF(OR(INDEX(Species_Availability,MATCH($N63,Species_Names,0))="No",INDEX(Species_Evo_Numbers,MATCH($N63,Species_Names,0))&lt;&gt;1),"N/A",RANK($Y63,IF(NOT(ISNA(MATCH(Combo_Species_Names,IF(Species_Availability="Yes",IF(Species_Evo_Numbers=1,Species_Names)),0))),Combo_Gym_Defense),0))</f>
        <v>#VALUE!</v>
      </c>
      <c r="L63" s="24" t="e">
        <f t="array" ref="L63">IF(OR(INDEX(Species_Availability,MATCH($N63,Species_Names,0))="No",INDEX(Species_Evo_Numbers,MATCH($N63,Species_Names,0))&lt;&gt;1),"N/A",$Y63/MAX(IF(NOT(ISNA(MATCH(Combo_Species_Names,IF(Species_Availability="Yes",IF(Species_Evo_Numbers=1,Species_Names)),0))),Combo_Gym_Defense)))</f>
        <v>#VALUE!</v>
      </c>
      <c r="M63" s="28">
        <f t="array" ref="M63">INDEX(Species_Pdex_Numbers,MATCH($N63,Species_Names,0))</f>
        <v>112</v>
      </c>
      <c r="N63" s="30" t="s">
        <v>325</v>
      </c>
      <c r="O63" s="31" t="s">
        <v>84</v>
      </c>
      <c r="P63" s="31" t="s">
        <v>149</v>
      </c>
      <c r="Q63" s="17" t="e">
        <f t="shared" si="0"/>
        <v>#VALUE!</v>
      </c>
      <c r="R63" s="32" t="e">
        <f t="array" ref="R63">IF(OR(AND(COUNTBLANK(Combo_Opponent_Type_1)=1,COUNTBLANK(Combo_Opponent_Type_2)=0),AND(AND(COUNTBLANK(Combo_Opponent_Type_1)=0,COUNTBLANK(Combo_Opponent_Type_2)=0),Combo_Opponent_Type_1=Combo_Opponent_Type_2)),
"Check Types",($S63*INDEX(Species_Tankiness,MATCH($N63,Species_Names,0)))/225)</f>
        <v>#VALUE!</v>
      </c>
      <c r="S63" s="32" t="e">
        <f t="array" ref="S63">IF(OR(AND(COUNTBLANK(Combo_Opponent_Type_1)=1,COUNTBLANK(Combo_Opponent_Type_2)=0),AND(AND(COUNTBLANK(Combo_Opponent_Type_1)=0,COUNTBLANK(Combo_Opponent_Type_2)=0),Combo_Opponent_Type_1=Combo_Opponent_Type_2)),
"Check Types",(
IF($W63&gt;=((1-Game_Weave_Human_Error)*$X63),$W63,$X63)*INDEX(Species_Attack,MATCH($N63,Species_Names,0)))/11)</f>
        <v>#VALUE!</v>
      </c>
      <c r="T63" s="33" t="e">
        <f t="shared" si="1"/>
        <v>#VALUE!</v>
      </c>
      <c r="U63" s="33">
        <f t="array" ref="U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63,Quick_Names,0))),Type_Species)),0),1)*IF(COUNTBLANK(Combo_Opponent_Type_2)=0,INDEX(Type_Damage_Multipliers,MATCH(Combo_Opponent_Type_2,IF(Type_Move=(INDEX(Quick_Type,MATCH($O63,Quick_Names,0))),Type_Species)),0),1)*(IF(OR(INDEX(Quick_Type,MATCH($O63,Quick_Names,0))=INDEX(Species_Type_1,MATCH($N63,Species_Names,0)),INDEX(Quick_Type,MATCH($O63,Quick_Names,0))=INDEX(Species_Type_2,MATCH($N63,Species_Names,0))),Game_STAB_Multiplier,1)))</f>
        <v>1.25</v>
      </c>
      <c r="V63" s="33">
        <f t="array" ref="V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63,Charge_Names,0))),Type_Species)),0),1)*IF(COUNTBLANK(Combo_Opponent_Type_2)=0,INDEX(Type_Damage_Multipliers,MATCH(Combo_Opponent_Type_2,IF(Type_Move=(INDEX(Charge_Type,MATCH($P63,Charge_Names,0))),Type_Species)),0),1)*
IF(OR(INDEX(Charge_Type,MATCH($P63,Charge_Names,0))=INDEX(Species_Type_1,MATCH($N63,Species_Names,0)),INDEX(Charge_Type,MATCH($P63,Charge_Names,0))=INDEX(Species_Type_2,MATCH($N63,Species_Names,0))),Game_STAB_Multiplier,1))</f>
        <v>1.25</v>
      </c>
      <c r="W63" s="33" t="s">
        <v>436</v>
      </c>
      <c r="X63" s="33" t="s">
        <v>521</v>
      </c>
      <c r="Y63" s="32" t="e">
        <f t="array" ref="Y63">((($Z63)*
INDEX(Species_Attack,MATCH($N63,Species_Names,0))*
INDEX(Species_Tankiness,MATCH($N63,Species_Names,0)))/1000)</f>
        <v>#VALUE!</v>
      </c>
      <c r="Z63" s="33" t="s">
        <v>522</v>
      </c>
    </row>
    <row r="64" spans="1:26" ht="14.25" customHeight="1" x14ac:dyDescent="0.2">
      <c r="A64" s="86"/>
      <c r="B64" s="22" t="str">
        <f t="array" ref="B64">CONCATENATE(TEXT($M64,"000"),".",TEXT(INDEX(Quick_Number,MATCH($O64,Quick_Names,0)),"000"),".",TEXT(INDEX(Charge_Number,MATCH($P64,Charge_Names,0)),"000"))</f>
        <v>089.225.091</v>
      </c>
      <c r="C64" s="23" t="e">
        <f t="array" ref="C64">RANK($S64,IF(Combo_Species_Names=$N64,Combo_Gym_Offense),0)</f>
        <v>#VALUE!</v>
      </c>
      <c r="D64" s="24" t="e">
        <f t="array" ref="D64">$S64/MAX(IF(Combo_Species_Names=$N64,Combo_Gym_Offense))</f>
        <v>#VALUE!</v>
      </c>
      <c r="E64" s="23" t="e">
        <f t="array" ref="E64">RANK($Y64,IF(Combo_Species_Names=$N64,Combo_Gym_Defense),0)</f>
        <v>#VALUE!</v>
      </c>
      <c r="F64" s="25" t="e">
        <f t="array" ref="F64">$Y64/MAX(IF(Combo_Species_Names=$N64,Combo_Gym_Defense))</f>
        <v>#VALUE!</v>
      </c>
      <c r="G64" s="23" t="e">
        <f t="array" ref="G64">IF(OR(INDEX(Species_Availability,MATCH($N64,Species_Names,0))="No",INDEX(Species_Evo_Numbers,MATCH($N64,Species_Names,0))&lt;&gt;1),"N/A",RANK($R64,IF(NOT(ISNA(MATCH(Combo_Species_Names,IF(Species_Availability="Yes",IF(Species_Evo_Numbers=1,Species_Names)),0))),Combo_Duel_Ability),0))</f>
        <v>#VALUE!</v>
      </c>
      <c r="H64" s="24" t="e">
        <f t="array" ref="H64">IF(OR(INDEX(Species_Availability,MATCH($N64,Species_Names,0))="No",INDEX(Species_Evo_Numbers,MATCH($N64,Species_Names,0))&lt;&gt;1),"N/A",$R64/MAX(IF(NOT(ISNA(MATCH(Combo_Species_Names,IF(Species_Availability="Yes",IF(Species_Evo_Numbers=1,Species_Names)),0))),Combo_Duel_Ability)))</f>
        <v>#VALUE!</v>
      </c>
      <c r="I64" s="23" t="e">
        <f t="array" ref="I64">IF(OR(INDEX(Species_Availability,MATCH($N64,Species_Names,0))="No",INDEX(Species_Evo_Numbers,MATCH($N64,Species_Names,0))&lt;&gt;1),"N/A",RANK($S64,IF(NOT(ISNA(MATCH(Combo_Species_Names,IF(Species_Availability="Yes",IF(Species_Evo_Numbers=1,Species_Names)),0))),Combo_Gym_Offense),0))</f>
        <v>#VALUE!</v>
      </c>
      <c r="J64" s="24" t="e">
        <f t="array" ref="J64">IF(OR(INDEX(Species_Availability,MATCH($N64,Species_Names,0))="No",INDEX(Species_Evo_Numbers,MATCH($N64,Species_Names,0))&lt;&gt;1),"N/A",$S64/MAX(IF(NOT(ISNA(MATCH(Combo_Species_Names,IF(Species_Availability="Yes",IF(Species_Evo_Numbers=1,Species_Names)),0))),Combo_Gym_Offense)))</f>
        <v>#VALUE!</v>
      </c>
      <c r="K64" s="23" t="e">
        <f t="array" ref="K64">IF(OR(INDEX(Species_Availability,MATCH($N64,Species_Names,0))="No",INDEX(Species_Evo_Numbers,MATCH($N64,Species_Names,0))&lt;&gt;1),"N/A",RANK($Y64,IF(NOT(ISNA(MATCH(Combo_Species_Names,IF(Species_Availability="Yes",IF(Species_Evo_Numbers=1,Species_Names)),0))),Combo_Gym_Defense),0))</f>
        <v>#VALUE!</v>
      </c>
      <c r="L64" s="24" t="e">
        <f t="array" ref="L64">IF(OR(INDEX(Species_Availability,MATCH($N64,Species_Names,0))="No",INDEX(Species_Evo_Numbers,MATCH($N64,Species_Names,0))&lt;&gt;1),"N/A",$Y64/MAX(IF(NOT(ISNA(MATCH(Combo_Species_Names,IF(Species_Availability="Yes",IF(Species_Evo_Numbers=1,Species_Names)),0))),Combo_Gym_Defense)))</f>
        <v>#VALUE!</v>
      </c>
      <c r="M64" s="28">
        <f t="array" ref="M64">INDEX(Species_Pdex_Numbers,MATCH($N64,Species_Names,0))</f>
        <v>89</v>
      </c>
      <c r="N64" s="30" t="s">
        <v>272</v>
      </c>
      <c r="O64" s="31" t="s">
        <v>110</v>
      </c>
      <c r="P64" s="31" t="s">
        <v>186</v>
      </c>
      <c r="Q64" s="17" t="e">
        <f t="shared" si="0"/>
        <v>#VALUE!</v>
      </c>
      <c r="R64" s="32" t="e">
        <f t="array" ref="R64">IF(OR(AND(COUNTBLANK(Combo_Opponent_Type_1)=1,COUNTBLANK(Combo_Opponent_Type_2)=0),AND(AND(COUNTBLANK(Combo_Opponent_Type_1)=0,COUNTBLANK(Combo_Opponent_Type_2)=0),Combo_Opponent_Type_1=Combo_Opponent_Type_2)),
"Check Types",($S64*INDEX(Species_Tankiness,MATCH($N64,Species_Names,0)))/225)</f>
        <v>#VALUE!</v>
      </c>
      <c r="S64" s="32" t="e">
        <f t="array" ref="S64">IF(OR(AND(COUNTBLANK(Combo_Opponent_Type_1)=1,COUNTBLANK(Combo_Opponent_Type_2)=0),AND(AND(COUNTBLANK(Combo_Opponent_Type_1)=0,COUNTBLANK(Combo_Opponent_Type_2)=0),Combo_Opponent_Type_1=Combo_Opponent_Type_2)),
"Check Types",(
IF($W64&gt;=((1-Game_Weave_Human_Error)*$X64),$W64,$X64)*INDEX(Species_Attack,MATCH($N64,Species_Names,0)))/11)</f>
        <v>#VALUE!</v>
      </c>
      <c r="T64" s="33" t="e">
        <f t="shared" si="1"/>
        <v>#VALUE!</v>
      </c>
      <c r="U64" s="33">
        <f t="array" ref="U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64,Quick_Names,0))),Type_Species)),0),1)*IF(COUNTBLANK(Combo_Opponent_Type_2)=0,INDEX(Type_Damage_Multipliers,MATCH(Combo_Opponent_Type_2,IF(Type_Move=(INDEX(Quick_Type,MATCH($O64,Quick_Names,0))),Type_Species)),0),1)*(IF(OR(INDEX(Quick_Type,MATCH($O64,Quick_Names,0))=INDEX(Species_Type_1,MATCH($N64,Species_Names,0)),INDEX(Quick_Type,MATCH($O64,Quick_Names,0))=INDEX(Species_Type_2,MATCH($N64,Species_Names,0))),Game_STAB_Multiplier,1)))</f>
        <v>1.25</v>
      </c>
      <c r="V64" s="33">
        <f t="array" ref="V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64,Charge_Names,0))),Type_Species)),0),1)*IF(COUNTBLANK(Combo_Opponent_Type_2)=0,INDEX(Type_Damage_Multipliers,MATCH(Combo_Opponent_Type_2,IF(Type_Move=(INDEX(Charge_Type,MATCH($P64,Charge_Names,0))),Type_Species)),0),1)*
IF(OR(INDEX(Charge_Type,MATCH($P64,Charge_Names,0))=INDEX(Species_Type_1,MATCH($N64,Species_Names,0)),INDEX(Charge_Type,MATCH($P64,Charge_Names,0))=INDEX(Species_Type_2,MATCH($N64,Species_Names,0))),Game_STAB_Multiplier,1))</f>
        <v>1.25</v>
      </c>
      <c r="W64" s="33" t="s">
        <v>511</v>
      </c>
      <c r="X64" s="33" t="s">
        <v>523</v>
      </c>
      <c r="Y64" s="32" t="e">
        <f t="array" ref="Y64">((($Z64)*
INDEX(Species_Attack,MATCH($N64,Species_Names,0))*
INDEX(Species_Tankiness,MATCH($N64,Species_Names,0)))/1000)</f>
        <v>#VALUE!</v>
      </c>
      <c r="Z64" s="33" t="s">
        <v>524</v>
      </c>
    </row>
    <row r="65" spans="1:26" ht="14.25" customHeight="1" x14ac:dyDescent="0.2">
      <c r="A65" s="86"/>
      <c r="B65" s="22" t="str">
        <f t="array" ref="B65">CONCATENATE(TEXT($M65,"000"),".",TEXT(INDEX(Quick_Number,MATCH($O65,Quick_Names,0)),"000"),".",TEXT(INDEX(Charge_Number,MATCH($P65,Charge_Names,0)),"000"))</f>
        <v>003.215.047</v>
      </c>
      <c r="C65" s="23" t="e">
        <f t="array" ref="C65">RANK($S65,IF(Combo_Species_Names=$N65,Combo_Gym_Offense),0)</f>
        <v>#VALUE!</v>
      </c>
      <c r="D65" s="24" t="e">
        <f t="array" ref="D65">$S65/MAX(IF(Combo_Species_Names=$N65,Combo_Gym_Offense))</f>
        <v>#VALUE!</v>
      </c>
      <c r="E65" s="23" t="e">
        <f t="array" ref="E65">RANK($Y65,IF(Combo_Species_Names=$N65,Combo_Gym_Defense),0)</f>
        <v>#VALUE!</v>
      </c>
      <c r="F65" s="25" t="e">
        <f t="array" ref="F65">$Y65/MAX(IF(Combo_Species_Names=$N65,Combo_Gym_Defense))</f>
        <v>#VALUE!</v>
      </c>
      <c r="G65" s="23" t="e">
        <f t="array" ref="G65">IF(OR(INDEX(Species_Availability,MATCH($N65,Species_Names,0))="No",INDEX(Species_Evo_Numbers,MATCH($N65,Species_Names,0))&lt;&gt;1),"N/A",RANK($R65,IF(NOT(ISNA(MATCH(Combo_Species_Names,IF(Species_Availability="Yes",IF(Species_Evo_Numbers=1,Species_Names)),0))),Combo_Duel_Ability),0))</f>
        <v>#VALUE!</v>
      </c>
      <c r="H65" s="24" t="e">
        <f t="array" ref="H65">IF(OR(INDEX(Species_Availability,MATCH($N65,Species_Names,0))="No",INDEX(Species_Evo_Numbers,MATCH($N65,Species_Names,0))&lt;&gt;1),"N/A",$R65/MAX(IF(NOT(ISNA(MATCH(Combo_Species_Names,IF(Species_Availability="Yes",IF(Species_Evo_Numbers=1,Species_Names)),0))),Combo_Duel_Ability)))</f>
        <v>#VALUE!</v>
      </c>
      <c r="I65" s="23" t="e">
        <f t="array" ref="I65">IF(OR(INDEX(Species_Availability,MATCH($N65,Species_Names,0))="No",INDEX(Species_Evo_Numbers,MATCH($N65,Species_Names,0))&lt;&gt;1),"N/A",RANK($S65,IF(NOT(ISNA(MATCH(Combo_Species_Names,IF(Species_Availability="Yes",IF(Species_Evo_Numbers=1,Species_Names)),0))),Combo_Gym_Offense),0))</f>
        <v>#VALUE!</v>
      </c>
      <c r="J65" s="24" t="e">
        <f t="array" ref="J65">IF(OR(INDEX(Species_Availability,MATCH($N65,Species_Names,0))="No",INDEX(Species_Evo_Numbers,MATCH($N65,Species_Names,0))&lt;&gt;1),"N/A",$S65/MAX(IF(NOT(ISNA(MATCH(Combo_Species_Names,IF(Species_Availability="Yes",IF(Species_Evo_Numbers=1,Species_Names)),0))),Combo_Gym_Offense)))</f>
        <v>#VALUE!</v>
      </c>
      <c r="K65" s="23" t="e">
        <f t="array" ref="K65">IF(OR(INDEX(Species_Availability,MATCH($N65,Species_Names,0))="No",INDEX(Species_Evo_Numbers,MATCH($N65,Species_Names,0))&lt;&gt;1),"N/A",RANK($Y65,IF(NOT(ISNA(MATCH(Combo_Species_Names,IF(Species_Availability="Yes",IF(Species_Evo_Numbers=1,Species_Names)),0))),Combo_Gym_Defense),0))</f>
        <v>#VALUE!</v>
      </c>
      <c r="L65" s="24" t="e">
        <f t="array" ref="L65">IF(OR(INDEX(Species_Availability,MATCH($N65,Species_Names,0))="No",INDEX(Species_Evo_Numbers,MATCH($N65,Species_Names,0))&lt;&gt;1),"N/A",$Y65/MAX(IF(NOT(ISNA(MATCH(Combo_Species_Names,IF(Species_Availability="Yes",IF(Species_Evo_Numbers=1,Species_Names)),0))),Combo_Gym_Defense)))</f>
        <v>#VALUE!</v>
      </c>
      <c r="M65" s="28">
        <f t="array" ref="M65">INDEX(Species_Pdex_Numbers,MATCH($N65,Species_Names,0))</f>
        <v>3</v>
      </c>
      <c r="N65" s="30" t="s">
        <v>67</v>
      </c>
      <c r="O65" s="31" t="s">
        <v>102</v>
      </c>
      <c r="P65" s="31" t="s">
        <v>192</v>
      </c>
      <c r="Q65" s="17" t="e">
        <f t="shared" si="0"/>
        <v>#VALUE!</v>
      </c>
      <c r="R65" s="32" t="e">
        <f t="array" ref="R65">IF(OR(AND(COUNTBLANK(Combo_Opponent_Type_1)=1,COUNTBLANK(Combo_Opponent_Type_2)=0),AND(AND(COUNTBLANK(Combo_Opponent_Type_1)=0,COUNTBLANK(Combo_Opponent_Type_2)=0),Combo_Opponent_Type_1=Combo_Opponent_Type_2)),
"Check Types",($S65*INDEX(Species_Tankiness,MATCH($N65,Species_Names,0)))/225)</f>
        <v>#VALUE!</v>
      </c>
      <c r="S65" s="32" t="e">
        <f t="array" ref="S65">IF(OR(AND(COUNTBLANK(Combo_Opponent_Type_1)=1,COUNTBLANK(Combo_Opponent_Type_2)=0),AND(AND(COUNTBLANK(Combo_Opponent_Type_1)=0,COUNTBLANK(Combo_Opponent_Type_2)=0),Combo_Opponent_Type_1=Combo_Opponent_Type_2)),
"Check Types",(
IF($W65&gt;=((1-Game_Weave_Human_Error)*$X65),$W65,$X65)*INDEX(Species_Attack,MATCH($N65,Species_Names,0)))/11)</f>
        <v>#VALUE!</v>
      </c>
      <c r="T65" s="33" t="e">
        <f t="shared" si="1"/>
        <v>#VALUE!</v>
      </c>
      <c r="U65" s="33">
        <f t="array" ref="U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65,Quick_Names,0))),Type_Species)),0),1)*IF(COUNTBLANK(Combo_Opponent_Type_2)=0,INDEX(Type_Damage_Multipliers,MATCH(Combo_Opponent_Type_2,IF(Type_Move=(INDEX(Quick_Type,MATCH($O65,Quick_Names,0))),Type_Species)),0),1)*(IF(OR(INDEX(Quick_Type,MATCH($O65,Quick_Names,0))=INDEX(Species_Type_1,MATCH($N65,Species_Names,0)),INDEX(Quick_Type,MATCH($O65,Quick_Names,0))=INDEX(Species_Type_2,MATCH($N65,Species_Names,0))),Game_STAB_Multiplier,1)))</f>
        <v>1.25</v>
      </c>
      <c r="V65" s="33">
        <f t="array" ref="V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65,Charge_Names,0))),Type_Species)),0),1)*IF(COUNTBLANK(Combo_Opponent_Type_2)=0,INDEX(Type_Damage_Multipliers,MATCH(Combo_Opponent_Type_2,IF(Type_Move=(INDEX(Charge_Type,MATCH($P65,Charge_Names,0))),Type_Species)),0),1)*
IF(OR(INDEX(Charge_Type,MATCH($P65,Charge_Names,0))=INDEX(Species_Type_1,MATCH($N65,Species_Names,0)),INDEX(Charge_Type,MATCH($P65,Charge_Names,0))=INDEX(Species_Type_2,MATCH($N65,Species_Names,0))),Game_STAB_Multiplier,1))</f>
        <v>1.25</v>
      </c>
      <c r="W65" s="33" t="s">
        <v>501</v>
      </c>
      <c r="X65" s="33" t="s">
        <v>525</v>
      </c>
      <c r="Y65" s="32" t="e">
        <f t="array" ref="Y65">((($Z65)*
INDEX(Species_Attack,MATCH($N65,Species_Names,0))*
INDEX(Species_Tankiness,MATCH($N65,Species_Names,0)))/1000)</f>
        <v>#VALUE!</v>
      </c>
      <c r="Z65" s="33" t="s">
        <v>440</v>
      </c>
    </row>
    <row r="66" spans="1:26" ht="14.25" customHeight="1" x14ac:dyDescent="0.2">
      <c r="A66" s="86"/>
      <c r="B66" s="22" t="str">
        <f t="array" ref="B66">CONCATENATE(TEXT($M66,"000"),".",TEXT(INDEX(Quick_Number,MATCH($O66,Quick_Names,0)),"000"),".",TEXT(INDEX(Charge_Number,MATCH($P66,Charge_Names,0)),"000"))</f>
        <v>006.210.024</v>
      </c>
      <c r="C66" s="23" t="e">
        <f t="array" ref="C66">RANK($S66,IF(Combo_Species_Names=$N66,Combo_Gym_Offense),0)</f>
        <v>#VALUE!</v>
      </c>
      <c r="D66" s="24" t="e">
        <f t="array" ref="D66">$S66/MAX(IF(Combo_Species_Names=$N66,Combo_Gym_Offense))</f>
        <v>#VALUE!</v>
      </c>
      <c r="E66" s="23" t="e">
        <f t="array" ref="E66">RANK($Y66,IF(Combo_Species_Names=$N66,Combo_Gym_Defense),0)</f>
        <v>#VALUE!</v>
      </c>
      <c r="F66" s="25" t="e">
        <f t="array" ref="F66">$Y66/MAX(IF(Combo_Species_Names=$N66,Combo_Gym_Defense))</f>
        <v>#VALUE!</v>
      </c>
      <c r="G66" s="23" t="e">
        <f t="array" ref="G66">IF(OR(INDEX(Species_Availability,MATCH($N66,Species_Names,0))="No",INDEX(Species_Evo_Numbers,MATCH($N66,Species_Names,0))&lt;&gt;1),"N/A",RANK($R66,IF(NOT(ISNA(MATCH(Combo_Species_Names,IF(Species_Availability="Yes",IF(Species_Evo_Numbers=1,Species_Names)),0))),Combo_Duel_Ability),0))</f>
        <v>#VALUE!</v>
      </c>
      <c r="H66" s="24" t="e">
        <f t="array" ref="H66">IF(OR(INDEX(Species_Availability,MATCH($N66,Species_Names,0))="No",INDEX(Species_Evo_Numbers,MATCH($N66,Species_Names,0))&lt;&gt;1),"N/A",$R66/MAX(IF(NOT(ISNA(MATCH(Combo_Species_Names,IF(Species_Availability="Yes",IF(Species_Evo_Numbers=1,Species_Names)),0))),Combo_Duel_Ability)))</f>
        <v>#VALUE!</v>
      </c>
      <c r="I66" s="23" t="e">
        <f t="array" ref="I66">IF(OR(INDEX(Species_Availability,MATCH($N66,Species_Names,0))="No",INDEX(Species_Evo_Numbers,MATCH($N66,Species_Names,0))&lt;&gt;1),"N/A",RANK($S66,IF(NOT(ISNA(MATCH(Combo_Species_Names,IF(Species_Availability="Yes",IF(Species_Evo_Numbers=1,Species_Names)),0))),Combo_Gym_Offense),0))</f>
        <v>#VALUE!</v>
      </c>
      <c r="J66" s="24" t="e">
        <f t="array" ref="J66">IF(OR(INDEX(Species_Availability,MATCH($N66,Species_Names,0))="No",INDEX(Species_Evo_Numbers,MATCH($N66,Species_Names,0))&lt;&gt;1),"N/A",$S66/MAX(IF(NOT(ISNA(MATCH(Combo_Species_Names,IF(Species_Availability="Yes",IF(Species_Evo_Numbers=1,Species_Names)),0))),Combo_Gym_Offense)))</f>
        <v>#VALUE!</v>
      </c>
      <c r="K66" s="23" t="e">
        <f t="array" ref="K66">IF(OR(INDEX(Species_Availability,MATCH($N66,Species_Names,0))="No",INDEX(Species_Evo_Numbers,MATCH($N66,Species_Names,0))&lt;&gt;1),"N/A",RANK($Y66,IF(NOT(ISNA(MATCH(Combo_Species_Names,IF(Species_Availability="Yes",IF(Species_Evo_Numbers=1,Species_Names)),0))),Combo_Gym_Defense),0))</f>
        <v>#VALUE!</v>
      </c>
      <c r="L66" s="24" t="e">
        <f t="array" ref="L66">IF(OR(INDEX(Species_Availability,MATCH($N66,Species_Names,0))="No",INDEX(Species_Evo_Numbers,MATCH($N66,Species_Names,0))&lt;&gt;1),"N/A",$Y66/MAX(IF(NOT(ISNA(MATCH(Combo_Species_Names,IF(Species_Availability="Yes",IF(Species_Evo_Numbers=1,Species_Names)),0))),Combo_Gym_Defense)))</f>
        <v>#VALUE!</v>
      </c>
      <c r="M66" s="28">
        <f t="array" ref="M66">INDEX(Species_Pdex_Numbers,MATCH($N66,Species_Names,0))</f>
        <v>6</v>
      </c>
      <c r="N66" s="30" t="s">
        <v>81</v>
      </c>
      <c r="O66" s="31" t="s">
        <v>69</v>
      </c>
      <c r="P66" s="31" t="s">
        <v>200</v>
      </c>
      <c r="Q66" s="17" t="e">
        <f t="shared" si="0"/>
        <v>#VALUE!</v>
      </c>
      <c r="R66" s="32" t="e">
        <f t="array" ref="R66">IF(OR(AND(COUNTBLANK(Combo_Opponent_Type_1)=1,COUNTBLANK(Combo_Opponent_Type_2)=0),AND(AND(COUNTBLANK(Combo_Opponent_Type_1)=0,COUNTBLANK(Combo_Opponent_Type_2)=0),Combo_Opponent_Type_1=Combo_Opponent_Type_2)),
"Check Types",($S66*INDEX(Species_Tankiness,MATCH($N66,Species_Names,0)))/225)</f>
        <v>#VALUE!</v>
      </c>
      <c r="S66" s="32" t="e">
        <f t="array" ref="S66">IF(OR(AND(COUNTBLANK(Combo_Opponent_Type_1)=1,COUNTBLANK(Combo_Opponent_Type_2)=0),AND(AND(COUNTBLANK(Combo_Opponent_Type_1)=0,COUNTBLANK(Combo_Opponent_Type_2)=0),Combo_Opponent_Type_1=Combo_Opponent_Type_2)),
"Check Types",(
IF($W66&gt;=((1-Game_Weave_Human_Error)*$X66),$W66,$X66)*INDEX(Species_Attack,MATCH($N66,Species_Names,0)))/11)</f>
        <v>#VALUE!</v>
      </c>
      <c r="T66" s="33" t="e">
        <f t="shared" si="1"/>
        <v>#VALUE!</v>
      </c>
      <c r="U66" s="33">
        <f t="array" ref="U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66,Quick_Names,0))),Type_Species)),0),1)*IF(COUNTBLANK(Combo_Opponent_Type_2)=0,INDEX(Type_Damage_Multipliers,MATCH(Combo_Opponent_Type_2,IF(Type_Move=(INDEX(Quick_Type,MATCH($O66,Quick_Names,0))),Type_Species)),0),1)*(IF(OR(INDEX(Quick_Type,MATCH($O66,Quick_Names,0))=INDEX(Species_Type_1,MATCH($N66,Species_Names,0)),INDEX(Quick_Type,MATCH($O66,Quick_Names,0))=INDEX(Species_Type_2,MATCH($N66,Species_Names,0))),Game_STAB_Multiplier,1)))</f>
        <v>1.25</v>
      </c>
      <c r="V66" s="33">
        <f t="array" ref="V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66,Charge_Names,0))),Type_Species)),0),1)*IF(COUNTBLANK(Combo_Opponent_Type_2)=0,INDEX(Type_Damage_Multipliers,MATCH(Combo_Opponent_Type_2,IF(Type_Move=(INDEX(Charge_Type,MATCH($P66,Charge_Names,0))),Type_Species)),0),1)*
IF(OR(INDEX(Charge_Type,MATCH($P66,Charge_Names,0))=INDEX(Species_Type_1,MATCH($N66,Species_Names,0)),INDEX(Charge_Type,MATCH($P66,Charge_Names,0))=INDEX(Species_Type_2,MATCH($N66,Species_Names,0))),Game_STAB_Multiplier,1))</f>
        <v>1.25</v>
      </c>
      <c r="W66" s="33" t="s">
        <v>489</v>
      </c>
      <c r="X66" s="33" t="s">
        <v>526</v>
      </c>
      <c r="Y66" s="32" t="e">
        <f t="array" ref="Y66">((($Z66)*
INDEX(Species_Attack,MATCH($N66,Species_Names,0))*
INDEX(Species_Tankiness,MATCH($N66,Species_Names,0)))/1000)</f>
        <v>#VALUE!</v>
      </c>
      <c r="Z66" s="33" t="s">
        <v>527</v>
      </c>
    </row>
    <row r="67" spans="1:26" ht="14.25" customHeight="1" x14ac:dyDescent="0.2">
      <c r="A67" s="86"/>
      <c r="B67" s="22" t="str">
        <f t="array" ref="B67">CONCATENATE(TEXT($M67,"000"),".",TEXT(INDEX(Quick_Number,MATCH($O67,Quick_Names,0)),"000"),".",TEXT(INDEX(Charge_Number,MATCH($P67,Charge_Names,0)),"000"))</f>
        <v>031.224.091</v>
      </c>
      <c r="C67" s="23" t="e">
        <f t="array" ref="C67">RANK($S67,IF(Combo_Species_Names=$N67,Combo_Gym_Offense),0)</f>
        <v>#VALUE!</v>
      </c>
      <c r="D67" s="24" t="e">
        <f t="array" ref="D67">$S67/MAX(IF(Combo_Species_Names=$N67,Combo_Gym_Offense))</f>
        <v>#VALUE!</v>
      </c>
      <c r="E67" s="23" t="e">
        <f t="array" ref="E67">RANK($Y67,IF(Combo_Species_Names=$N67,Combo_Gym_Defense),0)</f>
        <v>#VALUE!</v>
      </c>
      <c r="F67" s="25" t="e">
        <f t="array" ref="F67">$Y67/MAX(IF(Combo_Species_Names=$N67,Combo_Gym_Defense))</f>
        <v>#VALUE!</v>
      </c>
      <c r="G67" s="23" t="e">
        <f t="array" ref="G67">IF(OR(INDEX(Species_Availability,MATCH($N67,Species_Names,0))="No",INDEX(Species_Evo_Numbers,MATCH($N67,Species_Names,0))&lt;&gt;1),"N/A",RANK($R67,IF(NOT(ISNA(MATCH(Combo_Species_Names,IF(Species_Availability="Yes",IF(Species_Evo_Numbers=1,Species_Names)),0))),Combo_Duel_Ability),0))</f>
        <v>#VALUE!</v>
      </c>
      <c r="H67" s="24" t="e">
        <f t="array" ref="H67">IF(OR(INDEX(Species_Availability,MATCH($N67,Species_Names,0))="No",INDEX(Species_Evo_Numbers,MATCH($N67,Species_Names,0))&lt;&gt;1),"N/A",$R67/MAX(IF(NOT(ISNA(MATCH(Combo_Species_Names,IF(Species_Availability="Yes",IF(Species_Evo_Numbers=1,Species_Names)),0))),Combo_Duel_Ability)))</f>
        <v>#VALUE!</v>
      </c>
      <c r="I67" s="23" t="e">
        <f t="array" ref="I67">IF(OR(INDEX(Species_Availability,MATCH($N67,Species_Names,0))="No",INDEX(Species_Evo_Numbers,MATCH($N67,Species_Names,0))&lt;&gt;1),"N/A",RANK($S67,IF(NOT(ISNA(MATCH(Combo_Species_Names,IF(Species_Availability="Yes",IF(Species_Evo_Numbers=1,Species_Names)),0))),Combo_Gym_Offense),0))</f>
        <v>#VALUE!</v>
      </c>
      <c r="J67" s="24" t="e">
        <f t="array" ref="J67">IF(OR(INDEX(Species_Availability,MATCH($N67,Species_Names,0))="No",INDEX(Species_Evo_Numbers,MATCH($N67,Species_Names,0))&lt;&gt;1),"N/A",$S67/MAX(IF(NOT(ISNA(MATCH(Combo_Species_Names,IF(Species_Availability="Yes",IF(Species_Evo_Numbers=1,Species_Names)),0))),Combo_Gym_Offense)))</f>
        <v>#VALUE!</v>
      </c>
      <c r="K67" s="23" t="e">
        <f t="array" ref="K67">IF(OR(INDEX(Species_Availability,MATCH($N67,Species_Names,0))="No",INDEX(Species_Evo_Numbers,MATCH($N67,Species_Names,0))&lt;&gt;1),"N/A",RANK($Y67,IF(NOT(ISNA(MATCH(Combo_Species_Names,IF(Species_Availability="Yes",IF(Species_Evo_Numbers=1,Species_Names)),0))),Combo_Gym_Defense),0))</f>
        <v>#VALUE!</v>
      </c>
      <c r="L67" s="24" t="e">
        <f t="array" ref="L67">IF(OR(INDEX(Species_Availability,MATCH($N67,Species_Names,0))="No",INDEX(Species_Evo_Numbers,MATCH($N67,Species_Names,0))&lt;&gt;1),"N/A",$Y67/MAX(IF(NOT(ISNA(MATCH(Combo_Species_Names,IF(Species_Availability="Yes",IF(Species_Evo_Numbers=1,Species_Names)),0))),Combo_Gym_Defense)))</f>
        <v>#VALUE!</v>
      </c>
      <c r="M67" s="28">
        <f t="array" ref="M67">INDEX(Species_Pdex_Numbers,MATCH($N67,Species_Names,0))</f>
        <v>31</v>
      </c>
      <c r="N67" s="30" t="s">
        <v>152</v>
      </c>
      <c r="O67" s="31" t="s">
        <v>77</v>
      </c>
      <c r="P67" s="31" t="s">
        <v>186</v>
      </c>
      <c r="Q67" s="17" t="e">
        <f t="shared" si="0"/>
        <v>#VALUE!</v>
      </c>
      <c r="R67" s="32" t="e">
        <f t="array" ref="R67">IF(OR(AND(COUNTBLANK(Combo_Opponent_Type_1)=1,COUNTBLANK(Combo_Opponent_Type_2)=0),AND(AND(COUNTBLANK(Combo_Opponent_Type_1)=0,COUNTBLANK(Combo_Opponent_Type_2)=0),Combo_Opponent_Type_1=Combo_Opponent_Type_2)),
"Check Types",($S67*INDEX(Species_Tankiness,MATCH($N67,Species_Names,0)))/225)</f>
        <v>#VALUE!</v>
      </c>
      <c r="S67" s="32" t="e">
        <f t="array" ref="S67">IF(OR(AND(COUNTBLANK(Combo_Opponent_Type_1)=1,COUNTBLANK(Combo_Opponent_Type_2)=0),AND(AND(COUNTBLANK(Combo_Opponent_Type_1)=0,COUNTBLANK(Combo_Opponent_Type_2)=0),Combo_Opponent_Type_1=Combo_Opponent_Type_2)),
"Check Types",(
IF($W67&gt;=((1-Game_Weave_Human_Error)*$X67),$W67,$X67)*INDEX(Species_Attack,MATCH($N67,Species_Names,0)))/11)</f>
        <v>#VALUE!</v>
      </c>
      <c r="T67" s="33" t="e">
        <f t="shared" si="1"/>
        <v>#VALUE!</v>
      </c>
      <c r="U67" s="33">
        <f t="array" ref="U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67,Quick_Names,0))),Type_Species)),0),1)*IF(COUNTBLANK(Combo_Opponent_Type_2)=0,INDEX(Type_Damage_Multipliers,MATCH(Combo_Opponent_Type_2,IF(Type_Move=(INDEX(Quick_Type,MATCH($O67,Quick_Names,0))),Type_Species)),0),1)*(IF(OR(INDEX(Quick_Type,MATCH($O67,Quick_Names,0))=INDEX(Species_Type_1,MATCH($N67,Species_Names,0)),INDEX(Quick_Type,MATCH($O67,Quick_Names,0))=INDEX(Species_Type_2,MATCH($N67,Species_Names,0))),Game_STAB_Multiplier,1)))</f>
        <v>1.25</v>
      </c>
      <c r="V67" s="33">
        <f t="array" ref="V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67,Charge_Names,0))),Type_Species)),0),1)*IF(COUNTBLANK(Combo_Opponent_Type_2)=0,INDEX(Type_Damage_Multipliers,MATCH(Combo_Opponent_Type_2,IF(Type_Move=(INDEX(Charge_Type,MATCH($P67,Charge_Names,0))),Type_Species)),0),1)*
IF(OR(INDEX(Charge_Type,MATCH($P67,Charge_Names,0))=INDEX(Species_Type_1,MATCH($N67,Species_Names,0)),INDEX(Charge_Type,MATCH($P67,Charge_Names,0))=INDEX(Species_Type_2,MATCH($N67,Species_Names,0))),Game_STAB_Multiplier,1))</f>
        <v>1.25</v>
      </c>
      <c r="W67" s="33" t="s">
        <v>446</v>
      </c>
      <c r="X67" s="33" t="s">
        <v>479</v>
      </c>
      <c r="Y67" s="32" t="e">
        <f t="array" ref="Y67">((($Z67)*
INDEX(Species_Attack,MATCH($N67,Species_Names,0))*
INDEX(Species_Tankiness,MATCH($N67,Species_Names,0)))/1000)</f>
        <v>#VALUE!</v>
      </c>
      <c r="Z67" s="33" t="s">
        <v>480</v>
      </c>
    </row>
    <row r="68" spans="1:26" ht="14.25" customHeight="1" x14ac:dyDescent="0.2">
      <c r="A68" s="86"/>
      <c r="B68" s="22" t="str">
        <f t="array" ref="B68">CONCATENATE(TEXT($M68,"000"),".",TEXT(INDEX(Quick_Number,MATCH($O68,Quick_Names,0)),"000"),".",TEXT(INDEX(Charge_Number,MATCH($P68,Charge_Names,0)),"000"))</f>
        <v>089.224.016</v>
      </c>
      <c r="C68" s="23" t="e">
        <f t="array" ref="C68">RANK($S68,IF(Combo_Species_Names=$N68,Combo_Gym_Offense),0)</f>
        <v>#VALUE!</v>
      </c>
      <c r="D68" s="24" t="e">
        <f t="array" ref="D68">$S68/MAX(IF(Combo_Species_Names=$N68,Combo_Gym_Offense))</f>
        <v>#VALUE!</v>
      </c>
      <c r="E68" s="23" t="e">
        <f t="array" ref="E68">RANK($Y68,IF(Combo_Species_Names=$N68,Combo_Gym_Defense),0)</f>
        <v>#VALUE!</v>
      </c>
      <c r="F68" s="25" t="e">
        <f t="array" ref="F68">$Y68/MAX(IF(Combo_Species_Names=$N68,Combo_Gym_Defense))</f>
        <v>#VALUE!</v>
      </c>
      <c r="G68" s="23" t="e">
        <f t="array" ref="G68">IF(OR(INDEX(Species_Availability,MATCH($N68,Species_Names,0))="No",INDEX(Species_Evo_Numbers,MATCH($N68,Species_Names,0))&lt;&gt;1),"N/A",RANK($R68,IF(NOT(ISNA(MATCH(Combo_Species_Names,IF(Species_Availability="Yes",IF(Species_Evo_Numbers=1,Species_Names)),0))),Combo_Duel_Ability),0))</f>
        <v>#VALUE!</v>
      </c>
      <c r="H68" s="24" t="e">
        <f t="array" ref="H68">IF(OR(INDEX(Species_Availability,MATCH($N68,Species_Names,0))="No",INDEX(Species_Evo_Numbers,MATCH($N68,Species_Names,0))&lt;&gt;1),"N/A",$R68/MAX(IF(NOT(ISNA(MATCH(Combo_Species_Names,IF(Species_Availability="Yes",IF(Species_Evo_Numbers=1,Species_Names)),0))),Combo_Duel_Ability)))</f>
        <v>#VALUE!</v>
      </c>
      <c r="I68" s="23" t="e">
        <f t="array" ref="I68">IF(OR(INDEX(Species_Availability,MATCH($N68,Species_Names,0))="No",INDEX(Species_Evo_Numbers,MATCH($N68,Species_Names,0))&lt;&gt;1),"N/A",RANK($S68,IF(NOT(ISNA(MATCH(Combo_Species_Names,IF(Species_Availability="Yes",IF(Species_Evo_Numbers=1,Species_Names)),0))),Combo_Gym_Offense),0))</f>
        <v>#VALUE!</v>
      </c>
      <c r="J68" s="24" t="e">
        <f t="array" ref="J68">IF(OR(INDEX(Species_Availability,MATCH($N68,Species_Names,0))="No",INDEX(Species_Evo_Numbers,MATCH($N68,Species_Names,0))&lt;&gt;1),"N/A",$S68/MAX(IF(NOT(ISNA(MATCH(Combo_Species_Names,IF(Species_Availability="Yes",IF(Species_Evo_Numbers=1,Species_Names)),0))),Combo_Gym_Offense)))</f>
        <v>#VALUE!</v>
      </c>
      <c r="K68" s="23" t="e">
        <f t="array" ref="K68">IF(OR(INDEX(Species_Availability,MATCH($N68,Species_Names,0))="No",INDEX(Species_Evo_Numbers,MATCH($N68,Species_Names,0))&lt;&gt;1),"N/A",RANK($Y68,IF(NOT(ISNA(MATCH(Combo_Species_Names,IF(Species_Availability="Yes",IF(Species_Evo_Numbers=1,Species_Names)),0))),Combo_Gym_Defense),0))</f>
        <v>#VALUE!</v>
      </c>
      <c r="L68" s="24" t="e">
        <f t="array" ref="L68">IF(OR(INDEX(Species_Availability,MATCH($N68,Species_Names,0))="No",INDEX(Species_Evo_Numbers,MATCH($N68,Species_Names,0))&lt;&gt;1),"N/A",$Y68/MAX(IF(NOT(ISNA(MATCH(Combo_Species_Names,IF(Species_Availability="Yes",IF(Species_Evo_Numbers=1,Species_Names)),0))),Combo_Gym_Defense)))</f>
        <v>#VALUE!</v>
      </c>
      <c r="M68" s="28">
        <f t="array" ref="M68">INDEX(Species_Pdex_Numbers,MATCH($N68,Species_Names,0))</f>
        <v>89</v>
      </c>
      <c r="N68" s="30" t="s">
        <v>272</v>
      </c>
      <c r="O68" s="31" t="s">
        <v>77</v>
      </c>
      <c r="P68" s="31" t="s">
        <v>258</v>
      </c>
      <c r="Q68" s="17" t="e">
        <f t="shared" si="0"/>
        <v>#VALUE!</v>
      </c>
      <c r="R68" s="32" t="e">
        <f t="array" ref="R68">IF(OR(AND(COUNTBLANK(Combo_Opponent_Type_1)=1,COUNTBLANK(Combo_Opponent_Type_2)=0),AND(AND(COUNTBLANK(Combo_Opponent_Type_1)=0,COUNTBLANK(Combo_Opponent_Type_2)=0),Combo_Opponent_Type_1=Combo_Opponent_Type_2)),
"Check Types",($S68*INDEX(Species_Tankiness,MATCH($N68,Species_Names,0)))/225)</f>
        <v>#VALUE!</v>
      </c>
      <c r="S68" s="32" t="e">
        <f t="array" ref="S68">IF(OR(AND(COUNTBLANK(Combo_Opponent_Type_1)=1,COUNTBLANK(Combo_Opponent_Type_2)=0),AND(AND(COUNTBLANK(Combo_Opponent_Type_1)=0,COUNTBLANK(Combo_Opponent_Type_2)=0),Combo_Opponent_Type_1=Combo_Opponent_Type_2)),
"Check Types",(
IF($W68&gt;=((1-Game_Weave_Human_Error)*$X68),$W68,$X68)*INDEX(Species_Attack,MATCH($N68,Species_Names,0)))/11)</f>
        <v>#VALUE!</v>
      </c>
      <c r="T68" s="33" t="e">
        <f t="shared" si="1"/>
        <v>#VALUE!</v>
      </c>
      <c r="U68" s="33">
        <f t="array" ref="U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68,Quick_Names,0))),Type_Species)),0),1)*IF(COUNTBLANK(Combo_Opponent_Type_2)=0,INDEX(Type_Damage_Multipliers,MATCH(Combo_Opponent_Type_2,IF(Type_Move=(INDEX(Quick_Type,MATCH($O68,Quick_Names,0))),Type_Species)),0),1)*(IF(OR(INDEX(Quick_Type,MATCH($O68,Quick_Names,0))=INDEX(Species_Type_1,MATCH($N68,Species_Names,0)),INDEX(Quick_Type,MATCH($O68,Quick_Names,0))=INDEX(Species_Type_2,MATCH($N68,Species_Names,0))),Game_STAB_Multiplier,1)))</f>
        <v>1.25</v>
      </c>
      <c r="V68" s="33">
        <f t="array" ref="V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68,Charge_Names,0))),Type_Species)),0),1)*IF(COUNTBLANK(Combo_Opponent_Type_2)=0,INDEX(Type_Damage_Multipliers,MATCH(Combo_Opponent_Type_2,IF(Type_Move=(INDEX(Charge_Type,MATCH($P68,Charge_Names,0))),Type_Species)),0),1)*
IF(OR(INDEX(Charge_Type,MATCH($P68,Charge_Names,0))=INDEX(Species_Type_1,MATCH($N68,Species_Names,0)),INDEX(Charge_Type,MATCH($P68,Charge_Names,0))=INDEX(Species_Type_2,MATCH($N68,Species_Names,0))),Game_STAB_Multiplier,1))</f>
        <v>1</v>
      </c>
      <c r="W68" s="33" t="s">
        <v>446</v>
      </c>
      <c r="X68" s="33" t="s">
        <v>528</v>
      </c>
      <c r="Y68" s="32" t="e">
        <f t="array" ref="Y68">((($Z68)*
INDEX(Species_Attack,MATCH($N68,Species_Names,0))*
INDEX(Species_Tankiness,MATCH($N68,Species_Names,0)))/1000)</f>
        <v>#VALUE!</v>
      </c>
      <c r="Z68" s="33" t="s">
        <v>529</v>
      </c>
    </row>
    <row r="69" spans="1:26" ht="14.25" customHeight="1" x14ac:dyDescent="0.2">
      <c r="A69" s="86"/>
      <c r="B69" s="22" t="str">
        <f t="array" ref="B69">CONCATENATE(TEXT($M69,"000"),".",TEXT(INDEX(Quick_Number,MATCH($O69,Quick_Names,0)),"000"),".",TEXT(INDEX(Charge_Number,MATCH($P69,Charge_Names,0)),"000"))</f>
        <v>076.216.031</v>
      </c>
      <c r="C69" s="23" t="e">
        <f t="array" ref="C69">RANK($S69,IF(Combo_Species_Names=$N69,Combo_Gym_Offense),0)</f>
        <v>#VALUE!</v>
      </c>
      <c r="D69" s="24" t="e">
        <f t="array" ref="D69">$S69/MAX(IF(Combo_Species_Names=$N69,Combo_Gym_Offense))</f>
        <v>#VALUE!</v>
      </c>
      <c r="E69" s="23" t="e">
        <f t="array" ref="E69">RANK($Y69,IF(Combo_Species_Names=$N69,Combo_Gym_Defense),0)</f>
        <v>#VALUE!</v>
      </c>
      <c r="F69" s="25" t="e">
        <f t="array" ref="F69">$Y69/MAX(IF(Combo_Species_Names=$N69,Combo_Gym_Defense))</f>
        <v>#VALUE!</v>
      </c>
      <c r="G69" s="23" t="e">
        <f t="array" ref="G69">IF(OR(INDEX(Species_Availability,MATCH($N69,Species_Names,0))="No",INDEX(Species_Evo_Numbers,MATCH($N69,Species_Names,0))&lt;&gt;1),"N/A",RANK($R69,IF(NOT(ISNA(MATCH(Combo_Species_Names,IF(Species_Availability="Yes",IF(Species_Evo_Numbers=1,Species_Names)),0))),Combo_Duel_Ability),0))</f>
        <v>#VALUE!</v>
      </c>
      <c r="H69" s="24" t="e">
        <f t="array" ref="H69">IF(OR(INDEX(Species_Availability,MATCH($N69,Species_Names,0))="No",INDEX(Species_Evo_Numbers,MATCH($N69,Species_Names,0))&lt;&gt;1),"N/A",$R69/MAX(IF(NOT(ISNA(MATCH(Combo_Species_Names,IF(Species_Availability="Yes",IF(Species_Evo_Numbers=1,Species_Names)),0))),Combo_Duel_Ability)))</f>
        <v>#VALUE!</v>
      </c>
      <c r="I69" s="23" t="e">
        <f t="array" ref="I69">IF(OR(INDEX(Species_Availability,MATCH($N69,Species_Names,0))="No",INDEX(Species_Evo_Numbers,MATCH($N69,Species_Names,0))&lt;&gt;1),"N/A",RANK($S69,IF(NOT(ISNA(MATCH(Combo_Species_Names,IF(Species_Availability="Yes",IF(Species_Evo_Numbers=1,Species_Names)),0))),Combo_Gym_Offense),0))</f>
        <v>#VALUE!</v>
      </c>
      <c r="J69" s="24" t="e">
        <f t="array" ref="J69">IF(OR(INDEX(Species_Availability,MATCH($N69,Species_Names,0))="No",INDEX(Species_Evo_Numbers,MATCH($N69,Species_Names,0))&lt;&gt;1),"N/A",$S69/MAX(IF(NOT(ISNA(MATCH(Combo_Species_Names,IF(Species_Availability="Yes",IF(Species_Evo_Numbers=1,Species_Names)),0))),Combo_Gym_Offense)))</f>
        <v>#VALUE!</v>
      </c>
      <c r="K69" s="23" t="e">
        <f t="array" ref="K69">IF(OR(INDEX(Species_Availability,MATCH($N69,Species_Names,0))="No",INDEX(Species_Evo_Numbers,MATCH($N69,Species_Names,0))&lt;&gt;1),"N/A",RANK($Y69,IF(NOT(ISNA(MATCH(Combo_Species_Names,IF(Species_Availability="Yes",IF(Species_Evo_Numbers=1,Species_Names)),0))),Combo_Gym_Defense),0))</f>
        <v>#VALUE!</v>
      </c>
      <c r="L69" s="24" t="e">
        <f t="array" ref="L69">IF(OR(INDEX(Species_Availability,MATCH($N69,Species_Names,0))="No",INDEX(Species_Evo_Numbers,MATCH($N69,Species_Names,0))&lt;&gt;1),"N/A",$Y69/MAX(IF(NOT(ISNA(MATCH(Combo_Species_Names,IF(Species_Availability="Yes",IF(Species_Evo_Numbers=1,Species_Names)),0))),Combo_Gym_Defense)))</f>
        <v>#VALUE!</v>
      </c>
      <c r="M69" s="28">
        <f t="array" ref="M69">INDEX(Species_Pdex_Numbers,MATCH($N69,Species_Names,0))</f>
        <v>76</v>
      </c>
      <c r="N69" s="30" t="s">
        <v>244</v>
      </c>
      <c r="O69" s="31" t="s">
        <v>89</v>
      </c>
      <c r="P69" s="31" t="s">
        <v>169</v>
      </c>
      <c r="Q69" s="17" t="e">
        <f t="shared" si="0"/>
        <v>#VALUE!</v>
      </c>
      <c r="R69" s="32" t="e">
        <f t="array" ref="R69">IF(OR(AND(COUNTBLANK(Combo_Opponent_Type_1)=1,COUNTBLANK(Combo_Opponent_Type_2)=0),AND(AND(COUNTBLANK(Combo_Opponent_Type_1)=0,COUNTBLANK(Combo_Opponent_Type_2)=0),Combo_Opponent_Type_1=Combo_Opponent_Type_2)),
"Check Types",($S69*INDEX(Species_Tankiness,MATCH($N69,Species_Names,0)))/225)</f>
        <v>#VALUE!</v>
      </c>
      <c r="S69" s="32" t="e">
        <f t="array" ref="S69">IF(OR(AND(COUNTBLANK(Combo_Opponent_Type_1)=1,COUNTBLANK(Combo_Opponent_Type_2)=0),AND(AND(COUNTBLANK(Combo_Opponent_Type_1)=0,COUNTBLANK(Combo_Opponent_Type_2)=0),Combo_Opponent_Type_1=Combo_Opponent_Type_2)),
"Check Types",(
IF($W69&gt;=((1-Game_Weave_Human_Error)*$X69),$W69,$X69)*INDEX(Species_Attack,MATCH($N69,Species_Names,0)))/11)</f>
        <v>#VALUE!</v>
      </c>
      <c r="T69" s="33" t="e">
        <f t="shared" si="1"/>
        <v>#VALUE!</v>
      </c>
      <c r="U69" s="33">
        <f t="array" ref="U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69,Quick_Names,0))),Type_Species)),0),1)*IF(COUNTBLANK(Combo_Opponent_Type_2)=0,INDEX(Type_Damage_Multipliers,MATCH(Combo_Opponent_Type_2,IF(Type_Move=(INDEX(Quick_Type,MATCH($O69,Quick_Names,0))),Type_Species)),0),1)*(IF(OR(INDEX(Quick_Type,MATCH($O69,Quick_Names,0))=INDEX(Species_Type_1,MATCH($N69,Species_Names,0)),INDEX(Quick_Type,MATCH($O69,Quick_Names,0))=INDEX(Species_Type_2,MATCH($N69,Species_Names,0))),Game_STAB_Multiplier,1)))</f>
        <v>1.25</v>
      </c>
      <c r="V69" s="33">
        <f t="array" ref="V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69,Charge_Names,0))),Type_Species)),0),1)*IF(COUNTBLANK(Combo_Opponent_Type_2)=0,INDEX(Type_Damage_Multipliers,MATCH(Combo_Opponent_Type_2,IF(Type_Move=(INDEX(Charge_Type,MATCH($P69,Charge_Names,0))),Type_Species)),0),1)*
IF(OR(INDEX(Charge_Type,MATCH($P69,Charge_Names,0))=INDEX(Species_Type_1,MATCH($N69,Species_Names,0)),INDEX(Charge_Type,MATCH($P69,Charge_Names,0))=INDEX(Species_Type_2,MATCH($N69,Species_Names,0))),Game_STAB_Multiplier,1))</f>
        <v>1.25</v>
      </c>
      <c r="W69" s="33" t="s">
        <v>496</v>
      </c>
      <c r="X69" s="33" t="s">
        <v>530</v>
      </c>
      <c r="Y69" s="32" t="e">
        <f t="array" ref="Y69">((($Z69)*
INDEX(Species_Attack,MATCH($N69,Species_Names,0))*
INDEX(Species_Tankiness,MATCH($N69,Species_Names,0)))/1000)</f>
        <v>#VALUE!</v>
      </c>
      <c r="Z69" s="33" t="s">
        <v>531</v>
      </c>
    </row>
    <row r="70" spans="1:26" ht="14.25" customHeight="1" x14ac:dyDescent="0.2">
      <c r="A70" s="86"/>
      <c r="B70" s="22" t="str">
        <f t="array" ref="B70">CONCATENATE(TEXT($M70,"000"),".",TEXT(INDEX(Quick_Number,MATCH($O70,Quick_Names,0)),"000"),".",TEXT(INDEX(Charge_Number,MATCH($P70,Charge_Names,0)),"000"))</f>
        <v>034.224.031</v>
      </c>
      <c r="C70" s="23" t="e">
        <f t="array" ref="C70">RANK($S70,IF(Combo_Species_Names=$N70,Combo_Gym_Offense),0)</f>
        <v>#VALUE!</v>
      </c>
      <c r="D70" s="24" t="e">
        <f t="array" ref="D70">$S70/MAX(IF(Combo_Species_Names=$N70,Combo_Gym_Offense))</f>
        <v>#VALUE!</v>
      </c>
      <c r="E70" s="23" t="e">
        <f t="array" ref="E70">RANK($Y70,IF(Combo_Species_Names=$N70,Combo_Gym_Defense),0)</f>
        <v>#VALUE!</v>
      </c>
      <c r="F70" s="25" t="e">
        <f t="array" ref="F70">$Y70/MAX(IF(Combo_Species_Names=$N70,Combo_Gym_Defense))</f>
        <v>#VALUE!</v>
      </c>
      <c r="G70" s="23" t="e">
        <f t="array" ref="G70">IF(OR(INDEX(Species_Availability,MATCH($N70,Species_Names,0))="No",INDEX(Species_Evo_Numbers,MATCH($N70,Species_Names,0))&lt;&gt;1),"N/A",RANK($R70,IF(NOT(ISNA(MATCH(Combo_Species_Names,IF(Species_Availability="Yes",IF(Species_Evo_Numbers=1,Species_Names)),0))),Combo_Duel_Ability),0))</f>
        <v>#VALUE!</v>
      </c>
      <c r="H70" s="24" t="e">
        <f t="array" ref="H70">IF(OR(INDEX(Species_Availability,MATCH($N70,Species_Names,0))="No",INDEX(Species_Evo_Numbers,MATCH($N70,Species_Names,0))&lt;&gt;1),"N/A",$R70/MAX(IF(NOT(ISNA(MATCH(Combo_Species_Names,IF(Species_Availability="Yes",IF(Species_Evo_Numbers=1,Species_Names)),0))),Combo_Duel_Ability)))</f>
        <v>#VALUE!</v>
      </c>
      <c r="I70" s="23" t="e">
        <f t="array" ref="I70">IF(OR(INDEX(Species_Availability,MATCH($N70,Species_Names,0))="No",INDEX(Species_Evo_Numbers,MATCH($N70,Species_Names,0))&lt;&gt;1),"N/A",RANK($S70,IF(NOT(ISNA(MATCH(Combo_Species_Names,IF(Species_Availability="Yes",IF(Species_Evo_Numbers=1,Species_Names)),0))),Combo_Gym_Offense),0))</f>
        <v>#VALUE!</v>
      </c>
      <c r="J70" s="24" t="e">
        <f t="array" ref="J70">IF(OR(INDEX(Species_Availability,MATCH($N70,Species_Names,0))="No",INDEX(Species_Evo_Numbers,MATCH($N70,Species_Names,0))&lt;&gt;1),"N/A",$S70/MAX(IF(NOT(ISNA(MATCH(Combo_Species_Names,IF(Species_Availability="Yes",IF(Species_Evo_Numbers=1,Species_Names)),0))),Combo_Gym_Offense)))</f>
        <v>#VALUE!</v>
      </c>
      <c r="K70" s="23" t="e">
        <f t="array" ref="K70">IF(OR(INDEX(Species_Availability,MATCH($N70,Species_Names,0))="No",INDEX(Species_Evo_Numbers,MATCH($N70,Species_Names,0))&lt;&gt;1),"N/A",RANK($Y70,IF(NOT(ISNA(MATCH(Combo_Species_Names,IF(Species_Availability="Yes",IF(Species_Evo_Numbers=1,Species_Names)),0))),Combo_Gym_Defense),0))</f>
        <v>#VALUE!</v>
      </c>
      <c r="L70" s="24" t="e">
        <f t="array" ref="L70">IF(OR(INDEX(Species_Availability,MATCH($N70,Species_Names,0))="No",INDEX(Species_Evo_Numbers,MATCH($N70,Species_Names,0))&lt;&gt;1),"N/A",$Y70/MAX(IF(NOT(ISNA(MATCH(Combo_Species_Names,IF(Species_Availability="Yes",IF(Species_Evo_Numbers=1,Species_Names)),0))),Combo_Gym_Defense)))</f>
        <v>#VALUE!</v>
      </c>
      <c r="M70" s="28">
        <f t="array" ref="M70">INDEX(Species_Pdex_Numbers,MATCH($N70,Species_Names,0))</f>
        <v>34</v>
      </c>
      <c r="N70" s="30" t="s">
        <v>158</v>
      </c>
      <c r="O70" s="31" t="s">
        <v>77</v>
      </c>
      <c r="P70" s="31" t="s">
        <v>169</v>
      </c>
      <c r="Q70" s="17" t="e">
        <f t="shared" ref="Q70:Q133" si="2">IF(OR(AND(COUNTBLANK(Combo_Opponent_Type_1)=1,COUNTBLANK(Combo_Opponent_Type_2)=0),AND(AND(COUNTBLANK(Combo_Opponent_Type_1)=0,COUNTBLANK(Combo_Opponent_Type_2)=0),Combo_Opponent_Type_1=Combo_Opponent_Type_2)),
"Check Types",IF($W70&gt;=((1-Game_Weave_Human_Error)*$X70),"Quick Only","Weave"))</f>
        <v>#VALUE!</v>
      </c>
      <c r="R70" s="32" t="e">
        <f t="array" ref="R70">IF(OR(AND(COUNTBLANK(Combo_Opponent_Type_1)=1,COUNTBLANK(Combo_Opponent_Type_2)=0),AND(AND(COUNTBLANK(Combo_Opponent_Type_1)=0,COUNTBLANK(Combo_Opponent_Type_2)=0),Combo_Opponent_Type_1=Combo_Opponent_Type_2)),
"Check Types",($S70*INDEX(Species_Tankiness,MATCH($N70,Species_Names,0)))/225)</f>
        <v>#VALUE!</v>
      </c>
      <c r="S70" s="32" t="e">
        <f t="array" ref="S70">IF(OR(AND(COUNTBLANK(Combo_Opponent_Type_1)=1,COUNTBLANK(Combo_Opponent_Type_2)=0),AND(AND(COUNTBLANK(Combo_Opponent_Type_1)=0,COUNTBLANK(Combo_Opponent_Type_2)=0),Combo_Opponent_Type_1=Combo_Opponent_Type_2)),
"Check Types",(
IF($W70&gt;=((1-Game_Weave_Human_Error)*$X70),$W70,$X70)*INDEX(Species_Attack,MATCH($N70,Species_Names,0)))/11)</f>
        <v>#VALUE!</v>
      </c>
      <c r="T70" s="33" t="e">
        <f t="shared" ref="T70:T133" si="3">IF(OR(AND(COUNTBLANK(Combo_Opponent_Type_1)=1,COUNTBLANK(Combo_Opponent_Type_2)=0),AND(AND(COUNTBLANK(Combo_Opponent_Type_1)=0,COUNTBLANK(Combo_Opponent_Type_2)=0),Combo_Opponent_Type_1=Combo_Opponent_Type_2)),
"Check Types",IF($W70&gt;=((1-Game_Weave_Human_Error)*$X70),$W70,$X70))</f>
        <v>#VALUE!</v>
      </c>
      <c r="U70" s="33">
        <f t="array" ref="U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70,Quick_Names,0))),Type_Species)),0),1)*IF(COUNTBLANK(Combo_Opponent_Type_2)=0,INDEX(Type_Damage_Multipliers,MATCH(Combo_Opponent_Type_2,IF(Type_Move=(INDEX(Quick_Type,MATCH($O70,Quick_Names,0))),Type_Species)),0),1)*(IF(OR(INDEX(Quick_Type,MATCH($O70,Quick_Names,0))=INDEX(Species_Type_1,MATCH($N70,Species_Names,0)),INDEX(Quick_Type,MATCH($O70,Quick_Names,0))=INDEX(Species_Type_2,MATCH($N70,Species_Names,0))),Game_STAB_Multiplier,1)))</f>
        <v>1.25</v>
      </c>
      <c r="V70" s="33">
        <f t="array" ref="V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70,Charge_Names,0))),Type_Species)),0),1)*IF(COUNTBLANK(Combo_Opponent_Type_2)=0,INDEX(Type_Damage_Multipliers,MATCH(Combo_Opponent_Type_2,IF(Type_Move=(INDEX(Charge_Type,MATCH($P70,Charge_Names,0))),Type_Species)),0),1)*
IF(OR(INDEX(Charge_Type,MATCH($P70,Charge_Names,0))=INDEX(Species_Type_1,MATCH($N70,Species_Names,0)),INDEX(Charge_Type,MATCH($P70,Charge_Names,0))=INDEX(Species_Type_2,MATCH($N70,Species_Names,0))),Game_STAB_Multiplier,1))</f>
        <v>1.25</v>
      </c>
      <c r="W70" s="33" t="s">
        <v>446</v>
      </c>
      <c r="X70" s="33" t="s">
        <v>486</v>
      </c>
      <c r="Y70" s="32" t="e">
        <f t="array" ref="Y70">((($Z70)*
INDEX(Species_Attack,MATCH($N70,Species_Names,0))*
INDEX(Species_Tankiness,MATCH($N70,Species_Names,0)))/1000)</f>
        <v>#VALUE!</v>
      </c>
      <c r="Z70" s="33" t="s">
        <v>487</v>
      </c>
    </row>
    <row r="71" spans="1:26" ht="14.25" customHeight="1" x14ac:dyDescent="0.2">
      <c r="A71" s="86"/>
      <c r="B71" s="22" t="str">
        <f t="array" ref="B71">CONCATENATE(TEXT($M71,"000"),".",TEXT(INDEX(Quick_Number,MATCH($O71,Quick_Names,0)),"000"),".",TEXT(INDEX(Charge_Number,MATCH($P71,Charge_Names,0)),"000"))</f>
        <v>130.202.082</v>
      </c>
      <c r="C71" s="23" t="e">
        <f t="array" ref="C71">RANK($S71,IF(Combo_Species_Names=$N71,Combo_Gym_Offense),0)</f>
        <v>#VALUE!</v>
      </c>
      <c r="D71" s="24" t="e">
        <f t="array" ref="D71">$S71/MAX(IF(Combo_Species_Names=$N71,Combo_Gym_Offense))</f>
        <v>#VALUE!</v>
      </c>
      <c r="E71" s="23" t="e">
        <f t="array" ref="E71">RANK($Y71,IF(Combo_Species_Names=$N71,Combo_Gym_Defense),0)</f>
        <v>#VALUE!</v>
      </c>
      <c r="F71" s="25" t="e">
        <f t="array" ref="F71">$Y71/MAX(IF(Combo_Species_Names=$N71,Combo_Gym_Defense))</f>
        <v>#VALUE!</v>
      </c>
      <c r="G71" s="23" t="e">
        <f t="array" ref="G71">IF(OR(INDEX(Species_Availability,MATCH($N71,Species_Names,0))="No",INDEX(Species_Evo_Numbers,MATCH($N71,Species_Names,0))&lt;&gt;1),"N/A",RANK($R71,IF(NOT(ISNA(MATCH(Combo_Species_Names,IF(Species_Availability="Yes",IF(Species_Evo_Numbers=1,Species_Names)),0))),Combo_Duel_Ability),0))</f>
        <v>#VALUE!</v>
      </c>
      <c r="H71" s="24" t="e">
        <f t="array" ref="H71">IF(OR(INDEX(Species_Availability,MATCH($N71,Species_Names,0))="No",INDEX(Species_Evo_Numbers,MATCH($N71,Species_Names,0))&lt;&gt;1),"N/A",$R71/MAX(IF(NOT(ISNA(MATCH(Combo_Species_Names,IF(Species_Availability="Yes",IF(Species_Evo_Numbers=1,Species_Names)),0))),Combo_Duel_Ability)))</f>
        <v>#VALUE!</v>
      </c>
      <c r="I71" s="23" t="e">
        <f t="array" ref="I71">IF(OR(INDEX(Species_Availability,MATCH($N71,Species_Names,0))="No",INDEX(Species_Evo_Numbers,MATCH($N71,Species_Names,0))&lt;&gt;1),"N/A",RANK($S71,IF(NOT(ISNA(MATCH(Combo_Species_Names,IF(Species_Availability="Yes",IF(Species_Evo_Numbers=1,Species_Names)),0))),Combo_Gym_Offense),0))</f>
        <v>#VALUE!</v>
      </c>
      <c r="J71" s="24" t="e">
        <f t="array" ref="J71">IF(OR(INDEX(Species_Availability,MATCH($N71,Species_Names,0))="No",INDEX(Species_Evo_Numbers,MATCH($N71,Species_Names,0))&lt;&gt;1),"N/A",$S71/MAX(IF(NOT(ISNA(MATCH(Combo_Species_Names,IF(Species_Availability="Yes",IF(Species_Evo_Numbers=1,Species_Names)),0))),Combo_Gym_Offense)))</f>
        <v>#VALUE!</v>
      </c>
      <c r="K71" s="23" t="e">
        <f t="array" ref="K71">IF(OR(INDEX(Species_Availability,MATCH($N71,Species_Names,0))="No",INDEX(Species_Evo_Numbers,MATCH($N71,Species_Names,0))&lt;&gt;1),"N/A",RANK($Y71,IF(NOT(ISNA(MATCH(Combo_Species_Names,IF(Species_Availability="Yes",IF(Species_Evo_Numbers=1,Species_Names)),0))),Combo_Gym_Defense),0))</f>
        <v>#VALUE!</v>
      </c>
      <c r="L71" s="24" t="e">
        <f t="array" ref="L71">IF(OR(INDEX(Species_Availability,MATCH($N71,Species_Names,0))="No",INDEX(Species_Evo_Numbers,MATCH($N71,Species_Names,0))&lt;&gt;1),"N/A",$Y71/MAX(IF(NOT(ISNA(MATCH(Combo_Species_Names,IF(Species_Availability="Yes",IF(Species_Evo_Numbers=1,Species_Names)),0))),Combo_Gym_Defense)))</f>
        <v>#VALUE!</v>
      </c>
      <c r="M71" s="28">
        <f t="array" ref="M71">INDEX(Species_Pdex_Numbers,MATCH($N71,Species_Names,0))</f>
        <v>130</v>
      </c>
      <c r="N71" s="30" t="s">
        <v>347</v>
      </c>
      <c r="O71" s="31" t="s">
        <v>59</v>
      </c>
      <c r="P71" s="31" t="s">
        <v>207</v>
      </c>
      <c r="Q71" s="17" t="e">
        <f t="shared" si="2"/>
        <v>#VALUE!</v>
      </c>
      <c r="R71" s="32" t="e">
        <f t="array" ref="R71">IF(OR(AND(COUNTBLANK(Combo_Opponent_Type_1)=1,COUNTBLANK(Combo_Opponent_Type_2)=0),AND(AND(COUNTBLANK(Combo_Opponent_Type_1)=0,COUNTBLANK(Combo_Opponent_Type_2)=0),Combo_Opponent_Type_1=Combo_Opponent_Type_2)),
"Check Types",($S71*INDEX(Species_Tankiness,MATCH($N71,Species_Names,0)))/225)</f>
        <v>#VALUE!</v>
      </c>
      <c r="S71" s="32" t="e">
        <f t="array" ref="S71">IF(OR(AND(COUNTBLANK(Combo_Opponent_Type_1)=1,COUNTBLANK(Combo_Opponent_Type_2)=0),AND(AND(COUNTBLANK(Combo_Opponent_Type_1)=0,COUNTBLANK(Combo_Opponent_Type_2)=0),Combo_Opponent_Type_1=Combo_Opponent_Type_2)),
"Check Types",(
IF($W71&gt;=((1-Game_Weave_Human_Error)*$X71),$W71,$X71)*INDEX(Species_Attack,MATCH($N71,Species_Names,0)))/11)</f>
        <v>#VALUE!</v>
      </c>
      <c r="T71" s="33" t="e">
        <f t="shared" si="3"/>
        <v>#VALUE!</v>
      </c>
      <c r="U71" s="33">
        <f t="array" ref="U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71,Quick_Names,0))),Type_Species)),0),1)*IF(COUNTBLANK(Combo_Opponent_Type_2)=0,INDEX(Type_Damage_Multipliers,MATCH(Combo_Opponent_Type_2,IF(Type_Move=(INDEX(Quick_Type,MATCH($O71,Quick_Names,0))),Type_Species)),0),1)*(IF(OR(INDEX(Quick_Type,MATCH($O71,Quick_Names,0))=INDEX(Species_Type_1,MATCH($N71,Species_Names,0)),INDEX(Quick_Type,MATCH($O71,Quick_Names,0))=INDEX(Species_Type_2,MATCH($N71,Species_Names,0))),Game_STAB_Multiplier,1)))</f>
        <v>1</v>
      </c>
      <c r="V71" s="33">
        <f t="array" ref="V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71,Charge_Names,0))),Type_Species)),0),1)*IF(COUNTBLANK(Combo_Opponent_Type_2)=0,INDEX(Type_Damage_Multipliers,MATCH(Combo_Opponent_Type_2,IF(Type_Move=(INDEX(Charge_Type,MATCH($P71,Charge_Names,0))),Type_Species)),0),1)*
IF(OR(INDEX(Charge_Type,MATCH($P71,Charge_Names,0))=INDEX(Species_Type_1,MATCH($N71,Species_Names,0)),INDEX(Charge_Type,MATCH($P71,Charge_Names,0))=INDEX(Species_Type_2,MATCH($N71,Species_Names,0))),Game_STAB_Multiplier,1))</f>
        <v>1</v>
      </c>
      <c r="W71" s="33" t="s">
        <v>453</v>
      </c>
      <c r="X71" s="33" t="s">
        <v>532</v>
      </c>
      <c r="Y71" s="32" t="e">
        <f t="array" ref="Y71">((($Z71)*
INDEX(Species_Attack,MATCH($N71,Species_Names,0))*
INDEX(Species_Tankiness,MATCH($N71,Species_Names,0)))/1000)</f>
        <v>#VALUE!</v>
      </c>
      <c r="Z71" s="33" t="s">
        <v>533</v>
      </c>
    </row>
    <row r="72" spans="1:26" ht="14.25" customHeight="1" x14ac:dyDescent="0.2">
      <c r="A72" s="86"/>
      <c r="B72" s="22" t="str">
        <f t="array" ref="B72">CONCATENATE(TEXT($M72,"000"),".",TEXT(INDEX(Quick_Number,MATCH($O72,Quick_Names,0)),"000"),".",TEXT(INDEX(Charge_Number,MATCH($P72,Charge_Names,0)),"000"))</f>
        <v>130.204.082</v>
      </c>
      <c r="C72" s="23" t="e">
        <f t="array" ref="C72">RANK($S72,IF(Combo_Species_Names=$N72,Combo_Gym_Offense),0)</f>
        <v>#VALUE!</v>
      </c>
      <c r="D72" s="24" t="e">
        <f t="array" ref="D72">$S72/MAX(IF(Combo_Species_Names=$N72,Combo_Gym_Offense))</f>
        <v>#VALUE!</v>
      </c>
      <c r="E72" s="23" t="e">
        <f t="array" ref="E72">RANK($Y72,IF(Combo_Species_Names=$N72,Combo_Gym_Defense),0)</f>
        <v>#VALUE!</v>
      </c>
      <c r="F72" s="25" t="e">
        <f t="array" ref="F72">$Y72/MAX(IF(Combo_Species_Names=$N72,Combo_Gym_Defense))</f>
        <v>#VALUE!</v>
      </c>
      <c r="G72" s="23" t="e">
        <f t="array" ref="G72">IF(OR(INDEX(Species_Availability,MATCH($N72,Species_Names,0))="No",INDEX(Species_Evo_Numbers,MATCH($N72,Species_Names,0))&lt;&gt;1),"N/A",RANK($R72,IF(NOT(ISNA(MATCH(Combo_Species_Names,IF(Species_Availability="Yes",IF(Species_Evo_Numbers=1,Species_Names)),0))),Combo_Duel_Ability),0))</f>
        <v>#VALUE!</v>
      </c>
      <c r="H72" s="24" t="e">
        <f t="array" ref="H72">IF(OR(INDEX(Species_Availability,MATCH($N72,Species_Names,0))="No",INDEX(Species_Evo_Numbers,MATCH($N72,Species_Names,0))&lt;&gt;1),"N/A",$R72/MAX(IF(NOT(ISNA(MATCH(Combo_Species_Names,IF(Species_Availability="Yes",IF(Species_Evo_Numbers=1,Species_Names)),0))),Combo_Duel_Ability)))</f>
        <v>#VALUE!</v>
      </c>
      <c r="I72" s="23" t="e">
        <f t="array" ref="I72">IF(OR(INDEX(Species_Availability,MATCH($N72,Species_Names,0))="No",INDEX(Species_Evo_Numbers,MATCH($N72,Species_Names,0))&lt;&gt;1),"N/A",RANK($S72,IF(NOT(ISNA(MATCH(Combo_Species_Names,IF(Species_Availability="Yes",IF(Species_Evo_Numbers=1,Species_Names)),0))),Combo_Gym_Offense),0))</f>
        <v>#VALUE!</v>
      </c>
      <c r="J72" s="24" t="e">
        <f t="array" ref="J72">IF(OR(INDEX(Species_Availability,MATCH($N72,Species_Names,0))="No",INDEX(Species_Evo_Numbers,MATCH($N72,Species_Names,0))&lt;&gt;1),"N/A",$S72/MAX(IF(NOT(ISNA(MATCH(Combo_Species_Names,IF(Species_Availability="Yes",IF(Species_Evo_Numbers=1,Species_Names)),0))),Combo_Gym_Offense)))</f>
        <v>#VALUE!</v>
      </c>
      <c r="K72" s="23" t="e">
        <f t="array" ref="K72">IF(OR(INDEX(Species_Availability,MATCH($N72,Species_Names,0))="No",INDEX(Species_Evo_Numbers,MATCH($N72,Species_Names,0))&lt;&gt;1),"N/A",RANK($Y72,IF(NOT(ISNA(MATCH(Combo_Species_Names,IF(Species_Availability="Yes",IF(Species_Evo_Numbers=1,Species_Names)),0))),Combo_Gym_Defense),0))</f>
        <v>#VALUE!</v>
      </c>
      <c r="L72" s="24" t="e">
        <f t="array" ref="L72">IF(OR(INDEX(Species_Availability,MATCH($N72,Species_Names,0))="No",INDEX(Species_Evo_Numbers,MATCH($N72,Species_Names,0))&lt;&gt;1),"N/A",$Y72/MAX(IF(NOT(ISNA(MATCH(Combo_Species_Names,IF(Species_Availability="Yes",IF(Species_Evo_Numbers=1,Species_Names)),0))),Combo_Gym_Defense)))</f>
        <v>#VALUE!</v>
      </c>
      <c r="M72" s="28">
        <f t="array" ref="M72">INDEX(Species_Pdex_Numbers,MATCH($N72,Species_Names,0))</f>
        <v>130</v>
      </c>
      <c r="N72" s="30" t="s">
        <v>347</v>
      </c>
      <c r="O72" s="31" t="s">
        <v>62</v>
      </c>
      <c r="P72" s="31" t="s">
        <v>207</v>
      </c>
      <c r="Q72" s="17" t="e">
        <f t="shared" si="2"/>
        <v>#VALUE!</v>
      </c>
      <c r="R72" s="32" t="e">
        <f t="array" ref="R72">IF(OR(AND(COUNTBLANK(Combo_Opponent_Type_1)=1,COUNTBLANK(Combo_Opponent_Type_2)=0),AND(AND(COUNTBLANK(Combo_Opponent_Type_1)=0,COUNTBLANK(Combo_Opponent_Type_2)=0),Combo_Opponent_Type_1=Combo_Opponent_Type_2)),
"Check Types",($S72*INDEX(Species_Tankiness,MATCH($N72,Species_Names,0)))/225)</f>
        <v>#VALUE!</v>
      </c>
      <c r="S72" s="32" t="e">
        <f t="array" ref="S72">IF(OR(AND(COUNTBLANK(Combo_Opponent_Type_1)=1,COUNTBLANK(Combo_Opponent_Type_2)=0),AND(AND(COUNTBLANK(Combo_Opponent_Type_1)=0,COUNTBLANK(Combo_Opponent_Type_2)=0),Combo_Opponent_Type_1=Combo_Opponent_Type_2)),
"Check Types",(
IF($W72&gt;=((1-Game_Weave_Human_Error)*$X72),$W72,$X72)*INDEX(Species_Attack,MATCH($N72,Species_Names,0)))/11)</f>
        <v>#VALUE!</v>
      </c>
      <c r="T72" s="33" t="e">
        <f t="shared" si="3"/>
        <v>#VALUE!</v>
      </c>
      <c r="U72" s="33">
        <f t="array" ref="U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72,Quick_Names,0))),Type_Species)),0),1)*IF(COUNTBLANK(Combo_Opponent_Type_2)=0,INDEX(Type_Damage_Multipliers,MATCH(Combo_Opponent_Type_2,IF(Type_Move=(INDEX(Quick_Type,MATCH($O72,Quick_Names,0))),Type_Species)),0),1)*(IF(OR(INDEX(Quick_Type,MATCH($O72,Quick_Names,0))=INDEX(Species_Type_1,MATCH($N72,Species_Names,0)),INDEX(Quick_Type,MATCH($O72,Quick_Names,0))=INDEX(Species_Type_2,MATCH($N72,Species_Names,0))),Game_STAB_Multiplier,1)))</f>
        <v>1</v>
      </c>
      <c r="V72" s="33">
        <f t="array" ref="V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72,Charge_Names,0))),Type_Species)),0),1)*IF(COUNTBLANK(Combo_Opponent_Type_2)=0,INDEX(Type_Damage_Multipliers,MATCH(Combo_Opponent_Type_2,IF(Type_Move=(INDEX(Charge_Type,MATCH($P72,Charge_Names,0))),Type_Species)),0),1)*
IF(OR(INDEX(Charge_Type,MATCH($P72,Charge_Names,0))=INDEX(Species_Type_1,MATCH($N72,Species_Names,0)),INDEX(Charge_Type,MATCH($P72,Charge_Names,0))=INDEX(Species_Type_2,MATCH($N72,Species_Names,0))),Game_STAB_Multiplier,1))</f>
        <v>1</v>
      </c>
      <c r="W72" s="33" t="s">
        <v>453</v>
      </c>
      <c r="X72" s="33" t="s">
        <v>532</v>
      </c>
      <c r="Y72" s="32" t="e">
        <f t="array" ref="Y72">((($Z72)*
INDEX(Species_Attack,MATCH($N72,Species_Names,0))*
INDEX(Species_Tankiness,MATCH($N72,Species_Names,0)))/1000)</f>
        <v>#VALUE!</v>
      </c>
      <c r="Z72" s="33" t="s">
        <v>533</v>
      </c>
    </row>
    <row r="73" spans="1:26" ht="14.25" customHeight="1" x14ac:dyDescent="0.2">
      <c r="A73" s="86"/>
      <c r="B73" s="22" t="str">
        <f t="array" ref="B73">CONCATENATE(TEXT($M73,"000"),".",TEXT(INDEX(Quick_Number,MATCH($O73,Quick_Names,0)),"000"),".",TEXT(INDEX(Charge_Number,MATCH($P73,Charge_Names,0)),"000"))</f>
        <v>045.225.116</v>
      </c>
      <c r="C73" s="23" t="e">
        <f t="array" ref="C73">RANK($S73,IF(Combo_Species_Names=$N73,Combo_Gym_Offense),0)</f>
        <v>#VALUE!</v>
      </c>
      <c r="D73" s="24" t="e">
        <f t="array" ref="D73">$S73/MAX(IF(Combo_Species_Names=$N73,Combo_Gym_Offense))</f>
        <v>#VALUE!</v>
      </c>
      <c r="E73" s="23" t="e">
        <f t="array" ref="E73">RANK($Y73,IF(Combo_Species_Names=$N73,Combo_Gym_Defense),0)</f>
        <v>#VALUE!</v>
      </c>
      <c r="F73" s="25" t="e">
        <f t="array" ref="F73">$Y73/MAX(IF(Combo_Species_Names=$N73,Combo_Gym_Defense))</f>
        <v>#VALUE!</v>
      </c>
      <c r="G73" s="23" t="e">
        <f t="array" ref="G73">IF(OR(INDEX(Species_Availability,MATCH($N73,Species_Names,0))="No",INDEX(Species_Evo_Numbers,MATCH($N73,Species_Names,0))&lt;&gt;1),"N/A",RANK($R73,IF(NOT(ISNA(MATCH(Combo_Species_Names,IF(Species_Availability="Yes",IF(Species_Evo_Numbers=1,Species_Names)),0))),Combo_Duel_Ability),0))</f>
        <v>#VALUE!</v>
      </c>
      <c r="H73" s="24" t="e">
        <f t="array" ref="H73">IF(OR(INDEX(Species_Availability,MATCH($N73,Species_Names,0))="No",INDEX(Species_Evo_Numbers,MATCH($N73,Species_Names,0))&lt;&gt;1),"N/A",$R73/MAX(IF(NOT(ISNA(MATCH(Combo_Species_Names,IF(Species_Availability="Yes",IF(Species_Evo_Numbers=1,Species_Names)),0))),Combo_Duel_Ability)))</f>
        <v>#VALUE!</v>
      </c>
      <c r="I73" s="23" t="e">
        <f t="array" ref="I73">IF(OR(INDEX(Species_Availability,MATCH($N73,Species_Names,0))="No",INDEX(Species_Evo_Numbers,MATCH($N73,Species_Names,0))&lt;&gt;1),"N/A",RANK($S73,IF(NOT(ISNA(MATCH(Combo_Species_Names,IF(Species_Availability="Yes",IF(Species_Evo_Numbers=1,Species_Names)),0))),Combo_Gym_Offense),0))</f>
        <v>#VALUE!</v>
      </c>
      <c r="J73" s="24" t="e">
        <f t="array" ref="J73">IF(OR(INDEX(Species_Availability,MATCH($N73,Species_Names,0))="No",INDEX(Species_Evo_Numbers,MATCH($N73,Species_Names,0))&lt;&gt;1),"N/A",$S73/MAX(IF(NOT(ISNA(MATCH(Combo_Species_Names,IF(Species_Availability="Yes",IF(Species_Evo_Numbers=1,Species_Names)),0))),Combo_Gym_Offense)))</f>
        <v>#VALUE!</v>
      </c>
      <c r="K73" s="23" t="e">
        <f t="array" ref="K73">IF(OR(INDEX(Species_Availability,MATCH($N73,Species_Names,0))="No",INDEX(Species_Evo_Numbers,MATCH($N73,Species_Names,0))&lt;&gt;1),"N/A",RANK($Y73,IF(NOT(ISNA(MATCH(Combo_Species_Names,IF(Species_Availability="Yes",IF(Species_Evo_Numbers=1,Species_Names)),0))),Combo_Gym_Defense),0))</f>
        <v>#VALUE!</v>
      </c>
      <c r="L73" s="24" t="e">
        <f t="array" ref="L73">IF(OR(INDEX(Species_Availability,MATCH($N73,Species_Names,0))="No",INDEX(Species_Evo_Numbers,MATCH($N73,Species_Names,0))&lt;&gt;1),"N/A",$Y73/MAX(IF(NOT(ISNA(MATCH(Combo_Species_Names,IF(Species_Availability="Yes",IF(Species_Evo_Numbers=1,Species_Names)),0))),Combo_Gym_Defense)))</f>
        <v>#VALUE!</v>
      </c>
      <c r="M73" s="28">
        <f t="array" ref="M73">INDEX(Species_Pdex_Numbers,MATCH($N73,Species_Names,0))</f>
        <v>45</v>
      </c>
      <c r="N73" s="30" t="s">
        <v>181</v>
      </c>
      <c r="O73" s="31" t="s">
        <v>110</v>
      </c>
      <c r="P73" s="31" t="s">
        <v>160</v>
      </c>
      <c r="Q73" s="17" t="e">
        <f t="shared" si="2"/>
        <v>#VALUE!</v>
      </c>
      <c r="R73" s="32" t="e">
        <f t="array" ref="R73">IF(OR(AND(COUNTBLANK(Combo_Opponent_Type_1)=1,COUNTBLANK(Combo_Opponent_Type_2)=0),AND(AND(COUNTBLANK(Combo_Opponent_Type_1)=0,COUNTBLANK(Combo_Opponent_Type_2)=0),Combo_Opponent_Type_1=Combo_Opponent_Type_2)),
"Check Types",($S73*INDEX(Species_Tankiness,MATCH($N73,Species_Names,0)))/225)</f>
        <v>#VALUE!</v>
      </c>
      <c r="S73" s="32" t="e">
        <f t="array" ref="S73">IF(OR(AND(COUNTBLANK(Combo_Opponent_Type_1)=1,COUNTBLANK(Combo_Opponent_Type_2)=0),AND(AND(COUNTBLANK(Combo_Opponent_Type_1)=0,COUNTBLANK(Combo_Opponent_Type_2)=0),Combo_Opponent_Type_1=Combo_Opponent_Type_2)),
"Check Types",(
IF($W73&gt;=((1-Game_Weave_Human_Error)*$X73),$W73,$X73)*INDEX(Species_Attack,MATCH($N73,Species_Names,0)))/11)</f>
        <v>#VALUE!</v>
      </c>
      <c r="T73" s="33" t="e">
        <f t="shared" si="3"/>
        <v>#VALUE!</v>
      </c>
      <c r="U73" s="33">
        <f t="array" ref="U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73,Quick_Names,0))),Type_Species)),0),1)*IF(COUNTBLANK(Combo_Opponent_Type_2)=0,INDEX(Type_Damage_Multipliers,MATCH(Combo_Opponent_Type_2,IF(Type_Move=(INDEX(Quick_Type,MATCH($O73,Quick_Names,0))),Type_Species)),0),1)*(IF(OR(INDEX(Quick_Type,MATCH($O73,Quick_Names,0))=INDEX(Species_Type_1,MATCH($N73,Species_Names,0)),INDEX(Quick_Type,MATCH($O73,Quick_Names,0))=INDEX(Species_Type_2,MATCH($N73,Species_Names,0))),Game_STAB_Multiplier,1)))</f>
        <v>1.25</v>
      </c>
      <c r="V73" s="33">
        <f t="array" ref="V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73,Charge_Names,0))),Type_Species)),0),1)*IF(COUNTBLANK(Combo_Opponent_Type_2)=0,INDEX(Type_Damage_Multipliers,MATCH(Combo_Opponent_Type_2,IF(Type_Move=(INDEX(Charge_Type,MATCH($P73,Charge_Names,0))),Type_Species)),0),1)*
IF(OR(INDEX(Charge_Type,MATCH($P73,Charge_Names,0))=INDEX(Species_Type_1,MATCH($N73,Species_Names,0)),INDEX(Charge_Type,MATCH($P73,Charge_Names,0))=INDEX(Species_Type_2,MATCH($N73,Species_Names,0))),Game_STAB_Multiplier,1))</f>
        <v>1.25</v>
      </c>
      <c r="W73" s="33" t="s">
        <v>511</v>
      </c>
      <c r="X73" s="33" t="s">
        <v>534</v>
      </c>
      <c r="Y73" s="32" t="e">
        <f t="array" ref="Y73">((($Z73)*
INDEX(Species_Attack,MATCH($N73,Species_Names,0))*
INDEX(Species_Tankiness,MATCH($N73,Species_Names,0)))/1000)</f>
        <v>#VALUE!</v>
      </c>
      <c r="Z73" s="33" t="s">
        <v>535</v>
      </c>
    </row>
    <row r="74" spans="1:26" ht="14.25" customHeight="1" x14ac:dyDescent="0.2">
      <c r="A74" s="86"/>
      <c r="B74" s="22" t="str">
        <f t="array" ref="B74">CONCATENATE(TEXT($M74,"000"),".",TEXT(INDEX(Quick_Number,MATCH($O74,Quick_Names,0)),"000"),".",TEXT(INDEX(Charge_Number,MATCH($P74,Charge_Names,0)),"000"))</f>
        <v>036.222.087</v>
      </c>
      <c r="C74" s="23" t="e">
        <f t="array" ref="C74">RANK($S74,IF(Combo_Species_Names=$N74,Combo_Gym_Offense),0)</f>
        <v>#VALUE!</v>
      </c>
      <c r="D74" s="24" t="e">
        <f t="array" ref="D74">$S74/MAX(IF(Combo_Species_Names=$N74,Combo_Gym_Offense))</f>
        <v>#VALUE!</v>
      </c>
      <c r="E74" s="23" t="e">
        <f t="array" ref="E74">RANK($Y74,IF(Combo_Species_Names=$N74,Combo_Gym_Defense),0)</f>
        <v>#VALUE!</v>
      </c>
      <c r="F74" s="25" t="e">
        <f t="array" ref="F74">$Y74/MAX(IF(Combo_Species_Names=$N74,Combo_Gym_Defense))</f>
        <v>#VALUE!</v>
      </c>
      <c r="G74" s="23" t="e">
        <f t="array" ref="G74">IF(OR(INDEX(Species_Availability,MATCH($N74,Species_Names,0))="No",INDEX(Species_Evo_Numbers,MATCH($N74,Species_Names,0))&lt;&gt;1),"N/A",RANK($R74,IF(NOT(ISNA(MATCH(Combo_Species_Names,IF(Species_Availability="Yes",IF(Species_Evo_Numbers=1,Species_Names)),0))),Combo_Duel_Ability),0))</f>
        <v>#VALUE!</v>
      </c>
      <c r="H74" s="24" t="e">
        <f t="array" ref="H74">IF(OR(INDEX(Species_Availability,MATCH($N74,Species_Names,0))="No",INDEX(Species_Evo_Numbers,MATCH($N74,Species_Names,0))&lt;&gt;1),"N/A",$R74/MAX(IF(NOT(ISNA(MATCH(Combo_Species_Names,IF(Species_Availability="Yes",IF(Species_Evo_Numbers=1,Species_Names)),0))),Combo_Duel_Ability)))</f>
        <v>#VALUE!</v>
      </c>
      <c r="I74" s="23" t="e">
        <f t="array" ref="I74">IF(OR(INDEX(Species_Availability,MATCH($N74,Species_Names,0))="No",INDEX(Species_Evo_Numbers,MATCH($N74,Species_Names,0))&lt;&gt;1),"N/A",RANK($S74,IF(NOT(ISNA(MATCH(Combo_Species_Names,IF(Species_Availability="Yes",IF(Species_Evo_Numbers=1,Species_Names)),0))),Combo_Gym_Offense),0))</f>
        <v>#VALUE!</v>
      </c>
      <c r="J74" s="24" t="e">
        <f t="array" ref="J74">IF(OR(INDEX(Species_Availability,MATCH($N74,Species_Names,0))="No",INDEX(Species_Evo_Numbers,MATCH($N74,Species_Names,0))&lt;&gt;1),"N/A",$S74/MAX(IF(NOT(ISNA(MATCH(Combo_Species_Names,IF(Species_Availability="Yes",IF(Species_Evo_Numbers=1,Species_Names)),0))),Combo_Gym_Offense)))</f>
        <v>#VALUE!</v>
      </c>
      <c r="K74" s="23" t="e">
        <f t="array" ref="K74">IF(OR(INDEX(Species_Availability,MATCH($N74,Species_Names,0))="No",INDEX(Species_Evo_Numbers,MATCH($N74,Species_Names,0))&lt;&gt;1),"N/A",RANK($Y74,IF(NOT(ISNA(MATCH(Combo_Species_Names,IF(Species_Availability="Yes",IF(Species_Evo_Numbers=1,Species_Names)),0))),Combo_Gym_Defense),0))</f>
        <v>#VALUE!</v>
      </c>
      <c r="L74" s="24" t="e">
        <f t="array" ref="L74">IF(OR(INDEX(Species_Availability,MATCH($N74,Species_Names,0))="No",INDEX(Species_Evo_Numbers,MATCH($N74,Species_Names,0))&lt;&gt;1),"N/A",$Y74/MAX(IF(NOT(ISNA(MATCH(Combo_Species_Names,IF(Species_Availability="Yes",IF(Species_Evo_Numbers=1,Species_Names)),0))),Combo_Gym_Defense)))</f>
        <v>#VALUE!</v>
      </c>
      <c r="M74" s="28">
        <f t="array" ref="M74">INDEX(Species_Pdex_Numbers,MATCH($N74,Species_Names,0))</f>
        <v>36</v>
      </c>
      <c r="N74" s="30" t="s">
        <v>164</v>
      </c>
      <c r="O74" s="31" t="s">
        <v>32</v>
      </c>
      <c r="P74" s="31" t="s">
        <v>185</v>
      </c>
      <c r="Q74" s="17" t="e">
        <f t="shared" si="2"/>
        <v>#VALUE!</v>
      </c>
      <c r="R74" s="32" t="e">
        <f t="array" ref="R74">IF(OR(AND(COUNTBLANK(Combo_Opponent_Type_1)=1,COUNTBLANK(Combo_Opponent_Type_2)=0),AND(AND(COUNTBLANK(Combo_Opponent_Type_1)=0,COUNTBLANK(Combo_Opponent_Type_2)=0),Combo_Opponent_Type_1=Combo_Opponent_Type_2)),
"Check Types",($S74*INDEX(Species_Tankiness,MATCH($N74,Species_Names,0)))/225)</f>
        <v>#VALUE!</v>
      </c>
      <c r="S74" s="32" t="e">
        <f t="array" ref="S74">IF(OR(AND(COUNTBLANK(Combo_Opponent_Type_1)=1,COUNTBLANK(Combo_Opponent_Type_2)=0),AND(AND(COUNTBLANK(Combo_Opponent_Type_1)=0,COUNTBLANK(Combo_Opponent_Type_2)=0),Combo_Opponent_Type_1=Combo_Opponent_Type_2)),
"Check Types",(
IF($W74&gt;=((1-Game_Weave_Human_Error)*$X74),$W74,$X74)*INDEX(Species_Attack,MATCH($N74,Species_Names,0)))/11)</f>
        <v>#VALUE!</v>
      </c>
      <c r="T74" s="33" t="e">
        <f t="shared" si="3"/>
        <v>#VALUE!</v>
      </c>
      <c r="U74" s="33">
        <f t="array" ref="U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74,Quick_Names,0))),Type_Species)),0),1)*IF(COUNTBLANK(Combo_Opponent_Type_2)=0,INDEX(Type_Damage_Multipliers,MATCH(Combo_Opponent_Type_2,IF(Type_Move=(INDEX(Quick_Type,MATCH($O74,Quick_Names,0))),Type_Species)),0),1)*(IF(OR(INDEX(Quick_Type,MATCH($O74,Quick_Names,0))=INDEX(Species_Type_1,MATCH($N74,Species_Names,0)),INDEX(Quick_Type,MATCH($O74,Quick_Names,0))=INDEX(Species_Type_2,MATCH($N74,Species_Names,0))),Game_STAB_Multiplier,1)))</f>
        <v>1</v>
      </c>
      <c r="V74" s="33">
        <f t="array" ref="V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74,Charge_Names,0))),Type_Species)),0),1)*IF(COUNTBLANK(Combo_Opponent_Type_2)=0,INDEX(Type_Damage_Multipliers,MATCH(Combo_Opponent_Type_2,IF(Type_Move=(INDEX(Charge_Type,MATCH($P74,Charge_Names,0))),Type_Species)),0),1)*
IF(OR(INDEX(Charge_Type,MATCH($P74,Charge_Names,0))=INDEX(Species_Type_1,MATCH($N74,Species_Names,0)),INDEX(Charge_Type,MATCH($P74,Charge_Names,0))=INDEX(Species_Type_2,MATCH($N74,Species_Names,0))),Game_STAB_Multiplier,1))</f>
        <v>1.25</v>
      </c>
      <c r="W74" s="33" t="s">
        <v>536</v>
      </c>
      <c r="X74" s="33" t="s">
        <v>537</v>
      </c>
      <c r="Y74" s="32" t="e">
        <f t="array" ref="Y74">((($Z74)*
INDEX(Species_Attack,MATCH($N74,Species_Names,0))*
INDEX(Species_Tankiness,MATCH($N74,Species_Names,0)))/1000)</f>
        <v>#VALUE!</v>
      </c>
      <c r="Z74" s="33" t="s">
        <v>538</v>
      </c>
    </row>
    <row r="75" spans="1:26" ht="14.25" customHeight="1" x14ac:dyDescent="0.2">
      <c r="A75" s="86"/>
      <c r="B75" s="22" t="str">
        <f t="array" ref="B75">CONCATENATE(TEXT($M75,"000"),".",TEXT(INDEX(Quick_Number,MATCH($O75,Quick_Names,0)),"000"),".",TEXT(INDEX(Charge_Number,MATCH($P75,Charge_Names,0)),"000"))</f>
        <v>003.215.090</v>
      </c>
      <c r="C75" s="23" t="e">
        <f t="array" ref="C75">RANK($S75,IF(Combo_Species_Names=$N75,Combo_Gym_Offense),0)</f>
        <v>#VALUE!</v>
      </c>
      <c r="D75" s="24" t="e">
        <f t="array" ref="D75">$S75/MAX(IF(Combo_Species_Names=$N75,Combo_Gym_Offense))</f>
        <v>#VALUE!</v>
      </c>
      <c r="E75" s="23" t="e">
        <f t="array" ref="E75">RANK($Y75,IF(Combo_Species_Names=$N75,Combo_Gym_Defense),0)</f>
        <v>#VALUE!</v>
      </c>
      <c r="F75" s="25" t="e">
        <f t="array" ref="F75">$Y75/MAX(IF(Combo_Species_Names=$N75,Combo_Gym_Defense))</f>
        <v>#VALUE!</v>
      </c>
      <c r="G75" s="23" t="e">
        <f t="array" ref="G75">IF(OR(INDEX(Species_Availability,MATCH($N75,Species_Names,0))="No",INDEX(Species_Evo_Numbers,MATCH($N75,Species_Names,0))&lt;&gt;1),"N/A",RANK($R75,IF(NOT(ISNA(MATCH(Combo_Species_Names,IF(Species_Availability="Yes",IF(Species_Evo_Numbers=1,Species_Names)),0))),Combo_Duel_Ability),0))</f>
        <v>#VALUE!</v>
      </c>
      <c r="H75" s="24" t="e">
        <f t="array" ref="H75">IF(OR(INDEX(Species_Availability,MATCH($N75,Species_Names,0))="No",INDEX(Species_Evo_Numbers,MATCH($N75,Species_Names,0))&lt;&gt;1),"N/A",$R75/MAX(IF(NOT(ISNA(MATCH(Combo_Species_Names,IF(Species_Availability="Yes",IF(Species_Evo_Numbers=1,Species_Names)),0))),Combo_Duel_Ability)))</f>
        <v>#VALUE!</v>
      </c>
      <c r="I75" s="23" t="e">
        <f t="array" ref="I75">IF(OR(INDEX(Species_Availability,MATCH($N75,Species_Names,0))="No",INDEX(Species_Evo_Numbers,MATCH($N75,Species_Names,0))&lt;&gt;1),"N/A",RANK($S75,IF(NOT(ISNA(MATCH(Combo_Species_Names,IF(Species_Availability="Yes",IF(Species_Evo_Numbers=1,Species_Names)),0))),Combo_Gym_Offense),0))</f>
        <v>#VALUE!</v>
      </c>
      <c r="J75" s="24" t="e">
        <f t="array" ref="J75">IF(OR(INDEX(Species_Availability,MATCH($N75,Species_Names,0))="No",INDEX(Species_Evo_Numbers,MATCH($N75,Species_Names,0))&lt;&gt;1),"N/A",$S75/MAX(IF(NOT(ISNA(MATCH(Combo_Species_Names,IF(Species_Availability="Yes",IF(Species_Evo_Numbers=1,Species_Names)),0))),Combo_Gym_Offense)))</f>
        <v>#VALUE!</v>
      </c>
      <c r="K75" s="23" t="e">
        <f t="array" ref="K75">IF(OR(INDEX(Species_Availability,MATCH($N75,Species_Names,0))="No",INDEX(Species_Evo_Numbers,MATCH($N75,Species_Names,0))&lt;&gt;1),"N/A",RANK($Y75,IF(NOT(ISNA(MATCH(Combo_Species_Names,IF(Species_Availability="Yes",IF(Species_Evo_Numbers=1,Species_Names)),0))),Combo_Gym_Defense),0))</f>
        <v>#VALUE!</v>
      </c>
      <c r="L75" s="24" t="e">
        <f t="array" ref="L75">IF(OR(INDEX(Species_Availability,MATCH($N75,Species_Names,0))="No",INDEX(Species_Evo_Numbers,MATCH($N75,Species_Names,0))&lt;&gt;1),"N/A",$Y75/MAX(IF(NOT(ISNA(MATCH(Combo_Species_Names,IF(Species_Availability="Yes",IF(Species_Evo_Numbers=1,Species_Names)),0))),Combo_Gym_Defense)))</f>
        <v>#VALUE!</v>
      </c>
      <c r="M75" s="28">
        <f t="array" ref="M75">INDEX(Species_Pdex_Numbers,MATCH($N75,Species_Names,0))</f>
        <v>3</v>
      </c>
      <c r="N75" s="30" t="s">
        <v>67</v>
      </c>
      <c r="O75" s="31" t="s">
        <v>102</v>
      </c>
      <c r="P75" s="31" t="s">
        <v>180</v>
      </c>
      <c r="Q75" s="17" t="e">
        <f t="shared" si="2"/>
        <v>#VALUE!</v>
      </c>
      <c r="R75" s="32" t="e">
        <f t="array" ref="R75">IF(OR(AND(COUNTBLANK(Combo_Opponent_Type_1)=1,COUNTBLANK(Combo_Opponent_Type_2)=0),AND(AND(COUNTBLANK(Combo_Opponent_Type_1)=0,COUNTBLANK(Combo_Opponent_Type_2)=0),Combo_Opponent_Type_1=Combo_Opponent_Type_2)),
"Check Types",($S75*INDEX(Species_Tankiness,MATCH($N75,Species_Names,0)))/225)</f>
        <v>#VALUE!</v>
      </c>
      <c r="S75" s="32" t="e">
        <f t="array" ref="S75">IF(OR(AND(COUNTBLANK(Combo_Opponent_Type_1)=1,COUNTBLANK(Combo_Opponent_Type_2)=0),AND(AND(COUNTBLANK(Combo_Opponent_Type_1)=0,COUNTBLANK(Combo_Opponent_Type_2)=0),Combo_Opponent_Type_1=Combo_Opponent_Type_2)),
"Check Types",(
IF($W75&gt;=((1-Game_Weave_Human_Error)*$X75),$W75,$X75)*INDEX(Species_Attack,MATCH($N75,Species_Names,0)))/11)</f>
        <v>#VALUE!</v>
      </c>
      <c r="T75" s="33" t="e">
        <f t="shared" si="3"/>
        <v>#VALUE!</v>
      </c>
      <c r="U75" s="33">
        <f t="array" ref="U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75,Quick_Names,0))),Type_Species)),0),1)*IF(COUNTBLANK(Combo_Opponent_Type_2)=0,INDEX(Type_Damage_Multipliers,MATCH(Combo_Opponent_Type_2,IF(Type_Move=(INDEX(Quick_Type,MATCH($O75,Quick_Names,0))),Type_Species)),0),1)*(IF(OR(INDEX(Quick_Type,MATCH($O75,Quick_Names,0))=INDEX(Species_Type_1,MATCH($N75,Species_Names,0)),INDEX(Quick_Type,MATCH($O75,Quick_Names,0))=INDEX(Species_Type_2,MATCH($N75,Species_Names,0))),Game_STAB_Multiplier,1)))</f>
        <v>1.25</v>
      </c>
      <c r="V75" s="33">
        <f t="array" ref="V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75,Charge_Names,0))),Type_Species)),0),1)*IF(COUNTBLANK(Combo_Opponent_Type_2)=0,INDEX(Type_Damage_Multipliers,MATCH(Combo_Opponent_Type_2,IF(Type_Move=(INDEX(Charge_Type,MATCH($P75,Charge_Names,0))),Type_Species)),0),1)*
IF(OR(INDEX(Charge_Type,MATCH($P75,Charge_Names,0))=INDEX(Species_Type_1,MATCH($N75,Species_Names,0)),INDEX(Charge_Type,MATCH($P75,Charge_Names,0))=INDEX(Species_Type_2,MATCH($N75,Species_Names,0))),Game_STAB_Multiplier,1))</f>
        <v>1.25</v>
      </c>
      <c r="W75" s="33" t="s">
        <v>501</v>
      </c>
      <c r="X75" s="33" t="s">
        <v>539</v>
      </c>
      <c r="Y75" s="32" t="e">
        <f t="array" ref="Y75">((($Z75)*
INDEX(Species_Attack,MATCH($N75,Species_Names,0))*
INDEX(Species_Tankiness,MATCH($N75,Species_Names,0)))/1000)</f>
        <v>#VALUE!</v>
      </c>
      <c r="Z75" s="33" t="s">
        <v>540</v>
      </c>
    </row>
    <row r="76" spans="1:26" ht="14.25" customHeight="1" x14ac:dyDescent="0.2">
      <c r="A76" s="86"/>
      <c r="B76" s="22" t="str">
        <f t="array" ref="B76">CONCATENATE(TEXT($M76,"000"),".",TEXT(INDEX(Quick_Number,MATCH($O76,Quick_Names,0)),"000"),".",TEXT(INDEX(Charge_Number,MATCH($P76,Charge_Names,0)),"000"))</f>
        <v>045.215.116</v>
      </c>
      <c r="C76" s="23" t="e">
        <f t="array" ref="C76">RANK($S76,IF(Combo_Species_Names=$N76,Combo_Gym_Offense),0)</f>
        <v>#VALUE!</v>
      </c>
      <c r="D76" s="24" t="e">
        <f t="array" ref="D76">$S76/MAX(IF(Combo_Species_Names=$N76,Combo_Gym_Offense))</f>
        <v>#VALUE!</v>
      </c>
      <c r="E76" s="23" t="e">
        <f t="array" ref="E76">RANK($Y76,IF(Combo_Species_Names=$N76,Combo_Gym_Defense),0)</f>
        <v>#VALUE!</v>
      </c>
      <c r="F76" s="25" t="e">
        <f t="array" ref="F76">$Y76/MAX(IF(Combo_Species_Names=$N76,Combo_Gym_Defense))</f>
        <v>#VALUE!</v>
      </c>
      <c r="G76" s="23" t="e">
        <f t="array" ref="G76">IF(OR(INDEX(Species_Availability,MATCH($N76,Species_Names,0))="No",INDEX(Species_Evo_Numbers,MATCH($N76,Species_Names,0))&lt;&gt;1),"N/A",RANK($R76,IF(NOT(ISNA(MATCH(Combo_Species_Names,IF(Species_Availability="Yes",IF(Species_Evo_Numbers=1,Species_Names)),0))),Combo_Duel_Ability),0))</f>
        <v>#VALUE!</v>
      </c>
      <c r="H76" s="24" t="e">
        <f t="array" ref="H76">IF(OR(INDEX(Species_Availability,MATCH($N76,Species_Names,0))="No",INDEX(Species_Evo_Numbers,MATCH($N76,Species_Names,0))&lt;&gt;1),"N/A",$R76/MAX(IF(NOT(ISNA(MATCH(Combo_Species_Names,IF(Species_Availability="Yes",IF(Species_Evo_Numbers=1,Species_Names)),0))),Combo_Duel_Ability)))</f>
        <v>#VALUE!</v>
      </c>
      <c r="I76" s="23" t="e">
        <f t="array" ref="I76">IF(OR(INDEX(Species_Availability,MATCH($N76,Species_Names,0))="No",INDEX(Species_Evo_Numbers,MATCH($N76,Species_Names,0))&lt;&gt;1),"N/A",RANK($S76,IF(NOT(ISNA(MATCH(Combo_Species_Names,IF(Species_Availability="Yes",IF(Species_Evo_Numbers=1,Species_Names)),0))),Combo_Gym_Offense),0))</f>
        <v>#VALUE!</v>
      </c>
      <c r="J76" s="24" t="e">
        <f t="array" ref="J76">IF(OR(INDEX(Species_Availability,MATCH($N76,Species_Names,0))="No",INDEX(Species_Evo_Numbers,MATCH($N76,Species_Names,0))&lt;&gt;1),"N/A",$S76/MAX(IF(NOT(ISNA(MATCH(Combo_Species_Names,IF(Species_Availability="Yes",IF(Species_Evo_Numbers=1,Species_Names)),0))),Combo_Gym_Offense)))</f>
        <v>#VALUE!</v>
      </c>
      <c r="K76" s="23" t="e">
        <f t="array" ref="K76">IF(OR(INDEX(Species_Availability,MATCH($N76,Species_Names,0))="No",INDEX(Species_Evo_Numbers,MATCH($N76,Species_Names,0))&lt;&gt;1),"N/A",RANK($Y76,IF(NOT(ISNA(MATCH(Combo_Species_Names,IF(Species_Availability="Yes",IF(Species_Evo_Numbers=1,Species_Names)),0))),Combo_Gym_Defense),0))</f>
        <v>#VALUE!</v>
      </c>
      <c r="L76" s="24" t="e">
        <f t="array" ref="L76">IF(OR(INDEX(Species_Availability,MATCH($N76,Species_Names,0))="No",INDEX(Species_Evo_Numbers,MATCH($N76,Species_Names,0))&lt;&gt;1),"N/A",$Y76/MAX(IF(NOT(ISNA(MATCH(Combo_Species_Names,IF(Species_Availability="Yes",IF(Species_Evo_Numbers=1,Species_Names)),0))),Combo_Gym_Defense)))</f>
        <v>#VALUE!</v>
      </c>
      <c r="M76" s="28">
        <f t="array" ref="M76">INDEX(Species_Pdex_Numbers,MATCH($N76,Species_Names,0))</f>
        <v>45</v>
      </c>
      <c r="N76" s="30" t="s">
        <v>181</v>
      </c>
      <c r="O76" s="31" t="s">
        <v>102</v>
      </c>
      <c r="P76" s="31" t="s">
        <v>160</v>
      </c>
      <c r="Q76" s="17" t="e">
        <f t="shared" si="2"/>
        <v>#VALUE!</v>
      </c>
      <c r="R76" s="32" t="e">
        <f t="array" ref="R76">IF(OR(AND(COUNTBLANK(Combo_Opponent_Type_1)=1,COUNTBLANK(Combo_Opponent_Type_2)=0),AND(AND(COUNTBLANK(Combo_Opponent_Type_1)=0,COUNTBLANK(Combo_Opponent_Type_2)=0),Combo_Opponent_Type_1=Combo_Opponent_Type_2)),
"Check Types",($S76*INDEX(Species_Tankiness,MATCH($N76,Species_Names,0)))/225)</f>
        <v>#VALUE!</v>
      </c>
      <c r="S76" s="32" t="e">
        <f t="array" ref="S76">IF(OR(AND(COUNTBLANK(Combo_Opponent_Type_1)=1,COUNTBLANK(Combo_Opponent_Type_2)=0),AND(AND(COUNTBLANK(Combo_Opponent_Type_1)=0,COUNTBLANK(Combo_Opponent_Type_2)=0),Combo_Opponent_Type_1=Combo_Opponent_Type_2)),
"Check Types",(
IF($W76&gt;=((1-Game_Weave_Human_Error)*$X76),$W76,$X76)*INDEX(Species_Attack,MATCH($N76,Species_Names,0)))/11)</f>
        <v>#VALUE!</v>
      </c>
      <c r="T76" s="33" t="e">
        <f t="shared" si="3"/>
        <v>#VALUE!</v>
      </c>
      <c r="U76" s="33">
        <f t="array" ref="U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76,Quick_Names,0))),Type_Species)),0),1)*IF(COUNTBLANK(Combo_Opponent_Type_2)=0,INDEX(Type_Damage_Multipliers,MATCH(Combo_Opponent_Type_2,IF(Type_Move=(INDEX(Quick_Type,MATCH($O76,Quick_Names,0))),Type_Species)),0),1)*(IF(OR(INDEX(Quick_Type,MATCH($O76,Quick_Names,0))=INDEX(Species_Type_1,MATCH($N76,Species_Names,0)),INDEX(Quick_Type,MATCH($O76,Quick_Names,0))=INDEX(Species_Type_2,MATCH($N76,Species_Names,0))),Game_STAB_Multiplier,1)))</f>
        <v>1.25</v>
      </c>
      <c r="V76" s="33">
        <f t="array" ref="V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76,Charge_Names,0))),Type_Species)),0),1)*IF(COUNTBLANK(Combo_Opponent_Type_2)=0,INDEX(Type_Damage_Multipliers,MATCH(Combo_Opponent_Type_2,IF(Type_Move=(INDEX(Charge_Type,MATCH($P76,Charge_Names,0))),Type_Species)),0),1)*
IF(OR(INDEX(Charge_Type,MATCH($P76,Charge_Names,0))=INDEX(Species_Type_1,MATCH($N76,Species_Names,0)),INDEX(Charge_Type,MATCH($P76,Charge_Names,0))=INDEX(Species_Type_2,MATCH($N76,Species_Names,0))),Game_STAB_Multiplier,1))</f>
        <v>1.25</v>
      </c>
      <c r="W76" s="33" t="s">
        <v>501</v>
      </c>
      <c r="X76" s="33" t="s">
        <v>502</v>
      </c>
      <c r="Y76" s="32" t="e">
        <f t="array" ref="Y76">((($Z76)*
INDEX(Species_Attack,MATCH($N76,Species_Names,0))*
INDEX(Species_Tankiness,MATCH($N76,Species_Names,0)))/1000)</f>
        <v>#VALUE!</v>
      </c>
      <c r="Z76" s="33" t="s">
        <v>503</v>
      </c>
    </row>
    <row r="77" spans="1:26" ht="14.25" customHeight="1" x14ac:dyDescent="0.2">
      <c r="A77" s="86"/>
      <c r="B77" s="22" t="str">
        <f t="array" ref="B77">CONCATENATE(TEXT($M77,"000"),".",TEXT(INDEX(Quick_Number,MATCH($O77,Quick_Names,0)),"000"),".",TEXT(INDEX(Charge_Number,MATCH($P77,Charge_Names,0)),"000"))</f>
        <v>009.230.039</v>
      </c>
      <c r="C77" s="23" t="e">
        <f t="array" ref="C77">RANK($S77,IF(Combo_Species_Names=$N77,Combo_Gym_Offense),0)</f>
        <v>#VALUE!</v>
      </c>
      <c r="D77" s="24" t="e">
        <f t="array" ref="D77">$S77/MAX(IF(Combo_Species_Names=$N77,Combo_Gym_Offense))</f>
        <v>#VALUE!</v>
      </c>
      <c r="E77" s="23" t="e">
        <f t="array" ref="E77">RANK($Y77,IF(Combo_Species_Names=$N77,Combo_Gym_Defense),0)</f>
        <v>#VALUE!</v>
      </c>
      <c r="F77" s="25" t="e">
        <f t="array" ref="F77">$Y77/MAX(IF(Combo_Species_Names=$N77,Combo_Gym_Defense))</f>
        <v>#VALUE!</v>
      </c>
      <c r="G77" s="23" t="e">
        <f t="array" ref="G77">IF(OR(INDEX(Species_Availability,MATCH($N77,Species_Names,0))="No",INDEX(Species_Evo_Numbers,MATCH($N77,Species_Names,0))&lt;&gt;1),"N/A",RANK($R77,IF(NOT(ISNA(MATCH(Combo_Species_Names,IF(Species_Availability="Yes",IF(Species_Evo_Numbers=1,Species_Names)),0))),Combo_Duel_Ability),0))</f>
        <v>#VALUE!</v>
      </c>
      <c r="H77" s="24" t="e">
        <f t="array" ref="H77">IF(OR(INDEX(Species_Availability,MATCH($N77,Species_Names,0))="No",INDEX(Species_Evo_Numbers,MATCH($N77,Species_Names,0))&lt;&gt;1),"N/A",$R77/MAX(IF(NOT(ISNA(MATCH(Combo_Species_Names,IF(Species_Availability="Yes",IF(Species_Evo_Numbers=1,Species_Names)),0))),Combo_Duel_Ability)))</f>
        <v>#VALUE!</v>
      </c>
      <c r="I77" s="23" t="e">
        <f t="array" ref="I77">IF(OR(INDEX(Species_Availability,MATCH($N77,Species_Names,0))="No",INDEX(Species_Evo_Numbers,MATCH($N77,Species_Names,0))&lt;&gt;1),"N/A",RANK($S77,IF(NOT(ISNA(MATCH(Combo_Species_Names,IF(Species_Availability="Yes",IF(Species_Evo_Numbers=1,Species_Names)),0))),Combo_Gym_Offense),0))</f>
        <v>#VALUE!</v>
      </c>
      <c r="J77" s="24" t="e">
        <f t="array" ref="J77">IF(OR(INDEX(Species_Availability,MATCH($N77,Species_Names,0))="No",INDEX(Species_Evo_Numbers,MATCH($N77,Species_Names,0))&lt;&gt;1),"N/A",$S77/MAX(IF(NOT(ISNA(MATCH(Combo_Species_Names,IF(Species_Availability="Yes",IF(Species_Evo_Numbers=1,Species_Names)),0))),Combo_Gym_Offense)))</f>
        <v>#VALUE!</v>
      </c>
      <c r="K77" s="23" t="e">
        <f t="array" ref="K77">IF(OR(INDEX(Species_Availability,MATCH($N77,Species_Names,0))="No",INDEX(Species_Evo_Numbers,MATCH($N77,Species_Names,0))&lt;&gt;1),"N/A",RANK($Y77,IF(NOT(ISNA(MATCH(Combo_Species_Names,IF(Species_Availability="Yes",IF(Species_Evo_Numbers=1,Species_Names)),0))),Combo_Gym_Defense),0))</f>
        <v>#VALUE!</v>
      </c>
      <c r="L77" s="24" t="e">
        <f t="array" ref="L77">IF(OR(INDEX(Species_Availability,MATCH($N77,Species_Names,0))="No",INDEX(Species_Evo_Numbers,MATCH($N77,Species_Names,0))&lt;&gt;1),"N/A",$Y77/MAX(IF(NOT(ISNA(MATCH(Combo_Species_Names,IF(Species_Availability="Yes",IF(Species_Evo_Numbers=1,Species_Names)),0))),Combo_Gym_Defense)))</f>
        <v>#VALUE!</v>
      </c>
      <c r="M77" s="28">
        <f t="array" ref="M77">INDEX(Species_Pdex_Numbers,MATCH($N77,Species_Names,0))</f>
        <v>9</v>
      </c>
      <c r="N77" s="30" t="s">
        <v>93</v>
      </c>
      <c r="O77" s="31" t="s">
        <v>65</v>
      </c>
      <c r="P77" s="31" t="s">
        <v>209</v>
      </c>
      <c r="Q77" s="17" t="e">
        <f t="shared" si="2"/>
        <v>#VALUE!</v>
      </c>
      <c r="R77" s="32" t="e">
        <f t="array" ref="R77">IF(OR(AND(COUNTBLANK(Combo_Opponent_Type_1)=1,COUNTBLANK(Combo_Opponent_Type_2)=0),AND(AND(COUNTBLANK(Combo_Opponent_Type_1)=0,COUNTBLANK(Combo_Opponent_Type_2)=0),Combo_Opponent_Type_1=Combo_Opponent_Type_2)),
"Check Types",($S77*INDEX(Species_Tankiness,MATCH($N77,Species_Names,0)))/225)</f>
        <v>#VALUE!</v>
      </c>
      <c r="S77" s="32" t="e">
        <f t="array" ref="S77">IF(OR(AND(COUNTBLANK(Combo_Opponent_Type_1)=1,COUNTBLANK(Combo_Opponent_Type_2)=0),AND(AND(COUNTBLANK(Combo_Opponent_Type_1)=0,COUNTBLANK(Combo_Opponent_Type_2)=0),Combo_Opponent_Type_1=Combo_Opponent_Type_2)),
"Check Types",(
IF($W77&gt;=((1-Game_Weave_Human_Error)*$X77),$W77,$X77)*INDEX(Species_Attack,MATCH($N77,Species_Names,0)))/11)</f>
        <v>#VALUE!</v>
      </c>
      <c r="T77" s="33" t="e">
        <f t="shared" si="3"/>
        <v>#VALUE!</v>
      </c>
      <c r="U77" s="33">
        <f t="array" ref="U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77,Quick_Names,0))),Type_Species)),0),1)*IF(COUNTBLANK(Combo_Opponent_Type_2)=0,INDEX(Type_Damage_Multipliers,MATCH(Combo_Opponent_Type_2,IF(Type_Move=(INDEX(Quick_Type,MATCH($O77,Quick_Names,0))),Type_Species)),0),1)*(IF(OR(INDEX(Quick_Type,MATCH($O77,Quick_Names,0))=INDEX(Species_Type_1,MATCH($N77,Species_Names,0)),INDEX(Quick_Type,MATCH($O77,Quick_Names,0))=INDEX(Species_Type_2,MATCH($N77,Species_Names,0))),Game_STAB_Multiplier,1)))</f>
        <v>1.25</v>
      </c>
      <c r="V77" s="33">
        <f t="array" ref="V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77,Charge_Names,0))),Type_Species)),0),1)*IF(COUNTBLANK(Combo_Opponent_Type_2)=0,INDEX(Type_Damage_Multipliers,MATCH(Combo_Opponent_Type_2,IF(Type_Move=(INDEX(Charge_Type,MATCH($P77,Charge_Names,0))),Type_Species)),0),1)*
IF(OR(INDEX(Charge_Type,MATCH($P77,Charge_Names,0))=INDEX(Species_Type_1,MATCH($N77,Species_Names,0)),INDEX(Charge_Type,MATCH($P77,Charge_Names,0))=INDEX(Species_Type_2,MATCH($N77,Species_Names,0))),Game_STAB_Multiplier,1))</f>
        <v>1</v>
      </c>
      <c r="W77" s="33" t="s">
        <v>412</v>
      </c>
      <c r="X77" s="33" t="s">
        <v>514</v>
      </c>
      <c r="Y77" s="32" t="e">
        <f t="array" ref="Y77">((($Z77)*
INDEX(Species_Attack,MATCH($N77,Species_Names,0))*
INDEX(Species_Tankiness,MATCH($N77,Species_Names,0)))/1000)</f>
        <v>#VALUE!</v>
      </c>
      <c r="Z77" s="33" t="s">
        <v>515</v>
      </c>
    </row>
    <row r="78" spans="1:26" ht="14.25" customHeight="1" x14ac:dyDescent="0.2">
      <c r="A78" s="86"/>
      <c r="B78" s="22" t="str">
        <f t="array" ref="B78">CONCATENATE(TEXT($M78,"000"),".",TEXT(INDEX(Quick_Number,MATCH($O78,Quick_Names,0)),"000"),".",TEXT(INDEX(Charge_Number,MATCH($P78,Charge_Names,0)),"000"))</f>
        <v>009.230.036</v>
      </c>
      <c r="C78" s="23" t="e">
        <f t="array" ref="C78">RANK($S78,IF(Combo_Species_Names=$N78,Combo_Gym_Offense),0)</f>
        <v>#VALUE!</v>
      </c>
      <c r="D78" s="24" t="e">
        <f t="array" ref="D78">$S78/MAX(IF(Combo_Species_Names=$N78,Combo_Gym_Offense))</f>
        <v>#VALUE!</v>
      </c>
      <c r="E78" s="23" t="e">
        <f t="array" ref="E78">RANK($Y78,IF(Combo_Species_Names=$N78,Combo_Gym_Defense),0)</f>
        <v>#VALUE!</v>
      </c>
      <c r="F78" s="25" t="e">
        <f t="array" ref="F78">$Y78/MAX(IF(Combo_Species_Names=$N78,Combo_Gym_Defense))</f>
        <v>#VALUE!</v>
      </c>
      <c r="G78" s="23" t="e">
        <f t="array" ref="G78">IF(OR(INDEX(Species_Availability,MATCH($N78,Species_Names,0))="No",INDEX(Species_Evo_Numbers,MATCH($N78,Species_Names,0))&lt;&gt;1),"N/A",RANK($R78,IF(NOT(ISNA(MATCH(Combo_Species_Names,IF(Species_Availability="Yes",IF(Species_Evo_Numbers=1,Species_Names)),0))),Combo_Duel_Ability),0))</f>
        <v>#VALUE!</v>
      </c>
      <c r="H78" s="24" t="e">
        <f t="array" ref="H78">IF(OR(INDEX(Species_Availability,MATCH($N78,Species_Names,0))="No",INDEX(Species_Evo_Numbers,MATCH($N78,Species_Names,0))&lt;&gt;1),"N/A",$R78/MAX(IF(NOT(ISNA(MATCH(Combo_Species_Names,IF(Species_Availability="Yes",IF(Species_Evo_Numbers=1,Species_Names)),0))),Combo_Duel_Ability)))</f>
        <v>#VALUE!</v>
      </c>
      <c r="I78" s="23" t="e">
        <f t="array" ref="I78">IF(OR(INDEX(Species_Availability,MATCH($N78,Species_Names,0))="No",INDEX(Species_Evo_Numbers,MATCH($N78,Species_Names,0))&lt;&gt;1),"N/A",RANK($S78,IF(NOT(ISNA(MATCH(Combo_Species_Names,IF(Species_Availability="Yes",IF(Species_Evo_Numbers=1,Species_Names)),0))),Combo_Gym_Offense),0))</f>
        <v>#VALUE!</v>
      </c>
      <c r="J78" s="24" t="e">
        <f t="array" ref="J78">IF(OR(INDEX(Species_Availability,MATCH($N78,Species_Names,0))="No",INDEX(Species_Evo_Numbers,MATCH($N78,Species_Names,0))&lt;&gt;1),"N/A",$S78/MAX(IF(NOT(ISNA(MATCH(Combo_Species_Names,IF(Species_Availability="Yes",IF(Species_Evo_Numbers=1,Species_Names)),0))),Combo_Gym_Offense)))</f>
        <v>#VALUE!</v>
      </c>
      <c r="K78" s="23" t="e">
        <f t="array" ref="K78">IF(OR(INDEX(Species_Availability,MATCH($N78,Species_Names,0))="No",INDEX(Species_Evo_Numbers,MATCH($N78,Species_Names,0))&lt;&gt;1),"N/A",RANK($Y78,IF(NOT(ISNA(MATCH(Combo_Species_Names,IF(Species_Availability="Yes",IF(Species_Evo_Numbers=1,Species_Names)),0))),Combo_Gym_Defense),0))</f>
        <v>#VALUE!</v>
      </c>
      <c r="L78" s="24" t="e">
        <f t="array" ref="L78">IF(OR(INDEX(Species_Availability,MATCH($N78,Species_Names,0))="No",INDEX(Species_Evo_Numbers,MATCH($N78,Species_Names,0))&lt;&gt;1),"N/A",$Y78/MAX(IF(NOT(ISNA(MATCH(Combo_Species_Names,IF(Species_Availability="Yes",IF(Species_Evo_Numbers=1,Species_Names)),0))),Combo_Gym_Defense)))</f>
        <v>#VALUE!</v>
      </c>
      <c r="M78" s="28">
        <f t="array" ref="M78">INDEX(Species_Pdex_Numbers,MATCH($N78,Species_Names,0))</f>
        <v>9</v>
      </c>
      <c r="N78" s="30" t="s">
        <v>93</v>
      </c>
      <c r="O78" s="31" t="s">
        <v>65</v>
      </c>
      <c r="P78" s="31" t="s">
        <v>226</v>
      </c>
      <c r="Q78" s="17" t="e">
        <f t="shared" si="2"/>
        <v>#VALUE!</v>
      </c>
      <c r="R78" s="32" t="e">
        <f t="array" ref="R78">IF(OR(AND(COUNTBLANK(Combo_Opponent_Type_1)=1,COUNTBLANK(Combo_Opponent_Type_2)=0),AND(AND(COUNTBLANK(Combo_Opponent_Type_1)=0,COUNTBLANK(Combo_Opponent_Type_2)=0),Combo_Opponent_Type_1=Combo_Opponent_Type_2)),
"Check Types",($S78*INDEX(Species_Tankiness,MATCH($N78,Species_Names,0)))/225)</f>
        <v>#VALUE!</v>
      </c>
      <c r="S78" s="32" t="e">
        <f t="array" ref="S78">IF(OR(AND(COUNTBLANK(Combo_Opponent_Type_1)=1,COUNTBLANK(Combo_Opponent_Type_2)=0),AND(AND(COUNTBLANK(Combo_Opponent_Type_1)=0,COUNTBLANK(Combo_Opponent_Type_2)=0),Combo_Opponent_Type_1=Combo_Opponent_Type_2)),
"Check Types",(
IF($W78&gt;=((1-Game_Weave_Human_Error)*$X78),$W78,$X78)*INDEX(Species_Attack,MATCH($N78,Species_Names,0)))/11)</f>
        <v>#VALUE!</v>
      </c>
      <c r="T78" s="33" t="e">
        <f t="shared" si="3"/>
        <v>#VALUE!</v>
      </c>
      <c r="U78" s="33">
        <f t="array" ref="U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78,Quick_Names,0))),Type_Species)),0),1)*IF(COUNTBLANK(Combo_Opponent_Type_2)=0,INDEX(Type_Damage_Multipliers,MATCH(Combo_Opponent_Type_2,IF(Type_Move=(INDEX(Quick_Type,MATCH($O78,Quick_Names,0))),Type_Species)),0),1)*(IF(OR(INDEX(Quick_Type,MATCH($O78,Quick_Names,0))=INDEX(Species_Type_1,MATCH($N78,Species_Names,0)),INDEX(Quick_Type,MATCH($O78,Quick_Names,0))=INDEX(Species_Type_2,MATCH($N78,Species_Names,0))),Game_STAB_Multiplier,1)))</f>
        <v>1.25</v>
      </c>
      <c r="V78" s="33">
        <f t="array" ref="V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78,Charge_Names,0))),Type_Species)),0),1)*IF(COUNTBLANK(Combo_Opponent_Type_2)=0,INDEX(Type_Damage_Multipliers,MATCH(Combo_Opponent_Type_2,IF(Type_Move=(INDEX(Charge_Type,MATCH($P78,Charge_Names,0))),Type_Species)),0),1)*
IF(OR(INDEX(Charge_Type,MATCH($P78,Charge_Names,0))=INDEX(Species_Type_1,MATCH($N78,Species_Names,0)),INDEX(Charge_Type,MATCH($P78,Charge_Names,0))=INDEX(Species_Type_2,MATCH($N78,Species_Names,0))),Game_STAB_Multiplier,1))</f>
        <v>1</v>
      </c>
      <c r="W78" s="33" t="s">
        <v>412</v>
      </c>
      <c r="X78" s="33" t="s">
        <v>541</v>
      </c>
      <c r="Y78" s="32" t="e">
        <f t="array" ref="Y78">((($Z78)*
INDEX(Species_Attack,MATCH($N78,Species_Names,0))*
INDEX(Species_Tankiness,MATCH($N78,Species_Names,0)))/1000)</f>
        <v>#VALUE!</v>
      </c>
      <c r="Z78" s="33" t="s">
        <v>542</v>
      </c>
    </row>
    <row r="79" spans="1:26" ht="14.25" customHeight="1" x14ac:dyDescent="0.2">
      <c r="A79" s="86"/>
      <c r="B79" s="22" t="str">
        <f t="array" ref="B79">CONCATENATE(TEXT($M79,"000"),".",TEXT(INDEX(Quick_Number,MATCH($O79,Quick_Names,0)),"000"),".",TEXT(INDEX(Charge_Number,MATCH($P79,Charge_Names,0)),"000"))</f>
        <v>006.209.103</v>
      </c>
      <c r="C79" s="23" t="e">
        <f t="array" ref="C79">RANK($S79,IF(Combo_Species_Names=$N79,Combo_Gym_Offense),0)</f>
        <v>#VALUE!</v>
      </c>
      <c r="D79" s="24" t="e">
        <f t="array" ref="D79">$S79/MAX(IF(Combo_Species_Names=$N79,Combo_Gym_Offense))</f>
        <v>#VALUE!</v>
      </c>
      <c r="E79" s="23" t="e">
        <f t="array" ref="E79">RANK($Y79,IF(Combo_Species_Names=$N79,Combo_Gym_Defense),0)</f>
        <v>#VALUE!</v>
      </c>
      <c r="F79" s="25" t="e">
        <f t="array" ref="F79">$Y79/MAX(IF(Combo_Species_Names=$N79,Combo_Gym_Defense))</f>
        <v>#VALUE!</v>
      </c>
      <c r="G79" s="23" t="e">
        <f t="array" ref="G79">IF(OR(INDEX(Species_Availability,MATCH($N79,Species_Names,0))="No",INDEX(Species_Evo_Numbers,MATCH($N79,Species_Names,0))&lt;&gt;1),"N/A",RANK($R79,IF(NOT(ISNA(MATCH(Combo_Species_Names,IF(Species_Availability="Yes",IF(Species_Evo_Numbers=1,Species_Names)),0))),Combo_Duel_Ability),0))</f>
        <v>#VALUE!</v>
      </c>
      <c r="H79" s="24" t="e">
        <f t="array" ref="H79">IF(OR(INDEX(Species_Availability,MATCH($N79,Species_Names,0))="No",INDEX(Species_Evo_Numbers,MATCH($N79,Species_Names,0))&lt;&gt;1),"N/A",$R79/MAX(IF(NOT(ISNA(MATCH(Combo_Species_Names,IF(Species_Availability="Yes",IF(Species_Evo_Numbers=1,Species_Names)),0))),Combo_Duel_Ability)))</f>
        <v>#VALUE!</v>
      </c>
      <c r="I79" s="23" t="e">
        <f t="array" ref="I79">IF(OR(INDEX(Species_Availability,MATCH($N79,Species_Names,0))="No",INDEX(Species_Evo_Numbers,MATCH($N79,Species_Names,0))&lt;&gt;1),"N/A",RANK($S79,IF(NOT(ISNA(MATCH(Combo_Species_Names,IF(Species_Availability="Yes",IF(Species_Evo_Numbers=1,Species_Names)),0))),Combo_Gym_Offense),0))</f>
        <v>#VALUE!</v>
      </c>
      <c r="J79" s="24" t="e">
        <f t="array" ref="J79">IF(OR(INDEX(Species_Availability,MATCH($N79,Species_Names,0))="No",INDEX(Species_Evo_Numbers,MATCH($N79,Species_Names,0))&lt;&gt;1),"N/A",$S79/MAX(IF(NOT(ISNA(MATCH(Combo_Species_Names,IF(Species_Availability="Yes",IF(Species_Evo_Numbers=1,Species_Names)),0))),Combo_Gym_Offense)))</f>
        <v>#VALUE!</v>
      </c>
      <c r="K79" s="23" t="e">
        <f t="array" ref="K79">IF(OR(INDEX(Species_Availability,MATCH($N79,Species_Names,0))="No",INDEX(Species_Evo_Numbers,MATCH($N79,Species_Names,0))&lt;&gt;1),"N/A",RANK($Y79,IF(NOT(ISNA(MATCH(Combo_Species_Names,IF(Species_Availability="Yes",IF(Species_Evo_Numbers=1,Species_Names)),0))),Combo_Gym_Defense),0))</f>
        <v>#VALUE!</v>
      </c>
      <c r="L79" s="24" t="e">
        <f t="array" ref="L79">IF(OR(INDEX(Species_Availability,MATCH($N79,Species_Names,0))="No",INDEX(Species_Evo_Numbers,MATCH($N79,Species_Names,0))&lt;&gt;1),"N/A",$Y79/MAX(IF(NOT(ISNA(MATCH(Combo_Species_Names,IF(Species_Availability="Yes",IF(Species_Evo_Numbers=1,Species_Names)),0))),Combo_Gym_Defense)))</f>
        <v>#VALUE!</v>
      </c>
      <c r="M79" s="28">
        <f t="array" ref="M79">INDEX(Species_Pdex_Numbers,MATCH($N79,Species_Names,0))</f>
        <v>6</v>
      </c>
      <c r="N79" s="30" t="s">
        <v>81</v>
      </c>
      <c r="O79" s="31" t="s">
        <v>111</v>
      </c>
      <c r="P79" s="31" t="s">
        <v>163</v>
      </c>
      <c r="Q79" s="17" t="e">
        <f t="shared" si="2"/>
        <v>#VALUE!</v>
      </c>
      <c r="R79" s="32" t="e">
        <f t="array" ref="R79">IF(OR(AND(COUNTBLANK(Combo_Opponent_Type_1)=1,COUNTBLANK(Combo_Opponent_Type_2)=0),AND(AND(COUNTBLANK(Combo_Opponent_Type_1)=0,COUNTBLANK(Combo_Opponent_Type_2)=0),Combo_Opponent_Type_1=Combo_Opponent_Type_2)),
"Check Types",($S79*INDEX(Species_Tankiness,MATCH($N79,Species_Names,0)))/225)</f>
        <v>#VALUE!</v>
      </c>
      <c r="S79" s="32" t="e">
        <f t="array" ref="S79">IF(OR(AND(COUNTBLANK(Combo_Opponent_Type_1)=1,COUNTBLANK(Combo_Opponent_Type_2)=0),AND(AND(COUNTBLANK(Combo_Opponent_Type_1)=0,COUNTBLANK(Combo_Opponent_Type_2)=0),Combo_Opponent_Type_1=Combo_Opponent_Type_2)),
"Check Types",(
IF($W79&gt;=((1-Game_Weave_Human_Error)*$X79),$W79,$X79)*INDEX(Species_Attack,MATCH($N79,Species_Names,0)))/11)</f>
        <v>#VALUE!</v>
      </c>
      <c r="T79" s="33" t="e">
        <f t="shared" si="3"/>
        <v>#VALUE!</v>
      </c>
      <c r="U79" s="33">
        <f t="array" ref="U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79,Quick_Names,0))),Type_Species)),0),1)*IF(COUNTBLANK(Combo_Opponent_Type_2)=0,INDEX(Type_Damage_Multipliers,MATCH(Combo_Opponent_Type_2,IF(Type_Move=(INDEX(Quick_Type,MATCH($O79,Quick_Names,0))),Type_Species)),0),1)*(IF(OR(INDEX(Quick_Type,MATCH($O79,Quick_Names,0))=INDEX(Species_Type_1,MATCH($N79,Species_Names,0)),INDEX(Quick_Type,MATCH($O79,Quick_Names,0))=INDEX(Species_Type_2,MATCH($N79,Species_Names,0))),Game_STAB_Multiplier,1)))</f>
        <v>1.25</v>
      </c>
      <c r="V79" s="33">
        <f t="array" ref="V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79,Charge_Names,0))),Type_Species)),0),1)*IF(COUNTBLANK(Combo_Opponent_Type_2)=0,INDEX(Type_Damage_Multipliers,MATCH(Combo_Opponent_Type_2,IF(Type_Move=(INDEX(Charge_Type,MATCH($P79,Charge_Names,0))),Type_Species)),0),1)*
IF(OR(INDEX(Charge_Type,MATCH($P79,Charge_Names,0))=INDEX(Species_Type_1,MATCH($N79,Species_Names,0)),INDEX(Charge_Type,MATCH($P79,Charge_Names,0))=INDEX(Species_Type_2,MATCH($N79,Species_Names,0))),Game_STAB_Multiplier,1))</f>
        <v>1.25</v>
      </c>
      <c r="W79" s="33" t="s">
        <v>511</v>
      </c>
      <c r="X79" s="33" t="s">
        <v>508</v>
      </c>
      <c r="Y79" s="32" t="e">
        <f t="array" ref="Y79">((($Z79)*
INDEX(Species_Attack,MATCH($N79,Species_Names,0))*
INDEX(Species_Tankiness,MATCH($N79,Species_Names,0)))/1000)</f>
        <v>#VALUE!</v>
      </c>
      <c r="Z79" s="33" t="s">
        <v>543</v>
      </c>
    </row>
    <row r="80" spans="1:26" ht="14.25" customHeight="1" x14ac:dyDescent="0.2">
      <c r="A80" s="86"/>
      <c r="B80" s="22" t="str">
        <f t="array" ref="B80">CONCATENATE(TEXT($M80,"000"),".",TEXT(INDEX(Quick_Number,MATCH($O80,Quick_Names,0)),"000"),".",TEXT(INDEX(Charge_Number,MATCH($P80,Charge_Names,0)),"000"))</f>
        <v>139.230.107</v>
      </c>
      <c r="C80" s="23" t="e">
        <f t="array" ref="C80">RANK($S80,IF(Combo_Species_Names=$N80,Combo_Gym_Offense),0)</f>
        <v>#VALUE!</v>
      </c>
      <c r="D80" s="24" t="e">
        <f t="array" ref="D80">$S80/MAX(IF(Combo_Species_Names=$N80,Combo_Gym_Offense))</f>
        <v>#VALUE!</v>
      </c>
      <c r="E80" s="23" t="e">
        <f t="array" ref="E80">RANK($Y80,IF(Combo_Species_Names=$N80,Combo_Gym_Defense),0)</f>
        <v>#VALUE!</v>
      </c>
      <c r="F80" s="25" t="e">
        <f t="array" ref="F80">$Y80/MAX(IF(Combo_Species_Names=$N80,Combo_Gym_Defense))</f>
        <v>#VALUE!</v>
      </c>
      <c r="G80" s="23" t="e">
        <f t="array" ref="G80">IF(OR(INDEX(Species_Availability,MATCH($N80,Species_Names,0))="No",INDEX(Species_Evo_Numbers,MATCH($N80,Species_Names,0))&lt;&gt;1),"N/A",RANK($R80,IF(NOT(ISNA(MATCH(Combo_Species_Names,IF(Species_Availability="Yes",IF(Species_Evo_Numbers=1,Species_Names)),0))),Combo_Duel_Ability),0))</f>
        <v>#VALUE!</v>
      </c>
      <c r="H80" s="24" t="e">
        <f t="array" ref="H80">IF(OR(INDEX(Species_Availability,MATCH($N80,Species_Names,0))="No",INDEX(Species_Evo_Numbers,MATCH($N80,Species_Names,0))&lt;&gt;1),"N/A",$R80/MAX(IF(NOT(ISNA(MATCH(Combo_Species_Names,IF(Species_Availability="Yes",IF(Species_Evo_Numbers=1,Species_Names)),0))),Combo_Duel_Ability)))</f>
        <v>#VALUE!</v>
      </c>
      <c r="I80" s="23" t="e">
        <f t="array" ref="I80">IF(OR(INDEX(Species_Availability,MATCH($N80,Species_Names,0))="No",INDEX(Species_Evo_Numbers,MATCH($N80,Species_Names,0))&lt;&gt;1),"N/A",RANK($S80,IF(NOT(ISNA(MATCH(Combo_Species_Names,IF(Species_Availability="Yes",IF(Species_Evo_Numbers=1,Species_Names)),0))),Combo_Gym_Offense),0))</f>
        <v>#VALUE!</v>
      </c>
      <c r="J80" s="24" t="e">
        <f t="array" ref="J80">IF(OR(INDEX(Species_Availability,MATCH($N80,Species_Names,0))="No",INDEX(Species_Evo_Numbers,MATCH($N80,Species_Names,0))&lt;&gt;1),"N/A",$S80/MAX(IF(NOT(ISNA(MATCH(Combo_Species_Names,IF(Species_Availability="Yes",IF(Species_Evo_Numbers=1,Species_Names)),0))),Combo_Gym_Offense)))</f>
        <v>#VALUE!</v>
      </c>
      <c r="K80" s="23" t="e">
        <f t="array" ref="K80">IF(OR(INDEX(Species_Availability,MATCH($N80,Species_Names,0))="No",INDEX(Species_Evo_Numbers,MATCH($N80,Species_Names,0))&lt;&gt;1),"N/A",RANK($Y80,IF(NOT(ISNA(MATCH(Combo_Species_Names,IF(Species_Availability="Yes",IF(Species_Evo_Numbers=1,Species_Names)),0))),Combo_Gym_Defense),0))</f>
        <v>#VALUE!</v>
      </c>
      <c r="L80" s="24" t="e">
        <f t="array" ref="L80">IF(OR(INDEX(Species_Availability,MATCH($N80,Species_Names,0))="No",INDEX(Species_Evo_Numbers,MATCH($N80,Species_Names,0))&lt;&gt;1),"N/A",$Y80/MAX(IF(NOT(ISNA(MATCH(Combo_Species_Names,IF(Species_Availability="Yes",IF(Species_Evo_Numbers=1,Species_Names)),0))),Combo_Gym_Defense)))</f>
        <v>#VALUE!</v>
      </c>
      <c r="M80" s="28">
        <f t="array" ref="M80">INDEX(Species_Pdex_Numbers,MATCH($N80,Species_Names,0))</f>
        <v>139</v>
      </c>
      <c r="N80" s="30" t="s">
        <v>357</v>
      </c>
      <c r="O80" s="31" t="s">
        <v>65</v>
      </c>
      <c r="P80" s="31" t="s">
        <v>170</v>
      </c>
      <c r="Q80" s="17" t="e">
        <f t="shared" si="2"/>
        <v>#VALUE!</v>
      </c>
      <c r="R80" s="32" t="e">
        <f t="array" ref="R80">IF(OR(AND(COUNTBLANK(Combo_Opponent_Type_1)=1,COUNTBLANK(Combo_Opponent_Type_2)=0),AND(AND(COUNTBLANK(Combo_Opponent_Type_1)=0,COUNTBLANK(Combo_Opponent_Type_2)=0),Combo_Opponent_Type_1=Combo_Opponent_Type_2)),
"Check Types",($S80*INDEX(Species_Tankiness,MATCH($N80,Species_Names,0)))/225)</f>
        <v>#VALUE!</v>
      </c>
      <c r="S80" s="32" t="e">
        <f t="array" ref="S80">IF(OR(AND(COUNTBLANK(Combo_Opponent_Type_1)=1,COUNTBLANK(Combo_Opponent_Type_2)=0),AND(AND(COUNTBLANK(Combo_Opponent_Type_1)=0,COUNTBLANK(Combo_Opponent_Type_2)=0),Combo_Opponent_Type_1=Combo_Opponent_Type_2)),
"Check Types",(
IF($W80&gt;=((1-Game_Weave_Human_Error)*$X80),$W80,$X80)*INDEX(Species_Attack,MATCH($N80,Species_Names,0)))/11)</f>
        <v>#VALUE!</v>
      </c>
      <c r="T80" s="33" t="e">
        <f t="shared" si="3"/>
        <v>#VALUE!</v>
      </c>
      <c r="U80" s="33">
        <f t="array" ref="U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80,Quick_Names,0))),Type_Species)),0),1)*IF(COUNTBLANK(Combo_Opponent_Type_2)=0,INDEX(Type_Damage_Multipliers,MATCH(Combo_Opponent_Type_2,IF(Type_Move=(INDEX(Quick_Type,MATCH($O80,Quick_Names,0))),Type_Species)),0),1)*(IF(OR(INDEX(Quick_Type,MATCH($O80,Quick_Names,0))=INDEX(Species_Type_1,MATCH($N80,Species_Names,0)),INDEX(Quick_Type,MATCH($O80,Quick_Names,0))=INDEX(Species_Type_2,MATCH($N80,Species_Names,0))),Game_STAB_Multiplier,1)))</f>
        <v>1.25</v>
      </c>
      <c r="V80" s="33">
        <f t="array" ref="V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80,Charge_Names,0))),Type_Species)),0),1)*IF(COUNTBLANK(Combo_Opponent_Type_2)=0,INDEX(Type_Damage_Multipliers,MATCH(Combo_Opponent_Type_2,IF(Type_Move=(INDEX(Charge_Type,MATCH($P80,Charge_Names,0))),Type_Species)),0),1)*
IF(OR(INDEX(Charge_Type,MATCH($P80,Charge_Names,0))=INDEX(Species_Type_1,MATCH($N80,Species_Names,0)),INDEX(Charge_Type,MATCH($P80,Charge_Names,0))=INDEX(Species_Type_2,MATCH($N80,Species_Names,0))),Game_STAB_Multiplier,1))</f>
        <v>1.25</v>
      </c>
      <c r="W80" s="33" t="s">
        <v>412</v>
      </c>
      <c r="X80" s="33" t="s">
        <v>425</v>
      </c>
      <c r="Y80" s="32" t="e">
        <f t="array" ref="Y80">((($Z80)*
INDEX(Species_Attack,MATCH($N80,Species_Names,0))*
INDEX(Species_Tankiness,MATCH($N80,Species_Names,0)))/1000)</f>
        <v>#VALUE!</v>
      </c>
      <c r="Z80" s="33" t="s">
        <v>426</v>
      </c>
    </row>
    <row r="81" spans="1:26" ht="14.25" customHeight="1" x14ac:dyDescent="0.2">
      <c r="A81" s="86"/>
      <c r="B81" s="22" t="str">
        <f t="array" ref="B81">CONCATENATE(TEXT($M81,"000"),".",TEXT(INDEX(Quick_Number,MATCH($O81,Quick_Names,0)),"000"),".",TEXT(INDEX(Charge_Number,MATCH($P81,Charge_Names,0)),"000"))</f>
        <v>031.202.091</v>
      </c>
      <c r="C81" s="23" t="e">
        <f t="array" ref="C81">RANK($S81,IF(Combo_Species_Names=$N81,Combo_Gym_Offense),0)</f>
        <v>#VALUE!</v>
      </c>
      <c r="D81" s="24" t="e">
        <f t="array" ref="D81">$S81/MAX(IF(Combo_Species_Names=$N81,Combo_Gym_Offense))</f>
        <v>#VALUE!</v>
      </c>
      <c r="E81" s="23" t="e">
        <f t="array" ref="E81">RANK($Y81,IF(Combo_Species_Names=$N81,Combo_Gym_Defense),0)</f>
        <v>#VALUE!</v>
      </c>
      <c r="F81" s="25" t="e">
        <f t="array" ref="F81">$Y81/MAX(IF(Combo_Species_Names=$N81,Combo_Gym_Defense))</f>
        <v>#VALUE!</v>
      </c>
      <c r="G81" s="23" t="e">
        <f t="array" ref="G81">IF(OR(INDEX(Species_Availability,MATCH($N81,Species_Names,0))="No",INDEX(Species_Evo_Numbers,MATCH($N81,Species_Names,0))&lt;&gt;1),"N/A",RANK($R81,IF(NOT(ISNA(MATCH(Combo_Species_Names,IF(Species_Availability="Yes",IF(Species_Evo_Numbers=1,Species_Names)),0))),Combo_Duel_Ability),0))</f>
        <v>#VALUE!</v>
      </c>
      <c r="H81" s="24" t="e">
        <f t="array" ref="H81">IF(OR(INDEX(Species_Availability,MATCH($N81,Species_Names,0))="No",INDEX(Species_Evo_Numbers,MATCH($N81,Species_Names,0))&lt;&gt;1),"N/A",$R81/MAX(IF(NOT(ISNA(MATCH(Combo_Species_Names,IF(Species_Availability="Yes",IF(Species_Evo_Numbers=1,Species_Names)),0))),Combo_Duel_Ability)))</f>
        <v>#VALUE!</v>
      </c>
      <c r="I81" s="23" t="e">
        <f t="array" ref="I81">IF(OR(INDEX(Species_Availability,MATCH($N81,Species_Names,0))="No",INDEX(Species_Evo_Numbers,MATCH($N81,Species_Names,0))&lt;&gt;1),"N/A",RANK($S81,IF(NOT(ISNA(MATCH(Combo_Species_Names,IF(Species_Availability="Yes",IF(Species_Evo_Numbers=1,Species_Names)),0))),Combo_Gym_Offense),0))</f>
        <v>#VALUE!</v>
      </c>
      <c r="J81" s="24" t="e">
        <f t="array" ref="J81">IF(OR(INDEX(Species_Availability,MATCH($N81,Species_Names,0))="No",INDEX(Species_Evo_Numbers,MATCH($N81,Species_Names,0))&lt;&gt;1),"N/A",$S81/MAX(IF(NOT(ISNA(MATCH(Combo_Species_Names,IF(Species_Availability="Yes",IF(Species_Evo_Numbers=1,Species_Names)),0))),Combo_Gym_Offense)))</f>
        <v>#VALUE!</v>
      </c>
      <c r="K81" s="23" t="e">
        <f t="array" ref="K81">IF(OR(INDEX(Species_Availability,MATCH($N81,Species_Names,0))="No",INDEX(Species_Evo_Numbers,MATCH($N81,Species_Names,0))&lt;&gt;1),"N/A",RANK($Y81,IF(NOT(ISNA(MATCH(Combo_Species_Names,IF(Species_Availability="Yes",IF(Species_Evo_Numbers=1,Species_Names)),0))),Combo_Gym_Defense),0))</f>
        <v>#VALUE!</v>
      </c>
      <c r="L81" s="24" t="e">
        <f t="array" ref="L81">IF(OR(INDEX(Species_Availability,MATCH($N81,Species_Names,0))="No",INDEX(Species_Evo_Numbers,MATCH($N81,Species_Names,0))&lt;&gt;1),"N/A",$Y81/MAX(IF(NOT(ISNA(MATCH(Combo_Species_Names,IF(Species_Availability="Yes",IF(Species_Evo_Numbers=1,Species_Names)),0))),Combo_Gym_Defense)))</f>
        <v>#VALUE!</v>
      </c>
      <c r="M81" s="28">
        <f t="array" ref="M81">INDEX(Species_Pdex_Numbers,MATCH($N81,Species_Names,0))</f>
        <v>31</v>
      </c>
      <c r="N81" s="30" t="s">
        <v>152</v>
      </c>
      <c r="O81" s="31" t="s">
        <v>59</v>
      </c>
      <c r="P81" s="31" t="s">
        <v>186</v>
      </c>
      <c r="Q81" s="17" t="e">
        <f t="shared" si="2"/>
        <v>#VALUE!</v>
      </c>
      <c r="R81" s="32" t="e">
        <f t="array" ref="R81">IF(OR(AND(COUNTBLANK(Combo_Opponent_Type_1)=1,COUNTBLANK(Combo_Opponent_Type_2)=0),AND(AND(COUNTBLANK(Combo_Opponent_Type_1)=0,COUNTBLANK(Combo_Opponent_Type_2)=0),Combo_Opponent_Type_1=Combo_Opponent_Type_2)),
"Check Types",($S81*INDEX(Species_Tankiness,MATCH($N81,Species_Names,0)))/225)</f>
        <v>#VALUE!</v>
      </c>
      <c r="S81" s="32" t="e">
        <f t="array" ref="S81">IF(OR(AND(COUNTBLANK(Combo_Opponent_Type_1)=1,COUNTBLANK(Combo_Opponent_Type_2)=0),AND(AND(COUNTBLANK(Combo_Opponent_Type_1)=0,COUNTBLANK(Combo_Opponent_Type_2)=0),Combo_Opponent_Type_1=Combo_Opponent_Type_2)),
"Check Types",(
IF($W81&gt;=((1-Game_Weave_Human_Error)*$X81),$W81,$X81)*INDEX(Species_Attack,MATCH($N81,Species_Names,0)))/11)</f>
        <v>#VALUE!</v>
      </c>
      <c r="T81" s="33" t="e">
        <f t="shared" si="3"/>
        <v>#VALUE!</v>
      </c>
      <c r="U81" s="33">
        <f t="array" ref="U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81,Quick_Names,0))),Type_Species)),0),1)*IF(COUNTBLANK(Combo_Opponent_Type_2)=0,INDEX(Type_Damage_Multipliers,MATCH(Combo_Opponent_Type_2,IF(Type_Move=(INDEX(Quick_Type,MATCH($O81,Quick_Names,0))),Type_Species)),0),1)*(IF(OR(INDEX(Quick_Type,MATCH($O81,Quick_Names,0))=INDEX(Species_Type_1,MATCH($N81,Species_Names,0)),INDEX(Quick_Type,MATCH($O81,Quick_Names,0))=INDEX(Species_Type_2,MATCH($N81,Species_Names,0))),Game_STAB_Multiplier,1)))</f>
        <v>1</v>
      </c>
      <c r="V81" s="33">
        <f t="array" ref="V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81,Charge_Names,0))),Type_Species)),0),1)*IF(COUNTBLANK(Combo_Opponent_Type_2)=0,INDEX(Type_Damage_Multipliers,MATCH(Combo_Opponent_Type_2,IF(Type_Move=(INDEX(Charge_Type,MATCH($P81,Charge_Names,0))),Type_Species)),0),1)*
IF(OR(INDEX(Charge_Type,MATCH($P81,Charge_Names,0))=INDEX(Species_Type_1,MATCH($N81,Species_Names,0)),INDEX(Charge_Type,MATCH($P81,Charge_Names,0))=INDEX(Species_Type_2,MATCH($N81,Species_Names,0))),Game_STAB_Multiplier,1))</f>
        <v>1.25</v>
      </c>
      <c r="W81" s="33" t="s">
        <v>453</v>
      </c>
      <c r="X81" s="33" t="s">
        <v>544</v>
      </c>
      <c r="Y81" s="32" t="e">
        <f t="array" ref="Y81">((($Z81)*
INDEX(Species_Attack,MATCH($N81,Species_Names,0))*
INDEX(Species_Tankiness,MATCH($N81,Species_Names,0)))/1000)</f>
        <v>#VALUE!</v>
      </c>
      <c r="Z81" s="33" t="s">
        <v>545</v>
      </c>
    </row>
    <row r="82" spans="1:26" ht="14.25" customHeight="1" x14ac:dyDescent="0.2">
      <c r="A82" s="86"/>
      <c r="B82" s="22" t="str">
        <f t="array" ref="B82">CONCATENATE(TEXT($M82,"000"),".",TEXT(INDEX(Quick_Number,MATCH($O82,Quick_Names,0)),"000"),".",TEXT(INDEX(Charge_Number,MATCH($P82,Charge_Names,0)),"000"))</f>
        <v>006.210.083</v>
      </c>
      <c r="C82" s="23" t="e">
        <f t="array" ref="C82">RANK($S82,IF(Combo_Species_Names=$N82,Combo_Gym_Offense),0)</f>
        <v>#VALUE!</v>
      </c>
      <c r="D82" s="24" t="e">
        <f t="array" ref="D82">$S82/MAX(IF(Combo_Species_Names=$N82,Combo_Gym_Offense))</f>
        <v>#VALUE!</v>
      </c>
      <c r="E82" s="23" t="e">
        <f t="array" ref="E82">RANK($Y82,IF(Combo_Species_Names=$N82,Combo_Gym_Defense),0)</f>
        <v>#VALUE!</v>
      </c>
      <c r="F82" s="25" t="e">
        <f t="array" ref="F82">$Y82/MAX(IF(Combo_Species_Names=$N82,Combo_Gym_Defense))</f>
        <v>#VALUE!</v>
      </c>
      <c r="G82" s="23" t="e">
        <f t="array" ref="G82">IF(OR(INDEX(Species_Availability,MATCH($N82,Species_Names,0))="No",INDEX(Species_Evo_Numbers,MATCH($N82,Species_Names,0))&lt;&gt;1),"N/A",RANK($R82,IF(NOT(ISNA(MATCH(Combo_Species_Names,IF(Species_Availability="Yes",IF(Species_Evo_Numbers=1,Species_Names)),0))),Combo_Duel_Ability),0))</f>
        <v>#VALUE!</v>
      </c>
      <c r="H82" s="24" t="e">
        <f t="array" ref="H82">IF(OR(INDEX(Species_Availability,MATCH($N82,Species_Names,0))="No",INDEX(Species_Evo_Numbers,MATCH($N82,Species_Names,0))&lt;&gt;1),"N/A",$R82/MAX(IF(NOT(ISNA(MATCH(Combo_Species_Names,IF(Species_Availability="Yes",IF(Species_Evo_Numbers=1,Species_Names)),0))),Combo_Duel_Ability)))</f>
        <v>#VALUE!</v>
      </c>
      <c r="I82" s="23" t="e">
        <f t="array" ref="I82">IF(OR(INDEX(Species_Availability,MATCH($N82,Species_Names,0))="No",INDEX(Species_Evo_Numbers,MATCH($N82,Species_Names,0))&lt;&gt;1),"N/A",RANK($S82,IF(NOT(ISNA(MATCH(Combo_Species_Names,IF(Species_Availability="Yes",IF(Species_Evo_Numbers=1,Species_Names)),0))),Combo_Gym_Offense),0))</f>
        <v>#VALUE!</v>
      </c>
      <c r="J82" s="24" t="e">
        <f t="array" ref="J82">IF(OR(INDEX(Species_Availability,MATCH($N82,Species_Names,0))="No",INDEX(Species_Evo_Numbers,MATCH($N82,Species_Names,0))&lt;&gt;1),"N/A",$S82/MAX(IF(NOT(ISNA(MATCH(Combo_Species_Names,IF(Species_Availability="Yes",IF(Species_Evo_Numbers=1,Species_Names)),0))),Combo_Gym_Offense)))</f>
        <v>#VALUE!</v>
      </c>
      <c r="K82" s="23" t="e">
        <f t="array" ref="K82">IF(OR(INDEX(Species_Availability,MATCH($N82,Species_Names,0))="No",INDEX(Species_Evo_Numbers,MATCH($N82,Species_Names,0))&lt;&gt;1),"N/A",RANK($Y82,IF(NOT(ISNA(MATCH(Combo_Species_Names,IF(Species_Availability="Yes",IF(Species_Evo_Numbers=1,Species_Names)),0))),Combo_Gym_Defense),0))</f>
        <v>#VALUE!</v>
      </c>
      <c r="L82" s="24" t="e">
        <f t="array" ref="L82">IF(OR(INDEX(Species_Availability,MATCH($N82,Species_Names,0))="No",INDEX(Species_Evo_Numbers,MATCH($N82,Species_Names,0))&lt;&gt;1),"N/A",$Y82/MAX(IF(NOT(ISNA(MATCH(Combo_Species_Names,IF(Species_Availability="Yes",IF(Species_Evo_Numbers=1,Species_Names)),0))),Combo_Gym_Defense)))</f>
        <v>#VALUE!</v>
      </c>
      <c r="M82" s="28">
        <f t="array" ref="M82">INDEX(Species_Pdex_Numbers,MATCH($N82,Species_Names,0))</f>
        <v>6</v>
      </c>
      <c r="N82" s="30" t="s">
        <v>81</v>
      </c>
      <c r="O82" s="31" t="s">
        <v>69</v>
      </c>
      <c r="P82" s="31" t="s">
        <v>155</v>
      </c>
      <c r="Q82" s="17" t="e">
        <f t="shared" si="2"/>
        <v>#VALUE!</v>
      </c>
      <c r="R82" s="32" t="e">
        <f t="array" ref="R82">IF(OR(AND(COUNTBLANK(Combo_Opponent_Type_1)=1,COUNTBLANK(Combo_Opponent_Type_2)=0),AND(AND(COUNTBLANK(Combo_Opponent_Type_1)=0,COUNTBLANK(Combo_Opponent_Type_2)=0),Combo_Opponent_Type_1=Combo_Opponent_Type_2)),
"Check Types",($S82*INDEX(Species_Tankiness,MATCH($N82,Species_Names,0)))/225)</f>
        <v>#VALUE!</v>
      </c>
      <c r="S82" s="32" t="e">
        <f t="array" ref="S82">IF(OR(AND(COUNTBLANK(Combo_Opponent_Type_1)=1,COUNTBLANK(Combo_Opponent_Type_2)=0),AND(AND(COUNTBLANK(Combo_Opponent_Type_1)=0,COUNTBLANK(Combo_Opponent_Type_2)=0),Combo_Opponent_Type_1=Combo_Opponent_Type_2)),
"Check Types",(
IF($W82&gt;=((1-Game_Weave_Human_Error)*$X82),$W82,$X82)*INDEX(Species_Attack,MATCH($N82,Species_Names,0)))/11)</f>
        <v>#VALUE!</v>
      </c>
      <c r="T82" s="33" t="e">
        <f t="shared" si="3"/>
        <v>#VALUE!</v>
      </c>
      <c r="U82" s="33">
        <f t="array" ref="U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82,Quick_Names,0))),Type_Species)),0),1)*IF(COUNTBLANK(Combo_Opponent_Type_2)=0,INDEX(Type_Damage_Multipliers,MATCH(Combo_Opponent_Type_2,IF(Type_Move=(INDEX(Quick_Type,MATCH($O82,Quick_Names,0))),Type_Species)),0),1)*(IF(OR(INDEX(Quick_Type,MATCH($O82,Quick_Names,0))=INDEX(Species_Type_1,MATCH($N82,Species_Names,0)),INDEX(Quick_Type,MATCH($O82,Quick_Names,0))=INDEX(Species_Type_2,MATCH($N82,Species_Names,0))),Game_STAB_Multiplier,1)))</f>
        <v>1.25</v>
      </c>
      <c r="V82" s="33">
        <f t="array" ref="V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82,Charge_Names,0))),Type_Species)),0),1)*IF(COUNTBLANK(Combo_Opponent_Type_2)=0,INDEX(Type_Damage_Multipliers,MATCH(Combo_Opponent_Type_2,IF(Type_Move=(INDEX(Charge_Type,MATCH($P82,Charge_Names,0))),Type_Species)),0),1)*
IF(OR(INDEX(Charge_Type,MATCH($P82,Charge_Names,0))=INDEX(Species_Type_1,MATCH($N82,Species_Names,0)),INDEX(Charge_Type,MATCH($P82,Charge_Names,0))=INDEX(Species_Type_2,MATCH($N82,Species_Names,0))),Game_STAB_Multiplier,1))</f>
        <v>1</v>
      </c>
      <c r="W82" s="33" t="s">
        <v>489</v>
      </c>
      <c r="X82" s="33" t="s">
        <v>546</v>
      </c>
      <c r="Y82" s="32" t="e">
        <f t="array" ref="Y82">((($Z82)*
INDEX(Species_Attack,MATCH($N82,Species_Names,0))*
INDEX(Species_Tankiness,MATCH($N82,Species_Names,0)))/1000)</f>
        <v>#VALUE!</v>
      </c>
      <c r="Z82" s="33" t="s">
        <v>547</v>
      </c>
    </row>
    <row r="83" spans="1:26" ht="14.25" customHeight="1" x14ac:dyDescent="0.2">
      <c r="A83" s="86"/>
      <c r="B83" s="22" t="str">
        <f t="array" ref="B83">CONCATENATE(TEXT($M83,"000"),".",TEXT(INDEX(Quick_Number,MATCH($O83,Quick_Names,0)),"000"),".",TEXT(INDEX(Charge_Number,MATCH($P83,Charge_Names,0)),"000"))</f>
        <v>087.218.040</v>
      </c>
      <c r="C83" s="23" t="e">
        <f t="array" ref="C83">RANK($S83,IF(Combo_Species_Names=$N83,Combo_Gym_Offense),0)</f>
        <v>#VALUE!</v>
      </c>
      <c r="D83" s="24" t="e">
        <f t="array" ref="D83">$S83/MAX(IF(Combo_Species_Names=$N83,Combo_Gym_Offense))</f>
        <v>#VALUE!</v>
      </c>
      <c r="E83" s="23" t="e">
        <f t="array" ref="E83">RANK($Y83,IF(Combo_Species_Names=$N83,Combo_Gym_Defense),0)</f>
        <v>#VALUE!</v>
      </c>
      <c r="F83" s="25" t="e">
        <f t="array" ref="F83">$Y83/MAX(IF(Combo_Species_Names=$N83,Combo_Gym_Defense))</f>
        <v>#VALUE!</v>
      </c>
      <c r="G83" s="23" t="e">
        <f t="array" ref="G83">IF(OR(INDEX(Species_Availability,MATCH($N83,Species_Names,0))="No",INDEX(Species_Evo_Numbers,MATCH($N83,Species_Names,0))&lt;&gt;1),"N/A",RANK($R83,IF(NOT(ISNA(MATCH(Combo_Species_Names,IF(Species_Availability="Yes",IF(Species_Evo_Numbers=1,Species_Names)),0))),Combo_Duel_Ability),0))</f>
        <v>#VALUE!</v>
      </c>
      <c r="H83" s="24" t="e">
        <f t="array" ref="H83">IF(OR(INDEX(Species_Availability,MATCH($N83,Species_Names,0))="No",INDEX(Species_Evo_Numbers,MATCH($N83,Species_Names,0))&lt;&gt;1),"N/A",$R83/MAX(IF(NOT(ISNA(MATCH(Combo_Species_Names,IF(Species_Availability="Yes",IF(Species_Evo_Numbers=1,Species_Names)),0))),Combo_Duel_Ability)))</f>
        <v>#VALUE!</v>
      </c>
      <c r="I83" s="23" t="e">
        <f t="array" ref="I83">IF(OR(INDEX(Species_Availability,MATCH($N83,Species_Names,0))="No",INDEX(Species_Evo_Numbers,MATCH($N83,Species_Names,0))&lt;&gt;1),"N/A",RANK($S83,IF(NOT(ISNA(MATCH(Combo_Species_Names,IF(Species_Availability="Yes",IF(Species_Evo_Numbers=1,Species_Names)),0))),Combo_Gym_Offense),0))</f>
        <v>#VALUE!</v>
      </c>
      <c r="J83" s="24" t="e">
        <f t="array" ref="J83">IF(OR(INDEX(Species_Availability,MATCH($N83,Species_Names,0))="No",INDEX(Species_Evo_Numbers,MATCH($N83,Species_Names,0))&lt;&gt;1),"N/A",$S83/MAX(IF(NOT(ISNA(MATCH(Combo_Species_Names,IF(Species_Availability="Yes",IF(Species_Evo_Numbers=1,Species_Names)),0))),Combo_Gym_Offense)))</f>
        <v>#VALUE!</v>
      </c>
      <c r="K83" s="23" t="e">
        <f t="array" ref="K83">IF(OR(INDEX(Species_Availability,MATCH($N83,Species_Names,0))="No",INDEX(Species_Evo_Numbers,MATCH($N83,Species_Names,0))&lt;&gt;1),"N/A",RANK($Y83,IF(NOT(ISNA(MATCH(Combo_Species_Names,IF(Species_Availability="Yes",IF(Species_Evo_Numbers=1,Species_Names)),0))),Combo_Gym_Defense),0))</f>
        <v>#VALUE!</v>
      </c>
      <c r="L83" s="24" t="e">
        <f t="array" ref="L83">IF(OR(INDEX(Species_Availability,MATCH($N83,Species_Names,0))="No",INDEX(Species_Evo_Numbers,MATCH($N83,Species_Names,0))&lt;&gt;1),"N/A",$Y83/MAX(IF(NOT(ISNA(MATCH(Combo_Species_Names,IF(Species_Availability="Yes",IF(Species_Evo_Numbers=1,Species_Names)),0))),Combo_Gym_Defense)))</f>
        <v>#VALUE!</v>
      </c>
      <c r="M83" s="28">
        <f t="array" ref="M83">INDEX(Species_Pdex_Numbers,MATCH($N83,Species_Names,0))</f>
        <v>87</v>
      </c>
      <c r="N83" s="30" t="s">
        <v>268</v>
      </c>
      <c r="O83" s="31" t="s">
        <v>87</v>
      </c>
      <c r="P83" s="31" t="s">
        <v>153</v>
      </c>
      <c r="Q83" s="17" t="e">
        <f t="shared" si="2"/>
        <v>#VALUE!</v>
      </c>
      <c r="R83" s="32" t="e">
        <f t="array" ref="R83">IF(OR(AND(COUNTBLANK(Combo_Opponent_Type_1)=1,COUNTBLANK(Combo_Opponent_Type_2)=0),AND(AND(COUNTBLANK(Combo_Opponent_Type_1)=0,COUNTBLANK(Combo_Opponent_Type_2)=0),Combo_Opponent_Type_1=Combo_Opponent_Type_2)),
"Check Types",($S83*INDEX(Species_Tankiness,MATCH($N83,Species_Names,0)))/225)</f>
        <v>#VALUE!</v>
      </c>
      <c r="S83" s="32" t="e">
        <f t="array" ref="S83">IF(OR(AND(COUNTBLANK(Combo_Opponent_Type_1)=1,COUNTBLANK(Combo_Opponent_Type_2)=0),AND(AND(COUNTBLANK(Combo_Opponent_Type_1)=0,COUNTBLANK(Combo_Opponent_Type_2)=0),Combo_Opponent_Type_1=Combo_Opponent_Type_2)),
"Check Types",(
IF($W83&gt;=((1-Game_Weave_Human_Error)*$X83),$W83,$X83)*INDEX(Species_Attack,MATCH($N83,Species_Names,0)))/11)</f>
        <v>#VALUE!</v>
      </c>
      <c r="T83" s="33" t="e">
        <f t="shared" si="3"/>
        <v>#VALUE!</v>
      </c>
      <c r="U83" s="33">
        <f t="array" ref="U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83,Quick_Names,0))),Type_Species)),0),1)*IF(COUNTBLANK(Combo_Opponent_Type_2)=0,INDEX(Type_Damage_Multipliers,MATCH(Combo_Opponent_Type_2,IF(Type_Move=(INDEX(Quick_Type,MATCH($O83,Quick_Names,0))),Type_Species)),0),1)*(IF(OR(INDEX(Quick_Type,MATCH($O83,Quick_Names,0))=INDEX(Species_Type_1,MATCH($N83,Species_Names,0)),INDEX(Quick_Type,MATCH($O83,Quick_Names,0))=INDEX(Species_Type_2,MATCH($N83,Species_Names,0))),Game_STAB_Multiplier,1)))</f>
        <v>1.25</v>
      </c>
      <c r="V83" s="33">
        <f t="array" ref="V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83,Charge_Names,0))),Type_Species)),0),1)*IF(COUNTBLANK(Combo_Opponent_Type_2)=0,INDEX(Type_Damage_Multipliers,MATCH(Combo_Opponent_Type_2,IF(Type_Move=(INDEX(Charge_Type,MATCH($P83,Charge_Names,0))),Type_Species)),0),1)*
IF(OR(INDEX(Charge_Type,MATCH($P83,Charge_Names,0))=INDEX(Species_Type_1,MATCH($N83,Species_Names,0)),INDEX(Charge_Type,MATCH($P83,Charge_Names,0))=INDEX(Species_Type_2,MATCH($N83,Species_Names,0))),Game_STAB_Multiplier,1))</f>
        <v>1.25</v>
      </c>
      <c r="W83" s="33" t="s">
        <v>422</v>
      </c>
      <c r="X83" s="33" t="s">
        <v>423</v>
      </c>
      <c r="Y83" s="32" t="e">
        <f t="array" ref="Y83">((($Z83)*
INDEX(Species_Attack,MATCH($N83,Species_Names,0))*
INDEX(Species_Tankiness,MATCH($N83,Species_Names,0)))/1000)</f>
        <v>#VALUE!</v>
      </c>
      <c r="Z83" s="33" t="s">
        <v>424</v>
      </c>
    </row>
    <row r="84" spans="1:26" ht="14.25" customHeight="1" x14ac:dyDescent="0.2">
      <c r="A84" s="86"/>
      <c r="B84" s="22" t="str">
        <f t="array" ref="B84">CONCATENATE(TEXT($M84,"000"),".",TEXT(INDEX(Quick_Number,MATCH($O84,Quick_Names,0)),"000"),".",TEXT(INDEX(Charge_Number,MATCH($P84,Charge_Names,0)),"000"))</f>
        <v>076.227.032</v>
      </c>
      <c r="C84" s="23" t="e">
        <f t="array" ref="C84">RANK($S84,IF(Combo_Species_Names=$N84,Combo_Gym_Offense),0)</f>
        <v>#VALUE!</v>
      </c>
      <c r="D84" s="24" t="e">
        <f t="array" ref="D84">$S84/MAX(IF(Combo_Species_Names=$N84,Combo_Gym_Offense))</f>
        <v>#VALUE!</v>
      </c>
      <c r="E84" s="23" t="e">
        <f t="array" ref="E84">RANK($Y84,IF(Combo_Species_Names=$N84,Combo_Gym_Defense),0)</f>
        <v>#VALUE!</v>
      </c>
      <c r="F84" s="25" t="e">
        <f t="array" ref="F84">$Y84/MAX(IF(Combo_Species_Names=$N84,Combo_Gym_Defense))</f>
        <v>#VALUE!</v>
      </c>
      <c r="G84" s="23" t="e">
        <f t="array" ref="G84">IF(OR(INDEX(Species_Availability,MATCH($N84,Species_Names,0))="No",INDEX(Species_Evo_Numbers,MATCH($N84,Species_Names,0))&lt;&gt;1),"N/A",RANK($R84,IF(NOT(ISNA(MATCH(Combo_Species_Names,IF(Species_Availability="Yes",IF(Species_Evo_Numbers=1,Species_Names)),0))),Combo_Duel_Ability),0))</f>
        <v>#VALUE!</v>
      </c>
      <c r="H84" s="24" t="e">
        <f t="array" ref="H84">IF(OR(INDEX(Species_Availability,MATCH($N84,Species_Names,0))="No",INDEX(Species_Evo_Numbers,MATCH($N84,Species_Names,0))&lt;&gt;1),"N/A",$R84/MAX(IF(NOT(ISNA(MATCH(Combo_Species_Names,IF(Species_Availability="Yes",IF(Species_Evo_Numbers=1,Species_Names)),0))),Combo_Duel_Ability)))</f>
        <v>#VALUE!</v>
      </c>
      <c r="I84" s="23" t="e">
        <f t="array" ref="I84">IF(OR(INDEX(Species_Availability,MATCH($N84,Species_Names,0))="No",INDEX(Species_Evo_Numbers,MATCH($N84,Species_Names,0))&lt;&gt;1),"N/A",RANK($S84,IF(NOT(ISNA(MATCH(Combo_Species_Names,IF(Species_Availability="Yes",IF(Species_Evo_Numbers=1,Species_Names)),0))),Combo_Gym_Offense),0))</f>
        <v>#VALUE!</v>
      </c>
      <c r="J84" s="24" t="e">
        <f t="array" ref="J84">IF(OR(INDEX(Species_Availability,MATCH($N84,Species_Names,0))="No",INDEX(Species_Evo_Numbers,MATCH($N84,Species_Names,0))&lt;&gt;1),"N/A",$S84/MAX(IF(NOT(ISNA(MATCH(Combo_Species_Names,IF(Species_Availability="Yes",IF(Species_Evo_Numbers=1,Species_Names)),0))),Combo_Gym_Offense)))</f>
        <v>#VALUE!</v>
      </c>
      <c r="K84" s="23" t="e">
        <f t="array" ref="K84">IF(OR(INDEX(Species_Availability,MATCH($N84,Species_Names,0))="No",INDEX(Species_Evo_Numbers,MATCH($N84,Species_Names,0))&lt;&gt;1),"N/A",RANK($Y84,IF(NOT(ISNA(MATCH(Combo_Species_Names,IF(Species_Availability="Yes",IF(Species_Evo_Numbers=1,Species_Names)),0))),Combo_Gym_Defense),0))</f>
        <v>#VALUE!</v>
      </c>
      <c r="L84" s="24" t="e">
        <f t="array" ref="L84">IF(OR(INDEX(Species_Availability,MATCH($N84,Species_Names,0))="No",INDEX(Species_Evo_Numbers,MATCH($N84,Species_Names,0))&lt;&gt;1),"N/A",$Y84/MAX(IF(NOT(ISNA(MATCH(Combo_Species_Names,IF(Species_Availability="Yes",IF(Species_Evo_Numbers=1,Species_Names)),0))),Combo_Gym_Defense)))</f>
        <v>#VALUE!</v>
      </c>
      <c r="M84" s="28">
        <f t="array" ref="M84">INDEX(Species_Pdex_Numbers,MATCH($N84,Species_Names,0))</f>
        <v>76</v>
      </c>
      <c r="N84" s="30" t="s">
        <v>244</v>
      </c>
      <c r="O84" s="31" t="s">
        <v>112</v>
      </c>
      <c r="P84" s="31" t="s">
        <v>149</v>
      </c>
      <c r="Q84" s="17" t="e">
        <f t="shared" si="2"/>
        <v>#VALUE!</v>
      </c>
      <c r="R84" s="32" t="e">
        <f t="array" ref="R84">IF(OR(AND(COUNTBLANK(Combo_Opponent_Type_1)=1,COUNTBLANK(Combo_Opponent_Type_2)=0),AND(AND(COUNTBLANK(Combo_Opponent_Type_1)=0,COUNTBLANK(Combo_Opponent_Type_2)=0),Combo_Opponent_Type_1=Combo_Opponent_Type_2)),
"Check Types",($S84*INDEX(Species_Tankiness,MATCH($N84,Species_Names,0)))/225)</f>
        <v>#VALUE!</v>
      </c>
      <c r="S84" s="32" t="e">
        <f t="array" ref="S84">IF(OR(AND(COUNTBLANK(Combo_Opponent_Type_1)=1,COUNTBLANK(Combo_Opponent_Type_2)=0),AND(AND(COUNTBLANK(Combo_Opponent_Type_1)=0,COUNTBLANK(Combo_Opponent_Type_2)=0),Combo_Opponent_Type_1=Combo_Opponent_Type_2)),
"Check Types",(
IF($W84&gt;=((1-Game_Weave_Human_Error)*$X84),$W84,$X84)*INDEX(Species_Attack,MATCH($N84,Species_Names,0)))/11)</f>
        <v>#VALUE!</v>
      </c>
      <c r="T84" s="33" t="e">
        <f t="shared" si="3"/>
        <v>#VALUE!</v>
      </c>
      <c r="U84" s="33">
        <f t="array" ref="U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84,Quick_Names,0))),Type_Species)),0),1)*IF(COUNTBLANK(Combo_Opponent_Type_2)=0,INDEX(Type_Damage_Multipliers,MATCH(Combo_Opponent_Type_2,IF(Type_Move=(INDEX(Quick_Type,MATCH($O84,Quick_Names,0))),Type_Species)),0),1)*(IF(OR(INDEX(Quick_Type,MATCH($O84,Quick_Names,0))=INDEX(Species_Type_1,MATCH($N84,Species_Names,0)),INDEX(Quick_Type,MATCH($O84,Quick_Names,0))=INDEX(Species_Type_2,MATCH($N84,Species_Names,0))),Game_STAB_Multiplier,1)))</f>
        <v>1.25</v>
      </c>
      <c r="V84" s="33">
        <f t="array" ref="V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84,Charge_Names,0))),Type_Species)),0),1)*IF(COUNTBLANK(Combo_Opponent_Type_2)=0,INDEX(Type_Damage_Multipliers,MATCH(Combo_Opponent_Type_2,IF(Type_Move=(INDEX(Charge_Type,MATCH($P84,Charge_Names,0))),Type_Species)),0),1)*
IF(OR(INDEX(Charge_Type,MATCH($P84,Charge_Names,0))=INDEX(Species_Type_1,MATCH($N84,Species_Names,0)),INDEX(Charge_Type,MATCH($P84,Charge_Names,0))=INDEX(Species_Type_2,MATCH($N84,Species_Names,0))),Game_STAB_Multiplier,1))</f>
        <v>1.25</v>
      </c>
      <c r="W84" s="33" t="s">
        <v>548</v>
      </c>
      <c r="X84" s="33" t="s">
        <v>549</v>
      </c>
      <c r="Y84" s="32" t="e">
        <f t="array" ref="Y84">((($Z84)*
INDEX(Species_Attack,MATCH($N84,Species_Names,0))*
INDEX(Species_Tankiness,MATCH($N84,Species_Names,0)))/1000)</f>
        <v>#VALUE!</v>
      </c>
      <c r="Z84" s="33" t="s">
        <v>550</v>
      </c>
    </row>
    <row r="85" spans="1:26" ht="14.25" customHeight="1" x14ac:dyDescent="0.2">
      <c r="A85" s="86"/>
      <c r="B85" s="22" t="str">
        <f t="array" ref="B85">CONCATENATE(TEXT($M85,"000"),".",TEXT(INDEX(Quick_Number,MATCH($O85,Quick_Names,0)),"000"),".",TEXT(INDEX(Charge_Number,MATCH($P85,Charge_Names,0)),"000"))</f>
        <v>080.235.039</v>
      </c>
      <c r="C85" s="23" t="e">
        <f t="array" ref="C85">RANK($S85,IF(Combo_Species_Names=$N85,Combo_Gym_Offense),0)</f>
        <v>#VALUE!</v>
      </c>
      <c r="D85" s="24" t="e">
        <f t="array" ref="D85">$S85/MAX(IF(Combo_Species_Names=$N85,Combo_Gym_Offense))</f>
        <v>#VALUE!</v>
      </c>
      <c r="E85" s="23" t="e">
        <f t="array" ref="E85">RANK($Y85,IF(Combo_Species_Names=$N85,Combo_Gym_Defense),0)</f>
        <v>#VALUE!</v>
      </c>
      <c r="F85" s="25" t="e">
        <f t="array" ref="F85">$Y85/MAX(IF(Combo_Species_Names=$N85,Combo_Gym_Defense))</f>
        <v>#VALUE!</v>
      </c>
      <c r="G85" s="23" t="e">
        <f t="array" ref="G85">IF(OR(INDEX(Species_Availability,MATCH($N85,Species_Names,0))="No",INDEX(Species_Evo_Numbers,MATCH($N85,Species_Names,0))&lt;&gt;1),"N/A",RANK($R85,IF(NOT(ISNA(MATCH(Combo_Species_Names,IF(Species_Availability="Yes",IF(Species_Evo_Numbers=1,Species_Names)),0))),Combo_Duel_Ability),0))</f>
        <v>#VALUE!</v>
      </c>
      <c r="H85" s="24" t="e">
        <f t="array" ref="H85">IF(OR(INDEX(Species_Availability,MATCH($N85,Species_Names,0))="No",INDEX(Species_Evo_Numbers,MATCH($N85,Species_Names,0))&lt;&gt;1),"N/A",$R85/MAX(IF(NOT(ISNA(MATCH(Combo_Species_Names,IF(Species_Availability="Yes",IF(Species_Evo_Numbers=1,Species_Names)),0))),Combo_Duel_Ability)))</f>
        <v>#VALUE!</v>
      </c>
      <c r="I85" s="23" t="e">
        <f t="array" ref="I85">IF(OR(INDEX(Species_Availability,MATCH($N85,Species_Names,0))="No",INDEX(Species_Evo_Numbers,MATCH($N85,Species_Names,0))&lt;&gt;1),"N/A",RANK($S85,IF(NOT(ISNA(MATCH(Combo_Species_Names,IF(Species_Availability="Yes",IF(Species_Evo_Numbers=1,Species_Names)),0))),Combo_Gym_Offense),0))</f>
        <v>#VALUE!</v>
      </c>
      <c r="J85" s="24" t="e">
        <f t="array" ref="J85">IF(OR(INDEX(Species_Availability,MATCH($N85,Species_Names,0))="No",INDEX(Species_Evo_Numbers,MATCH($N85,Species_Names,0))&lt;&gt;1),"N/A",$S85/MAX(IF(NOT(ISNA(MATCH(Combo_Species_Names,IF(Species_Availability="Yes",IF(Species_Evo_Numbers=1,Species_Names)),0))),Combo_Gym_Offense)))</f>
        <v>#VALUE!</v>
      </c>
      <c r="K85" s="23" t="e">
        <f t="array" ref="K85">IF(OR(INDEX(Species_Availability,MATCH($N85,Species_Names,0))="No",INDEX(Species_Evo_Numbers,MATCH($N85,Species_Names,0))&lt;&gt;1),"N/A",RANK($Y85,IF(NOT(ISNA(MATCH(Combo_Species_Names,IF(Species_Availability="Yes",IF(Species_Evo_Numbers=1,Species_Names)),0))),Combo_Gym_Defense),0))</f>
        <v>#VALUE!</v>
      </c>
      <c r="L85" s="24" t="e">
        <f t="array" ref="L85">IF(OR(INDEX(Species_Availability,MATCH($N85,Species_Names,0))="No",INDEX(Species_Evo_Numbers,MATCH($N85,Species_Names,0))&lt;&gt;1),"N/A",$Y85/MAX(IF(NOT(ISNA(MATCH(Combo_Species_Names,IF(Species_Availability="Yes",IF(Species_Evo_Numbers=1,Species_Names)),0))),Combo_Gym_Defense)))</f>
        <v>#VALUE!</v>
      </c>
      <c r="M85" s="28">
        <f t="array" ref="M85">INDEX(Species_Pdex_Numbers,MATCH($N85,Species_Names,0))</f>
        <v>80</v>
      </c>
      <c r="N85" s="30" t="s">
        <v>252</v>
      </c>
      <c r="O85" s="31" t="s">
        <v>108</v>
      </c>
      <c r="P85" s="31" t="s">
        <v>209</v>
      </c>
      <c r="Q85" s="17" t="e">
        <f t="shared" si="2"/>
        <v>#VALUE!</v>
      </c>
      <c r="R85" s="32" t="e">
        <f t="array" ref="R85">IF(OR(AND(COUNTBLANK(Combo_Opponent_Type_1)=1,COUNTBLANK(Combo_Opponent_Type_2)=0),AND(AND(COUNTBLANK(Combo_Opponent_Type_1)=0,COUNTBLANK(Combo_Opponent_Type_2)=0),Combo_Opponent_Type_1=Combo_Opponent_Type_2)),
"Check Types",($S85*INDEX(Species_Tankiness,MATCH($N85,Species_Names,0)))/225)</f>
        <v>#VALUE!</v>
      </c>
      <c r="S85" s="32" t="e">
        <f t="array" ref="S85">IF(OR(AND(COUNTBLANK(Combo_Opponent_Type_1)=1,COUNTBLANK(Combo_Opponent_Type_2)=0),AND(AND(COUNTBLANK(Combo_Opponent_Type_1)=0,COUNTBLANK(Combo_Opponent_Type_2)=0),Combo_Opponent_Type_1=Combo_Opponent_Type_2)),
"Check Types",(
IF($W85&gt;=((1-Game_Weave_Human_Error)*$X85),$W85,$X85)*INDEX(Species_Attack,MATCH($N85,Species_Names,0)))/11)</f>
        <v>#VALUE!</v>
      </c>
      <c r="T85" s="33" t="e">
        <f t="shared" si="3"/>
        <v>#VALUE!</v>
      </c>
      <c r="U85" s="33">
        <f t="array" ref="U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85,Quick_Names,0))),Type_Species)),0),1)*IF(COUNTBLANK(Combo_Opponent_Type_2)=0,INDEX(Type_Damage_Multipliers,MATCH(Combo_Opponent_Type_2,IF(Type_Move=(INDEX(Quick_Type,MATCH($O85,Quick_Names,0))),Type_Species)),0),1)*(IF(OR(INDEX(Quick_Type,MATCH($O85,Quick_Names,0))=INDEX(Species_Type_1,MATCH($N85,Species_Names,0)),INDEX(Quick_Type,MATCH($O85,Quick_Names,0))=INDEX(Species_Type_2,MATCH($N85,Species_Names,0))),Game_STAB_Multiplier,1)))</f>
        <v>1.25</v>
      </c>
      <c r="V85" s="33">
        <f t="array" ref="V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85,Charge_Names,0))),Type_Species)),0),1)*IF(COUNTBLANK(Combo_Opponent_Type_2)=0,INDEX(Type_Damage_Multipliers,MATCH(Combo_Opponent_Type_2,IF(Type_Move=(INDEX(Charge_Type,MATCH($P85,Charge_Names,0))),Type_Species)),0),1)*
IF(OR(INDEX(Charge_Type,MATCH($P85,Charge_Names,0))=INDEX(Species_Type_1,MATCH($N85,Species_Names,0)),INDEX(Charge_Type,MATCH($P85,Charge_Names,0))=INDEX(Species_Type_2,MATCH($N85,Species_Names,0))),Game_STAB_Multiplier,1))</f>
        <v>1</v>
      </c>
      <c r="W85" s="33" t="s">
        <v>467</v>
      </c>
      <c r="X85" s="33" t="s">
        <v>551</v>
      </c>
      <c r="Y85" s="32" t="e">
        <f t="array" ref="Y85">((($Z85)*
INDEX(Species_Attack,MATCH($N85,Species_Names,0))*
INDEX(Species_Tankiness,MATCH($N85,Species_Names,0)))/1000)</f>
        <v>#VALUE!</v>
      </c>
      <c r="Z85" s="33" t="s">
        <v>552</v>
      </c>
    </row>
    <row r="86" spans="1:26" ht="14.25" customHeight="1" x14ac:dyDescent="0.2">
      <c r="A86" s="86"/>
      <c r="B86" s="22" t="str">
        <f t="array" ref="B86">CONCATENATE(TEXT($M86,"000"),".",TEXT(INDEX(Quick_Number,MATCH($O86,Quick_Names,0)),"000"),".",TEXT(INDEX(Charge_Number,MATCH($P86,Charge_Names,0)),"000"))</f>
        <v>112.233.031</v>
      </c>
      <c r="C86" s="23" t="e">
        <f t="array" ref="C86">RANK($S86,IF(Combo_Species_Names=$N86,Combo_Gym_Offense),0)</f>
        <v>#VALUE!</v>
      </c>
      <c r="D86" s="24" t="e">
        <f t="array" ref="D86">$S86/MAX(IF(Combo_Species_Names=$N86,Combo_Gym_Offense))</f>
        <v>#VALUE!</v>
      </c>
      <c r="E86" s="23" t="e">
        <f t="array" ref="E86">RANK($Y86,IF(Combo_Species_Names=$N86,Combo_Gym_Defense),0)</f>
        <v>#VALUE!</v>
      </c>
      <c r="F86" s="25" t="e">
        <f t="array" ref="F86">$Y86/MAX(IF(Combo_Species_Names=$N86,Combo_Gym_Defense))</f>
        <v>#VALUE!</v>
      </c>
      <c r="G86" s="23" t="e">
        <f t="array" ref="G86">IF(OR(INDEX(Species_Availability,MATCH($N86,Species_Names,0))="No",INDEX(Species_Evo_Numbers,MATCH($N86,Species_Names,0))&lt;&gt;1),"N/A",RANK($R86,IF(NOT(ISNA(MATCH(Combo_Species_Names,IF(Species_Availability="Yes",IF(Species_Evo_Numbers=1,Species_Names)),0))),Combo_Duel_Ability),0))</f>
        <v>#VALUE!</v>
      </c>
      <c r="H86" s="24" t="e">
        <f t="array" ref="H86">IF(OR(INDEX(Species_Availability,MATCH($N86,Species_Names,0))="No",INDEX(Species_Evo_Numbers,MATCH($N86,Species_Names,0))&lt;&gt;1),"N/A",$R86/MAX(IF(NOT(ISNA(MATCH(Combo_Species_Names,IF(Species_Availability="Yes",IF(Species_Evo_Numbers=1,Species_Names)),0))),Combo_Duel_Ability)))</f>
        <v>#VALUE!</v>
      </c>
      <c r="I86" s="23" t="e">
        <f t="array" ref="I86">IF(OR(INDEX(Species_Availability,MATCH($N86,Species_Names,0))="No",INDEX(Species_Evo_Numbers,MATCH($N86,Species_Names,0))&lt;&gt;1),"N/A",RANK($S86,IF(NOT(ISNA(MATCH(Combo_Species_Names,IF(Species_Availability="Yes",IF(Species_Evo_Numbers=1,Species_Names)),0))),Combo_Gym_Offense),0))</f>
        <v>#VALUE!</v>
      </c>
      <c r="J86" s="24" t="e">
        <f t="array" ref="J86">IF(OR(INDEX(Species_Availability,MATCH($N86,Species_Names,0))="No",INDEX(Species_Evo_Numbers,MATCH($N86,Species_Names,0))&lt;&gt;1),"N/A",$S86/MAX(IF(NOT(ISNA(MATCH(Combo_Species_Names,IF(Species_Availability="Yes",IF(Species_Evo_Numbers=1,Species_Names)),0))),Combo_Gym_Offense)))</f>
        <v>#VALUE!</v>
      </c>
      <c r="K86" s="23" t="e">
        <f t="array" ref="K86">IF(OR(INDEX(Species_Availability,MATCH($N86,Species_Names,0))="No",INDEX(Species_Evo_Numbers,MATCH($N86,Species_Names,0))&lt;&gt;1),"N/A",RANK($Y86,IF(NOT(ISNA(MATCH(Combo_Species_Names,IF(Species_Availability="Yes",IF(Species_Evo_Numbers=1,Species_Names)),0))),Combo_Gym_Defense),0))</f>
        <v>#VALUE!</v>
      </c>
      <c r="L86" s="24" t="e">
        <f t="array" ref="L86">IF(OR(INDEX(Species_Availability,MATCH($N86,Species_Names,0))="No",INDEX(Species_Evo_Numbers,MATCH($N86,Species_Names,0))&lt;&gt;1),"N/A",$Y86/MAX(IF(NOT(ISNA(MATCH(Combo_Species_Names,IF(Species_Availability="Yes",IF(Species_Evo_Numbers=1,Species_Names)),0))),Combo_Gym_Defense)))</f>
        <v>#VALUE!</v>
      </c>
      <c r="M86" s="28">
        <f t="array" ref="M86">INDEX(Species_Pdex_Numbers,MATCH($N86,Species_Names,0))</f>
        <v>112</v>
      </c>
      <c r="N86" s="30" t="s">
        <v>325</v>
      </c>
      <c r="O86" s="31" t="s">
        <v>84</v>
      </c>
      <c r="P86" s="31" t="s">
        <v>169</v>
      </c>
      <c r="Q86" s="17" t="e">
        <f t="shared" si="2"/>
        <v>#VALUE!</v>
      </c>
      <c r="R86" s="32" t="e">
        <f t="array" ref="R86">IF(OR(AND(COUNTBLANK(Combo_Opponent_Type_1)=1,COUNTBLANK(Combo_Opponent_Type_2)=0),AND(AND(COUNTBLANK(Combo_Opponent_Type_1)=0,COUNTBLANK(Combo_Opponent_Type_2)=0),Combo_Opponent_Type_1=Combo_Opponent_Type_2)),
"Check Types",($S86*INDEX(Species_Tankiness,MATCH($N86,Species_Names,0)))/225)</f>
        <v>#VALUE!</v>
      </c>
      <c r="S86" s="32" t="e">
        <f t="array" ref="S86">IF(OR(AND(COUNTBLANK(Combo_Opponent_Type_1)=1,COUNTBLANK(Combo_Opponent_Type_2)=0),AND(AND(COUNTBLANK(Combo_Opponent_Type_1)=0,COUNTBLANK(Combo_Opponent_Type_2)=0),Combo_Opponent_Type_1=Combo_Opponent_Type_2)),
"Check Types",(
IF($W86&gt;=((1-Game_Weave_Human_Error)*$X86),$W86,$X86)*INDEX(Species_Attack,MATCH($N86,Species_Names,0)))/11)</f>
        <v>#VALUE!</v>
      </c>
      <c r="T86" s="33" t="e">
        <f t="shared" si="3"/>
        <v>#VALUE!</v>
      </c>
      <c r="U86" s="33">
        <f t="array" ref="U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86,Quick_Names,0))),Type_Species)),0),1)*IF(COUNTBLANK(Combo_Opponent_Type_2)=0,INDEX(Type_Damage_Multipliers,MATCH(Combo_Opponent_Type_2,IF(Type_Move=(INDEX(Quick_Type,MATCH($O86,Quick_Names,0))),Type_Species)),0),1)*(IF(OR(INDEX(Quick_Type,MATCH($O86,Quick_Names,0))=INDEX(Species_Type_1,MATCH($N86,Species_Names,0)),INDEX(Quick_Type,MATCH($O86,Quick_Names,0))=INDEX(Species_Type_2,MATCH($N86,Species_Names,0))),Game_STAB_Multiplier,1)))</f>
        <v>1.25</v>
      </c>
      <c r="V86" s="33">
        <f t="array" ref="V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86,Charge_Names,0))),Type_Species)),0),1)*IF(COUNTBLANK(Combo_Opponent_Type_2)=0,INDEX(Type_Damage_Multipliers,MATCH(Combo_Opponent_Type_2,IF(Type_Move=(INDEX(Charge_Type,MATCH($P86,Charge_Names,0))),Type_Species)),0),1)*
IF(OR(INDEX(Charge_Type,MATCH($P86,Charge_Names,0))=INDEX(Species_Type_1,MATCH($N86,Species_Names,0)),INDEX(Charge_Type,MATCH($P86,Charge_Names,0))=INDEX(Species_Type_2,MATCH($N86,Species_Names,0))),Game_STAB_Multiplier,1))</f>
        <v>1.25</v>
      </c>
      <c r="W86" s="33" t="s">
        <v>436</v>
      </c>
      <c r="X86" s="33" t="s">
        <v>410</v>
      </c>
      <c r="Y86" s="32" t="e">
        <f t="array" ref="Y86">((($Z86)*
INDEX(Species_Attack,MATCH($N86,Species_Names,0))*
INDEX(Species_Tankiness,MATCH($N86,Species_Names,0)))/1000)</f>
        <v>#VALUE!</v>
      </c>
      <c r="Z86" s="33" t="s">
        <v>429</v>
      </c>
    </row>
    <row r="87" spans="1:26" ht="14.25" customHeight="1" x14ac:dyDescent="0.2">
      <c r="A87" s="86"/>
      <c r="B87" s="22" t="str">
        <f t="array" ref="B87">CONCATENATE(TEXT($M87,"000"),".",TEXT(INDEX(Quick_Number,MATCH($O87,Quick_Names,0)),"000"),".",TEXT(INDEX(Charge_Number,MATCH($P87,Charge_Names,0)),"000"))</f>
        <v>045.225.047</v>
      </c>
      <c r="C87" s="23" t="e">
        <f t="array" ref="C87">RANK($S87,IF(Combo_Species_Names=$N87,Combo_Gym_Offense),0)</f>
        <v>#VALUE!</v>
      </c>
      <c r="D87" s="24" t="e">
        <f t="array" ref="D87">$S87/MAX(IF(Combo_Species_Names=$N87,Combo_Gym_Offense))</f>
        <v>#VALUE!</v>
      </c>
      <c r="E87" s="23" t="e">
        <f t="array" ref="E87">RANK($Y87,IF(Combo_Species_Names=$N87,Combo_Gym_Defense),0)</f>
        <v>#VALUE!</v>
      </c>
      <c r="F87" s="25" t="e">
        <f t="array" ref="F87">$Y87/MAX(IF(Combo_Species_Names=$N87,Combo_Gym_Defense))</f>
        <v>#VALUE!</v>
      </c>
      <c r="G87" s="23" t="e">
        <f t="array" ref="G87">IF(OR(INDEX(Species_Availability,MATCH($N87,Species_Names,0))="No",INDEX(Species_Evo_Numbers,MATCH($N87,Species_Names,0))&lt;&gt;1),"N/A",RANK($R87,IF(NOT(ISNA(MATCH(Combo_Species_Names,IF(Species_Availability="Yes",IF(Species_Evo_Numbers=1,Species_Names)),0))),Combo_Duel_Ability),0))</f>
        <v>#VALUE!</v>
      </c>
      <c r="H87" s="24" t="e">
        <f t="array" ref="H87">IF(OR(INDEX(Species_Availability,MATCH($N87,Species_Names,0))="No",INDEX(Species_Evo_Numbers,MATCH($N87,Species_Names,0))&lt;&gt;1),"N/A",$R87/MAX(IF(NOT(ISNA(MATCH(Combo_Species_Names,IF(Species_Availability="Yes",IF(Species_Evo_Numbers=1,Species_Names)),0))),Combo_Duel_Ability)))</f>
        <v>#VALUE!</v>
      </c>
      <c r="I87" s="23" t="e">
        <f t="array" ref="I87">IF(OR(INDEX(Species_Availability,MATCH($N87,Species_Names,0))="No",INDEX(Species_Evo_Numbers,MATCH($N87,Species_Names,0))&lt;&gt;1),"N/A",RANK($S87,IF(NOT(ISNA(MATCH(Combo_Species_Names,IF(Species_Availability="Yes",IF(Species_Evo_Numbers=1,Species_Names)),0))),Combo_Gym_Offense),0))</f>
        <v>#VALUE!</v>
      </c>
      <c r="J87" s="24" t="e">
        <f t="array" ref="J87">IF(OR(INDEX(Species_Availability,MATCH($N87,Species_Names,0))="No",INDEX(Species_Evo_Numbers,MATCH($N87,Species_Names,0))&lt;&gt;1),"N/A",$S87/MAX(IF(NOT(ISNA(MATCH(Combo_Species_Names,IF(Species_Availability="Yes",IF(Species_Evo_Numbers=1,Species_Names)),0))),Combo_Gym_Offense)))</f>
        <v>#VALUE!</v>
      </c>
      <c r="K87" s="23" t="e">
        <f t="array" ref="K87">IF(OR(INDEX(Species_Availability,MATCH($N87,Species_Names,0))="No",INDEX(Species_Evo_Numbers,MATCH($N87,Species_Names,0))&lt;&gt;1),"N/A",RANK($Y87,IF(NOT(ISNA(MATCH(Combo_Species_Names,IF(Species_Availability="Yes",IF(Species_Evo_Numbers=1,Species_Names)),0))),Combo_Gym_Defense),0))</f>
        <v>#VALUE!</v>
      </c>
      <c r="L87" s="24" t="e">
        <f t="array" ref="L87">IF(OR(INDEX(Species_Availability,MATCH($N87,Species_Names,0))="No",INDEX(Species_Evo_Numbers,MATCH($N87,Species_Names,0))&lt;&gt;1),"N/A",$Y87/MAX(IF(NOT(ISNA(MATCH(Combo_Species_Names,IF(Species_Availability="Yes",IF(Species_Evo_Numbers=1,Species_Names)),0))),Combo_Gym_Defense)))</f>
        <v>#VALUE!</v>
      </c>
      <c r="M87" s="28">
        <f t="array" ref="M87">INDEX(Species_Pdex_Numbers,MATCH($N87,Species_Names,0))</f>
        <v>45</v>
      </c>
      <c r="N87" s="30" t="s">
        <v>181</v>
      </c>
      <c r="O87" s="31" t="s">
        <v>110</v>
      </c>
      <c r="P87" s="31" t="s">
        <v>192</v>
      </c>
      <c r="Q87" s="17" t="e">
        <f t="shared" si="2"/>
        <v>#VALUE!</v>
      </c>
      <c r="R87" s="32" t="e">
        <f t="array" ref="R87">IF(OR(AND(COUNTBLANK(Combo_Opponent_Type_1)=1,COUNTBLANK(Combo_Opponent_Type_2)=0),AND(AND(COUNTBLANK(Combo_Opponent_Type_1)=0,COUNTBLANK(Combo_Opponent_Type_2)=0),Combo_Opponent_Type_1=Combo_Opponent_Type_2)),
"Check Types",($S87*INDEX(Species_Tankiness,MATCH($N87,Species_Names,0)))/225)</f>
        <v>#VALUE!</v>
      </c>
      <c r="S87" s="32" t="e">
        <f t="array" ref="S87">IF(OR(AND(COUNTBLANK(Combo_Opponent_Type_1)=1,COUNTBLANK(Combo_Opponent_Type_2)=0),AND(AND(COUNTBLANK(Combo_Opponent_Type_1)=0,COUNTBLANK(Combo_Opponent_Type_2)=0),Combo_Opponent_Type_1=Combo_Opponent_Type_2)),
"Check Types",(
IF($W87&gt;=((1-Game_Weave_Human_Error)*$X87),$W87,$X87)*INDEX(Species_Attack,MATCH($N87,Species_Names,0)))/11)</f>
        <v>#VALUE!</v>
      </c>
      <c r="T87" s="33" t="e">
        <f t="shared" si="3"/>
        <v>#VALUE!</v>
      </c>
      <c r="U87" s="33">
        <f t="array" ref="U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87,Quick_Names,0))),Type_Species)),0),1)*IF(COUNTBLANK(Combo_Opponent_Type_2)=0,INDEX(Type_Damage_Multipliers,MATCH(Combo_Opponent_Type_2,IF(Type_Move=(INDEX(Quick_Type,MATCH($O87,Quick_Names,0))),Type_Species)),0),1)*(IF(OR(INDEX(Quick_Type,MATCH($O87,Quick_Names,0))=INDEX(Species_Type_1,MATCH($N87,Species_Names,0)),INDEX(Quick_Type,MATCH($O87,Quick_Names,0))=INDEX(Species_Type_2,MATCH($N87,Species_Names,0))),Game_STAB_Multiplier,1)))</f>
        <v>1.25</v>
      </c>
      <c r="V87" s="33">
        <f t="array" ref="V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87,Charge_Names,0))),Type_Species)),0),1)*IF(COUNTBLANK(Combo_Opponent_Type_2)=0,INDEX(Type_Damage_Multipliers,MATCH(Combo_Opponent_Type_2,IF(Type_Move=(INDEX(Charge_Type,MATCH($P87,Charge_Names,0))),Type_Species)),0),1)*
IF(OR(INDEX(Charge_Type,MATCH($P87,Charge_Names,0))=INDEX(Species_Type_1,MATCH($N87,Species_Names,0)),INDEX(Charge_Type,MATCH($P87,Charge_Names,0))=INDEX(Species_Type_2,MATCH($N87,Species_Names,0))),Game_STAB_Multiplier,1))</f>
        <v>1.25</v>
      </c>
      <c r="W87" s="33" t="s">
        <v>511</v>
      </c>
      <c r="X87" s="33" t="s">
        <v>434</v>
      </c>
      <c r="Y87" s="32" t="e">
        <f t="array" ref="Y87">((($Z87)*
INDEX(Species_Attack,MATCH($N87,Species_Names,0))*
INDEX(Species_Tankiness,MATCH($N87,Species_Names,0)))/1000)</f>
        <v>#VALUE!</v>
      </c>
      <c r="Z87" s="33" t="s">
        <v>553</v>
      </c>
    </row>
    <row r="88" spans="1:26" ht="14.25" customHeight="1" x14ac:dyDescent="0.2">
      <c r="A88" s="86"/>
      <c r="B88" s="22" t="str">
        <f t="array" ref="B88">CONCATENATE(TEXT($M88,"000"),".",TEXT(INDEX(Quick_Number,MATCH($O88,Quick_Names,0)),"000"),".",TEXT(INDEX(Charge_Number,MATCH($P88,Charge_Names,0)),"000"))</f>
        <v>071.225.116</v>
      </c>
      <c r="C88" s="23" t="e">
        <f t="array" ref="C88">RANK($S88,IF(Combo_Species_Names=$N88,Combo_Gym_Offense),0)</f>
        <v>#VALUE!</v>
      </c>
      <c r="D88" s="24" t="e">
        <f t="array" ref="D88">$S88/MAX(IF(Combo_Species_Names=$N88,Combo_Gym_Offense))</f>
        <v>#VALUE!</v>
      </c>
      <c r="E88" s="23" t="e">
        <f t="array" ref="E88">RANK($Y88,IF(Combo_Species_Names=$N88,Combo_Gym_Defense),0)</f>
        <v>#VALUE!</v>
      </c>
      <c r="F88" s="25" t="e">
        <f t="array" ref="F88">$Y88/MAX(IF(Combo_Species_Names=$N88,Combo_Gym_Defense))</f>
        <v>#VALUE!</v>
      </c>
      <c r="G88" s="23" t="e">
        <f t="array" ref="G88">IF(OR(INDEX(Species_Availability,MATCH($N88,Species_Names,0))="No",INDEX(Species_Evo_Numbers,MATCH($N88,Species_Names,0))&lt;&gt;1),"N/A",RANK($R88,IF(NOT(ISNA(MATCH(Combo_Species_Names,IF(Species_Availability="Yes",IF(Species_Evo_Numbers=1,Species_Names)),0))),Combo_Duel_Ability),0))</f>
        <v>#VALUE!</v>
      </c>
      <c r="H88" s="24" t="e">
        <f t="array" ref="H88">IF(OR(INDEX(Species_Availability,MATCH($N88,Species_Names,0))="No",INDEX(Species_Evo_Numbers,MATCH($N88,Species_Names,0))&lt;&gt;1),"N/A",$R88/MAX(IF(NOT(ISNA(MATCH(Combo_Species_Names,IF(Species_Availability="Yes",IF(Species_Evo_Numbers=1,Species_Names)),0))),Combo_Duel_Ability)))</f>
        <v>#VALUE!</v>
      </c>
      <c r="I88" s="23" t="e">
        <f t="array" ref="I88">IF(OR(INDEX(Species_Availability,MATCH($N88,Species_Names,0))="No",INDEX(Species_Evo_Numbers,MATCH($N88,Species_Names,0))&lt;&gt;1),"N/A",RANK($S88,IF(NOT(ISNA(MATCH(Combo_Species_Names,IF(Species_Availability="Yes",IF(Species_Evo_Numbers=1,Species_Names)),0))),Combo_Gym_Offense),0))</f>
        <v>#VALUE!</v>
      </c>
      <c r="J88" s="24" t="e">
        <f t="array" ref="J88">IF(OR(INDEX(Species_Availability,MATCH($N88,Species_Names,0))="No",INDEX(Species_Evo_Numbers,MATCH($N88,Species_Names,0))&lt;&gt;1),"N/A",$S88/MAX(IF(NOT(ISNA(MATCH(Combo_Species_Names,IF(Species_Availability="Yes",IF(Species_Evo_Numbers=1,Species_Names)),0))),Combo_Gym_Offense)))</f>
        <v>#VALUE!</v>
      </c>
      <c r="K88" s="23" t="e">
        <f t="array" ref="K88">IF(OR(INDEX(Species_Availability,MATCH($N88,Species_Names,0))="No",INDEX(Species_Evo_Numbers,MATCH($N88,Species_Names,0))&lt;&gt;1),"N/A",RANK($Y88,IF(NOT(ISNA(MATCH(Combo_Species_Names,IF(Species_Availability="Yes",IF(Species_Evo_Numbers=1,Species_Names)),0))),Combo_Gym_Defense),0))</f>
        <v>#VALUE!</v>
      </c>
      <c r="L88" s="24" t="e">
        <f t="array" ref="L88">IF(OR(INDEX(Species_Availability,MATCH($N88,Species_Names,0))="No",INDEX(Species_Evo_Numbers,MATCH($N88,Species_Names,0))&lt;&gt;1),"N/A",$Y88/MAX(IF(NOT(ISNA(MATCH(Combo_Species_Names,IF(Species_Availability="Yes",IF(Species_Evo_Numbers=1,Species_Names)),0))),Combo_Gym_Defense)))</f>
        <v>#VALUE!</v>
      </c>
      <c r="M88" s="28">
        <f t="array" ref="M88">INDEX(Species_Pdex_Numbers,MATCH($N88,Species_Names,0))</f>
        <v>71</v>
      </c>
      <c r="N88" s="30" t="s">
        <v>233</v>
      </c>
      <c r="O88" s="31" t="s">
        <v>110</v>
      </c>
      <c r="P88" s="31" t="s">
        <v>160</v>
      </c>
      <c r="Q88" s="17" t="e">
        <f t="shared" si="2"/>
        <v>#VALUE!</v>
      </c>
      <c r="R88" s="32" t="e">
        <f t="array" ref="R88">IF(OR(AND(COUNTBLANK(Combo_Opponent_Type_1)=1,COUNTBLANK(Combo_Opponent_Type_2)=0),AND(AND(COUNTBLANK(Combo_Opponent_Type_1)=0,COUNTBLANK(Combo_Opponent_Type_2)=0),Combo_Opponent_Type_1=Combo_Opponent_Type_2)),
"Check Types",($S88*INDEX(Species_Tankiness,MATCH($N88,Species_Names,0)))/225)</f>
        <v>#VALUE!</v>
      </c>
      <c r="S88" s="32" t="e">
        <f t="array" ref="S88">IF(OR(AND(COUNTBLANK(Combo_Opponent_Type_1)=1,COUNTBLANK(Combo_Opponent_Type_2)=0),AND(AND(COUNTBLANK(Combo_Opponent_Type_1)=0,COUNTBLANK(Combo_Opponent_Type_2)=0),Combo_Opponent_Type_1=Combo_Opponent_Type_2)),
"Check Types",(
IF($W88&gt;=((1-Game_Weave_Human_Error)*$X88),$W88,$X88)*INDEX(Species_Attack,MATCH($N88,Species_Names,0)))/11)</f>
        <v>#VALUE!</v>
      </c>
      <c r="T88" s="33" t="e">
        <f t="shared" si="3"/>
        <v>#VALUE!</v>
      </c>
      <c r="U88" s="33">
        <f t="array" ref="U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88,Quick_Names,0))),Type_Species)),0),1)*IF(COUNTBLANK(Combo_Opponent_Type_2)=0,INDEX(Type_Damage_Multipliers,MATCH(Combo_Opponent_Type_2,IF(Type_Move=(INDEX(Quick_Type,MATCH($O88,Quick_Names,0))),Type_Species)),0),1)*(IF(OR(INDEX(Quick_Type,MATCH($O88,Quick_Names,0))=INDEX(Species_Type_1,MATCH($N88,Species_Names,0)),INDEX(Quick_Type,MATCH($O88,Quick_Names,0))=INDEX(Species_Type_2,MATCH($N88,Species_Names,0))),Game_STAB_Multiplier,1)))</f>
        <v>1.25</v>
      </c>
      <c r="V88" s="33">
        <f t="array" ref="V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88,Charge_Names,0))),Type_Species)),0),1)*IF(COUNTBLANK(Combo_Opponent_Type_2)=0,INDEX(Type_Damage_Multipliers,MATCH(Combo_Opponent_Type_2,IF(Type_Move=(INDEX(Charge_Type,MATCH($P88,Charge_Names,0))),Type_Species)),0),1)*
IF(OR(INDEX(Charge_Type,MATCH($P88,Charge_Names,0))=INDEX(Species_Type_1,MATCH($N88,Species_Names,0)),INDEX(Charge_Type,MATCH($P88,Charge_Names,0))=INDEX(Species_Type_2,MATCH($N88,Species_Names,0))),Game_STAB_Multiplier,1))</f>
        <v>1.25</v>
      </c>
      <c r="W88" s="33" t="s">
        <v>511</v>
      </c>
      <c r="X88" s="33" t="s">
        <v>534</v>
      </c>
      <c r="Y88" s="32" t="e">
        <f t="array" ref="Y88">((($Z88)*
INDEX(Species_Attack,MATCH($N88,Species_Names,0))*
INDEX(Species_Tankiness,MATCH($N88,Species_Names,0)))/1000)</f>
        <v>#VALUE!</v>
      </c>
      <c r="Z88" s="33" t="s">
        <v>535</v>
      </c>
    </row>
    <row r="89" spans="1:26" ht="14.25" customHeight="1" x14ac:dyDescent="0.2">
      <c r="A89" s="86"/>
      <c r="B89" s="22" t="str">
        <f t="array" ref="B89">CONCATENATE(TEXT($M89,"000"),".",TEXT(INDEX(Quick_Number,MATCH($O89,Quick_Names,0)),"000"),".",TEXT(INDEX(Charge_Number,MATCH($P89,Charge_Names,0)),"000"))</f>
        <v>073.224.107</v>
      </c>
      <c r="C89" s="23" t="e">
        <f t="array" ref="C89">RANK($S89,IF(Combo_Species_Names=$N89,Combo_Gym_Offense),0)</f>
        <v>#VALUE!</v>
      </c>
      <c r="D89" s="24" t="e">
        <f t="array" ref="D89">$S89/MAX(IF(Combo_Species_Names=$N89,Combo_Gym_Offense))</f>
        <v>#VALUE!</v>
      </c>
      <c r="E89" s="23" t="e">
        <f t="array" ref="E89">RANK($Y89,IF(Combo_Species_Names=$N89,Combo_Gym_Defense),0)</f>
        <v>#VALUE!</v>
      </c>
      <c r="F89" s="25" t="e">
        <f t="array" ref="F89">$Y89/MAX(IF(Combo_Species_Names=$N89,Combo_Gym_Defense))</f>
        <v>#VALUE!</v>
      </c>
      <c r="G89" s="23" t="e">
        <f t="array" ref="G89">IF(OR(INDEX(Species_Availability,MATCH($N89,Species_Names,0))="No",INDEX(Species_Evo_Numbers,MATCH($N89,Species_Names,0))&lt;&gt;1),"N/A",RANK($R89,IF(NOT(ISNA(MATCH(Combo_Species_Names,IF(Species_Availability="Yes",IF(Species_Evo_Numbers=1,Species_Names)),0))),Combo_Duel_Ability),0))</f>
        <v>#VALUE!</v>
      </c>
      <c r="H89" s="24" t="e">
        <f t="array" ref="H89">IF(OR(INDEX(Species_Availability,MATCH($N89,Species_Names,0))="No",INDEX(Species_Evo_Numbers,MATCH($N89,Species_Names,0))&lt;&gt;1),"N/A",$R89/MAX(IF(NOT(ISNA(MATCH(Combo_Species_Names,IF(Species_Availability="Yes",IF(Species_Evo_Numbers=1,Species_Names)),0))),Combo_Duel_Ability)))</f>
        <v>#VALUE!</v>
      </c>
      <c r="I89" s="23" t="e">
        <f t="array" ref="I89">IF(OR(INDEX(Species_Availability,MATCH($N89,Species_Names,0))="No",INDEX(Species_Evo_Numbers,MATCH($N89,Species_Names,0))&lt;&gt;1),"N/A",RANK($S89,IF(NOT(ISNA(MATCH(Combo_Species_Names,IF(Species_Availability="Yes",IF(Species_Evo_Numbers=1,Species_Names)),0))),Combo_Gym_Offense),0))</f>
        <v>#VALUE!</v>
      </c>
      <c r="J89" s="24" t="e">
        <f t="array" ref="J89">IF(OR(INDEX(Species_Availability,MATCH($N89,Species_Names,0))="No",INDEX(Species_Evo_Numbers,MATCH($N89,Species_Names,0))&lt;&gt;1),"N/A",$S89/MAX(IF(NOT(ISNA(MATCH(Combo_Species_Names,IF(Species_Availability="Yes",IF(Species_Evo_Numbers=1,Species_Names)),0))),Combo_Gym_Offense)))</f>
        <v>#VALUE!</v>
      </c>
      <c r="K89" s="23" t="e">
        <f t="array" ref="K89">IF(OR(INDEX(Species_Availability,MATCH($N89,Species_Names,0))="No",INDEX(Species_Evo_Numbers,MATCH($N89,Species_Names,0))&lt;&gt;1),"N/A",RANK($Y89,IF(NOT(ISNA(MATCH(Combo_Species_Names,IF(Species_Availability="Yes",IF(Species_Evo_Numbers=1,Species_Names)),0))),Combo_Gym_Defense),0))</f>
        <v>#VALUE!</v>
      </c>
      <c r="L89" s="24" t="e">
        <f t="array" ref="L89">IF(OR(INDEX(Species_Availability,MATCH($N89,Species_Names,0))="No",INDEX(Species_Evo_Numbers,MATCH($N89,Species_Names,0))&lt;&gt;1),"N/A",$Y89/MAX(IF(NOT(ISNA(MATCH(Combo_Species_Names,IF(Species_Availability="Yes",IF(Species_Evo_Numbers=1,Species_Names)),0))),Combo_Gym_Defense)))</f>
        <v>#VALUE!</v>
      </c>
      <c r="M89" s="28">
        <f t="array" ref="M89">INDEX(Species_Pdex_Numbers,MATCH($N89,Species_Names,0))</f>
        <v>73</v>
      </c>
      <c r="N89" s="30" t="s">
        <v>237</v>
      </c>
      <c r="O89" s="31" t="s">
        <v>77</v>
      </c>
      <c r="P89" s="31" t="s">
        <v>170</v>
      </c>
      <c r="Q89" s="17" t="e">
        <f t="shared" si="2"/>
        <v>#VALUE!</v>
      </c>
      <c r="R89" s="32" t="e">
        <f t="array" ref="R89">IF(OR(AND(COUNTBLANK(Combo_Opponent_Type_1)=1,COUNTBLANK(Combo_Opponent_Type_2)=0),AND(AND(COUNTBLANK(Combo_Opponent_Type_1)=0,COUNTBLANK(Combo_Opponent_Type_2)=0),Combo_Opponent_Type_1=Combo_Opponent_Type_2)),
"Check Types",($S89*INDEX(Species_Tankiness,MATCH($N89,Species_Names,0)))/225)</f>
        <v>#VALUE!</v>
      </c>
      <c r="S89" s="32" t="e">
        <f t="array" ref="S89">IF(OR(AND(COUNTBLANK(Combo_Opponent_Type_1)=1,COUNTBLANK(Combo_Opponent_Type_2)=0),AND(AND(COUNTBLANK(Combo_Opponent_Type_1)=0,COUNTBLANK(Combo_Opponent_Type_2)=0),Combo_Opponent_Type_1=Combo_Opponent_Type_2)),
"Check Types",(
IF($W89&gt;=((1-Game_Weave_Human_Error)*$X89),$W89,$X89)*INDEX(Species_Attack,MATCH($N89,Species_Names,0)))/11)</f>
        <v>#VALUE!</v>
      </c>
      <c r="T89" s="33" t="e">
        <f t="shared" si="3"/>
        <v>#VALUE!</v>
      </c>
      <c r="U89" s="33">
        <f t="array" ref="U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89,Quick_Names,0))),Type_Species)),0),1)*IF(COUNTBLANK(Combo_Opponent_Type_2)=0,INDEX(Type_Damage_Multipliers,MATCH(Combo_Opponent_Type_2,IF(Type_Move=(INDEX(Quick_Type,MATCH($O89,Quick_Names,0))),Type_Species)),0),1)*(IF(OR(INDEX(Quick_Type,MATCH($O89,Quick_Names,0))=INDEX(Species_Type_1,MATCH($N89,Species_Names,0)),INDEX(Quick_Type,MATCH($O89,Quick_Names,0))=INDEX(Species_Type_2,MATCH($N89,Species_Names,0))),Game_STAB_Multiplier,1)))</f>
        <v>1.25</v>
      </c>
      <c r="V89" s="33">
        <f t="array" ref="V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89,Charge_Names,0))),Type_Species)),0),1)*IF(COUNTBLANK(Combo_Opponent_Type_2)=0,INDEX(Type_Damage_Multipliers,MATCH(Combo_Opponent_Type_2,IF(Type_Move=(INDEX(Charge_Type,MATCH($P89,Charge_Names,0))),Type_Species)),0),1)*
IF(OR(INDEX(Charge_Type,MATCH($P89,Charge_Names,0))=INDEX(Species_Type_1,MATCH($N89,Species_Names,0)),INDEX(Charge_Type,MATCH($P89,Charge_Names,0))=INDEX(Species_Type_2,MATCH($N89,Species_Names,0))),Game_STAB_Multiplier,1))</f>
        <v>1.25</v>
      </c>
      <c r="W89" s="33" t="s">
        <v>446</v>
      </c>
      <c r="X89" s="33" t="s">
        <v>554</v>
      </c>
      <c r="Y89" s="32" t="e">
        <f t="array" ref="Y89">((($Z89)*
INDEX(Species_Attack,MATCH($N89,Species_Names,0))*
INDEX(Species_Tankiness,MATCH($N89,Species_Names,0)))/1000)</f>
        <v>#VALUE!</v>
      </c>
      <c r="Z89" s="33" t="s">
        <v>555</v>
      </c>
    </row>
    <row r="90" spans="1:26" ht="14.25" customHeight="1" x14ac:dyDescent="0.2">
      <c r="A90" s="86"/>
      <c r="B90" s="22" t="str">
        <f t="array" ref="B90">CONCATENATE(TEXT($M90,"000"),".",TEXT(INDEX(Quick_Number,MATCH($O90,Quick_Names,0)),"000"),".",TEXT(INDEX(Charge_Number,MATCH($P90,Charge_Names,0)),"000"))</f>
        <v>045.215.047</v>
      </c>
      <c r="C90" s="23" t="e">
        <f t="array" ref="C90">RANK($S90,IF(Combo_Species_Names=$N90,Combo_Gym_Offense),0)</f>
        <v>#VALUE!</v>
      </c>
      <c r="D90" s="24" t="e">
        <f t="array" ref="D90">$S90/MAX(IF(Combo_Species_Names=$N90,Combo_Gym_Offense))</f>
        <v>#VALUE!</v>
      </c>
      <c r="E90" s="23" t="e">
        <f t="array" ref="E90">RANK($Y90,IF(Combo_Species_Names=$N90,Combo_Gym_Defense),0)</f>
        <v>#VALUE!</v>
      </c>
      <c r="F90" s="25" t="e">
        <f t="array" ref="F90">$Y90/MAX(IF(Combo_Species_Names=$N90,Combo_Gym_Defense))</f>
        <v>#VALUE!</v>
      </c>
      <c r="G90" s="23" t="e">
        <f t="array" ref="G90">IF(OR(INDEX(Species_Availability,MATCH($N90,Species_Names,0))="No",INDEX(Species_Evo_Numbers,MATCH($N90,Species_Names,0))&lt;&gt;1),"N/A",RANK($R90,IF(NOT(ISNA(MATCH(Combo_Species_Names,IF(Species_Availability="Yes",IF(Species_Evo_Numbers=1,Species_Names)),0))),Combo_Duel_Ability),0))</f>
        <v>#VALUE!</v>
      </c>
      <c r="H90" s="24" t="e">
        <f t="array" ref="H90">IF(OR(INDEX(Species_Availability,MATCH($N90,Species_Names,0))="No",INDEX(Species_Evo_Numbers,MATCH($N90,Species_Names,0))&lt;&gt;1),"N/A",$R90/MAX(IF(NOT(ISNA(MATCH(Combo_Species_Names,IF(Species_Availability="Yes",IF(Species_Evo_Numbers=1,Species_Names)),0))),Combo_Duel_Ability)))</f>
        <v>#VALUE!</v>
      </c>
      <c r="I90" s="23" t="e">
        <f t="array" ref="I90">IF(OR(INDEX(Species_Availability,MATCH($N90,Species_Names,0))="No",INDEX(Species_Evo_Numbers,MATCH($N90,Species_Names,0))&lt;&gt;1),"N/A",RANK($S90,IF(NOT(ISNA(MATCH(Combo_Species_Names,IF(Species_Availability="Yes",IF(Species_Evo_Numbers=1,Species_Names)),0))),Combo_Gym_Offense),0))</f>
        <v>#VALUE!</v>
      </c>
      <c r="J90" s="24" t="e">
        <f t="array" ref="J90">IF(OR(INDEX(Species_Availability,MATCH($N90,Species_Names,0))="No",INDEX(Species_Evo_Numbers,MATCH($N90,Species_Names,0))&lt;&gt;1),"N/A",$S90/MAX(IF(NOT(ISNA(MATCH(Combo_Species_Names,IF(Species_Availability="Yes",IF(Species_Evo_Numbers=1,Species_Names)),0))),Combo_Gym_Offense)))</f>
        <v>#VALUE!</v>
      </c>
      <c r="K90" s="23" t="e">
        <f t="array" ref="K90">IF(OR(INDEX(Species_Availability,MATCH($N90,Species_Names,0))="No",INDEX(Species_Evo_Numbers,MATCH($N90,Species_Names,0))&lt;&gt;1),"N/A",RANK($Y90,IF(NOT(ISNA(MATCH(Combo_Species_Names,IF(Species_Availability="Yes",IF(Species_Evo_Numbers=1,Species_Names)),0))),Combo_Gym_Defense),0))</f>
        <v>#VALUE!</v>
      </c>
      <c r="L90" s="24" t="e">
        <f t="array" ref="L90">IF(OR(INDEX(Species_Availability,MATCH($N90,Species_Names,0))="No",INDEX(Species_Evo_Numbers,MATCH($N90,Species_Names,0))&lt;&gt;1),"N/A",$Y90/MAX(IF(NOT(ISNA(MATCH(Combo_Species_Names,IF(Species_Availability="Yes",IF(Species_Evo_Numbers=1,Species_Names)),0))),Combo_Gym_Defense)))</f>
        <v>#VALUE!</v>
      </c>
      <c r="M90" s="28">
        <f t="array" ref="M90">INDEX(Species_Pdex_Numbers,MATCH($N90,Species_Names,0))</f>
        <v>45</v>
      </c>
      <c r="N90" s="30" t="s">
        <v>181</v>
      </c>
      <c r="O90" s="31" t="s">
        <v>102</v>
      </c>
      <c r="P90" s="31" t="s">
        <v>192</v>
      </c>
      <c r="Q90" s="17" t="e">
        <f t="shared" si="2"/>
        <v>#VALUE!</v>
      </c>
      <c r="R90" s="32" t="e">
        <f t="array" ref="R90">IF(OR(AND(COUNTBLANK(Combo_Opponent_Type_1)=1,COUNTBLANK(Combo_Opponent_Type_2)=0),AND(AND(COUNTBLANK(Combo_Opponent_Type_1)=0,COUNTBLANK(Combo_Opponent_Type_2)=0),Combo_Opponent_Type_1=Combo_Opponent_Type_2)),
"Check Types",($S90*INDEX(Species_Tankiness,MATCH($N90,Species_Names,0)))/225)</f>
        <v>#VALUE!</v>
      </c>
      <c r="S90" s="32" t="e">
        <f t="array" ref="S90">IF(OR(AND(COUNTBLANK(Combo_Opponent_Type_1)=1,COUNTBLANK(Combo_Opponent_Type_2)=0),AND(AND(COUNTBLANK(Combo_Opponent_Type_1)=0,COUNTBLANK(Combo_Opponent_Type_2)=0),Combo_Opponent_Type_1=Combo_Opponent_Type_2)),
"Check Types",(
IF($W90&gt;=((1-Game_Weave_Human_Error)*$X90),$W90,$X90)*INDEX(Species_Attack,MATCH($N90,Species_Names,0)))/11)</f>
        <v>#VALUE!</v>
      </c>
      <c r="T90" s="33" t="e">
        <f t="shared" si="3"/>
        <v>#VALUE!</v>
      </c>
      <c r="U90" s="33">
        <f t="array" ref="U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90,Quick_Names,0))),Type_Species)),0),1)*IF(COUNTBLANK(Combo_Opponent_Type_2)=0,INDEX(Type_Damage_Multipliers,MATCH(Combo_Opponent_Type_2,IF(Type_Move=(INDEX(Quick_Type,MATCH($O90,Quick_Names,0))),Type_Species)),0),1)*(IF(OR(INDEX(Quick_Type,MATCH($O90,Quick_Names,0))=INDEX(Species_Type_1,MATCH($N90,Species_Names,0)),INDEX(Quick_Type,MATCH($O90,Quick_Names,0))=INDEX(Species_Type_2,MATCH($N90,Species_Names,0))),Game_STAB_Multiplier,1)))</f>
        <v>1.25</v>
      </c>
      <c r="V90" s="33">
        <f t="array" ref="V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90,Charge_Names,0))),Type_Species)),0),1)*IF(COUNTBLANK(Combo_Opponent_Type_2)=0,INDEX(Type_Damage_Multipliers,MATCH(Combo_Opponent_Type_2,IF(Type_Move=(INDEX(Charge_Type,MATCH($P90,Charge_Names,0))),Type_Species)),0),1)*
IF(OR(INDEX(Charge_Type,MATCH($P90,Charge_Names,0))=INDEX(Species_Type_1,MATCH($N90,Species_Names,0)),INDEX(Charge_Type,MATCH($P90,Charge_Names,0))=INDEX(Species_Type_2,MATCH($N90,Species_Names,0))),Game_STAB_Multiplier,1))</f>
        <v>1.25</v>
      </c>
      <c r="W90" s="33" t="s">
        <v>501</v>
      </c>
      <c r="X90" s="33" t="s">
        <v>525</v>
      </c>
      <c r="Y90" s="32" t="e">
        <f t="array" ref="Y90">((($Z90)*
INDEX(Species_Attack,MATCH($N90,Species_Names,0))*
INDEX(Species_Tankiness,MATCH($N90,Species_Names,0)))/1000)</f>
        <v>#VALUE!</v>
      </c>
      <c r="Z90" s="33" t="s">
        <v>440</v>
      </c>
    </row>
    <row r="91" spans="1:26" ht="14.25" customHeight="1" x14ac:dyDescent="0.2">
      <c r="A91" s="86"/>
      <c r="B91" s="22" t="str">
        <f t="array" ref="B91">CONCATENATE(TEXT($M91,"000"),".",TEXT(INDEX(Quick_Number,MATCH($O91,Quick_Names,0)),"000"),".",TEXT(INDEX(Charge_Number,MATCH($P91,Charge_Names,0)),"000"))</f>
        <v>071.215.116</v>
      </c>
      <c r="C91" s="23" t="e">
        <f t="array" ref="C91">RANK($S91,IF(Combo_Species_Names=$N91,Combo_Gym_Offense),0)</f>
        <v>#VALUE!</v>
      </c>
      <c r="D91" s="24" t="e">
        <f t="array" ref="D91">$S91/MAX(IF(Combo_Species_Names=$N91,Combo_Gym_Offense))</f>
        <v>#VALUE!</v>
      </c>
      <c r="E91" s="23" t="e">
        <f t="array" ref="E91">RANK($Y91,IF(Combo_Species_Names=$N91,Combo_Gym_Defense),0)</f>
        <v>#VALUE!</v>
      </c>
      <c r="F91" s="25" t="e">
        <f t="array" ref="F91">$Y91/MAX(IF(Combo_Species_Names=$N91,Combo_Gym_Defense))</f>
        <v>#VALUE!</v>
      </c>
      <c r="G91" s="23" t="e">
        <f t="array" ref="G91">IF(OR(INDEX(Species_Availability,MATCH($N91,Species_Names,0))="No",INDEX(Species_Evo_Numbers,MATCH($N91,Species_Names,0))&lt;&gt;1),"N/A",RANK($R91,IF(NOT(ISNA(MATCH(Combo_Species_Names,IF(Species_Availability="Yes",IF(Species_Evo_Numbers=1,Species_Names)),0))),Combo_Duel_Ability),0))</f>
        <v>#VALUE!</v>
      </c>
      <c r="H91" s="24" t="e">
        <f t="array" ref="H91">IF(OR(INDEX(Species_Availability,MATCH($N91,Species_Names,0))="No",INDEX(Species_Evo_Numbers,MATCH($N91,Species_Names,0))&lt;&gt;1),"N/A",$R91/MAX(IF(NOT(ISNA(MATCH(Combo_Species_Names,IF(Species_Availability="Yes",IF(Species_Evo_Numbers=1,Species_Names)),0))),Combo_Duel_Ability)))</f>
        <v>#VALUE!</v>
      </c>
      <c r="I91" s="23" t="e">
        <f t="array" ref="I91">IF(OR(INDEX(Species_Availability,MATCH($N91,Species_Names,0))="No",INDEX(Species_Evo_Numbers,MATCH($N91,Species_Names,0))&lt;&gt;1),"N/A",RANK($S91,IF(NOT(ISNA(MATCH(Combo_Species_Names,IF(Species_Availability="Yes",IF(Species_Evo_Numbers=1,Species_Names)),0))),Combo_Gym_Offense),0))</f>
        <v>#VALUE!</v>
      </c>
      <c r="J91" s="24" t="e">
        <f t="array" ref="J91">IF(OR(INDEX(Species_Availability,MATCH($N91,Species_Names,0))="No",INDEX(Species_Evo_Numbers,MATCH($N91,Species_Names,0))&lt;&gt;1),"N/A",$S91/MAX(IF(NOT(ISNA(MATCH(Combo_Species_Names,IF(Species_Availability="Yes",IF(Species_Evo_Numbers=1,Species_Names)),0))),Combo_Gym_Offense)))</f>
        <v>#VALUE!</v>
      </c>
      <c r="K91" s="23" t="e">
        <f t="array" ref="K91">IF(OR(INDEX(Species_Availability,MATCH($N91,Species_Names,0))="No",INDEX(Species_Evo_Numbers,MATCH($N91,Species_Names,0))&lt;&gt;1),"N/A",RANK($Y91,IF(NOT(ISNA(MATCH(Combo_Species_Names,IF(Species_Availability="Yes",IF(Species_Evo_Numbers=1,Species_Names)),0))),Combo_Gym_Defense),0))</f>
        <v>#VALUE!</v>
      </c>
      <c r="L91" s="24" t="e">
        <f t="array" ref="L91">IF(OR(INDEX(Species_Availability,MATCH($N91,Species_Names,0))="No",INDEX(Species_Evo_Numbers,MATCH($N91,Species_Names,0))&lt;&gt;1),"N/A",$Y91/MAX(IF(NOT(ISNA(MATCH(Combo_Species_Names,IF(Species_Availability="Yes",IF(Species_Evo_Numbers=1,Species_Names)),0))),Combo_Gym_Defense)))</f>
        <v>#VALUE!</v>
      </c>
      <c r="M91" s="28">
        <f t="array" ref="M91">INDEX(Species_Pdex_Numbers,MATCH($N91,Species_Names,0))</f>
        <v>71</v>
      </c>
      <c r="N91" s="30" t="s">
        <v>233</v>
      </c>
      <c r="O91" s="31" t="s">
        <v>102</v>
      </c>
      <c r="P91" s="31" t="s">
        <v>160</v>
      </c>
      <c r="Q91" s="17" t="e">
        <f t="shared" si="2"/>
        <v>#VALUE!</v>
      </c>
      <c r="R91" s="32" t="e">
        <f t="array" ref="R91">IF(OR(AND(COUNTBLANK(Combo_Opponent_Type_1)=1,COUNTBLANK(Combo_Opponent_Type_2)=0),AND(AND(COUNTBLANK(Combo_Opponent_Type_1)=0,COUNTBLANK(Combo_Opponent_Type_2)=0),Combo_Opponent_Type_1=Combo_Opponent_Type_2)),
"Check Types",($S91*INDEX(Species_Tankiness,MATCH($N91,Species_Names,0)))/225)</f>
        <v>#VALUE!</v>
      </c>
      <c r="S91" s="32" t="e">
        <f t="array" ref="S91">IF(OR(AND(COUNTBLANK(Combo_Opponent_Type_1)=1,COUNTBLANK(Combo_Opponent_Type_2)=0),AND(AND(COUNTBLANK(Combo_Opponent_Type_1)=0,COUNTBLANK(Combo_Opponent_Type_2)=0),Combo_Opponent_Type_1=Combo_Opponent_Type_2)),
"Check Types",(
IF($W91&gt;=((1-Game_Weave_Human_Error)*$X91),$W91,$X91)*INDEX(Species_Attack,MATCH($N91,Species_Names,0)))/11)</f>
        <v>#VALUE!</v>
      </c>
      <c r="T91" s="33" t="e">
        <f t="shared" si="3"/>
        <v>#VALUE!</v>
      </c>
      <c r="U91" s="33">
        <f t="array" ref="U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91,Quick_Names,0))),Type_Species)),0),1)*IF(COUNTBLANK(Combo_Opponent_Type_2)=0,INDEX(Type_Damage_Multipliers,MATCH(Combo_Opponent_Type_2,IF(Type_Move=(INDEX(Quick_Type,MATCH($O91,Quick_Names,0))),Type_Species)),0),1)*(IF(OR(INDEX(Quick_Type,MATCH($O91,Quick_Names,0))=INDEX(Species_Type_1,MATCH($N91,Species_Names,0)),INDEX(Quick_Type,MATCH($O91,Quick_Names,0))=INDEX(Species_Type_2,MATCH($N91,Species_Names,0))),Game_STAB_Multiplier,1)))</f>
        <v>1.25</v>
      </c>
      <c r="V91" s="33">
        <f t="array" ref="V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91,Charge_Names,0))),Type_Species)),0),1)*IF(COUNTBLANK(Combo_Opponent_Type_2)=0,INDEX(Type_Damage_Multipliers,MATCH(Combo_Opponent_Type_2,IF(Type_Move=(INDEX(Charge_Type,MATCH($P91,Charge_Names,0))),Type_Species)),0),1)*
IF(OR(INDEX(Charge_Type,MATCH($P91,Charge_Names,0))=INDEX(Species_Type_1,MATCH($N91,Species_Names,0)),INDEX(Charge_Type,MATCH($P91,Charge_Names,0))=INDEX(Species_Type_2,MATCH($N91,Species_Names,0))),Game_STAB_Multiplier,1))</f>
        <v>1.25</v>
      </c>
      <c r="W91" s="33" t="s">
        <v>501</v>
      </c>
      <c r="X91" s="33" t="s">
        <v>502</v>
      </c>
      <c r="Y91" s="32" t="e">
        <f t="array" ref="Y91">((($Z91)*
INDEX(Species_Attack,MATCH($N91,Species_Names,0))*
INDEX(Species_Tankiness,MATCH($N91,Species_Names,0)))/1000)</f>
        <v>#VALUE!</v>
      </c>
      <c r="Z91" s="33" t="s">
        <v>503</v>
      </c>
    </row>
    <row r="92" spans="1:26" ht="14.25" customHeight="1" x14ac:dyDescent="0.2">
      <c r="A92" s="86"/>
      <c r="B92" s="22" t="str">
        <f t="array" ref="B92">CONCATENATE(TEXT($M92,"000"),".",TEXT(INDEX(Quick_Number,MATCH($O92,Quick_Names,0)),"000"),".",TEXT(INDEX(Charge_Number,MATCH($P92,Charge_Names,0)),"000"))</f>
        <v>040.222.088</v>
      </c>
      <c r="C92" s="23" t="e">
        <f t="array" ref="C92">RANK($S92,IF(Combo_Species_Names=$N92,Combo_Gym_Offense),0)</f>
        <v>#VALUE!</v>
      </c>
      <c r="D92" s="24" t="e">
        <f t="array" ref="D92">$S92/MAX(IF(Combo_Species_Names=$N92,Combo_Gym_Offense))</f>
        <v>#VALUE!</v>
      </c>
      <c r="E92" s="23" t="e">
        <f t="array" ref="E92">RANK($Y92,IF(Combo_Species_Names=$N92,Combo_Gym_Defense),0)</f>
        <v>#VALUE!</v>
      </c>
      <c r="F92" s="25" t="e">
        <f t="array" ref="F92">$Y92/MAX(IF(Combo_Species_Names=$N92,Combo_Gym_Defense))</f>
        <v>#VALUE!</v>
      </c>
      <c r="G92" s="23" t="e">
        <f t="array" ref="G92">IF(OR(INDEX(Species_Availability,MATCH($N92,Species_Names,0))="No",INDEX(Species_Evo_Numbers,MATCH($N92,Species_Names,0))&lt;&gt;1),"N/A",RANK($R92,IF(NOT(ISNA(MATCH(Combo_Species_Names,IF(Species_Availability="Yes",IF(Species_Evo_Numbers=1,Species_Names)),0))),Combo_Duel_Ability),0))</f>
        <v>#VALUE!</v>
      </c>
      <c r="H92" s="24" t="e">
        <f t="array" ref="H92">IF(OR(INDEX(Species_Availability,MATCH($N92,Species_Names,0))="No",INDEX(Species_Evo_Numbers,MATCH($N92,Species_Names,0))&lt;&gt;1),"N/A",$R92/MAX(IF(NOT(ISNA(MATCH(Combo_Species_Names,IF(Species_Availability="Yes",IF(Species_Evo_Numbers=1,Species_Names)),0))),Combo_Duel_Ability)))</f>
        <v>#VALUE!</v>
      </c>
      <c r="I92" s="23" t="e">
        <f t="array" ref="I92">IF(OR(INDEX(Species_Availability,MATCH($N92,Species_Names,0))="No",INDEX(Species_Evo_Numbers,MATCH($N92,Species_Names,0))&lt;&gt;1),"N/A",RANK($S92,IF(NOT(ISNA(MATCH(Combo_Species_Names,IF(Species_Availability="Yes",IF(Species_Evo_Numbers=1,Species_Names)),0))),Combo_Gym_Offense),0))</f>
        <v>#VALUE!</v>
      </c>
      <c r="J92" s="24" t="e">
        <f t="array" ref="J92">IF(OR(INDEX(Species_Availability,MATCH($N92,Species_Names,0))="No",INDEX(Species_Evo_Numbers,MATCH($N92,Species_Names,0))&lt;&gt;1),"N/A",$S92/MAX(IF(NOT(ISNA(MATCH(Combo_Species_Names,IF(Species_Availability="Yes",IF(Species_Evo_Numbers=1,Species_Names)),0))),Combo_Gym_Offense)))</f>
        <v>#VALUE!</v>
      </c>
      <c r="K92" s="23" t="e">
        <f t="array" ref="K92">IF(OR(INDEX(Species_Availability,MATCH($N92,Species_Names,0))="No",INDEX(Species_Evo_Numbers,MATCH($N92,Species_Names,0))&lt;&gt;1),"N/A",RANK($Y92,IF(NOT(ISNA(MATCH(Combo_Species_Names,IF(Species_Availability="Yes",IF(Species_Evo_Numbers=1,Species_Names)),0))),Combo_Gym_Defense),0))</f>
        <v>#VALUE!</v>
      </c>
      <c r="L92" s="24" t="e">
        <f t="array" ref="L92">IF(OR(INDEX(Species_Availability,MATCH($N92,Species_Names,0))="No",INDEX(Species_Evo_Numbers,MATCH($N92,Species_Names,0))&lt;&gt;1),"N/A",$Y92/MAX(IF(NOT(ISNA(MATCH(Combo_Species_Names,IF(Species_Availability="Yes",IF(Species_Evo_Numbers=1,Species_Names)),0))),Combo_Gym_Defense)))</f>
        <v>#VALUE!</v>
      </c>
      <c r="M92" s="28">
        <f t="array" ref="M92">INDEX(Species_Pdex_Numbers,MATCH($N92,Species_Names,0))</f>
        <v>40</v>
      </c>
      <c r="N92" s="30" t="s">
        <v>171</v>
      </c>
      <c r="O92" s="31" t="s">
        <v>32</v>
      </c>
      <c r="P92" s="31" t="s">
        <v>202</v>
      </c>
      <c r="Q92" s="17" t="e">
        <f t="shared" si="2"/>
        <v>#VALUE!</v>
      </c>
      <c r="R92" s="32" t="e">
        <f t="array" ref="R92">IF(OR(AND(COUNTBLANK(Combo_Opponent_Type_1)=1,COUNTBLANK(Combo_Opponent_Type_2)=0),AND(AND(COUNTBLANK(Combo_Opponent_Type_1)=0,COUNTBLANK(Combo_Opponent_Type_2)=0),Combo_Opponent_Type_1=Combo_Opponent_Type_2)),
"Check Types",($S92*INDEX(Species_Tankiness,MATCH($N92,Species_Names,0)))/225)</f>
        <v>#VALUE!</v>
      </c>
      <c r="S92" s="32" t="e">
        <f t="array" ref="S92">IF(OR(AND(COUNTBLANK(Combo_Opponent_Type_1)=1,COUNTBLANK(Combo_Opponent_Type_2)=0),AND(AND(COUNTBLANK(Combo_Opponent_Type_1)=0,COUNTBLANK(Combo_Opponent_Type_2)=0),Combo_Opponent_Type_1=Combo_Opponent_Type_2)),
"Check Types",(
IF($W92&gt;=((1-Game_Weave_Human_Error)*$X92),$W92,$X92)*INDEX(Species_Attack,MATCH($N92,Species_Names,0)))/11)</f>
        <v>#VALUE!</v>
      </c>
      <c r="T92" s="33" t="e">
        <f t="shared" si="3"/>
        <v>#VALUE!</v>
      </c>
      <c r="U92" s="33">
        <f t="array" ref="U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92,Quick_Names,0))),Type_Species)),0),1)*IF(COUNTBLANK(Combo_Opponent_Type_2)=0,INDEX(Type_Damage_Multipliers,MATCH(Combo_Opponent_Type_2,IF(Type_Move=(INDEX(Quick_Type,MATCH($O92,Quick_Names,0))),Type_Species)),0),1)*(IF(OR(INDEX(Quick_Type,MATCH($O92,Quick_Names,0))=INDEX(Species_Type_1,MATCH($N92,Species_Names,0)),INDEX(Quick_Type,MATCH($O92,Quick_Names,0))=INDEX(Species_Type_2,MATCH($N92,Species_Names,0))),Game_STAB_Multiplier,1)))</f>
        <v>1.25</v>
      </c>
      <c r="V92" s="33">
        <f t="array" ref="V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92,Charge_Names,0))),Type_Species)),0),1)*IF(COUNTBLANK(Combo_Opponent_Type_2)=0,INDEX(Type_Damage_Multipliers,MATCH(Combo_Opponent_Type_2,IF(Type_Move=(INDEX(Charge_Type,MATCH($P92,Charge_Names,0))),Type_Species)),0),1)*
IF(OR(INDEX(Charge_Type,MATCH($P92,Charge_Names,0))=INDEX(Species_Type_1,MATCH($N92,Species_Names,0)),INDEX(Charge_Type,MATCH($P92,Charge_Names,0))=INDEX(Species_Type_2,MATCH($N92,Species_Names,0))),Game_STAB_Multiplier,1))</f>
        <v>1.25</v>
      </c>
      <c r="W92" s="33" t="s">
        <v>508</v>
      </c>
      <c r="X92" s="33" t="s">
        <v>556</v>
      </c>
      <c r="Y92" s="32" t="e">
        <f t="array" ref="Y92">((($Z92)*
INDEX(Species_Attack,MATCH($N92,Species_Names,0))*
INDEX(Species_Tankiness,MATCH($N92,Species_Names,0)))/1000)</f>
        <v>#VALUE!</v>
      </c>
      <c r="Z92" s="33" t="s">
        <v>557</v>
      </c>
    </row>
    <row r="93" spans="1:26" ht="14.25" customHeight="1" x14ac:dyDescent="0.2">
      <c r="A93" s="86"/>
      <c r="B93" s="22" t="str">
        <f t="array" ref="B93">CONCATENATE(TEXT($M93,"000"),".",TEXT(INDEX(Quick_Number,MATCH($O93,Quick_Names,0)),"000"),".",TEXT(INDEX(Charge_Number,MATCH($P93,Charge_Names,0)),"000"))</f>
        <v>009.202.039</v>
      </c>
      <c r="C93" s="23" t="e">
        <f t="array" ref="C93">RANK($S93,IF(Combo_Species_Names=$N93,Combo_Gym_Offense),0)</f>
        <v>#VALUE!</v>
      </c>
      <c r="D93" s="24" t="e">
        <f t="array" ref="D93">$S93/MAX(IF(Combo_Species_Names=$N93,Combo_Gym_Offense))</f>
        <v>#VALUE!</v>
      </c>
      <c r="E93" s="23" t="e">
        <f t="array" ref="E93">RANK($Y93,IF(Combo_Species_Names=$N93,Combo_Gym_Defense),0)</f>
        <v>#VALUE!</v>
      </c>
      <c r="F93" s="25" t="e">
        <f t="array" ref="F93">$Y93/MAX(IF(Combo_Species_Names=$N93,Combo_Gym_Defense))</f>
        <v>#VALUE!</v>
      </c>
      <c r="G93" s="23" t="e">
        <f t="array" ref="G93">IF(OR(INDEX(Species_Availability,MATCH($N93,Species_Names,0))="No",INDEX(Species_Evo_Numbers,MATCH($N93,Species_Names,0))&lt;&gt;1),"N/A",RANK($R93,IF(NOT(ISNA(MATCH(Combo_Species_Names,IF(Species_Availability="Yes",IF(Species_Evo_Numbers=1,Species_Names)),0))),Combo_Duel_Ability),0))</f>
        <v>#VALUE!</v>
      </c>
      <c r="H93" s="24" t="e">
        <f t="array" ref="H93">IF(OR(INDEX(Species_Availability,MATCH($N93,Species_Names,0))="No",INDEX(Species_Evo_Numbers,MATCH($N93,Species_Names,0))&lt;&gt;1),"N/A",$R93/MAX(IF(NOT(ISNA(MATCH(Combo_Species_Names,IF(Species_Availability="Yes",IF(Species_Evo_Numbers=1,Species_Names)),0))),Combo_Duel_Ability)))</f>
        <v>#VALUE!</v>
      </c>
      <c r="I93" s="23" t="e">
        <f t="array" ref="I93">IF(OR(INDEX(Species_Availability,MATCH($N93,Species_Names,0))="No",INDEX(Species_Evo_Numbers,MATCH($N93,Species_Names,0))&lt;&gt;1),"N/A",RANK($S93,IF(NOT(ISNA(MATCH(Combo_Species_Names,IF(Species_Availability="Yes",IF(Species_Evo_Numbers=1,Species_Names)),0))),Combo_Gym_Offense),0))</f>
        <v>#VALUE!</v>
      </c>
      <c r="J93" s="24" t="e">
        <f t="array" ref="J93">IF(OR(INDEX(Species_Availability,MATCH($N93,Species_Names,0))="No",INDEX(Species_Evo_Numbers,MATCH($N93,Species_Names,0))&lt;&gt;1),"N/A",$S93/MAX(IF(NOT(ISNA(MATCH(Combo_Species_Names,IF(Species_Availability="Yes",IF(Species_Evo_Numbers=1,Species_Names)),0))),Combo_Gym_Offense)))</f>
        <v>#VALUE!</v>
      </c>
      <c r="K93" s="23" t="e">
        <f t="array" ref="K93">IF(OR(INDEX(Species_Availability,MATCH($N93,Species_Names,0))="No",INDEX(Species_Evo_Numbers,MATCH($N93,Species_Names,0))&lt;&gt;1),"N/A",RANK($Y93,IF(NOT(ISNA(MATCH(Combo_Species_Names,IF(Species_Availability="Yes",IF(Species_Evo_Numbers=1,Species_Names)),0))),Combo_Gym_Defense),0))</f>
        <v>#VALUE!</v>
      </c>
      <c r="L93" s="24" t="e">
        <f t="array" ref="L93">IF(OR(INDEX(Species_Availability,MATCH($N93,Species_Names,0))="No",INDEX(Species_Evo_Numbers,MATCH($N93,Species_Names,0))&lt;&gt;1),"N/A",$Y93/MAX(IF(NOT(ISNA(MATCH(Combo_Species_Names,IF(Species_Availability="Yes",IF(Species_Evo_Numbers=1,Species_Names)),0))),Combo_Gym_Defense)))</f>
        <v>#VALUE!</v>
      </c>
      <c r="M93" s="28">
        <f t="array" ref="M93">INDEX(Species_Pdex_Numbers,MATCH($N93,Species_Names,0))</f>
        <v>9</v>
      </c>
      <c r="N93" s="30" t="s">
        <v>93</v>
      </c>
      <c r="O93" s="31" t="s">
        <v>59</v>
      </c>
      <c r="P93" s="31" t="s">
        <v>209</v>
      </c>
      <c r="Q93" s="17" t="e">
        <f t="shared" si="2"/>
        <v>#VALUE!</v>
      </c>
      <c r="R93" s="32" t="e">
        <f t="array" ref="R93">IF(OR(AND(COUNTBLANK(Combo_Opponent_Type_1)=1,COUNTBLANK(Combo_Opponent_Type_2)=0),AND(AND(COUNTBLANK(Combo_Opponent_Type_1)=0,COUNTBLANK(Combo_Opponent_Type_2)=0),Combo_Opponent_Type_1=Combo_Opponent_Type_2)),
"Check Types",($S93*INDEX(Species_Tankiness,MATCH($N93,Species_Names,0)))/225)</f>
        <v>#VALUE!</v>
      </c>
      <c r="S93" s="32" t="e">
        <f t="array" ref="S93">IF(OR(AND(COUNTBLANK(Combo_Opponent_Type_1)=1,COUNTBLANK(Combo_Opponent_Type_2)=0),AND(AND(COUNTBLANK(Combo_Opponent_Type_1)=0,COUNTBLANK(Combo_Opponent_Type_2)=0),Combo_Opponent_Type_1=Combo_Opponent_Type_2)),
"Check Types",(
IF($W93&gt;=((1-Game_Weave_Human_Error)*$X93),$W93,$X93)*INDEX(Species_Attack,MATCH($N93,Species_Names,0)))/11)</f>
        <v>#VALUE!</v>
      </c>
      <c r="T93" s="33" t="e">
        <f t="shared" si="3"/>
        <v>#VALUE!</v>
      </c>
      <c r="U93" s="33">
        <f t="array" ref="U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93,Quick_Names,0))),Type_Species)),0),1)*IF(COUNTBLANK(Combo_Opponent_Type_2)=0,INDEX(Type_Damage_Multipliers,MATCH(Combo_Opponent_Type_2,IF(Type_Move=(INDEX(Quick_Type,MATCH($O93,Quick_Names,0))),Type_Species)),0),1)*(IF(OR(INDEX(Quick_Type,MATCH($O93,Quick_Names,0))=INDEX(Species_Type_1,MATCH($N93,Species_Names,0)),INDEX(Quick_Type,MATCH($O93,Quick_Names,0))=INDEX(Species_Type_2,MATCH($N93,Species_Names,0))),Game_STAB_Multiplier,1)))</f>
        <v>1</v>
      </c>
      <c r="V93" s="33">
        <f t="array" ref="V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93,Charge_Names,0))),Type_Species)),0),1)*IF(COUNTBLANK(Combo_Opponent_Type_2)=0,INDEX(Type_Damage_Multipliers,MATCH(Combo_Opponent_Type_2,IF(Type_Move=(INDEX(Charge_Type,MATCH($P93,Charge_Names,0))),Type_Species)),0),1)*
IF(OR(INDEX(Charge_Type,MATCH($P93,Charge_Names,0))=INDEX(Species_Type_1,MATCH($N93,Species_Names,0)),INDEX(Charge_Type,MATCH($P93,Charge_Names,0))=INDEX(Species_Type_2,MATCH($N93,Species_Names,0))),Game_STAB_Multiplier,1))</f>
        <v>1</v>
      </c>
      <c r="W93" s="33" t="s">
        <v>453</v>
      </c>
      <c r="X93" s="33" t="s">
        <v>558</v>
      </c>
      <c r="Y93" s="32" t="e">
        <f t="array" ref="Y93">((($Z93)*
INDEX(Species_Attack,MATCH($N93,Species_Names,0))*
INDEX(Species_Tankiness,MATCH($N93,Species_Names,0)))/1000)</f>
        <v>#VALUE!</v>
      </c>
      <c r="Z93" s="33" t="s">
        <v>533</v>
      </c>
    </row>
    <row r="94" spans="1:26" ht="14.25" customHeight="1" x14ac:dyDescent="0.2">
      <c r="A94" s="86"/>
      <c r="B94" s="22" t="str">
        <f t="array" ref="B94">CONCATENATE(TEXT($M94,"000"),".",TEXT(INDEX(Quick_Number,MATCH($O94,Quick_Names,0)),"000"),".",TEXT(INDEX(Charge_Number,MATCH($P94,Charge_Names,0)),"000"))</f>
        <v>034.224.022</v>
      </c>
      <c r="C94" s="23" t="e">
        <f t="array" ref="C94">RANK($S94,IF(Combo_Species_Names=$N94,Combo_Gym_Offense),0)</f>
        <v>#VALUE!</v>
      </c>
      <c r="D94" s="24" t="e">
        <f t="array" ref="D94">$S94/MAX(IF(Combo_Species_Names=$N94,Combo_Gym_Offense))</f>
        <v>#VALUE!</v>
      </c>
      <c r="E94" s="23" t="e">
        <f t="array" ref="E94">RANK($Y94,IF(Combo_Species_Names=$N94,Combo_Gym_Defense),0)</f>
        <v>#VALUE!</v>
      </c>
      <c r="F94" s="25" t="e">
        <f t="array" ref="F94">$Y94/MAX(IF(Combo_Species_Names=$N94,Combo_Gym_Defense))</f>
        <v>#VALUE!</v>
      </c>
      <c r="G94" s="23" t="e">
        <f t="array" ref="G94">IF(OR(INDEX(Species_Availability,MATCH($N94,Species_Names,0))="No",INDEX(Species_Evo_Numbers,MATCH($N94,Species_Names,0))&lt;&gt;1),"N/A",RANK($R94,IF(NOT(ISNA(MATCH(Combo_Species_Names,IF(Species_Availability="Yes",IF(Species_Evo_Numbers=1,Species_Names)),0))),Combo_Duel_Ability),0))</f>
        <v>#VALUE!</v>
      </c>
      <c r="H94" s="24" t="e">
        <f t="array" ref="H94">IF(OR(INDEX(Species_Availability,MATCH($N94,Species_Names,0))="No",INDEX(Species_Evo_Numbers,MATCH($N94,Species_Names,0))&lt;&gt;1),"N/A",$R94/MAX(IF(NOT(ISNA(MATCH(Combo_Species_Names,IF(Species_Availability="Yes",IF(Species_Evo_Numbers=1,Species_Names)),0))),Combo_Duel_Ability)))</f>
        <v>#VALUE!</v>
      </c>
      <c r="I94" s="23" t="e">
        <f t="array" ref="I94">IF(OR(INDEX(Species_Availability,MATCH($N94,Species_Names,0))="No",INDEX(Species_Evo_Numbers,MATCH($N94,Species_Names,0))&lt;&gt;1),"N/A",RANK($S94,IF(NOT(ISNA(MATCH(Combo_Species_Names,IF(Species_Availability="Yes",IF(Species_Evo_Numbers=1,Species_Names)),0))),Combo_Gym_Offense),0))</f>
        <v>#VALUE!</v>
      </c>
      <c r="J94" s="24" t="e">
        <f t="array" ref="J94">IF(OR(INDEX(Species_Availability,MATCH($N94,Species_Names,0))="No",INDEX(Species_Evo_Numbers,MATCH($N94,Species_Names,0))&lt;&gt;1),"N/A",$S94/MAX(IF(NOT(ISNA(MATCH(Combo_Species_Names,IF(Species_Availability="Yes",IF(Species_Evo_Numbers=1,Species_Names)),0))),Combo_Gym_Offense)))</f>
        <v>#VALUE!</v>
      </c>
      <c r="K94" s="23" t="e">
        <f t="array" ref="K94">IF(OR(INDEX(Species_Availability,MATCH($N94,Species_Names,0))="No",INDEX(Species_Evo_Numbers,MATCH($N94,Species_Names,0))&lt;&gt;1),"N/A",RANK($Y94,IF(NOT(ISNA(MATCH(Combo_Species_Names,IF(Species_Availability="Yes",IF(Species_Evo_Numbers=1,Species_Names)),0))),Combo_Gym_Defense),0))</f>
        <v>#VALUE!</v>
      </c>
      <c r="L94" s="24" t="e">
        <f t="array" ref="L94">IF(OR(INDEX(Species_Availability,MATCH($N94,Species_Names,0))="No",INDEX(Species_Evo_Numbers,MATCH($N94,Species_Names,0))&lt;&gt;1),"N/A",$Y94/MAX(IF(NOT(ISNA(MATCH(Combo_Species_Names,IF(Species_Availability="Yes",IF(Species_Evo_Numbers=1,Species_Names)),0))),Combo_Gym_Defense)))</f>
        <v>#VALUE!</v>
      </c>
      <c r="M94" s="28">
        <f t="array" ref="M94">INDEX(Species_Pdex_Numbers,MATCH($N94,Species_Names,0))</f>
        <v>34</v>
      </c>
      <c r="N94" s="30" t="s">
        <v>158</v>
      </c>
      <c r="O94" s="31" t="s">
        <v>77</v>
      </c>
      <c r="P94" s="31" t="s">
        <v>159</v>
      </c>
      <c r="Q94" s="17" t="e">
        <f t="shared" si="2"/>
        <v>#VALUE!</v>
      </c>
      <c r="R94" s="32" t="e">
        <f t="array" ref="R94">IF(OR(AND(COUNTBLANK(Combo_Opponent_Type_1)=1,COUNTBLANK(Combo_Opponent_Type_2)=0),AND(AND(COUNTBLANK(Combo_Opponent_Type_1)=0,COUNTBLANK(Combo_Opponent_Type_2)=0),Combo_Opponent_Type_1=Combo_Opponent_Type_2)),
"Check Types",($S94*INDEX(Species_Tankiness,MATCH($N94,Species_Names,0)))/225)</f>
        <v>#VALUE!</v>
      </c>
      <c r="S94" s="32" t="e">
        <f t="array" ref="S94">IF(OR(AND(COUNTBLANK(Combo_Opponent_Type_1)=1,COUNTBLANK(Combo_Opponent_Type_2)=0),AND(AND(COUNTBLANK(Combo_Opponent_Type_1)=0,COUNTBLANK(Combo_Opponent_Type_2)=0),Combo_Opponent_Type_1=Combo_Opponent_Type_2)),
"Check Types",(
IF($W94&gt;=((1-Game_Weave_Human_Error)*$X94),$W94,$X94)*INDEX(Species_Attack,MATCH($N94,Species_Names,0)))/11)</f>
        <v>#VALUE!</v>
      </c>
      <c r="T94" s="33" t="e">
        <f t="shared" si="3"/>
        <v>#VALUE!</v>
      </c>
      <c r="U94" s="33">
        <f t="array" ref="U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94,Quick_Names,0))),Type_Species)),0),1)*IF(COUNTBLANK(Combo_Opponent_Type_2)=0,INDEX(Type_Damage_Multipliers,MATCH(Combo_Opponent_Type_2,IF(Type_Move=(INDEX(Quick_Type,MATCH($O94,Quick_Names,0))),Type_Species)),0),1)*(IF(OR(INDEX(Quick_Type,MATCH($O94,Quick_Names,0))=INDEX(Species_Type_1,MATCH($N94,Species_Names,0)),INDEX(Quick_Type,MATCH($O94,Quick_Names,0))=INDEX(Species_Type_2,MATCH($N94,Species_Names,0))),Game_STAB_Multiplier,1)))</f>
        <v>1.25</v>
      </c>
      <c r="V94" s="33">
        <f t="array" ref="V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94,Charge_Names,0))),Type_Species)),0),1)*IF(COUNTBLANK(Combo_Opponent_Type_2)=0,INDEX(Type_Damage_Multipliers,MATCH(Combo_Opponent_Type_2,IF(Type_Move=(INDEX(Charge_Type,MATCH($P94,Charge_Names,0))),Type_Species)),0),1)*
IF(OR(INDEX(Charge_Type,MATCH($P94,Charge_Names,0))=INDEX(Species_Type_1,MATCH($N94,Species_Names,0)),INDEX(Charge_Type,MATCH($P94,Charge_Names,0))=INDEX(Species_Type_2,MATCH($N94,Species_Names,0))),Game_STAB_Multiplier,1))</f>
        <v>1</v>
      </c>
      <c r="W94" s="33" t="s">
        <v>446</v>
      </c>
      <c r="X94" s="33" t="s">
        <v>559</v>
      </c>
      <c r="Y94" s="32" t="e">
        <f t="array" ref="Y94">((($Z94)*
INDEX(Species_Attack,MATCH($N94,Species_Names,0))*
INDEX(Species_Tankiness,MATCH($N94,Species_Names,0)))/1000)</f>
        <v>#VALUE!</v>
      </c>
      <c r="Z94" s="33" t="s">
        <v>480</v>
      </c>
    </row>
    <row r="95" spans="1:26" ht="14.25" customHeight="1" x14ac:dyDescent="0.2">
      <c r="A95" s="86"/>
      <c r="B95" s="22" t="str">
        <f t="array" ref="B95">CONCATENATE(TEXT($M95,"000"),".",TEXT(INDEX(Quick_Number,MATCH($O95,Quick_Names,0)),"000"),".",TEXT(INDEX(Charge_Number,MATCH($P95,Charge_Names,0)),"000"))</f>
        <v>006.209.024</v>
      </c>
      <c r="C95" s="23" t="e">
        <f t="array" ref="C95">RANK($S95,IF(Combo_Species_Names=$N95,Combo_Gym_Offense),0)</f>
        <v>#VALUE!</v>
      </c>
      <c r="D95" s="24" t="e">
        <f t="array" ref="D95">$S95/MAX(IF(Combo_Species_Names=$N95,Combo_Gym_Offense))</f>
        <v>#VALUE!</v>
      </c>
      <c r="E95" s="23" t="e">
        <f t="array" ref="E95">RANK($Y95,IF(Combo_Species_Names=$N95,Combo_Gym_Defense),0)</f>
        <v>#VALUE!</v>
      </c>
      <c r="F95" s="25" t="e">
        <f t="array" ref="F95">$Y95/MAX(IF(Combo_Species_Names=$N95,Combo_Gym_Defense))</f>
        <v>#VALUE!</v>
      </c>
      <c r="G95" s="23" t="e">
        <f t="array" ref="G95">IF(OR(INDEX(Species_Availability,MATCH($N95,Species_Names,0))="No",INDEX(Species_Evo_Numbers,MATCH($N95,Species_Names,0))&lt;&gt;1),"N/A",RANK($R95,IF(NOT(ISNA(MATCH(Combo_Species_Names,IF(Species_Availability="Yes",IF(Species_Evo_Numbers=1,Species_Names)),0))),Combo_Duel_Ability),0))</f>
        <v>#VALUE!</v>
      </c>
      <c r="H95" s="24" t="e">
        <f t="array" ref="H95">IF(OR(INDEX(Species_Availability,MATCH($N95,Species_Names,0))="No",INDEX(Species_Evo_Numbers,MATCH($N95,Species_Names,0))&lt;&gt;1),"N/A",$R95/MAX(IF(NOT(ISNA(MATCH(Combo_Species_Names,IF(Species_Availability="Yes",IF(Species_Evo_Numbers=1,Species_Names)),0))),Combo_Duel_Ability)))</f>
        <v>#VALUE!</v>
      </c>
      <c r="I95" s="23" t="e">
        <f t="array" ref="I95">IF(OR(INDEX(Species_Availability,MATCH($N95,Species_Names,0))="No",INDEX(Species_Evo_Numbers,MATCH($N95,Species_Names,0))&lt;&gt;1),"N/A",RANK($S95,IF(NOT(ISNA(MATCH(Combo_Species_Names,IF(Species_Availability="Yes",IF(Species_Evo_Numbers=1,Species_Names)),0))),Combo_Gym_Offense),0))</f>
        <v>#VALUE!</v>
      </c>
      <c r="J95" s="24" t="e">
        <f t="array" ref="J95">IF(OR(INDEX(Species_Availability,MATCH($N95,Species_Names,0))="No",INDEX(Species_Evo_Numbers,MATCH($N95,Species_Names,0))&lt;&gt;1),"N/A",$S95/MAX(IF(NOT(ISNA(MATCH(Combo_Species_Names,IF(Species_Availability="Yes",IF(Species_Evo_Numbers=1,Species_Names)),0))),Combo_Gym_Offense)))</f>
        <v>#VALUE!</v>
      </c>
      <c r="K95" s="23" t="e">
        <f t="array" ref="K95">IF(OR(INDEX(Species_Availability,MATCH($N95,Species_Names,0))="No",INDEX(Species_Evo_Numbers,MATCH($N95,Species_Names,0))&lt;&gt;1),"N/A",RANK($Y95,IF(NOT(ISNA(MATCH(Combo_Species_Names,IF(Species_Availability="Yes",IF(Species_Evo_Numbers=1,Species_Names)),0))),Combo_Gym_Defense),0))</f>
        <v>#VALUE!</v>
      </c>
      <c r="L95" s="24" t="e">
        <f t="array" ref="L95">IF(OR(INDEX(Species_Availability,MATCH($N95,Species_Names,0))="No",INDEX(Species_Evo_Numbers,MATCH($N95,Species_Names,0))&lt;&gt;1),"N/A",$Y95/MAX(IF(NOT(ISNA(MATCH(Combo_Species_Names,IF(Species_Availability="Yes",IF(Species_Evo_Numbers=1,Species_Names)),0))),Combo_Gym_Defense)))</f>
        <v>#VALUE!</v>
      </c>
      <c r="M95" s="28">
        <f t="array" ref="M95">INDEX(Species_Pdex_Numbers,MATCH($N95,Species_Names,0))</f>
        <v>6</v>
      </c>
      <c r="N95" s="30" t="s">
        <v>81</v>
      </c>
      <c r="O95" s="31" t="s">
        <v>111</v>
      </c>
      <c r="P95" s="31" t="s">
        <v>200</v>
      </c>
      <c r="Q95" s="17" t="e">
        <f t="shared" si="2"/>
        <v>#VALUE!</v>
      </c>
      <c r="R95" s="32" t="e">
        <f t="array" ref="R95">IF(OR(AND(COUNTBLANK(Combo_Opponent_Type_1)=1,COUNTBLANK(Combo_Opponent_Type_2)=0),AND(AND(COUNTBLANK(Combo_Opponent_Type_1)=0,COUNTBLANK(Combo_Opponent_Type_2)=0),Combo_Opponent_Type_1=Combo_Opponent_Type_2)),
"Check Types",($S95*INDEX(Species_Tankiness,MATCH($N95,Species_Names,0)))/225)</f>
        <v>#VALUE!</v>
      </c>
      <c r="S95" s="32" t="e">
        <f t="array" ref="S95">IF(OR(AND(COUNTBLANK(Combo_Opponent_Type_1)=1,COUNTBLANK(Combo_Opponent_Type_2)=0),AND(AND(COUNTBLANK(Combo_Opponent_Type_1)=0,COUNTBLANK(Combo_Opponent_Type_2)=0),Combo_Opponent_Type_1=Combo_Opponent_Type_2)),
"Check Types",(
IF($W95&gt;=((1-Game_Weave_Human_Error)*$X95),$W95,$X95)*INDEX(Species_Attack,MATCH($N95,Species_Names,0)))/11)</f>
        <v>#VALUE!</v>
      </c>
      <c r="T95" s="33" t="e">
        <f t="shared" si="3"/>
        <v>#VALUE!</v>
      </c>
      <c r="U95" s="33">
        <f t="array" ref="U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95,Quick_Names,0))),Type_Species)),0),1)*IF(COUNTBLANK(Combo_Opponent_Type_2)=0,INDEX(Type_Damage_Multipliers,MATCH(Combo_Opponent_Type_2,IF(Type_Move=(INDEX(Quick_Type,MATCH($O95,Quick_Names,0))),Type_Species)),0),1)*(IF(OR(INDEX(Quick_Type,MATCH($O95,Quick_Names,0))=INDEX(Species_Type_1,MATCH($N95,Species_Names,0)),INDEX(Quick_Type,MATCH($O95,Quick_Names,0))=INDEX(Species_Type_2,MATCH($N95,Species_Names,0))),Game_STAB_Multiplier,1)))</f>
        <v>1.25</v>
      </c>
      <c r="V95" s="33">
        <f t="array" ref="V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95,Charge_Names,0))),Type_Species)),0),1)*IF(COUNTBLANK(Combo_Opponent_Type_2)=0,INDEX(Type_Damage_Multipliers,MATCH(Combo_Opponent_Type_2,IF(Type_Move=(INDEX(Charge_Type,MATCH($P95,Charge_Names,0))),Type_Species)),0),1)*
IF(OR(INDEX(Charge_Type,MATCH($P95,Charge_Names,0))=INDEX(Species_Type_1,MATCH($N95,Species_Names,0)),INDEX(Charge_Type,MATCH($P95,Charge_Names,0))=INDEX(Species_Type_2,MATCH($N95,Species_Names,0))),Game_STAB_Multiplier,1))</f>
        <v>1.25</v>
      </c>
      <c r="W95" s="33" t="s">
        <v>511</v>
      </c>
      <c r="X95" s="33" t="s">
        <v>560</v>
      </c>
      <c r="Y95" s="32" t="e">
        <f t="array" ref="Y95">((($Z95)*
INDEX(Species_Attack,MATCH($N95,Species_Names,0))*
INDEX(Species_Tankiness,MATCH($N95,Species_Names,0)))/1000)</f>
        <v>#VALUE!</v>
      </c>
      <c r="Z95" s="33" t="s">
        <v>561</v>
      </c>
    </row>
    <row r="96" spans="1:26" ht="14.25" customHeight="1" x14ac:dyDescent="0.2">
      <c r="A96" s="86"/>
      <c r="B96" s="22" t="str">
        <f t="array" ref="B96">CONCATENATE(TEXT($M96,"000"),".",TEXT(INDEX(Quick_Number,MATCH($O96,Quick_Names,0)),"000"),".",TEXT(INDEX(Charge_Number,MATCH($P96,Charge_Names,0)),"000"))</f>
        <v>076.227.031</v>
      </c>
      <c r="C96" s="23" t="e">
        <f t="array" ref="C96">RANK($S96,IF(Combo_Species_Names=$N96,Combo_Gym_Offense),0)</f>
        <v>#VALUE!</v>
      </c>
      <c r="D96" s="24" t="e">
        <f t="array" ref="D96">$S96/MAX(IF(Combo_Species_Names=$N96,Combo_Gym_Offense))</f>
        <v>#VALUE!</v>
      </c>
      <c r="E96" s="23" t="e">
        <f t="array" ref="E96">RANK($Y96,IF(Combo_Species_Names=$N96,Combo_Gym_Defense),0)</f>
        <v>#VALUE!</v>
      </c>
      <c r="F96" s="25" t="e">
        <f t="array" ref="F96">$Y96/MAX(IF(Combo_Species_Names=$N96,Combo_Gym_Defense))</f>
        <v>#VALUE!</v>
      </c>
      <c r="G96" s="23" t="e">
        <f t="array" ref="G96">IF(OR(INDEX(Species_Availability,MATCH($N96,Species_Names,0))="No",INDEX(Species_Evo_Numbers,MATCH($N96,Species_Names,0))&lt;&gt;1),"N/A",RANK($R96,IF(NOT(ISNA(MATCH(Combo_Species_Names,IF(Species_Availability="Yes",IF(Species_Evo_Numbers=1,Species_Names)),0))),Combo_Duel_Ability),0))</f>
        <v>#VALUE!</v>
      </c>
      <c r="H96" s="24" t="e">
        <f t="array" ref="H96">IF(OR(INDEX(Species_Availability,MATCH($N96,Species_Names,0))="No",INDEX(Species_Evo_Numbers,MATCH($N96,Species_Names,0))&lt;&gt;1),"N/A",$R96/MAX(IF(NOT(ISNA(MATCH(Combo_Species_Names,IF(Species_Availability="Yes",IF(Species_Evo_Numbers=1,Species_Names)),0))),Combo_Duel_Ability)))</f>
        <v>#VALUE!</v>
      </c>
      <c r="I96" s="23" t="e">
        <f t="array" ref="I96">IF(OR(INDEX(Species_Availability,MATCH($N96,Species_Names,0))="No",INDEX(Species_Evo_Numbers,MATCH($N96,Species_Names,0))&lt;&gt;1),"N/A",RANK($S96,IF(NOT(ISNA(MATCH(Combo_Species_Names,IF(Species_Availability="Yes",IF(Species_Evo_Numbers=1,Species_Names)),0))),Combo_Gym_Offense),0))</f>
        <v>#VALUE!</v>
      </c>
      <c r="J96" s="24" t="e">
        <f t="array" ref="J96">IF(OR(INDEX(Species_Availability,MATCH($N96,Species_Names,0))="No",INDEX(Species_Evo_Numbers,MATCH($N96,Species_Names,0))&lt;&gt;1),"N/A",$S96/MAX(IF(NOT(ISNA(MATCH(Combo_Species_Names,IF(Species_Availability="Yes",IF(Species_Evo_Numbers=1,Species_Names)),0))),Combo_Gym_Offense)))</f>
        <v>#VALUE!</v>
      </c>
      <c r="K96" s="23" t="e">
        <f t="array" ref="K96">IF(OR(INDEX(Species_Availability,MATCH($N96,Species_Names,0))="No",INDEX(Species_Evo_Numbers,MATCH($N96,Species_Names,0))&lt;&gt;1),"N/A",RANK($Y96,IF(NOT(ISNA(MATCH(Combo_Species_Names,IF(Species_Availability="Yes",IF(Species_Evo_Numbers=1,Species_Names)),0))),Combo_Gym_Defense),0))</f>
        <v>#VALUE!</v>
      </c>
      <c r="L96" s="24" t="e">
        <f t="array" ref="L96">IF(OR(INDEX(Species_Availability,MATCH($N96,Species_Names,0))="No",INDEX(Species_Evo_Numbers,MATCH($N96,Species_Names,0))&lt;&gt;1),"N/A",$Y96/MAX(IF(NOT(ISNA(MATCH(Combo_Species_Names,IF(Species_Availability="Yes",IF(Species_Evo_Numbers=1,Species_Names)),0))),Combo_Gym_Defense)))</f>
        <v>#VALUE!</v>
      </c>
      <c r="M96" s="28">
        <f t="array" ref="M96">INDEX(Species_Pdex_Numbers,MATCH($N96,Species_Names,0))</f>
        <v>76</v>
      </c>
      <c r="N96" s="30" t="s">
        <v>244</v>
      </c>
      <c r="O96" s="31" t="s">
        <v>112</v>
      </c>
      <c r="P96" s="31" t="s">
        <v>169</v>
      </c>
      <c r="Q96" s="17" t="e">
        <f t="shared" si="2"/>
        <v>#VALUE!</v>
      </c>
      <c r="R96" s="32" t="e">
        <f t="array" ref="R96">IF(OR(AND(COUNTBLANK(Combo_Opponent_Type_1)=1,COUNTBLANK(Combo_Opponent_Type_2)=0),AND(AND(COUNTBLANK(Combo_Opponent_Type_1)=0,COUNTBLANK(Combo_Opponent_Type_2)=0),Combo_Opponent_Type_1=Combo_Opponent_Type_2)),
"Check Types",($S96*INDEX(Species_Tankiness,MATCH($N96,Species_Names,0)))/225)</f>
        <v>#VALUE!</v>
      </c>
      <c r="S96" s="32" t="e">
        <f t="array" ref="S96">IF(OR(AND(COUNTBLANK(Combo_Opponent_Type_1)=1,COUNTBLANK(Combo_Opponent_Type_2)=0),AND(AND(COUNTBLANK(Combo_Opponent_Type_1)=0,COUNTBLANK(Combo_Opponent_Type_2)=0),Combo_Opponent_Type_1=Combo_Opponent_Type_2)),
"Check Types",(
IF($W96&gt;=((1-Game_Weave_Human_Error)*$X96),$W96,$X96)*INDEX(Species_Attack,MATCH($N96,Species_Names,0)))/11)</f>
        <v>#VALUE!</v>
      </c>
      <c r="T96" s="33" t="e">
        <f t="shared" si="3"/>
        <v>#VALUE!</v>
      </c>
      <c r="U96" s="33">
        <f t="array" ref="U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96,Quick_Names,0))),Type_Species)),0),1)*IF(COUNTBLANK(Combo_Opponent_Type_2)=0,INDEX(Type_Damage_Multipliers,MATCH(Combo_Opponent_Type_2,IF(Type_Move=(INDEX(Quick_Type,MATCH($O96,Quick_Names,0))),Type_Species)),0),1)*(IF(OR(INDEX(Quick_Type,MATCH($O96,Quick_Names,0))=INDEX(Species_Type_1,MATCH($N96,Species_Names,0)),INDEX(Quick_Type,MATCH($O96,Quick_Names,0))=INDEX(Species_Type_2,MATCH($N96,Species_Names,0))),Game_STAB_Multiplier,1)))</f>
        <v>1.25</v>
      </c>
      <c r="V96" s="33">
        <f t="array" ref="V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96,Charge_Names,0))),Type_Species)),0),1)*IF(COUNTBLANK(Combo_Opponent_Type_2)=0,INDEX(Type_Damage_Multipliers,MATCH(Combo_Opponent_Type_2,IF(Type_Move=(INDEX(Charge_Type,MATCH($P96,Charge_Names,0))),Type_Species)),0),1)*
IF(OR(INDEX(Charge_Type,MATCH($P96,Charge_Names,0))=INDEX(Species_Type_1,MATCH($N96,Species_Names,0)),INDEX(Charge_Type,MATCH($P96,Charge_Names,0))=INDEX(Species_Type_2,MATCH($N96,Species_Names,0))),Game_STAB_Multiplier,1))</f>
        <v>1.25</v>
      </c>
      <c r="W96" s="33" t="s">
        <v>548</v>
      </c>
      <c r="X96" s="33" t="s">
        <v>562</v>
      </c>
      <c r="Y96" s="32" t="e">
        <f t="array" ref="Y96">((($Z96)*
INDEX(Species_Attack,MATCH($N96,Species_Names,0))*
INDEX(Species_Tankiness,MATCH($N96,Species_Names,0)))/1000)</f>
        <v>#VALUE!</v>
      </c>
      <c r="Z96" s="33" t="s">
        <v>563</v>
      </c>
    </row>
    <row r="97" spans="1:26" ht="14.25" customHeight="1" x14ac:dyDescent="0.2">
      <c r="A97" s="86"/>
      <c r="B97" s="22" t="str">
        <f t="array" ref="B97">CONCATENATE(TEXT($M97,"000"),".",TEXT(INDEX(Quick_Number,MATCH($O97,Quick_Names,0)),"000"),".",TEXT(INDEX(Charge_Number,MATCH($P97,Charge_Names,0)),"000"))</f>
        <v>034.224.091</v>
      </c>
      <c r="C97" s="23" t="e">
        <f t="array" ref="C97">RANK($S97,IF(Combo_Species_Names=$N97,Combo_Gym_Offense),0)</f>
        <v>#VALUE!</v>
      </c>
      <c r="D97" s="24" t="e">
        <f t="array" ref="D97">$S97/MAX(IF(Combo_Species_Names=$N97,Combo_Gym_Offense))</f>
        <v>#VALUE!</v>
      </c>
      <c r="E97" s="23" t="e">
        <f t="array" ref="E97">RANK($Y97,IF(Combo_Species_Names=$N97,Combo_Gym_Defense),0)</f>
        <v>#VALUE!</v>
      </c>
      <c r="F97" s="25" t="e">
        <f t="array" ref="F97">$Y97/MAX(IF(Combo_Species_Names=$N97,Combo_Gym_Defense))</f>
        <v>#VALUE!</v>
      </c>
      <c r="G97" s="23" t="e">
        <f t="array" ref="G97">IF(OR(INDEX(Species_Availability,MATCH($N97,Species_Names,0))="No",INDEX(Species_Evo_Numbers,MATCH($N97,Species_Names,0))&lt;&gt;1),"N/A",RANK($R97,IF(NOT(ISNA(MATCH(Combo_Species_Names,IF(Species_Availability="Yes",IF(Species_Evo_Numbers=1,Species_Names)),0))),Combo_Duel_Ability),0))</f>
        <v>#VALUE!</v>
      </c>
      <c r="H97" s="24" t="e">
        <f t="array" ref="H97">IF(OR(INDEX(Species_Availability,MATCH($N97,Species_Names,0))="No",INDEX(Species_Evo_Numbers,MATCH($N97,Species_Names,0))&lt;&gt;1),"N/A",$R97/MAX(IF(NOT(ISNA(MATCH(Combo_Species_Names,IF(Species_Availability="Yes",IF(Species_Evo_Numbers=1,Species_Names)),0))),Combo_Duel_Ability)))</f>
        <v>#VALUE!</v>
      </c>
      <c r="I97" s="23" t="e">
        <f t="array" ref="I97">IF(OR(INDEX(Species_Availability,MATCH($N97,Species_Names,0))="No",INDEX(Species_Evo_Numbers,MATCH($N97,Species_Names,0))&lt;&gt;1),"N/A",RANK($S97,IF(NOT(ISNA(MATCH(Combo_Species_Names,IF(Species_Availability="Yes",IF(Species_Evo_Numbers=1,Species_Names)),0))),Combo_Gym_Offense),0))</f>
        <v>#VALUE!</v>
      </c>
      <c r="J97" s="24" t="e">
        <f t="array" ref="J97">IF(OR(INDEX(Species_Availability,MATCH($N97,Species_Names,0))="No",INDEX(Species_Evo_Numbers,MATCH($N97,Species_Names,0))&lt;&gt;1),"N/A",$S97/MAX(IF(NOT(ISNA(MATCH(Combo_Species_Names,IF(Species_Availability="Yes",IF(Species_Evo_Numbers=1,Species_Names)),0))),Combo_Gym_Offense)))</f>
        <v>#VALUE!</v>
      </c>
      <c r="K97" s="23" t="e">
        <f t="array" ref="K97">IF(OR(INDEX(Species_Availability,MATCH($N97,Species_Names,0))="No",INDEX(Species_Evo_Numbers,MATCH($N97,Species_Names,0))&lt;&gt;1),"N/A",RANK($Y97,IF(NOT(ISNA(MATCH(Combo_Species_Names,IF(Species_Availability="Yes",IF(Species_Evo_Numbers=1,Species_Names)),0))),Combo_Gym_Defense),0))</f>
        <v>#VALUE!</v>
      </c>
      <c r="L97" s="24" t="e">
        <f t="array" ref="L97">IF(OR(INDEX(Species_Availability,MATCH($N97,Species_Names,0))="No",INDEX(Species_Evo_Numbers,MATCH($N97,Species_Names,0))&lt;&gt;1),"N/A",$Y97/MAX(IF(NOT(ISNA(MATCH(Combo_Species_Names,IF(Species_Availability="Yes",IF(Species_Evo_Numbers=1,Species_Names)),0))),Combo_Gym_Defense)))</f>
        <v>#VALUE!</v>
      </c>
      <c r="M97" s="28">
        <f t="array" ref="M97">INDEX(Species_Pdex_Numbers,MATCH($N97,Species_Names,0))</f>
        <v>34</v>
      </c>
      <c r="N97" s="30" t="s">
        <v>158</v>
      </c>
      <c r="O97" s="31" t="s">
        <v>77</v>
      </c>
      <c r="P97" s="31" t="s">
        <v>186</v>
      </c>
      <c r="Q97" s="17" t="e">
        <f t="shared" si="2"/>
        <v>#VALUE!</v>
      </c>
      <c r="R97" s="32" t="e">
        <f t="array" ref="R97">IF(OR(AND(COUNTBLANK(Combo_Opponent_Type_1)=1,COUNTBLANK(Combo_Opponent_Type_2)=0),AND(AND(COUNTBLANK(Combo_Opponent_Type_1)=0,COUNTBLANK(Combo_Opponent_Type_2)=0),Combo_Opponent_Type_1=Combo_Opponent_Type_2)),
"Check Types",($S97*INDEX(Species_Tankiness,MATCH($N97,Species_Names,0)))/225)</f>
        <v>#VALUE!</v>
      </c>
      <c r="S97" s="32" t="e">
        <f t="array" ref="S97">IF(OR(AND(COUNTBLANK(Combo_Opponent_Type_1)=1,COUNTBLANK(Combo_Opponent_Type_2)=0),AND(AND(COUNTBLANK(Combo_Opponent_Type_1)=0,COUNTBLANK(Combo_Opponent_Type_2)=0),Combo_Opponent_Type_1=Combo_Opponent_Type_2)),
"Check Types",(
IF($W97&gt;=((1-Game_Weave_Human_Error)*$X97),$W97,$X97)*INDEX(Species_Attack,MATCH($N97,Species_Names,0)))/11)</f>
        <v>#VALUE!</v>
      </c>
      <c r="T97" s="33" t="e">
        <f t="shared" si="3"/>
        <v>#VALUE!</v>
      </c>
      <c r="U97" s="33">
        <f t="array" ref="U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97,Quick_Names,0))),Type_Species)),0),1)*IF(COUNTBLANK(Combo_Opponent_Type_2)=0,INDEX(Type_Damage_Multipliers,MATCH(Combo_Opponent_Type_2,IF(Type_Move=(INDEX(Quick_Type,MATCH($O97,Quick_Names,0))),Type_Species)),0),1)*(IF(OR(INDEX(Quick_Type,MATCH($O97,Quick_Names,0))=INDEX(Species_Type_1,MATCH($N97,Species_Names,0)),INDEX(Quick_Type,MATCH($O97,Quick_Names,0))=INDEX(Species_Type_2,MATCH($N97,Species_Names,0))),Game_STAB_Multiplier,1)))</f>
        <v>1.25</v>
      </c>
      <c r="V97" s="33">
        <f t="array" ref="V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97,Charge_Names,0))),Type_Species)),0),1)*IF(COUNTBLANK(Combo_Opponent_Type_2)=0,INDEX(Type_Damage_Multipliers,MATCH(Combo_Opponent_Type_2,IF(Type_Move=(INDEX(Charge_Type,MATCH($P97,Charge_Names,0))),Type_Species)),0),1)*
IF(OR(INDEX(Charge_Type,MATCH($P97,Charge_Names,0))=INDEX(Species_Type_1,MATCH($N97,Species_Names,0)),INDEX(Charge_Type,MATCH($P97,Charge_Names,0))=INDEX(Species_Type_2,MATCH($N97,Species_Names,0))),Game_STAB_Multiplier,1))</f>
        <v>1.25</v>
      </c>
      <c r="W97" s="33" t="s">
        <v>446</v>
      </c>
      <c r="X97" s="33" t="s">
        <v>479</v>
      </c>
      <c r="Y97" s="32" t="e">
        <f t="array" ref="Y97">((($Z97)*
INDEX(Species_Attack,MATCH($N97,Species_Names,0))*
INDEX(Species_Tankiness,MATCH($N97,Species_Names,0)))/1000)</f>
        <v>#VALUE!</v>
      </c>
      <c r="Z97" s="33" t="s">
        <v>480</v>
      </c>
    </row>
    <row r="98" spans="1:26" ht="14.25" customHeight="1" x14ac:dyDescent="0.2">
      <c r="A98" s="86"/>
      <c r="B98" s="22" t="str">
        <f t="array" ref="B98">CONCATENATE(TEXT($M98,"000"),".",TEXT(INDEX(Quick_Number,MATCH($O98,Quick_Names,0)),"000"),".",TEXT(INDEX(Charge_Number,MATCH($P98,Charge_Names,0)),"000"))</f>
        <v>087.217.040</v>
      </c>
      <c r="C98" s="23" t="e">
        <f t="array" ref="C98">RANK($S98,IF(Combo_Species_Names=$N98,Combo_Gym_Offense),0)</f>
        <v>#VALUE!</v>
      </c>
      <c r="D98" s="24" t="e">
        <f t="array" ref="D98">$S98/MAX(IF(Combo_Species_Names=$N98,Combo_Gym_Offense))</f>
        <v>#VALUE!</v>
      </c>
      <c r="E98" s="23" t="e">
        <f t="array" ref="E98">RANK($Y98,IF(Combo_Species_Names=$N98,Combo_Gym_Defense),0)</f>
        <v>#VALUE!</v>
      </c>
      <c r="F98" s="25" t="e">
        <f t="array" ref="F98">$Y98/MAX(IF(Combo_Species_Names=$N98,Combo_Gym_Defense))</f>
        <v>#VALUE!</v>
      </c>
      <c r="G98" s="23" t="e">
        <f t="array" ref="G98">IF(OR(INDEX(Species_Availability,MATCH($N98,Species_Names,0))="No",INDEX(Species_Evo_Numbers,MATCH($N98,Species_Names,0))&lt;&gt;1),"N/A",RANK($R98,IF(NOT(ISNA(MATCH(Combo_Species_Names,IF(Species_Availability="Yes",IF(Species_Evo_Numbers=1,Species_Names)),0))),Combo_Duel_Ability),0))</f>
        <v>#VALUE!</v>
      </c>
      <c r="H98" s="24" t="e">
        <f t="array" ref="H98">IF(OR(INDEX(Species_Availability,MATCH($N98,Species_Names,0))="No",INDEX(Species_Evo_Numbers,MATCH($N98,Species_Names,0))&lt;&gt;1),"N/A",$R98/MAX(IF(NOT(ISNA(MATCH(Combo_Species_Names,IF(Species_Availability="Yes",IF(Species_Evo_Numbers=1,Species_Names)),0))),Combo_Duel_Ability)))</f>
        <v>#VALUE!</v>
      </c>
      <c r="I98" s="23" t="e">
        <f t="array" ref="I98">IF(OR(INDEX(Species_Availability,MATCH($N98,Species_Names,0))="No",INDEX(Species_Evo_Numbers,MATCH($N98,Species_Names,0))&lt;&gt;1),"N/A",RANK($S98,IF(NOT(ISNA(MATCH(Combo_Species_Names,IF(Species_Availability="Yes",IF(Species_Evo_Numbers=1,Species_Names)),0))),Combo_Gym_Offense),0))</f>
        <v>#VALUE!</v>
      </c>
      <c r="J98" s="24" t="e">
        <f t="array" ref="J98">IF(OR(INDEX(Species_Availability,MATCH($N98,Species_Names,0))="No",INDEX(Species_Evo_Numbers,MATCH($N98,Species_Names,0))&lt;&gt;1),"N/A",$S98/MAX(IF(NOT(ISNA(MATCH(Combo_Species_Names,IF(Species_Availability="Yes",IF(Species_Evo_Numbers=1,Species_Names)),0))),Combo_Gym_Offense)))</f>
        <v>#VALUE!</v>
      </c>
      <c r="K98" s="23" t="e">
        <f t="array" ref="K98">IF(OR(INDEX(Species_Availability,MATCH($N98,Species_Names,0))="No",INDEX(Species_Evo_Numbers,MATCH($N98,Species_Names,0))&lt;&gt;1),"N/A",RANK($Y98,IF(NOT(ISNA(MATCH(Combo_Species_Names,IF(Species_Availability="Yes",IF(Species_Evo_Numbers=1,Species_Names)),0))),Combo_Gym_Defense),0))</f>
        <v>#VALUE!</v>
      </c>
      <c r="L98" s="24" t="e">
        <f t="array" ref="L98">IF(OR(INDEX(Species_Availability,MATCH($N98,Species_Names,0))="No",INDEX(Species_Evo_Numbers,MATCH($N98,Species_Names,0))&lt;&gt;1),"N/A",$Y98/MAX(IF(NOT(ISNA(MATCH(Combo_Species_Names,IF(Species_Availability="Yes",IF(Species_Evo_Numbers=1,Species_Names)),0))),Combo_Gym_Defense)))</f>
        <v>#VALUE!</v>
      </c>
      <c r="M98" s="28">
        <f t="array" ref="M98">INDEX(Species_Pdex_Numbers,MATCH($N98,Species_Names,0))</f>
        <v>87</v>
      </c>
      <c r="N98" s="30" t="s">
        <v>268</v>
      </c>
      <c r="O98" s="31" t="s">
        <v>95</v>
      </c>
      <c r="P98" s="31" t="s">
        <v>153</v>
      </c>
      <c r="Q98" s="17" t="e">
        <f t="shared" si="2"/>
        <v>#VALUE!</v>
      </c>
      <c r="R98" s="32" t="e">
        <f t="array" ref="R98">IF(OR(AND(COUNTBLANK(Combo_Opponent_Type_1)=1,COUNTBLANK(Combo_Opponent_Type_2)=0),AND(AND(COUNTBLANK(Combo_Opponent_Type_1)=0,COUNTBLANK(Combo_Opponent_Type_2)=0),Combo_Opponent_Type_1=Combo_Opponent_Type_2)),
"Check Types",($S98*INDEX(Species_Tankiness,MATCH($N98,Species_Names,0)))/225)</f>
        <v>#VALUE!</v>
      </c>
      <c r="S98" s="32" t="e">
        <f t="array" ref="S98">IF(OR(AND(COUNTBLANK(Combo_Opponent_Type_1)=1,COUNTBLANK(Combo_Opponent_Type_2)=0),AND(AND(COUNTBLANK(Combo_Opponent_Type_1)=0,COUNTBLANK(Combo_Opponent_Type_2)=0),Combo_Opponent_Type_1=Combo_Opponent_Type_2)),
"Check Types",(
IF($W98&gt;=((1-Game_Weave_Human_Error)*$X98),$W98,$X98)*INDEX(Species_Attack,MATCH($N98,Species_Names,0)))/11)</f>
        <v>#VALUE!</v>
      </c>
      <c r="T98" s="33" t="e">
        <f t="shared" si="3"/>
        <v>#VALUE!</v>
      </c>
      <c r="U98" s="33">
        <f t="array" ref="U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98,Quick_Names,0))),Type_Species)),0),1)*IF(COUNTBLANK(Combo_Opponent_Type_2)=0,INDEX(Type_Damage_Multipliers,MATCH(Combo_Opponent_Type_2,IF(Type_Move=(INDEX(Quick_Type,MATCH($O98,Quick_Names,0))),Type_Species)),0),1)*(IF(OR(INDEX(Quick_Type,MATCH($O98,Quick_Names,0))=INDEX(Species_Type_1,MATCH($N98,Species_Names,0)),INDEX(Quick_Type,MATCH($O98,Quick_Names,0))=INDEX(Species_Type_2,MATCH($N98,Species_Names,0))),Game_STAB_Multiplier,1)))</f>
        <v>1.25</v>
      </c>
      <c r="V98" s="33">
        <f t="array" ref="V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98,Charge_Names,0))),Type_Species)),0),1)*IF(COUNTBLANK(Combo_Opponent_Type_2)=0,INDEX(Type_Damage_Multipliers,MATCH(Combo_Opponent_Type_2,IF(Type_Move=(INDEX(Charge_Type,MATCH($P98,Charge_Names,0))),Type_Species)),0),1)*
IF(OR(INDEX(Charge_Type,MATCH($P98,Charge_Names,0))=INDEX(Species_Type_1,MATCH($N98,Species_Names,0)),INDEX(Charge_Type,MATCH($P98,Charge_Names,0))=INDEX(Species_Type_2,MATCH($N98,Species_Names,0))),Game_STAB_Multiplier,1))</f>
        <v>1.25</v>
      </c>
      <c r="W98" s="33" t="s">
        <v>427</v>
      </c>
      <c r="X98" s="33" t="s">
        <v>428</v>
      </c>
      <c r="Y98" s="32" t="e">
        <f t="array" ref="Y98">((($Z98)*
INDEX(Species_Attack,MATCH($N98,Species_Names,0))*
INDEX(Species_Tankiness,MATCH($N98,Species_Names,0)))/1000)</f>
        <v>#VALUE!</v>
      </c>
      <c r="Z98" s="33" t="s">
        <v>429</v>
      </c>
    </row>
    <row r="99" spans="1:26" ht="14.25" customHeight="1" x14ac:dyDescent="0.2">
      <c r="A99" s="86"/>
      <c r="B99" s="22" t="str">
        <f t="array" ref="B99">CONCATENATE(TEXT($M99,"000"),".",TEXT(INDEX(Quick_Number,MATCH($O99,Quick_Names,0)),"000"),".",TEXT(INDEX(Charge_Number,MATCH($P99,Charge_Names,0)),"000"))</f>
        <v>068.208.032</v>
      </c>
      <c r="C99" s="23" t="e">
        <f t="array" ref="C99">RANK($S99,IF(Combo_Species_Names=$N99,Combo_Gym_Offense),0)</f>
        <v>#VALUE!</v>
      </c>
      <c r="D99" s="24" t="e">
        <f t="array" ref="D99">$S99/MAX(IF(Combo_Species_Names=$N99,Combo_Gym_Offense))</f>
        <v>#VALUE!</v>
      </c>
      <c r="E99" s="23" t="e">
        <f t="array" ref="E99">RANK($Y99,IF(Combo_Species_Names=$N99,Combo_Gym_Defense),0)</f>
        <v>#VALUE!</v>
      </c>
      <c r="F99" s="25" t="e">
        <f t="array" ref="F99">$Y99/MAX(IF(Combo_Species_Names=$N99,Combo_Gym_Defense))</f>
        <v>#VALUE!</v>
      </c>
      <c r="G99" s="23" t="e">
        <f t="array" ref="G99">IF(OR(INDEX(Species_Availability,MATCH($N99,Species_Names,0))="No",INDEX(Species_Evo_Numbers,MATCH($N99,Species_Names,0))&lt;&gt;1),"N/A",RANK($R99,IF(NOT(ISNA(MATCH(Combo_Species_Names,IF(Species_Availability="Yes",IF(Species_Evo_Numbers=1,Species_Names)),0))),Combo_Duel_Ability),0))</f>
        <v>#VALUE!</v>
      </c>
      <c r="H99" s="24" t="e">
        <f t="array" ref="H99">IF(OR(INDEX(Species_Availability,MATCH($N99,Species_Names,0))="No",INDEX(Species_Evo_Numbers,MATCH($N99,Species_Names,0))&lt;&gt;1),"N/A",$R99/MAX(IF(NOT(ISNA(MATCH(Combo_Species_Names,IF(Species_Availability="Yes",IF(Species_Evo_Numbers=1,Species_Names)),0))),Combo_Duel_Ability)))</f>
        <v>#VALUE!</v>
      </c>
      <c r="I99" s="23" t="e">
        <f t="array" ref="I99">IF(OR(INDEX(Species_Availability,MATCH($N99,Species_Names,0))="No",INDEX(Species_Evo_Numbers,MATCH($N99,Species_Names,0))&lt;&gt;1),"N/A",RANK($S99,IF(NOT(ISNA(MATCH(Combo_Species_Names,IF(Species_Availability="Yes",IF(Species_Evo_Numbers=1,Species_Names)),0))),Combo_Gym_Offense),0))</f>
        <v>#VALUE!</v>
      </c>
      <c r="J99" s="24" t="e">
        <f t="array" ref="J99">IF(OR(INDEX(Species_Availability,MATCH($N99,Species_Names,0))="No",INDEX(Species_Evo_Numbers,MATCH($N99,Species_Names,0))&lt;&gt;1),"N/A",$S99/MAX(IF(NOT(ISNA(MATCH(Combo_Species_Names,IF(Species_Availability="Yes",IF(Species_Evo_Numbers=1,Species_Names)),0))),Combo_Gym_Offense)))</f>
        <v>#VALUE!</v>
      </c>
      <c r="K99" s="23" t="e">
        <f t="array" ref="K99">IF(OR(INDEX(Species_Availability,MATCH($N99,Species_Names,0))="No",INDEX(Species_Evo_Numbers,MATCH($N99,Species_Names,0))&lt;&gt;1),"N/A",RANK($Y99,IF(NOT(ISNA(MATCH(Combo_Species_Names,IF(Species_Availability="Yes",IF(Species_Evo_Numbers=1,Species_Names)),0))),Combo_Gym_Defense),0))</f>
        <v>#VALUE!</v>
      </c>
      <c r="L99" s="24" t="e">
        <f t="array" ref="L99">IF(OR(INDEX(Species_Availability,MATCH($N99,Species_Names,0))="No",INDEX(Species_Evo_Numbers,MATCH($N99,Species_Names,0))&lt;&gt;1),"N/A",$Y99/MAX(IF(NOT(ISNA(MATCH(Combo_Species_Names,IF(Species_Availability="Yes",IF(Species_Evo_Numbers=1,Species_Names)),0))),Combo_Gym_Defense)))</f>
        <v>#VALUE!</v>
      </c>
      <c r="M99" s="28">
        <f t="array" ref="M99">INDEX(Species_Pdex_Numbers,MATCH($N99,Species_Names,0))</f>
        <v>68</v>
      </c>
      <c r="N99" s="30" t="s">
        <v>227</v>
      </c>
      <c r="O99" s="31" t="s">
        <v>122</v>
      </c>
      <c r="P99" s="31" t="s">
        <v>149</v>
      </c>
      <c r="Q99" s="17" t="e">
        <f t="shared" si="2"/>
        <v>#VALUE!</v>
      </c>
      <c r="R99" s="32" t="e">
        <f t="array" ref="R99">IF(OR(AND(COUNTBLANK(Combo_Opponent_Type_1)=1,COUNTBLANK(Combo_Opponent_Type_2)=0),AND(AND(COUNTBLANK(Combo_Opponent_Type_1)=0,COUNTBLANK(Combo_Opponent_Type_2)=0),Combo_Opponent_Type_1=Combo_Opponent_Type_2)),
"Check Types",($S99*INDEX(Species_Tankiness,MATCH($N99,Species_Names,0)))/225)</f>
        <v>#VALUE!</v>
      </c>
      <c r="S99" s="32" t="e">
        <f t="array" ref="S99">IF(OR(AND(COUNTBLANK(Combo_Opponent_Type_1)=1,COUNTBLANK(Combo_Opponent_Type_2)=0),AND(AND(COUNTBLANK(Combo_Opponent_Type_1)=0,COUNTBLANK(Combo_Opponent_Type_2)=0),Combo_Opponent_Type_1=Combo_Opponent_Type_2)),
"Check Types",(
IF($W99&gt;=((1-Game_Weave_Human_Error)*$X99),$W99,$X99)*INDEX(Species_Attack,MATCH($N99,Species_Names,0)))/11)</f>
        <v>#VALUE!</v>
      </c>
      <c r="T99" s="33" t="e">
        <f t="shared" si="3"/>
        <v>#VALUE!</v>
      </c>
      <c r="U99" s="33">
        <f t="array" ref="U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99,Quick_Names,0))),Type_Species)),0),1)*IF(COUNTBLANK(Combo_Opponent_Type_2)=0,INDEX(Type_Damage_Multipliers,MATCH(Combo_Opponent_Type_2,IF(Type_Move=(INDEX(Quick_Type,MATCH($O99,Quick_Names,0))),Type_Species)),0),1)*(IF(OR(INDEX(Quick_Type,MATCH($O99,Quick_Names,0))=INDEX(Species_Type_1,MATCH($N99,Species_Names,0)),INDEX(Quick_Type,MATCH($O99,Quick_Names,0))=INDEX(Species_Type_2,MATCH($N99,Species_Names,0))),Game_STAB_Multiplier,1)))</f>
        <v>1.25</v>
      </c>
      <c r="V99" s="33">
        <f t="array" ref="V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99,Charge_Names,0))),Type_Species)),0),1)*IF(COUNTBLANK(Combo_Opponent_Type_2)=0,INDEX(Type_Damage_Multipliers,MATCH(Combo_Opponent_Type_2,IF(Type_Move=(INDEX(Charge_Type,MATCH($P99,Charge_Names,0))),Type_Species)),0),1)*
IF(OR(INDEX(Charge_Type,MATCH($P99,Charge_Names,0))=INDEX(Species_Type_1,MATCH($N99,Species_Names,0)),INDEX(Charge_Type,MATCH($P99,Charge_Names,0))=INDEX(Species_Type_2,MATCH($N99,Species_Names,0))),Game_STAB_Multiplier,1))</f>
        <v>1</v>
      </c>
      <c r="W99" s="33" t="s">
        <v>564</v>
      </c>
      <c r="X99" s="33" t="s">
        <v>565</v>
      </c>
      <c r="Y99" s="32" t="e">
        <f t="array" ref="Y99">((($Z99)*
INDEX(Species_Attack,MATCH($N99,Species_Names,0))*
INDEX(Species_Tankiness,MATCH($N99,Species_Names,0)))/1000)</f>
        <v>#VALUE!</v>
      </c>
      <c r="Z99" s="33" t="s">
        <v>566</v>
      </c>
    </row>
    <row r="100" spans="1:26" ht="14.25" customHeight="1" x14ac:dyDescent="0.2">
      <c r="A100" s="86"/>
      <c r="B100" s="22" t="str">
        <f t="array" ref="B100">CONCATENATE(TEXT($M100,"000"),".",TEXT(INDEX(Quick_Number,MATCH($O100,Quick_Names,0)),"000"),".",TEXT(INDEX(Charge_Number,MATCH($P100,Charge_Names,0)),"000"))</f>
        <v>059.202.095</v>
      </c>
      <c r="C100" s="23" t="e">
        <f t="array" ref="C100">RANK($S100,IF(Combo_Species_Names=$N100,Combo_Gym_Offense),0)</f>
        <v>#VALUE!</v>
      </c>
      <c r="D100" s="24" t="e">
        <f t="array" ref="D100">$S100/MAX(IF(Combo_Species_Names=$N100,Combo_Gym_Offense))</f>
        <v>#VALUE!</v>
      </c>
      <c r="E100" s="23" t="e">
        <f t="array" ref="E100">RANK($Y100,IF(Combo_Species_Names=$N100,Combo_Gym_Defense),0)</f>
        <v>#VALUE!</v>
      </c>
      <c r="F100" s="25" t="e">
        <f t="array" ref="F100">$Y100/MAX(IF(Combo_Species_Names=$N100,Combo_Gym_Defense))</f>
        <v>#VALUE!</v>
      </c>
      <c r="G100" s="23" t="e">
        <f t="array" ref="G100">IF(OR(INDEX(Species_Availability,MATCH($N100,Species_Names,0))="No",INDEX(Species_Evo_Numbers,MATCH($N100,Species_Names,0))&lt;&gt;1),"N/A",RANK($R100,IF(NOT(ISNA(MATCH(Combo_Species_Names,IF(Species_Availability="Yes",IF(Species_Evo_Numbers=1,Species_Names)),0))),Combo_Duel_Ability),0))</f>
        <v>#VALUE!</v>
      </c>
      <c r="H100" s="24" t="e">
        <f t="array" ref="H100">IF(OR(INDEX(Species_Availability,MATCH($N100,Species_Names,0))="No",INDEX(Species_Evo_Numbers,MATCH($N100,Species_Names,0))&lt;&gt;1),"N/A",$R100/MAX(IF(NOT(ISNA(MATCH(Combo_Species_Names,IF(Species_Availability="Yes",IF(Species_Evo_Numbers=1,Species_Names)),0))),Combo_Duel_Ability)))</f>
        <v>#VALUE!</v>
      </c>
      <c r="I100" s="23" t="e">
        <f t="array" ref="I100">IF(OR(INDEX(Species_Availability,MATCH($N100,Species_Names,0))="No",INDEX(Species_Evo_Numbers,MATCH($N100,Species_Names,0))&lt;&gt;1),"N/A",RANK($S100,IF(NOT(ISNA(MATCH(Combo_Species_Names,IF(Species_Availability="Yes",IF(Species_Evo_Numbers=1,Species_Names)),0))),Combo_Gym_Offense),0))</f>
        <v>#VALUE!</v>
      </c>
      <c r="J100" s="24" t="e">
        <f t="array" ref="J100">IF(OR(INDEX(Species_Availability,MATCH($N100,Species_Names,0))="No",INDEX(Species_Evo_Numbers,MATCH($N100,Species_Names,0))&lt;&gt;1),"N/A",$S100/MAX(IF(NOT(ISNA(MATCH(Combo_Species_Names,IF(Species_Availability="Yes",IF(Species_Evo_Numbers=1,Species_Names)),0))),Combo_Gym_Offense)))</f>
        <v>#VALUE!</v>
      </c>
      <c r="K100" s="23" t="e">
        <f t="array" ref="K100">IF(OR(INDEX(Species_Availability,MATCH($N100,Species_Names,0))="No",INDEX(Species_Evo_Numbers,MATCH($N100,Species_Names,0))&lt;&gt;1),"N/A",RANK($Y100,IF(NOT(ISNA(MATCH(Combo_Species_Names,IF(Species_Availability="Yes",IF(Species_Evo_Numbers=1,Species_Names)),0))),Combo_Gym_Defense),0))</f>
        <v>#VALUE!</v>
      </c>
      <c r="L100" s="24" t="e">
        <f t="array" ref="L100">IF(OR(INDEX(Species_Availability,MATCH($N100,Species_Names,0))="No",INDEX(Species_Evo_Numbers,MATCH($N100,Species_Names,0))&lt;&gt;1),"N/A",$Y100/MAX(IF(NOT(ISNA(MATCH(Combo_Species_Names,IF(Species_Availability="Yes",IF(Species_Evo_Numbers=1,Species_Names)),0))),Combo_Gym_Defense)))</f>
        <v>#VALUE!</v>
      </c>
      <c r="M100" s="28">
        <f t="array" ref="M100">INDEX(Species_Pdex_Numbers,MATCH($N100,Species_Names,0))</f>
        <v>59</v>
      </c>
      <c r="N100" s="30" t="s">
        <v>208</v>
      </c>
      <c r="O100" s="31" t="s">
        <v>59</v>
      </c>
      <c r="P100" s="31" t="s">
        <v>291</v>
      </c>
      <c r="Q100" s="17" t="e">
        <f t="shared" si="2"/>
        <v>#VALUE!</v>
      </c>
      <c r="R100" s="32" t="e">
        <f t="array" ref="R100">IF(OR(AND(COUNTBLANK(Combo_Opponent_Type_1)=1,COUNTBLANK(Combo_Opponent_Type_2)=0),AND(AND(COUNTBLANK(Combo_Opponent_Type_1)=0,COUNTBLANK(Combo_Opponent_Type_2)=0),Combo_Opponent_Type_1=Combo_Opponent_Type_2)),
"Check Types",($S100*INDEX(Species_Tankiness,MATCH($N100,Species_Names,0)))/225)</f>
        <v>#VALUE!</v>
      </c>
      <c r="S100" s="32" t="e">
        <f t="array" ref="S100">IF(OR(AND(COUNTBLANK(Combo_Opponent_Type_1)=1,COUNTBLANK(Combo_Opponent_Type_2)=0),AND(AND(COUNTBLANK(Combo_Opponent_Type_1)=0,COUNTBLANK(Combo_Opponent_Type_2)=0),Combo_Opponent_Type_1=Combo_Opponent_Type_2)),
"Check Types",(
IF($W100&gt;=((1-Game_Weave_Human_Error)*$X100),$W100,$X100)*INDEX(Species_Attack,MATCH($N100,Species_Names,0)))/11)</f>
        <v>#VALUE!</v>
      </c>
      <c r="T100" s="33" t="e">
        <f t="shared" si="3"/>
        <v>#VALUE!</v>
      </c>
      <c r="U100" s="33">
        <f t="array" ref="U1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100,Quick_Names,0))),Type_Species)),0),1)*IF(COUNTBLANK(Combo_Opponent_Type_2)=0,INDEX(Type_Damage_Multipliers,MATCH(Combo_Opponent_Type_2,IF(Type_Move=(INDEX(Quick_Type,MATCH($O100,Quick_Names,0))),Type_Species)),0),1)*(IF(OR(INDEX(Quick_Type,MATCH($O100,Quick_Names,0))=INDEX(Species_Type_1,MATCH($N100,Species_Names,0)),INDEX(Quick_Type,MATCH($O100,Quick_Names,0))=INDEX(Species_Type_2,MATCH($N100,Species_Names,0))),Game_STAB_Multiplier,1)))</f>
        <v>1</v>
      </c>
      <c r="V100" s="33">
        <f t="array" ref="V1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100,Charge_Names,0))),Type_Species)),0),1)*IF(COUNTBLANK(Combo_Opponent_Type_2)=0,INDEX(Type_Damage_Multipliers,MATCH(Combo_Opponent_Type_2,IF(Type_Move=(INDEX(Charge_Type,MATCH($P100,Charge_Names,0))),Type_Species)),0),1)*
IF(OR(INDEX(Charge_Type,MATCH($P100,Charge_Names,0))=INDEX(Species_Type_1,MATCH($N100,Species_Names,0)),INDEX(Charge_Type,MATCH($P100,Charge_Names,0))=INDEX(Species_Type_2,MATCH($N100,Species_Names,0))),Game_STAB_Multiplier,1))</f>
        <v>1</v>
      </c>
      <c r="W100" s="33" t="s">
        <v>453</v>
      </c>
      <c r="X100" s="33" t="s">
        <v>567</v>
      </c>
      <c r="Y100" s="32" t="e">
        <f t="array" ref="Y100">((($Z100)*
INDEX(Species_Attack,MATCH($N100,Species_Names,0))*
INDEX(Species_Tankiness,MATCH($N100,Species_Names,0)))/1000)</f>
        <v>#VALUE!</v>
      </c>
      <c r="Z100" s="33" t="s">
        <v>568</v>
      </c>
    </row>
    <row r="101" spans="1:26" ht="14.25" customHeight="1" x14ac:dyDescent="0.2">
      <c r="A101" s="86"/>
      <c r="B101" s="22" t="str">
        <f t="array" ref="B101">CONCATENATE(TEXT($M101,"000"),".",TEXT(INDEX(Quick_Number,MATCH($O101,Quick_Names,0)),"000"),".",TEXT(INDEX(Charge_Number,MATCH($P101,Charge_Names,0)),"000"))</f>
        <v>136.209.103</v>
      </c>
      <c r="C101" s="23" t="e">
        <f t="array" ref="C101">RANK($S101,IF(Combo_Species_Names=$N101,Combo_Gym_Offense),0)</f>
        <v>#VALUE!</v>
      </c>
      <c r="D101" s="24" t="e">
        <f t="array" ref="D101">$S101/MAX(IF(Combo_Species_Names=$N101,Combo_Gym_Offense))</f>
        <v>#VALUE!</v>
      </c>
      <c r="E101" s="23" t="e">
        <f t="array" ref="E101">RANK($Y101,IF(Combo_Species_Names=$N101,Combo_Gym_Defense),0)</f>
        <v>#VALUE!</v>
      </c>
      <c r="F101" s="25" t="e">
        <f t="array" ref="F101">$Y101/MAX(IF(Combo_Species_Names=$N101,Combo_Gym_Defense))</f>
        <v>#VALUE!</v>
      </c>
      <c r="G101" s="23" t="e">
        <f t="array" ref="G101">IF(OR(INDEX(Species_Availability,MATCH($N101,Species_Names,0))="No",INDEX(Species_Evo_Numbers,MATCH($N101,Species_Names,0))&lt;&gt;1),"N/A",RANK($R101,IF(NOT(ISNA(MATCH(Combo_Species_Names,IF(Species_Availability="Yes",IF(Species_Evo_Numbers=1,Species_Names)),0))),Combo_Duel_Ability),0))</f>
        <v>#VALUE!</v>
      </c>
      <c r="H101" s="24" t="e">
        <f t="array" ref="H101">IF(OR(INDEX(Species_Availability,MATCH($N101,Species_Names,0))="No",INDEX(Species_Evo_Numbers,MATCH($N101,Species_Names,0))&lt;&gt;1),"N/A",$R101/MAX(IF(NOT(ISNA(MATCH(Combo_Species_Names,IF(Species_Availability="Yes",IF(Species_Evo_Numbers=1,Species_Names)),0))),Combo_Duel_Ability)))</f>
        <v>#VALUE!</v>
      </c>
      <c r="I101" s="23" t="e">
        <f t="array" ref="I101">IF(OR(INDEX(Species_Availability,MATCH($N101,Species_Names,0))="No",INDEX(Species_Evo_Numbers,MATCH($N101,Species_Names,0))&lt;&gt;1),"N/A",RANK($S101,IF(NOT(ISNA(MATCH(Combo_Species_Names,IF(Species_Availability="Yes",IF(Species_Evo_Numbers=1,Species_Names)),0))),Combo_Gym_Offense),0))</f>
        <v>#VALUE!</v>
      </c>
      <c r="J101" s="24" t="e">
        <f t="array" ref="J101">IF(OR(INDEX(Species_Availability,MATCH($N101,Species_Names,0))="No",INDEX(Species_Evo_Numbers,MATCH($N101,Species_Names,0))&lt;&gt;1),"N/A",$S101/MAX(IF(NOT(ISNA(MATCH(Combo_Species_Names,IF(Species_Availability="Yes",IF(Species_Evo_Numbers=1,Species_Names)),0))),Combo_Gym_Offense)))</f>
        <v>#VALUE!</v>
      </c>
      <c r="K101" s="23" t="e">
        <f t="array" ref="K101">IF(OR(INDEX(Species_Availability,MATCH($N101,Species_Names,0))="No",INDEX(Species_Evo_Numbers,MATCH($N101,Species_Names,0))&lt;&gt;1),"N/A",RANK($Y101,IF(NOT(ISNA(MATCH(Combo_Species_Names,IF(Species_Availability="Yes",IF(Species_Evo_Numbers=1,Species_Names)),0))),Combo_Gym_Defense),0))</f>
        <v>#VALUE!</v>
      </c>
      <c r="L101" s="24" t="e">
        <f t="array" ref="L101">IF(OR(INDEX(Species_Availability,MATCH($N101,Species_Names,0))="No",INDEX(Species_Evo_Numbers,MATCH($N101,Species_Names,0))&lt;&gt;1),"N/A",$Y101/MAX(IF(NOT(ISNA(MATCH(Combo_Species_Names,IF(Species_Availability="Yes",IF(Species_Evo_Numbers=1,Species_Names)),0))),Combo_Gym_Defense)))</f>
        <v>#VALUE!</v>
      </c>
      <c r="M101" s="28">
        <f t="array" ref="M101">INDEX(Species_Pdex_Numbers,MATCH($N101,Species_Names,0))</f>
        <v>136</v>
      </c>
      <c r="N101" s="30" t="s">
        <v>354</v>
      </c>
      <c r="O101" s="31" t="s">
        <v>111</v>
      </c>
      <c r="P101" s="31" t="s">
        <v>163</v>
      </c>
      <c r="Q101" s="17" t="e">
        <f t="shared" si="2"/>
        <v>#VALUE!</v>
      </c>
      <c r="R101" s="32" t="e">
        <f t="array" ref="R101">IF(OR(AND(COUNTBLANK(Combo_Opponent_Type_1)=1,COUNTBLANK(Combo_Opponent_Type_2)=0),AND(AND(COUNTBLANK(Combo_Opponent_Type_1)=0,COUNTBLANK(Combo_Opponent_Type_2)=0),Combo_Opponent_Type_1=Combo_Opponent_Type_2)),
"Check Types",($S101*INDEX(Species_Tankiness,MATCH($N101,Species_Names,0)))/225)</f>
        <v>#VALUE!</v>
      </c>
      <c r="S101" s="32" t="e">
        <f t="array" ref="S101">IF(OR(AND(COUNTBLANK(Combo_Opponent_Type_1)=1,COUNTBLANK(Combo_Opponent_Type_2)=0),AND(AND(COUNTBLANK(Combo_Opponent_Type_1)=0,COUNTBLANK(Combo_Opponent_Type_2)=0),Combo_Opponent_Type_1=Combo_Opponent_Type_2)),
"Check Types",(
IF($W101&gt;=((1-Game_Weave_Human_Error)*$X101),$W101,$X101)*INDEX(Species_Attack,MATCH($N101,Species_Names,0)))/11)</f>
        <v>#VALUE!</v>
      </c>
      <c r="T101" s="33" t="e">
        <f t="shared" si="3"/>
        <v>#VALUE!</v>
      </c>
      <c r="U101" s="33">
        <f t="array" ref="U1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101,Quick_Names,0))),Type_Species)),0),1)*IF(COUNTBLANK(Combo_Opponent_Type_2)=0,INDEX(Type_Damage_Multipliers,MATCH(Combo_Opponent_Type_2,IF(Type_Move=(INDEX(Quick_Type,MATCH($O101,Quick_Names,0))),Type_Species)),0),1)*(IF(OR(INDEX(Quick_Type,MATCH($O101,Quick_Names,0))=INDEX(Species_Type_1,MATCH($N101,Species_Names,0)),INDEX(Quick_Type,MATCH($O101,Quick_Names,0))=INDEX(Species_Type_2,MATCH($N101,Species_Names,0))),Game_STAB_Multiplier,1)))</f>
        <v>1.25</v>
      </c>
      <c r="V101" s="33">
        <f t="array" ref="V1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101,Charge_Names,0))),Type_Species)),0),1)*IF(COUNTBLANK(Combo_Opponent_Type_2)=0,INDEX(Type_Damage_Multipliers,MATCH(Combo_Opponent_Type_2,IF(Type_Move=(INDEX(Charge_Type,MATCH($P101,Charge_Names,0))),Type_Species)),0),1)*
IF(OR(INDEX(Charge_Type,MATCH($P101,Charge_Names,0))=INDEX(Species_Type_1,MATCH($N101,Species_Names,0)),INDEX(Charge_Type,MATCH($P101,Charge_Names,0))=INDEX(Species_Type_2,MATCH($N101,Species_Names,0))),Game_STAB_Multiplier,1))</f>
        <v>1.25</v>
      </c>
      <c r="W101" s="33" t="s">
        <v>511</v>
      </c>
      <c r="X101" s="33" t="s">
        <v>508</v>
      </c>
      <c r="Y101" s="32" t="e">
        <f t="array" ref="Y101">((($Z101)*
INDEX(Species_Attack,MATCH($N101,Species_Names,0))*
INDEX(Species_Tankiness,MATCH($N101,Species_Names,0)))/1000)</f>
        <v>#VALUE!</v>
      </c>
      <c r="Z101" s="33" t="s">
        <v>543</v>
      </c>
    </row>
    <row r="102" spans="1:26" ht="14.25" customHeight="1" x14ac:dyDescent="0.2">
      <c r="A102" s="86"/>
      <c r="B102" s="22" t="str">
        <f t="array" ref="B102">CONCATENATE(TEXT($M102,"000"),".",TEXT(INDEX(Quick_Number,MATCH($O102,Quick_Names,0)),"000"),".",TEXT(INDEX(Charge_Number,MATCH($P102,Charge_Names,0)),"000"))</f>
        <v>097.234.108</v>
      </c>
      <c r="C102" s="23" t="e">
        <f t="array" ref="C102">RANK($S102,IF(Combo_Species_Names=$N102,Combo_Gym_Offense),0)</f>
        <v>#VALUE!</v>
      </c>
      <c r="D102" s="24" t="e">
        <f t="array" ref="D102">$S102/MAX(IF(Combo_Species_Names=$N102,Combo_Gym_Offense))</f>
        <v>#VALUE!</v>
      </c>
      <c r="E102" s="23" t="e">
        <f t="array" ref="E102">RANK($Y102,IF(Combo_Species_Names=$N102,Combo_Gym_Defense),0)</f>
        <v>#VALUE!</v>
      </c>
      <c r="F102" s="25" t="e">
        <f t="array" ref="F102">$Y102/MAX(IF(Combo_Species_Names=$N102,Combo_Gym_Defense))</f>
        <v>#VALUE!</v>
      </c>
      <c r="G102" s="23" t="e">
        <f t="array" ref="G102">IF(OR(INDEX(Species_Availability,MATCH($N102,Species_Names,0))="No",INDEX(Species_Evo_Numbers,MATCH($N102,Species_Names,0))&lt;&gt;1),"N/A",RANK($R102,IF(NOT(ISNA(MATCH(Combo_Species_Names,IF(Species_Availability="Yes",IF(Species_Evo_Numbers=1,Species_Names)),0))),Combo_Duel_Ability),0))</f>
        <v>#VALUE!</v>
      </c>
      <c r="H102" s="24" t="e">
        <f t="array" ref="H102">IF(OR(INDEX(Species_Availability,MATCH($N102,Species_Names,0))="No",INDEX(Species_Evo_Numbers,MATCH($N102,Species_Names,0))&lt;&gt;1),"N/A",$R102/MAX(IF(NOT(ISNA(MATCH(Combo_Species_Names,IF(Species_Availability="Yes",IF(Species_Evo_Numbers=1,Species_Names)),0))),Combo_Duel_Ability)))</f>
        <v>#VALUE!</v>
      </c>
      <c r="I102" s="23" t="e">
        <f t="array" ref="I102">IF(OR(INDEX(Species_Availability,MATCH($N102,Species_Names,0))="No",INDEX(Species_Evo_Numbers,MATCH($N102,Species_Names,0))&lt;&gt;1),"N/A",RANK($S102,IF(NOT(ISNA(MATCH(Combo_Species_Names,IF(Species_Availability="Yes",IF(Species_Evo_Numbers=1,Species_Names)),0))),Combo_Gym_Offense),0))</f>
        <v>#VALUE!</v>
      </c>
      <c r="J102" s="24" t="e">
        <f t="array" ref="J102">IF(OR(INDEX(Species_Availability,MATCH($N102,Species_Names,0))="No",INDEX(Species_Evo_Numbers,MATCH($N102,Species_Names,0))&lt;&gt;1),"N/A",$S102/MAX(IF(NOT(ISNA(MATCH(Combo_Species_Names,IF(Species_Availability="Yes",IF(Species_Evo_Numbers=1,Species_Names)),0))),Combo_Gym_Offense)))</f>
        <v>#VALUE!</v>
      </c>
      <c r="K102" s="23" t="e">
        <f t="array" ref="K102">IF(OR(INDEX(Species_Availability,MATCH($N102,Species_Names,0))="No",INDEX(Species_Evo_Numbers,MATCH($N102,Species_Names,0))&lt;&gt;1),"N/A",RANK($Y102,IF(NOT(ISNA(MATCH(Combo_Species_Names,IF(Species_Availability="Yes",IF(Species_Evo_Numbers=1,Species_Names)),0))),Combo_Gym_Defense),0))</f>
        <v>#VALUE!</v>
      </c>
      <c r="L102" s="24" t="e">
        <f t="array" ref="L102">IF(OR(INDEX(Species_Availability,MATCH($N102,Species_Names,0))="No",INDEX(Species_Evo_Numbers,MATCH($N102,Species_Names,0))&lt;&gt;1),"N/A",$Y102/MAX(IF(NOT(ISNA(MATCH(Combo_Species_Names,IF(Species_Availability="Yes",IF(Species_Evo_Numbers=1,Species_Names)),0))),Combo_Gym_Defense)))</f>
        <v>#VALUE!</v>
      </c>
      <c r="M102" s="28">
        <f t="array" ref="M102">INDEX(Species_Pdex_Numbers,MATCH($N102,Species_Names,0))</f>
        <v>97</v>
      </c>
      <c r="N102" s="30" t="s">
        <v>293</v>
      </c>
      <c r="O102" s="31" t="s">
        <v>79</v>
      </c>
      <c r="P102" s="31" t="s">
        <v>58</v>
      </c>
      <c r="Q102" s="17" t="e">
        <f t="shared" si="2"/>
        <v>#VALUE!</v>
      </c>
      <c r="R102" s="32" t="e">
        <f t="array" ref="R102">IF(OR(AND(COUNTBLANK(Combo_Opponent_Type_1)=1,COUNTBLANK(Combo_Opponent_Type_2)=0),AND(AND(COUNTBLANK(Combo_Opponent_Type_1)=0,COUNTBLANK(Combo_Opponent_Type_2)=0),Combo_Opponent_Type_1=Combo_Opponent_Type_2)),
"Check Types",($S102*INDEX(Species_Tankiness,MATCH($N102,Species_Names,0)))/225)</f>
        <v>#VALUE!</v>
      </c>
      <c r="S102" s="32" t="e">
        <f t="array" ref="S102">IF(OR(AND(COUNTBLANK(Combo_Opponent_Type_1)=1,COUNTBLANK(Combo_Opponent_Type_2)=0),AND(AND(COUNTBLANK(Combo_Opponent_Type_1)=0,COUNTBLANK(Combo_Opponent_Type_2)=0),Combo_Opponent_Type_1=Combo_Opponent_Type_2)),
"Check Types",(
IF($W102&gt;=((1-Game_Weave_Human_Error)*$X102),$W102,$X102)*INDEX(Species_Attack,MATCH($N102,Species_Names,0)))/11)</f>
        <v>#VALUE!</v>
      </c>
      <c r="T102" s="33" t="e">
        <f t="shared" si="3"/>
        <v>#VALUE!</v>
      </c>
      <c r="U102" s="33">
        <f t="array" ref="U1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102,Quick_Names,0))),Type_Species)),0),1)*IF(COUNTBLANK(Combo_Opponent_Type_2)=0,INDEX(Type_Damage_Multipliers,MATCH(Combo_Opponent_Type_2,IF(Type_Move=(INDEX(Quick_Type,MATCH($O102,Quick_Names,0))),Type_Species)),0),1)*(IF(OR(INDEX(Quick_Type,MATCH($O102,Quick_Names,0))=INDEX(Species_Type_1,MATCH($N102,Species_Names,0)),INDEX(Quick_Type,MATCH($O102,Quick_Names,0))=INDEX(Species_Type_2,MATCH($N102,Species_Names,0))),Game_STAB_Multiplier,1)))</f>
        <v>1.25</v>
      </c>
      <c r="V102" s="33">
        <f t="array" ref="V1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102,Charge_Names,0))),Type_Species)),0),1)*IF(COUNTBLANK(Combo_Opponent_Type_2)=0,INDEX(Type_Damage_Multipliers,MATCH(Combo_Opponent_Type_2,IF(Type_Move=(INDEX(Charge_Type,MATCH($P102,Charge_Names,0))),Type_Species)),0),1)*
IF(OR(INDEX(Charge_Type,MATCH($P102,Charge_Names,0))=INDEX(Species_Type_1,MATCH($N102,Species_Names,0)),INDEX(Charge_Type,MATCH($P102,Charge_Names,0))=INDEX(Species_Type_2,MATCH($N102,Species_Names,0))),Game_STAB_Multiplier,1))</f>
        <v>1.25</v>
      </c>
      <c r="W102" s="33" t="s">
        <v>446</v>
      </c>
      <c r="X102" s="33" t="s">
        <v>470</v>
      </c>
      <c r="Y102" s="32" t="e">
        <f t="array" ref="Y102">((($Z102)*
INDEX(Species_Attack,MATCH($N102,Species_Names,0))*
INDEX(Species_Tankiness,MATCH($N102,Species_Names,0)))/1000)</f>
        <v>#VALUE!</v>
      </c>
      <c r="Z102" s="33" t="s">
        <v>471</v>
      </c>
    </row>
    <row r="103" spans="1:26" ht="14.25" customHeight="1" x14ac:dyDescent="0.2">
      <c r="A103" s="86"/>
      <c r="B103" s="22" t="str">
        <f t="array" ref="B103">CONCATENATE(TEXT($M103,"000"),".",TEXT(INDEX(Quick_Number,MATCH($O103,Quick_Names,0)),"000"),".",TEXT(INDEX(Charge_Number,MATCH($P103,Charge_Names,0)),"000"))</f>
        <v>073.224.040</v>
      </c>
      <c r="C103" s="23" t="e">
        <f t="array" ref="C103">RANK($S103,IF(Combo_Species_Names=$N103,Combo_Gym_Offense),0)</f>
        <v>#VALUE!</v>
      </c>
      <c r="D103" s="24" t="e">
        <f t="array" ref="D103">$S103/MAX(IF(Combo_Species_Names=$N103,Combo_Gym_Offense))</f>
        <v>#VALUE!</v>
      </c>
      <c r="E103" s="23" t="e">
        <f t="array" ref="E103">RANK($Y103,IF(Combo_Species_Names=$N103,Combo_Gym_Defense),0)</f>
        <v>#VALUE!</v>
      </c>
      <c r="F103" s="25" t="e">
        <f t="array" ref="F103">$Y103/MAX(IF(Combo_Species_Names=$N103,Combo_Gym_Defense))</f>
        <v>#VALUE!</v>
      </c>
      <c r="G103" s="23" t="e">
        <f t="array" ref="G103">IF(OR(INDEX(Species_Availability,MATCH($N103,Species_Names,0))="No",INDEX(Species_Evo_Numbers,MATCH($N103,Species_Names,0))&lt;&gt;1),"N/A",RANK($R103,IF(NOT(ISNA(MATCH(Combo_Species_Names,IF(Species_Availability="Yes",IF(Species_Evo_Numbers=1,Species_Names)),0))),Combo_Duel_Ability),0))</f>
        <v>#VALUE!</v>
      </c>
      <c r="H103" s="24" t="e">
        <f t="array" ref="H103">IF(OR(INDEX(Species_Availability,MATCH($N103,Species_Names,0))="No",INDEX(Species_Evo_Numbers,MATCH($N103,Species_Names,0))&lt;&gt;1),"N/A",$R103/MAX(IF(NOT(ISNA(MATCH(Combo_Species_Names,IF(Species_Availability="Yes",IF(Species_Evo_Numbers=1,Species_Names)),0))),Combo_Duel_Ability)))</f>
        <v>#VALUE!</v>
      </c>
      <c r="I103" s="23" t="e">
        <f t="array" ref="I103">IF(OR(INDEX(Species_Availability,MATCH($N103,Species_Names,0))="No",INDEX(Species_Evo_Numbers,MATCH($N103,Species_Names,0))&lt;&gt;1),"N/A",RANK($S103,IF(NOT(ISNA(MATCH(Combo_Species_Names,IF(Species_Availability="Yes",IF(Species_Evo_Numbers=1,Species_Names)),0))),Combo_Gym_Offense),0))</f>
        <v>#VALUE!</v>
      </c>
      <c r="J103" s="24" t="e">
        <f t="array" ref="J103">IF(OR(INDEX(Species_Availability,MATCH($N103,Species_Names,0))="No",INDEX(Species_Evo_Numbers,MATCH($N103,Species_Names,0))&lt;&gt;1),"N/A",$S103/MAX(IF(NOT(ISNA(MATCH(Combo_Species_Names,IF(Species_Availability="Yes",IF(Species_Evo_Numbers=1,Species_Names)),0))),Combo_Gym_Offense)))</f>
        <v>#VALUE!</v>
      </c>
      <c r="K103" s="23" t="e">
        <f t="array" ref="K103">IF(OR(INDEX(Species_Availability,MATCH($N103,Species_Names,0))="No",INDEX(Species_Evo_Numbers,MATCH($N103,Species_Names,0))&lt;&gt;1),"N/A",RANK($Y103,IF(NOT(ISNA(MATCH(Combo_Species_Names,IF(Species_Availability="Yes",IF(Species_Evo_Numbers=1,Species_Names)),0))),Combo_Gym_Defense),0))</f>
        <v>#VALUE!</v>
      </c>
      <c r="L103" s="24" t="e">
        <f t="array" ref="L103">IF(OR(INDEX(Species_Availability,MATCH($N103,Species_Names,0))="No",INDEX(Species_Evo_Numbers,MATCH($N103,Species_Names,0))&lt;&gt;1),"N/A",$Y103/MAX(IF(NOT(ISNA(MATCH(Combo_Species_Names,IF(Species_Availability="Yes",IF(Species_Evo_Numbers=1,Species_Names)),0))),Combo_Gym_Defense)))</f>
        <v>#VALUE!</v>
      </c>
      <c r="M103" s="28">
        <f t="array" ref="M103">INDEX(Species_Pdex_Numbers,MATCH($N103,Species_Names,0))</f>
        <v>73</v>
      </c>
      <c r="N103" s="30" t="s">
        <v>237</v>
      </c>
      <c r="O103" s="31" t="s">
        <v>77</v>
      </c>
      <c r="P103" s="31" t="s">
        <v>153</v>
      </c>
      <c r="Q103" s="17" t="e">
        <f t="shared" si="2"/>
        <v>#VALUE!</v>
      </c>
      <c r="R103" s="32" t="e">
        <f t="array" ref="R103">IF(OR(AND(COUNTBLANK(Combo_Opponent_Type_1)=1,COUNTBLANK(Combo_Opponent_Type_2)=0),AND(AND(COUNTBLANK(Combo_Opponent_Type_1)=0,COUNTBLANK(Combo_Opponent_Type_2)=0),Combo_Opponent_Type_1=Combo_Opponent_Type_2)),
"Check Types",($S103*INDEX(Species_Tankiness,MATCH($N103,Species_Names,0)))/225)</f>
        <v>#VALUE!</v>
      </c>
      <c r="S103" s="32" t="e">
        <f t="array" ref="S103">IF(OR(AND(COUNTBLANK(Combo_Opponent_Type_1)=1,COUNTBLANK(Combo_Opponent_Type_2)=0),AND(AND(COUNTBLANK(Combo_Opponent_Type_1)=0,COUNTBLANK(Combo_Opponent_Type_2)=0),Combo_Opponent_Type_1=Combo_Opponent_Type_2)),
"Check Types",(
IF($W103&gt;=((1-Game_Weave_Human_Error)*$X103),$W103,$X103)*INDEX(Species_Attack,MATCH($N103,Species_Names,0)))/11)</f>
        <v>#VALUE!</v>
      </c>
      <c r="T103" s="33" t="e">
        <f t="shared" si="3"/>
        <v>#VALUE!</v>
      </c>
      <c r="U103" s="33">
        <f t="array" ref="U1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103,Quick_Names,0))),Type_Species)),0),1)*IF(COUNTBLANK(Combo_Opponent_Type_2)=0,INDEX(Type_Damage_Multipliers,MATCH(Combo_Opponent_Type_2,IF(Type_Move=(INDEX(Quick_Type,MATCH($O103,Quick_Names,0))),Type_Species)),0),1)*(IF(OR(INDEX(Quick_Type,MATCH($O103,Quick_Names,0))=INDEX(Species_Type_1,MATCH($N103,Species_Names,0)),INDEX(Quick_Type,MATCH($O103,Quick_Names,0))=INDEX(Species_Type_2,MATCH($N103,Species_Names,0))),Game_STAB_Multiplier,1)))</f>
        <v>1.25</v>
      </c>
      <c r="V103" s="33">
        <f t="array" ref="V1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103,Charge_Names,0))),Type_Species)),0),1)*IF(COUNTBLANK(Combo_Opponent_Type_2)=0,INDEX(Type_Damage_Multipliers,MATCH(Combo_Opponent_Type_2,IF(Type_Move=(INDEX(Charge_Type,MATCH($P103,Charge_Names,0))),Type_Species)),0),1)*
IF(OR(INDEX(Charge_Type,MATCH($P103,Charge_Names,0))=INDEX(Species_Type_1,MATCH($N103,Species_Names,0)),INDEX(Charge_Type,MATCH($P103,Charge_Names,0))=INDEX(Species_Type_2,MATCH($N103,Species_Names,0))),Game_STAB_Multiplier,1))</f>
        <v>1</v>
      </c>
      <c r="W103" s="33" t="s">
        <v>446</v>
      </c>
      <c r="X103" s="33" t="s">
        <v>569</v>
      </c>
      <c r="Y103" s="32" t="e">
        <f t="array" ref="Y103">((($Z103)*
INDEX(Species_Attack,MATCH($N103,Species_Names,0))*
INDEX(Species_Tankiness,MATCH($N103,Species_Names,0)))/1000)</f>
        <v>#VALUE!</v>
      </c>
      <c r="Z103" s="33" t="s">
        <v>570</v>
      </c>
    </row>
    <row r="104" spans="1:26" ht="14.25" customHeight="1" x14ac:dyDescent="0.2">
      <c r="A104" s="86"/>
      <c r="B104" s="22" t="str">
        <f t="array" ref="B104">CONCATENATE(TEXT($M104,"000"),".",TEXT(INDEX(Quick_Number,MATCH($O104,Quick_Names,0)),"000"),".",TEXT(INDEX(Charge_Number,MATCH($P104,Charge_Names,0)),"000"))</f>
        <v>036.222.108</v>
      </c>
      <c r="C104" s="23" t="e">
        <f t="array" ref="C104">RANK($S104,IF(Combo_Species_Names=$N104,Combo_Gym_Offense),0)</f>
        <v>#VALUE!</v>
      </c>
      <c r="D104" s="24" t="e">
        <f t="array" ref="D104">$S104/MAX(IF(Combo_Species_Names=$N104,Combo_Gym_Offense))</f>
        <v>#VALUE!</v>
      </c>
      <c r="E104" s="23" t="e">
        <f t="array" ref="E104">RANK($Y104,IF(Combo_Species_Names=$N104,Combo_Gym_Defense),0)</f>
        <v>#VALUE!</v>
      </c>
      <c r="F104" s="25" t="e">
        <f t="array" ref="F104">$Y104/MAX(IF(Combo_Species_Names=$N104,Combo_Gym_Defense))</f>
        <v>#VALUE!</v>
      </c>
      <c r="G104" s="23" t="e">
        <f t="array" ref="G104">IF(OR(INDEX(Species_Availability,MATCH($N104,Species_Names,0))="No",INDEX(Species_Evo_Numbers,MATCH($N104,Species_Names,0))&lt;&gt;1),"N/A",RANK($R104,IF(NOT(ISNA(MATCH(Combo_Species_Names,IF(Species_Availability="Yes",IF(Species_Evo_Numbers=1,Species_Names)),0))),Combo_Duel_Ability),0))</f>
        <v>#VALUE!</v>
      </c>
      <c r="H104" s="24" t="e">
        <f t="array" ref="H104">IF(OR(INDEX(Species_Availability,MATCH($N104,Species_Names,0))="No",INDEX(Species_Evo_Numbers,MATCH($N104,Species_Names,0))&lt;&gt;1),"N/A",$R104/MAX(IF(NOT(ISNA(MATCH(Combo_Species_Names,IF(Species_Availability="Yes",IF(Species_Evo_Numbers=1,Species_Names)),0))),Combo_Duel_Ability)))</f>
        <v>#VALUE!</v>
      </c>
      <c r="I104" s="23" t="e">
        <f t="array" ref="I104">IF(OR(INDEX(Species_Availability,MATCH($N104,Species_Names,0))="No",INDEX(Species_Evo_Numbers,MATCH($N104,Species_Names,0))&lt;&gt;1),"N/A",RANK($S104,IF(NOT(ISNA(MATCH(Combo_Species_Names,IF(Species_Availability="Yes",IF(Species_Evo_Numbers=1,Species_Names)),0))),Combo_Gym_Offense),0))</f>
        <v>#VALUE!</v>
      </c>
      <c r="J104" s="24" t="e">
        <f t="array" ref="J104">IF(OR(INDEX(Species_Availability,MATCH($N104,Species_Names,0))="No",INDEX(Species_Evo_Numbers,MATCH($N104,Species_Names,0))&lt;&gt;1),"N/A",$S104/MAX(IF(NOT(ISNA(MATCH(Combo_Species_Names,IF(Species_Availability="Yes",IF(Species_Evo_Numbers=1,Species_Names)),0))),Combo_Gym_Offense)))</f>
        <v>#VALUE!</v>
      </c>
      <c r="K104" s="23" t="e">
        <f t="array" ref="K104">IF(OR(INDEX(Species_Availability,MATCH($N104,Species_Names,0))="No",INDEX(Species_Evo_Numbers,MATCH($N104,Species_Names,0))&lt;&gt;1),"N/A",RANK($Y104,IF(NOT(ISNA(MATCH(Combo_Species_Names,IF(Species_Availability="Yes",IF(Species_Evo_Numbers=1,Species_Names)),0))),Combo_Gym_Defense),0))</f>
        <v>#VALUE!</v>
      </c>
      <c r="L104" s="24" t="e">
        <f t="array" ref="L104">IF(OR(INDEX(Species_Availability,MATCH($N104,Species_Names,0))="No",INDEX(Species_Evo_Numbers,MATCH($N104,Species_Names,0))&lt;&gt;1),"N/A",$Y104/MAX(IF(NOT(ISNA(MATCH(Combo_Species_Names,IF(Species_Availability="Yes",IF(Species_Evo_Numbers=1,Species_Names)),0))),Combo_Gym_Defense)))</f>
        <v>#VALUE!</v>
      </c>
      <c r="M104" s="28">
        <f t="array" ref="M104">INDEX(Species_Pdex_Numbers,MATCH($N104,Species_Names,0))</f>
        <v>36</v>
      </c>
      <c r="N104" s="30" t="s">
        <v>164</v>
      </c>
      <c r="O104" s="31" t="s">
        <v>32</v>
      </c>
      <c r="P104" s="31" t="s">
        <v>58</v>
      </c>
      <c r="Q104" s="17" t="e">
        <f t="shared" si="2"/>
        <v>#VALUE!</v>
      </c>
      <c r="R104" s="32" t="e">
        <f t="array" ref="R104">IF(OR(AND(COUNTBLANK(Combo_Opponent_Type_1)=1,COUNTBLANK(Combo_Opponent_Type_2)=0),AND(AND(COUNTBLANK(Combo_Opponent_Type_1)=0,COUNTBLANK(Combo_Opponent_Type_2)=0),Combo_Opponent_Type_1=Combo_Opponent_Type_2)),
"Check Types",($S104*INDEX(Species_Tankiness,MATCH($N104,Species_Names,0)))/225)</f>
        <v>#VALUE!</v>
      </c>
      <c r="S104" s="32" t="e">
        <f t="array" ref="S104">IF(OR(AND(COUNTBLANK(Combo_Opponent_Type_1)=1,COUNTBLANK(Combo_Opponent_Type_2)=0),AND(AND(COUNTBLANK(Combo_Opponent_Type_1)=0,COUNTBLANK(Combo_Opponent_Type_2)=0),Combo_Opponent_Type_1=Combo_Opponent_Type_2)),
"Check Types",(
IF($W104&gt;=((1-Game_Weave_Human_Error)*$X104),$W104,$X104)*INDEX(Species_Attack,MATCH($N104,Species_Names,0)))/11)</f>
        <v>#VALUE!</v>
      </c>
      <c r="T104" s="33" t="e">
        <f t="shared" si="3"/>
        <v>#VALUE!</v>
      </c>
      <c r="U104" s="33">
        <f t="array" ref="U1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104,Quick_Names,0))),Type_Species)),0),1)*IF(COUNTBLANK(Combo_Opponent_Type_2)=0,INDEX(Type_Damage_Multipliers,MATCH(Combo_Opponent_Type_2,IF(Type_Move=(INDEX(Quick_Type,MATCH($O104,Quick_Names,0))),Type_Species)),0),1)*(IF(OR(INDEX(Quick_Type,MATCH($O104,Quick_Names,0))=INDEX(Species_Type_1,MATCH($N104,Species_Names,0)),INDEX(Quick_Type,MATCH($O104,Quick_Names,0))=INDEX(Species_Type_2,MATCH($N104,Species_Names,0))),Game_STAB_Multiplier,1)))</f>
        <v>1</v>
      </c>
      <c r="V104" s="33">
        <f t="array" ref="V1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104,Charge_Names,0))),Type_Species)),0),1)*IF(COUNTBLANK(Combo_Opponent_Type_2)=0,INDEX(Type_Damage_Multipliers,MATCH(Combo_Opponent_Type_2,IF(Type_Move=(INDEX(Charge_Type,MATCH($P104,Charge_Names,0))),Type_Species)),0),1)*
IF(OR(INDEX(Charge_Type,MATCH($P104,Charge_Names,0))=INDEX(Species_Type_1,MATCH($N104,Species_Names,0)),INDEX(Charge_Type,MATCH($P104,Charge_Names,0))=INDEX(Species_Type_2,MATCH($N104,Species_Names,0))),Game_STAB_Multiplier,1))</f>
        <v>1</v>
      </c>
      <c r="W104" s="33" t="s">
        <v>536</v>
      </c>
      <c r="X104" s="33" t="s">
        <v>571</v>
      </c>
      <c r="Y104" s="32" t="e">
        <f t="array" ref="Y104">((($Z104)*
INDEX(Species_Attack,MATCH($N104,Species_Names,0))*
INDEX(Species_Tankiness,MATCH($N104,Species_Names,0)))/1000)</f>
        <v>#VALUE!</v>
      </c>
      <c r="Z104" s="33" t="s">
        <v>572</v>
      </c>
    </row>
    <row r="105" spans="1:26" ht="14.25" customHeight="1" x14ac:dyDescent="0.2">
      <c r="A105" s="86"/>
      <c r="B105" s="22" t="str">
        <f t="array" ref="B105">CONCATENATE(TEXT($M105,"000"),".",TEXT(INDEX(Quick_Number,MATCH($O105,Quick_Names,0)),"000"),".",TEXT(INDEX(Charge_Number,MATCH($P105,Charge_Names,0)),"000"))</f>
        <v>062.237.033</v>
      </c>
      <c r="C105" s="23" t="e">
        <f t="array" ref="C105">RANK($S105,IF(Combo_Species_Names=$N105,Combo_Gym_Offense),0)</f>
        <v>#VALUE!</v>
      </c>
      <c r="D105" s="24" t="e">
        <f t="array" ref="D105">$S105/MAX(IF(Combo_Species_Names=$N105,Combo_Gym_Offense))</f>
        <v>#VALUE!</v>
      </c>
      <c r="E105" s="23" t="e">
        <f t="array" ref="E105">RANK($Y105,IF(Combo_Species_Names=$N105,Combo_Gym_Defense),0)</f>
        <v>#VALUE!</v>
      </c>
      <c r="F105" s="25" t="e">
        <f t="array" ref="F105">$Y105/MAX(IF(Combo_Species_Names=$N105,Combo_Gym_Defense))</f>
        <v>#VALUE!</v>
      </c>
      <c r="G105" s="23" t="e">
        <f t="array" ref="G105">IF(OR(INDEX(Species_Availability,MATCH($N105,Species_Names,0))="No",INDEX(Species_Evo_Numbers,MATCH($N105,Species_Names,0))&lt;&gt;1),"N/A",RANK($R105,IF(NOT(ISNA(MATCH(Combo_Species_Names,IF(Species_Availability="Yes",IF(Species_Evo_Numbers=1,Species_Names)),0))),Combo_Duel_Ability),0))</f>
        <v>#VALUE!</v>
      </c>
      <c r="H105" s="24" t="e">
        <f t="array" ref="H105">IF(OR(INDEX(Species_Availability,MATCH($N105,Species_Names,0))="No",INDEX(Species_Evo_Numbers,MATCH($N105,Species_Names,0))&lt;&gt;1),"N/A",$R105/MAX(IF(NOT(ISNA(MATCH(Combo_Species_Names,IF(Species_Availability="Yes",IF(Species_Evo_Numbers=1,Species_Names)),0))),Combo_Duel_Ability)))</f>
        <v>#VALUE!</v>
      </c>
      <c r="I105" s="23" t="e">
        <f t="array" ref="I105">IF(OR(INDEX(Species_Availability,MATCH($N105,Species_Names,0))="No",INDEX(Species_Evo_Numbers,MATCH($N105,Species_Names,0))&lt;&gt;1),"N/A",RANK($S105,IF(NOT(ISNA(MATCH(Combo_Species_Names,IF(Species_Availability="Yes",IF(Species_Evo_Numbers=1,Species_Names)),0))),Combo_Gym_Offense),0))</f>
        <v>#VALUE!</v>
      </c>
      <c r="J105" s="24" t="e">
        <f t="array" ref="J105">IF(OR(INDEX(Species_Availability,MATCH($N105,Species_Names,0))="No",INDEX(Species_Evo_Numbers,MATCH($N105,Species_Names,0))&lt;&gt;1),"N/A",$S105/MAX(IF(NOT(ISNA(MATCH(Combo_Species_Names,IF(Species_Availability="Yes",IF(Species_Evo_Numbers=1,Species_Names)),0))),Combo_Gym_Offense)))</f>
        <v>#VALUE!</v>
      </c>
      <c r="K105" s="23" t="e">
        <f t="array" ref="K105">IF(OR(INDEX(Species_Availability,MATCH($N105,Species_Names,0))="No",INDEX(Species_Evo_Numbers,MATCH($N105,Species_Names,0))&lt;&gt;1),"N/A",RANK($Y105,IF(NOT(ISNA(MATCH(Combo_Species_Names,IF(Species_Availability="Yes",IF(Species_Evo_Numbers=1,Species_Names)),0))),Combo_Gym_Defense),0))</f>
        <v>#VALUE!</v>
      </c>
      <c r="L105" s="24" t="e">
        <f t="array" ref="L105">IF(OR(INDEX(Species_Availability,MATCH($N105,Species_Names,0))="No",INDEX(Species_Evo_Numbers,MATCH($N105,Species_Names,0))&lt;&gt;1),"N/A",$Y105/MAX(IF(NOT(ISNA(MATCH(Combo_Species_Names,IF(Species_Availability="Yes",IF(Species_Evo_Numbers=1,Species_Names)),0))),Combo_Gym_Defense)))</f>
        <v>#VALUE!</v>
      </c>
      <c r="M105" s="28">
        <f t="array" ref="M105">INDEX(Species_Pdex_Numbers,MATCH($N105,Species_Names,0))</f>
        <v>62</v>
      </c>
      <c r="N105" s="30" t="s">
        <v>215</v>
      </c>
      <c r="O105" s="31" t="s">
        <v>92</v>
      </c>
      <c r="P105" s="31" t="s">
        <v>260</v>
      </c>
      <c r="Q105" s="17" t="e">
        <f t="shared" si="2"/>
        <v>#VALUE!</v>
      </c>
      <c r="R105" s="32" t="e">
        <f t="array" ref="R105">IF(OR(AND(COUNTBLANK(Combo_Opponent_Type_1)=1,COUNTBLANK(Combo_Opponent_Type_2)=0),AND(AND(COUNTBLANK(Combo_Opponent_Type_1)=0,COUNTBLANK(Combo_Opponent_Type_2)=0),Combo_Opponent_Type_1=Combo_Opponent_Type_2)),
"Check Types",($S105*INDEX(Species_Tankiness,MATCH($N105,Species_Names,0)))/225)</f>
        <v>#VALUE!</v>
      </c>
      <c r="S105" s="32" t="e">
        <f t="array" ref="S105">IF(OR(AND(COUNTBLANK(Combo_Opponent_Type_1)=1,COUNTBLANK(Combo_Opponent_Type_2)=0),AND(AND(COUNTBLANK(Combo_Opponent_Type_1)=0,COUNTBLANK(Combo_Opponent_Type_2)=0),Combo_Opponent_Type_1=Combo_Opponent_Type_2)),
"Check Types",(
IF($W105&gt;=((1-Game_Weave_Human_Error)*$X105),$W105,$X105)*INDEX(Species_Attack,MATCH($N105,Species_Names,0)))/11)</f>
        <v>#VALUE!</v>
      </c>
      <c r="T105" s="33" t="e">
        <f t="shared" si="3"/>
        <v>#VALUE!</v>
      </c>
      <c r="U105" s="33">
        <f t="array" ref="U1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105,Quick_Names,0))),Type_Species)),0),1)*IF(COUNTBLANK(Combo_Opponent_Type_2)=0,INDEX(Type_Damage_Multipliers,MATCH(Combo_Opponent_Type_2,IF(Type_Move=(INDEX(Quick_Type,MATCH($O105,Quick_Names,0))),Type_Species)),0),1)*(IF(OR(INDEX(Quick_Type,MATCH($O105,Quick_Names,0))=INDEX(Species_Type_1,MATCH($N105,Species_Names,0)),INDEX(Quick_Type,MATCH($O105,Quick_Names,0))=INDEX(Species_Type_2,MATCH($N105,Species_Names,0))),Game_STAB_Multiplier,1)))</f>
        <v>1.25</v>
      </c>
      <c r="V105" s="33">
        <f t="array" ref="V1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105,Charge_Names,0))),Type_Species)),0),1)*IF(COUNTBLANK(Combo_Opponent_Type_2)=0,INDEX(Type_Damage_Multipliers,MATCH(Combo_Opponent_Type_2,IF(Type_Move=(INDEX(Charge_Type,MATCH($P105,Charge_Names,0))),Type_Species)),0),1)*
IF(OR(INDEX(Charge_Type,MATCH($P105,Charge_Names,0))=INDEX(Species_Type_1,MATCH($N105,Species_Names,0)),INDEX(Charge_Type,MATCH($P105,Charge_Names,0))=INDEX(Species_Type_2,MATCH($N105,Species_Names,0))),Game_STAB_Multiplier,1))</f>
        <v>1</v>
      </c>
      <c r="W105" s="33" t="s">
        <v>481</v>
      </c>
      <c r="X105" s="33" t="s">
        <v>573</v>
      </c>
      <c r="Y105" s="32" t="e">
        <f t="array" ref="Y105">((($Z105)*
INDEX(Species_Attack,MATCH($N105,Species_Names,0))*
INDEX(Species_Tankiness,MATCH($N105,Species_Names,0)))/1000)</f>
        <v>#VALUE!</v>
      </c>
      <c r="Z105" s="33" t="s">
        <v>574</v>
      </c>
    </row>
    <row r="106" spans="1:26" ht="14.25" customHeight="1" x14ac:dyDescent="0.2">
      <c r="A106" s="86"/>
      <c r="B106" s="22" t="str">
        <f t="array" ref="B106">CONCATENATE(TEXT($M106,"000"),".",TEXT(INDEX(Quick_Number,MATCH($O106,Quick_Names,0)),"000"),".",TEXT(INDEX(Charge_Number,MATCH($P106,Charge_Names,0)),"000"))</f>
        <v>062.237.054</v>
      </c>
      <c r="C106" s="23" t="e">
        <f t="array" ref="C106">RANK($S106,IF(Combo_Species_Names=$N106,Combo_Gym_Offense),0)</f>
        <v>#VALUE!</v>
      </c>
      <c r="D106" s="24" t="e">
        <f t="array" ref="D106">$S106/MAX(IF(Combo_Species_Names=$N106,Combo_Gym_Offense))</f>
        <v>#VALUE!</v>
      </c>
      <c r="E106" s="23" t="e">
        <f t="array" ref="E106">RANK($Y106,IF(Combo_Species_Names=$N106,Combo_Gym_Defense),0)</f>
        <v>#VALUE!</v>
      </c>
      <c r="F106" s="25" t="e">
        <f t="array" ref="F106">$Y106/MAX(IF(Combo_Species_Names=$N106,Combo_Gym_Defense))</f>
        <v>#VALUE!</v>
      </c>
      <c r="G106" s="23" t="e">
        <f t="array" ref="G106">IF(OR(INDEX(Species_Availability,MATCH($N106,Species_Names,0))="No",INDEX(Species_Evo_Numbers,MATCH($N106,Species_Names,0))&lt;&gt;1),"N/A",RANK($R106,IF(NOT(ISNA(MATCH(Combo_Species_Names,IF(Species_Availability="Yes",IF(Species_Evo_Numbers=1,Species_Names)),0))),Combo_Duel_Ability),0))</f>
        <v>#VALUE!</v>
      </c>
      <c r="H106" s="24" t="e">
        <f t="array" ref="H106">IF(OR(INDEX(Species_Availability,MATCH($N106,Species_Names,0))="No",INDEX(Species_Evo_Numbers,MATCH($N106,Species_Names,0))&lt;&gt;1),"N/A",$R106/MAX(IF(NOT(ISNA(MATCH(Combo_Species_Names,IF(Species_Availability="Yes",IF(Species_Evo_Numbers=1,Species_Names)),0))),Combo_Duel_Ability)))</f>
        <v>#VALUE!</v>
      </c>
      <c r="I106" s="23" t="e">
        <f t="array" ref="I106">IF(OR(INDEX(Species_Availability,MATCH($N106,Species_Names,0))="No",INDEX(Species_Evo_Numbers,MATCH($N106,Species_Names,0))&lt;&gt;1),"N/A",RANK($S106,IF(NOT(ISNA(MATCH(Combo_Species_Names,IF(Species_Availability="Yes",IF(Species_Evo_Numbers=1,Species_Names)),0))),Combo_Gym_Offense),0))</f>
        <v>#VALUE!</v>
      </c>
      <c r="J106" s="24" t="e">
        <f t="array" ref="J106">IF(OR(INDEX(Species_Availability,MATCH($N106,Species_Names,0))="No",INDEX(Species_Evo_Numbers,MATCH($N106,Species_Names,0))&lt;&gt;1),"N/A",$S106/MAX(IF(NOT(ISNA(MATCH(Combo_Species_Names,IF(Species_Availability="Yes",IF(Species_Evo_Numbers=1,Species_Names)),0))),Combo_Gym_Offense)))</f>
        <v>#VALUE!</v>
      </c>
      <c r="K106" s="23" t="e">
        <f t="array" ref="K106">IF(OR(INDEX(Species_Availability,MATCH($N106,Species_Names,0))="No",INDEX(Species_Evo_Numbers,MATCH($N106,Species_Names,0))&lt;&gt;1),"N/A",RANK($Y106,IF(NOT(ISNA(MATCH(Combo_Species_Names,IF(Species_Availability="Yes",IF(Species_Evo_Numbers=1,Species_Names)),0))),Combo_Gym_Defense),0))</f>
        <v>#VALUE!</v>
      </c>
      <c r="L106" s="24" t="e">
        <f t="array" ref="L106">IF(OR(INDEX(Species_Availability,MATCH($N106,Species_Names,0))="No",INDEX(Species_Evo_Numbers,MATCH($N106,Species_Names,0))&lt;&gt;1),"N/A",$Y106/MAX(IF(NOT(ISNA(MATCH(Combo_Species_Names,IF(Species_Availability="Yes",IF(Species_Evo_Numbers=1,Species_Names)),0))),Combo_Gym_Defense)))</f>
        <v>#VALUE!</v>
      </c>
      <c r="M106" s="28">
        <f t="array" ref="M106">INDEX(Species_Pdex_Numbers,MATCH($N106,Species_Names,0))</f>
        <v>62</v>
      </c>
      <c r="N106" s="30" t="s">
        <v>215</v>
      </c>
      <c r="O106" s="31" t="s">
        <v>92</v>
      </c>
      <c r="P106" s="31" t="s">
        <v>243</v>
      </c>
      <c r="Q106" s="17" t="e">
        <f t="shared" si="2"/>
        <v>#VALUE!</v>
      </c>
      <c r="R106" s="32" t="e">
        <f t="array" ref="R106">IF(OR(AND(COUNTBLANK(Combo_Opponent_Type_1)=1,COUNTBLANK(Combo_Opponent_Type_2)=0),AND(AND(COUNTBLANK(Combo_Opponent_Type_1)=0,COUNTBLANK(Combo_Opponent_Type_2)=0),Combo_Opponent_Type_1=Combo_Opponent_Type_2)),
"Check Types",($S106*INDEX(Species_Tankiness,MATCH($N106,Species_Names,0)))/225)</f>
        <v>#VALUE!</v>
      </c>
      <c r="S106" s="32" t="e">
        <f t="array" ref="S106">IF(OR(AND(COUNTBLANK(Combo_Opponent_Type_1)=1,COUNTBLANK(Combo_Opponent_Type_2)=0),AND(AND(COUNTBLANK(Combo_Opponent_Type_1)=0,COUNTBLANK(Combo_Opponent_Type_2)=0),Combo_Opponent_Type_1=Combo_Opponent_Type_2)),
"Check Types",(
IF($W106&gt;=((1-Game_Weave_Human_Error)*$X106),$W106,$X106)*INDEX(Species_Attack,MATCH($N106,Species_Names,0)))/11)</f>
        <v>#VALUE!</v>
      </c>
      <c r="T106" s="33" t="e">
        <f t="shared" si="3"/>
        <v>#VALUE!</v>
      </c>
      <c r="U106" s="33">
        <f t="array" ref="U1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106,Quick_Names,0))),Type_Species)),0),1)*IF(COUNTBLANK(Combo_Opponent_Type_2)=0,INDEX(Type_Damage_Multipliers,MATCH(Combo_Opponent_Type_2,IF(Type_Move=(INDEX(Quick_Type,MATCH($O106,Quick_Names,0))),Type_Species)),0),1)*(IF(OR(INDEX(Quick_Type,MATCH($O106,Quick_Names,0))=INDEX(Species_Type_1,MATCH($N106,Species_Names,0)),INDEX(Quick_Type,MATCH($O106,Quick_Names,0))=INDEX(Species_Type_2,MATCH($N106,Species_Names,0))),Game_STAB_Multiplier,1)))</f>
        <v>1.25</v>
      </c>
      <c r="V106" s="33">
        <f t="array" ref="V1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106,Charge_Names,0))),Type_Species)),0),1)*IF(COUNTBLANK(Combo_Opponent_Type_2)=0,INDEX(Type_Damage_Multipliers,MATCH(Combo_Opponent_Type_2,IF(Type_Move=(INDEX(Charge_Type,MATCH($P106,Charge_Names,0))),Type_Species)),0),1)*
IF(OR(INDEX(Charge_Type,MATCH($P106,Charge_Names,0))=INDEX(Species_Type_1,MATCH($N106,Species_Names,0)),INDEX(Charge_Type,MATCH($P106,Charge_Names,0))=INDEX(Species_Type_2,MATCH($N106,Species_Names,0))),Game_STAB_Multiplier,1))</f>
        <v>1.25</v>
      </c>
      <c r="W106" s="33" t="s">
        <v>481</v>
      </c>
      <c r="X106" s="33" t="s">
        <v>575</v>
      </c>
      <c r="Y106" s="32" t="e">
        <f t="array" ref="Y106">((($Z106)*
INDEX(Species_Attack,MATCH($N106,Species_Names,0))*
INDEX(Species_Tankiness,MATCH($N106,Species_Names,0)))/1000)</f>
        <v>#VALUE!</v>
      </c>
      <c r="Z106" s="33" t="s">
        <v>576</v>
      </c>
    </row>
    <row r="107" spans="1:26" ht="14.25" customHeight="1" x14ac:dyDescent="0.2">
      <c r="A107" s="86"/>
      <c r="B107" s="22" t="str">
        <f t="array" ref="B107">CONCATENATE(TEXT($M107,"000"),".",TEXT(INDEX(Quick_Number,MATCH($O107,Quick_Names,0)),"000"),".",TEXT(INDEX(Charge_Number,MATCH($P107,Charge_Names,0)),"000"))</f>
        <v>112.241.032</v>
      </c>
      <c r="C107" s="23" t="e">
        <f t="array" ref="C107">RANK($S107,IF(Combo_Species_Names=$N107,Combo_Gym_Offense),0)</f>
        <v>#VALUE!</v>
      </c>
      <c r="D107" s="24" t="e">
        <f t="array" ref="D107">$S107/MAX(IF(Combo_Species_Names=$N107,Combo_Gym_Offense))</f>
        <v>#VALUE!</v>
      </c>
      <c r="E107" s="23" t="e">
        <f t="array" ref="E107">RANK($Y107,IF(Combo_Species_Names=$N107,Combo_Gym_Defense),0)</f>
        <v>#VALUE!</v>
      </c>
      <c r="F107" s="25" t="e">
        <f t="array" ref="F107">$Y107/MAX(IF(Combo_Species_Names=$N107,Combo_Gym_Defense))</f>
        <v>#VALUE!</v>
      </c>
      <c r="G107" s="23" t="e">
        <f t="array" ref="G107">IF(OR(INDEX(Species_Availability,MATCH($N107,Species_Names,0))="No",INDEX(Species_Evo_Numbers,MATCH($N107,Species_Names,0))&lt;&gt;1),"N/A",RANK($R107,IF(NOT(ISNA(MATCH(Combo_Species_Names,IF(Species_Availability="Yes",IF(Species_Evo_Numbers=1,Species_Names)),0))),Combo_Duel_Ability),0))</f>
        <v>#VALUE!</v>
      </c>
      <c r="H107" s="24" t="e">
        <f t="array" ref="H107">IF(OR(INDEX(Species_Availability,MATCH($N107,Species_Names,0))="No",INDEX(Species_Evo_Numbers,MATCH($N107,Species_Names,0))&lt;&gt;1),"N/A",$R107/MAX(IF(NOT(ISNA(MATCH(Combo_Species_Names,IF(Species_Availability="Yes",IF(Species_Evo_Numbers=1,Species_Names)),0))),Combo_Duel_Ability)))</f>
        <v>#VALUE!</v>
      </c>
      <c r="I107" s="23" t="e">
        <f t="array" ref="I107">IF(OR(INDEX(Species_Availability,MATCH($N107,Species_Names,0))="No",INDEX(Species_Evo_Numbers,MATCH($N107,Species_Names,0))&lt;&gt;1),"N/A",RANK($S107,IF(NOT(ISNA(MATCH(Combo_Species_Names,IF(Species_Availability="Yes",IF(Species_Evo_Numbers=1,Species_Names)),0))),Combo_Gym_Offense),0))</f>
        <v>#VALUE!</v>
      </c>
      <c r="J107" s="24" t="e">
        <f t="array" ref="J107">IF(OR(INDEX(Species_Availability,MATCH($N107,Species_Names,0))="No",INDEX(Species_Evo_Numbers,MATCH($N107,Species_Names,0))&lt;&gt;1),"N/A",$S107/MAX(IF(NOT(ISNA(MATCH(Combo_Species_Names,IF(Species_Availability="Yes",IF(Species_Evo_Numbers=1,Species_Names)),0))),Combo_Gym_Offense)))</f>
        <v>#VALUE!</v>
      </c>
      <c r="K107" s="23" t="e">
        <f t="array" ref="K107">IF(OR(INDEX(Species_Availability,MATCH($N107,Species_Names,0))="No",INDEX(Species_Evo_Numbers,MATCH($N107,Species_Names,0))&lt;&gt;1),"N/A",RANK($Y107,IF(NOT(ISNA(MATCH(Combo_Species_Names,IF(Species_Availability="Yes",IF(Species_Evo_Numbers=1,Species_Names)),0))),Combo_Gym_Defense),0))</f>
        <v>#VALUE!</v>
      </c>
      <c r="L107" s="24" t="e">
        <f t="array" ref="L107">IF(OR(INDEX(Species_Availability,MATCH($N107,Species_Names,0))="No",INDEX(Species_Evo_Numbers,MATCH($N107,Species_Names,0))&lt;&gt;1),"N/A",$Y107/MAX(IF(NOT(ISNA(MATCH(Combo_Species_Names,IF(Species_Availability="Yes",IF(Species_Evo_Numbers=1,Species_Names)),0))),Combo_Gym_Defense)))</f>
        <v>#VALUE!</v>
      </c>
      <c r="M107" s="28">
        <f t="array" ref="M107">INDEX(Species_Pdex_Numbers,MATCH($N107,Species_Names,0))</f>
        <v>112</v>
      </c>
      <c r="N107" s="30" t="s">
        <v>325</v>
      </c>
      <c r="O107" s="31" t="s">
        <v>97</v>
      </c>
      <c r="P107" s="31" t="s">
        <v>149</v>
      </c>
      <c r="Q107" s="17" t="e">
        <f t="shared" si="2"/>
        <v>#VALUE!</v>
      </c>
      <c r="R107" s="32" t="e">
        <f t="array" ref="R107">IF(OR(AND(COUNTBLANK(Combo_Opponent_Type_1)=1,COUNTBLANK(Combo_Opponent_Type_2)=0),AND(AND(COUNTBLANK(Combo_Opponent_Type_1)=0,COUNTBLANK(Combo_Opponent_Type_2)=0),Combo_Opponent_Type_1=Combo_Opponent_Type_2)),
"Check Types",($S107*INDEX(Species_Tankiness,MATCH($N107,Species_Names,0)))/225)</f>
        <v>#VALUE!</v>
      </c>
      <c r="S107" s="32" t="e">
        <f t="array" ref="S107">IF(OR(AND(COUNTBLANK(Combo_Opponent_Type_1)=1,COUNTBLANK(Combo_Opponent_Type_2)=0),AND(AND(COUNTBLANK(Combo_Opponent_Type_1)=0,COUNTBLANK(Combo_Opponent_Type_2)=0),Combo_Opponent_Type_1=Combo_Opponent_Type_2)),
"Check Types",(
IF($W107&gt;=((1-Game_Weave_Human_Error)*$X107),$W107,$X107)*INDEX(Species_Attack,MATCH($N107,Species_Names,0)))/11)</f>
        <v>#VALUE!</v>
      </c>
      <c r="T107" s="33" t="e">
        <f t="shared" si="3"/>
        <v>#VALUE!</v>
      </c>
      <c r="U107" s="33">
        <f t="array" ref="U1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107,Quick_Names,0))),Type_Species)),0),1)*IF(COUNTBLANK(Combo_Opponent_Type_2)=0,INDEX(Type_Damage_Multipliers,MATCH(Combo_Opponent_Type_2,IF(Type_Move=(INDEX(Quick_Type,MATCH($O107,Quick_Names,0))),Type_Species)),0),1)*(IF(OR(INDEX(Quick_Type,MATCH($O107,Quick_Names,0))=INDEX(Species_Type_1,MATCH($N107,Species_Names,0)),INDEX(Quick_Type,MATCH($O107,Quick_Names,0))=INDEX(Species_Type_2,MATCH($N107,Species_Names,0))),Game_STAB_Multiplier,1)))</f>
        <v>1</v>
      </c>
      <c r="V107" s="33">
        <f t="array" ref="V1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107,Charge_Names,0))),Type_Species)),0),1)*IF(COUNTBLANK(Combo_Opponent_Type_2)=0,INDEX(Type_Damage_Multipliers,MATCH(Combo_Opponent_Type_2,IF(Type_Move=(INDEX(Charge_Type,MATCH($P107,Charge_Names,0))),Type_Species)),0),1)*
IF(OR(INDEX(Charge_Type,MATCH($P107,Charge_Names,0))=INDEX(Species_Type_1,MATCH($N107,Species_Names,0)),INDEX(Charge_Type,MATCH($P107,Charge_Names,0))=INDEX(Species_Type_2,MATCH($N107,Species_Names,0))),Game_STAB_Multiplier,1))</f>
        <v>1.25</v>
      </c>
      <c r="W107" s="33" t="s">
        <v>577</v>
      </c>
      <c r="X107" s="33" t="s">
        <v>578</v>
      </c>
      <c r="Y107" s="32" t="e">
        <f t="array" ref="Y107">((($Z107)*
INDEX(Species_Attack,MATCH($N107,Species_Names,0))*
INDEX(Species_Tankiness,MATCH($N107,Species_Names,0)))/1000)</f>
        <v>#VALUE!</v>
      </c>
      <c r="Z107" s="33" t="s">
        <v>570</v>
      </c>
    </row>
    <row r="108" spans="1:26" ht="14.25" customHeight="1" x14ac:dyDescent="0.2">
      <c r="A108" s="86"/>
      <c r="B108" s="22" t="str">
        <f t="array" ref="B108">CONCATENATE(TEXT($M108,"000"),".",TEXT(INDEX(Quick_Number,MATCH($O108,Quick_Names,0)),"000"),".",TEXT(INDEX(Charge_Number,MATCH($P108,Charge_Names,0)),"000"))</f>
        <v>068.208.028</v>
      </c>
      <c r="C108" s="23" t="e">
        <f t="array" ref="C108">RANK($S108,IF(Combo_Species_Names=$N108,Combo_Gym_Offense),0)</f>
        <v>#VALUE!</v>
      </c>
      <c r="D108" s="24" t="e">
        <f t="array" ref="D108">$S108/MAX(IF(Combo_Species_Names=$N108,Combo_Gym_Offense))</f>
        <v>#VALUE!</v>
      </c>
      <c r="E108" s="23" t="e">
        <f t="array" ref="E108">RANK($Y108,IF(Combo_Species_Names=$N108,Combo_Gym_Defense),0)</f>
        <v>#VALUE!</v>
      </c>
      <c r="F108" s="25" t="e">
        <f t="array" ref="F108">$Y108/MAX(IF(Combo_Species_Names=$N108,Combo_Gym_Defense))</f>
        <v>#VALUE!</v>
      </c>
      <c r="G108" s="23" t="e">
        <f t="array" ref="G108">IF(OR(INDEX(Species_Availability,MATCH($N108,Species_Names,0))="No",INDEX(Species_Evo_Numbers,MATCH($N108,Species_Names,0))&lt;&gt;1),"N/A",RANK($R108,IF(NOT(ISNA(MATCH(Combo_Species_Names,IF(Species_Availability="Yes",IF(Species_Evo_Numbers=1,Species_Names)),0))),Combo_Duel_Ability),0))</f>
        <v>#VALUE!</v>
      </c>
      <c r="H108" s="24" t="e">
        <f t="array" ref="H108">IF(OR(INDEX(Species_Availability,MATCH($N108,Species_Names,0))="No",INDEX(Species_Evo_Numbers,MATCH($N108,Species_Names,0))&lt;&gt;1),"N/A",$R108/MAX(IF(NOT(ISNA(MATCH(Combo_Species_Names,IF(Species_Availability="Yes",IF(Species_Evo_Numbers=1,Species_Names)),0))),Combo_Duel_Ability)))</f>
        <v>#VALUE!</v>
      </c>
      <c r="I108" s="23" t="e">
        <f t="array" ref="I108">IF(OR(INDEX(Species_Availability,MATCH($N108,Species_Names,0))="No",INDEX(Species_Evo_Numbers,MATCH($N108,Species_Names,0))&lt;&gt;1),"N/A",RANK($S108,IF(NOT(ISNA(MATCH(Combo_Species_Names,IF(Species_Availability="Yes",IF(Species_Evo_Numbers=1,Species_Names)),0))),Combo_Gym_Offense),0))</f>
        <v>#VALUE!</v>
      </c>
      <c r="J108" s="24" t="e">
        <f t="array" ref="J108">IF(OR(INDEX(Species_Availability,MATCH($N108,Species_Names,0))="No",INDEX(Species_Evo_Numbers,MATCH($N108,Species_Names,0))&lt;&gt;1),"N/A",$S108/MAX(IF(NOT(ISNA(MATCH(Combo_Species_Names,IF(Species_Availability="Yes",IF(Species_Evo_Numbers=1,Species_Names)),0))),Combo_Gym_Offense)))</f>
        <v>#VALUE!</v>
      </c>
      <c r="K108" s="23" t="e">
        <f t="array" ref="K108">IF(OR(INDEX(Species_Availability,MATCH($N108,Species_Names,0))="No",INDEX(Species_Evo_Numbers,MATCH($N108,Species_Names,0))&lt;&gt;1),"N/A",RANK($Y108,IF(NOT(ISNA(MATCH(Combo_Species_Names,IF(Species_Availability="Yes",IF(Species_Evo_Numbers=1,Species_Names)),0))),Combo_Gym_Defense),0))</f>
        <v>#VALUE!</v>
      </c>
      <c r="L108" s="24" t="e">
        <f t="array" ref="L108">IF(OR(INDEX(Species_Availability,MATCH($N108,Species_Names,0))="No",INDEX(Species_Evo_Numbers,MATCH($N108,Species_Names,0))&lt;&gt;1),"N/A",$Y108/MAX(IF(NOT(ISNA(MATCH(Combo_Species_Names,IF(Species_Availability="Yes",IF(Species_Evo_Numbers=1,Species_Names)),0))),Combo_Gym_Defense)))</f>
        <v>#VALUE!</v>
      </c>
      <c r="M108" s="28">
        <f t="array" ref="M108">INDEX(Species_Pdex_Numbers,MATCH($N108,Species_Names,0))</f>
        <v>68</v>
      </c>
      <c r="N108" s="30" t="s">
        <v>227</v>
      </c>
      <c r="O108" s="31" t="s">
        <v>122</v>
      </c>
      <c r="P108" s="31" t="s">
        <v>146</v>
      </c>
      <c r="Q108" s="17" t="e">
        <f t="shared" si="2"/>
        <v>#VALUE!</v>
      </c>
      <c r="R108" s="32" t="e">
        <f t="array" ref="R108">IF(OR(AND(COUNTBLANK(Combo_Opponent_Type_1)=1,COUNTBLANK(Combo_Opponent_Type_2)=0),AND(AND(COUNTBLANK(Combo_Opponent_Type_1)=0,COUNTBLANK(Combo_Opponent_Type_2)=0),Combo_Opponent_Type_1=Combo_Opponent_Type_2)),
"Check Types",($S108*INDEX(Species_Tankiness,MATCH($N108,Species_Names,0)))/225)</f>
        <v>#VALUE!</v>
      </c>
      <c r="S108" s="32" t="e">
        <f t="array" ref="S108">IF(OR(AND(COUNTBLANK(Combo_Opponent_Type_1)=1,COUNTBLANK(Combo_Opponent_Type_2)=0),AND(AND(COUNTBLANK(Combo_Opponent_Type_1)=0,COUNTBLANK(Combo_Opponent_Type_2)=0),Combo_Opponent_Type_1=Combo_Opponent_Type_2)),
"Check Types",(
IF($W108&gt;=((1-Game_Weave_Human_Error)*$X108),$W108,$X108)*INDEX(Species_Attack,MATCH($N108,Species_Names,0)))/11)</f>
        <v>#VALUE!</v>
      </c>
      <c r="T108" s="33" t="e">
        <f t="shared" si="3"/>
        <v>#VALUE!</v>
      </c>
      <c r="U108" s="33">
        <f t="array" ref="U1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108,Quick_Names,0))),Type_Species)),0),1)*IF(COUNTBLANK(Combo_Opponent_Type_2)=0,INDEX(Type_Damage_Multipliers,MATCH(Combo_Opponent_Type_2,IF(Type_Move=(INDEX(Quick_Type,MATCH($O108,Quick_Names,0))),Type_Species)),0),1)*(IF(OR(INDEX(Quick_Type,MATCH($O108,Quick_Names,0))=INDEX(Species_Type_1,MATCH($N108,Species_Names,0)),INDEX(Quick_Type,MATCH($O108,Quick_Names,0))=INDEX(Species_Type_2,MATCH($N108,Species_Names,0))),Game_STAB_Multiplier,1)))</f>
        <v>1.25</v>
      </c>
      <c r="V108" s="33">
        <f t="array" ref="V1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108,Charge_Names,0))),Type_Species)),0),1)*IF(COUNTBLANK(Combo_Opponent_Type_2)=0,INDEX(Type_Damage_Multipliers,MATCH(Combo_Opponent_Type_2,IF(Type_Move=(INDEX(Charge_Type,MATCH($P108,Charge_Names,0))),Type_Species)),0),1)*
IF(OR(INDEX(Charge_Type,MATCH($P108,Charge_Names,0))=INDEX(Species_Type_1,MATCH($N108,Species_Names,0)),INDEX(Charge_Type,MATCH($P108,Charge_Names,0))=INDEX(Species_Type_2,MATCH($N108,Species_Names,0))),Game_STAB_Multiplier,1))</f>
        <v>1.25</v>
      </c>
      <c r="W108" s="33" t="s">
        <v>564</v>
      </c>
      <c r="X108" s="33" t="s">
        <v>579</v>
      </c>
      <c r="Y108" s="32" t="e">
        <f t="array" ref="Y108">((($Z108)*
INDEX(Species_Attack,MATCH($N108,Species_Names,0))*
INDEX(Species_Tankiness,MATCH($N108,Species_Names,0)))/1000)</f>
        <v>#VALUE!</v>
      </c>
      <c r="Z108" s="33" t="s">
        <v>580</v>
      </c>
    </row>
    <row r="109" spans="1:26" ht="14.25" customHeight="1" x14ac:dyDescent="0.2">
      <c r="A109" s="86"/>
      <c r="B109" s="22" t="str">
        <f t="array" ref="B109">CONCATENATE(TEXT($M109,"000"),".",TEXT(INDEX(Quick_Number,MATCH($O109,Quick_Names,0)),"000"),".",TEXT(INDEX(Charge_Number,MATCH($P109,Charge_Names,0)),"000"))</f>
        <v>112.233.022</v>
      </c>
      <c r="C109" s="23" t="e">
        <f t="array" ref="C109">RANK($S109,IF(Combo_Species_Names=$N109,Combo_Gym_Offense),0)</f>
        <v>#VALUE!</v>
      </c>
      <c r="D109" s="24" t="e">
        <f t="array" ref="D109">$S109/MAX(IF(Combo_Species_Names=$N109,Combo_Gym_Offense))</f>
        <v>#VALUE!</v>
      </c>
      <c r="E109" s="23" t="e">
        <f t="array" ref="E109">RANK($Y109,IF(Combo_Species_Names=$N109,Combo_Gym_Defense),0)</f>
        <v>#VALUE!</v>
      </c>
      <c r="F109" s="25" t="e">
        <f t="array" ref="F109">$Y109/MAX(IF(Combo_Species_Names=$N109,Combo_Gym_Defense))</f>
        <v>#VALUE!</v>
      </c>
      <c r="G109" s="23" t="e">
        <f t="array" ref="G109">IF(OR(INDEX(Species_Availability,MATCH($N109,Species_Names,0))="No",INDEX(Species_Evo_Numbers,MATCH($N109,Species_Names,0))&lt;&gt;1),"N/A",RANK($R109,IF(NOT(ISNA(MATCH(Combo_Species_Names,IF(Species_Availability="Yes",IF(Species_Evo_Numbers=1,Species_Names)),0))),Combo_Duel_Ability),0))</f>
        <v>#VALUE!</v>
      </c>
      <c r="H109" s="24" t="e">
        <f t="array" ref="H109">IF(OR(INDEX(Species_Availability,MATCH($N109,Species_Names,0))="No",INDEX(Species_Evo_Numbers,MATCH($N109,Species_Names,0))&lt;&gt;1),"N/A",$R109/MAX(IF(NOT(ISNA(MATCH(Combo_Species_Names,IF(Species_Availability="Yes",IF(Species_Evo_Numbers=1,Species_Names)),0))),Combo_Duel_Ability)))</f>
        <v>#VALUE!</v>
      </c>
      <c r="I109" s="23" t="e">
        <f t="array" ref="I109">IF(OR(INDEX(Species_Availability,MATCH($N109,Species_Names,0))="No",INDEX(Species_Evo_Numbers,MATCH($N109,Species_Names,0))&lt;&gt;1),"N/A",RANK($S109,IF(NOT(ISNA(MATCH(Combo_Species_Names,IF(Species_Availability="Yes",IF(Species_Evo_Numbers=1,Species_Names)),0))),Combo_Gym_Offense),0))</f>
        <v>#VALUE!</v>
      </c>
      <c r="J109" s="24" t="e">
        <f t="array" ref="J109">IF(OR(INDEX(Species_Availability,MATCH($N109,Species_Names,0))="No",INDEX(Species_Evo_Numbers,MATCH($N109,Species_Names,0))&lt;&gt;1),"N/A",$S109/MAX(IF(NOT(ISNA(MATCH(Combo_Species_Names,IF(Species_Availability="Yes",IF(Species_Evo_Numbers=1,Species_Names)),0))),Combo_Gym_Offense)))</f>
        <v>#VALUE!</v>
      </c>
      <c r="K109" s="23" t="e">
        <f t="array" ref="K109">IF(OR(INDEX(Species_Availability,MATCH($N109,Species_Names,0))="No",INDEX(Species_Evo_Numbers,MATCH($N109,Species_Names,0))&lt;&gt;1),"N/A",RANK($Y109,IF(NOT(ISNA(MATCH(Combo_Species_Names,IF(Species_Availability="Yes",IF(Species_Evo_Numbers=1,Species_Names)),0))),Combo_Gym_Defense),0))</f>
        <v>#VALUE!</v>
      </c>
      <c r="L109" s="24" t="e">
        <f t="array" ref="L109">IF(OR(INDEX(Species_Availability,MATCH($N109,Species_Names,0))="No",INDEX(Species_Evo_Numbers,MATCH($N109,Species_Names,0))&lt;&gt;1),"N/A",$Y109/MAX(IF(NOT(ISNA(MATCH(Combo_Species_Names,IF(Species_Availability="Yes",IF(Species_Evo_Numbers=1,Species_Names)),0))),Combo_Gym_Defense)))</f>
        <v>#VALUE!</v>
      </c>
      <c r="M109" s="28">
        <f t="array" ref="M109">INDEX(Species_Pdex_Numbers,MATCH($N109,Species_Names,0))</f>
        <v>112</v>
      </c>
      <c r="N109" s="30" t="s">
        <v>325</v>
      </c>
      <c r="O109" s="31" t="s">
        <v>84</v>
      </c>
      <c r="P109" s="31" t="s">
        <v>159</v>
      </c>
      <c r="Q109" s="17" t="e">
        <f t="shared" si="2"/>
        <v>#VALUE!</v>
      </c>
      <c r="R109" s="32" t="e">
        <f t="array" ref="R109">IF(OR(AND(COUNTBLANK(Combo_Opponent_Type_1)=1,COUNTBLANK(Combo_Opponent_Type_2)=0),AND(AND(COUNTBLANK(Combo_Opponent_Type_1)=0,COUNTBLANK(Combo_Opponent_Type_2)=0),Combo_Opponent_Type_1=Combo_Opponent_Type_2)),
"Check Types",($S109*INDEX(Species_Tankiness,MATCH($N109,Species_Names,0)))/225)</f>
        <v>#VALUE!</v>
      </c>
      <c r="S109" s="32" t="e">
        <f t="array" ref="S109">IF(OR(AND(COUNTBLANK(Combo_Opponent_Type_1)=1,COUNTBLANK(Combo_Opponent_Type_2)=0),AND(AND(COUNTBLANK(Combo_Opponent_Type_1)=0,COUNTBLANK(Combo_Opponent_Type_2)=0),Combo_Opponent_Type_1=Combo_Opponent_Type_2)),
"Check Types",(
IF($W109&gt;=((1-Game_Weave_Human_Error)*$X109),$W109,$X109)*INDEX(Species_Attack,MATCH($N109,Species_Names,0)))/11)</f>
        <v>#VALUE!</v>
      </c>
      <c r="T109" s="33" t="e">
        <f t="shared" si="3"/>
        <v>#VALUE!</v>
      </c>
      <c r="U109" s="33">
        <f t="array" ref="U1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109,Quick_Names,0))),Type_Species)),0),1)*IF(COUNTBLANK(Combo_Opponent_Type_2)=0,INDEX(Type_Damage_Multipliers,MATCH(Combo_Opponent_Type_2,IF(Type_Move=(INDEX(Quick_Type,MATCH($O109,Quick_Names,0))),Type_Species)),0),1)*(IF(OR(INDEX(Quick_Type,MATCH($O109,Quick_Names,0))=INDEX(Species_Type_1,MATCH($N109,Species_Names,0)),INDEX(Quick_Type,MATCH($O109,Quick_Names,0))=INDEX(Species_Type_2,MATCH($N109,Species_Names,0))),Game_STAB_Multiplier,1)))</f>
        <v>1.25</v>
      </c>
      <c r="V109" s="33">
        <f t="array" ref="V1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109,Charge_Names,0))),Type_Species)),0),1)*IF(COUNTBLANK(Combo_Opponent_Type_2)=0,INDEX(Type_Damage_Multipliers,MATCH(Combo_Opponent_Type_2,IF(Type_Move=(INDEX(Charge_Type,MATCH($P109,Charge_Names,0))),Type_Species)),0),1)*
IF(OR(INDEX(Charge_Type,MATCH($P109,Charge_Names,0))=INDEX(Species_Type_1,MATCH($N109,Species_Names,0)),INDEX(Charge_Type,MATCH($P109,Charge_Names,0))=INDEX(Species_Type_2,MATCH($N109,Species_Names,0))),Game_STAB_Multiplier,1))</f>
        <v>1</v>
      </c>
      <c r="W109" s="33" t="s">
        <v>436</v>
      </c>
      <c r="X109" s="33" t="s">
        <v>581</v>
      </c>
      <c r="Y109" s="32" t="e">
        <f t="array" ref="Y109">((($Z109)*
INDEX(Species_Attack,MATCH($N109,Species_Names,0))*
INDEX(Species_Tankiness,MATCH($N109,Species_Names,0)))/1000)</f>
        <v>#VALUE!</v>
      </c>
      <c r="Z109" s="33" t="s">
        <v>582</v>
      </c>
    </row>
    <row r="110" spans="1:26" ht="14.25" customHeight="1" x14ac:dyDescent="0.2">
      <c r="A110" s="86"/>
      <c r="B110" s="22" t="str">
        <f t="array" ref="B110">CONCATENATE(TEXT($M110,"000"),".",TEXT(INDEX(Quick_Number,MATCH($O110,Quick_Names,0)),"000"),".",TEXT(INDEX(Charge_Number,MATCH($P110,Charge_Names,0)),"000"))</f>
        <v>055.230.108</v>
      </c>
      <c r="C110" s="23" t="e">
        <f t="array" ref="C110">RANK($S110,IF(Combo_Species_Names=$N110,Combo_Gym_Offense),0)</f>
        <v>#VALUE!</v>
      </c>
      <c r="D110" s="24" t="e">
        <f t="array" ref="D110">$S110/MAX(IF(Combo_Species_Names=$N110,Combo_Gym_Offense))</f>
        <v>#VALUE!</v>
      </c>
      <c r="E110" s="23" t="e">
        <f t="array" ref="E110">RANK($Y110,IF(Combo_Species_Names=$N110,Combo_Gym_Defense),0)</f>
        <v>#VALUE!</v>
      </c>
      <c r="F110" s="25" t="e">
        <f t="array" ref="F110">$Y110/MAX(IF(Combo_Species_Names=$N110,Combo_Gym_Defense))</f>
        <v>#VALUE!</v>
      </c>
      <c r="G110" s="23" t="e">
        <f t="array" ref="G110">IF(OR(INDEX(Species_Availability,MATCH($N110,Species_Names,0))="No",INDEX(Species_Evo_Numbers,MATCH($N110,Species_Names,0))&lt;&gt;1),"N/A",RANK($R110,IF(NOT(ISNA(MATCH(Combo_Species_Names,IF(Species_Availability="Yes",IF(Species_Evo_Numbers=1,Species_Names)),0))),Combo_Duel_Ability),0))</f>
        <v>#VALUE!</v>
      </c>
      <c r="H110" s="24" t="e">
        <f t="array" ref="H110">IF(OR(INDEX(Species_Availability,MATCH($N110,Species_Names,0))="No",INDEX(Species_Evo_Numbers,MATCH($N110,Species_Names,0))&lt;&gt;1),"N/A",$R110/MAX(IF(NOT(ISNA(MATCH(Combo_Species_Names,IF(Species_Availability="Yes",IF(Species_Evo_Numbers=1,Species_Names)),0))),Combo_Duel_Ability)))</f>
        <v>#VALUE!</v>
      </c>
      <c r="I110" s="23" t="e">
        <f t="array" ref="I110">IF(OR(INDEX(Species_Availability,MATCH($N110,Species_Names,0))="No",INDEX(Species_Evo_Numbers,MATCH($N110,Species_Names,0))&lt;&gt;1),"N/A",RANK($S110,IF(NOT(ISNA(MATCH(Combo_Species_Names,IF(Species_Availability="Yes",IF(Species_Evo_Numbers=1,Species_Names)),0))),Combo_Gym_Offense),0))</f>
        <v>#VALUE!</v>
      </c>
      <c r="J110" s="24" t="e">
        <f t="array" ref="J110">IF(OR(INDEX(Species_Availability,MATCH($N110,Species_Names,0))="No",INDEX(Species_Evo_Numbers,MATCH($N110,Species_Names,0))&lt;&gt;1),"N/A",$S110/MAX(IF(NOT(ISNA(MATCH(Combo_Species_Names,IF(Species_Availability="Yes",IF(Species_Evo_Numbers=1,Species_Names)),0))),Combo_Gym_Offense)))</f>
        <v>#VALUE!</v>
      </c>
      <c r="K110" s="23" t="e">
        <f t="array" ref="K110">IF(OR(INDEX(Species_Availability,MATCH($N110,Species_Names,0))="No",INDEX(Species_Evo_Numbers,MATCH($N110,Species_Names,0))&lt;&gt;1),"N/A",RANK($Y110,IF(NOT(ISNA(MATCH(Combo_Species_Names,IF(Species_Availability="Yes",IF(Species_Evo_Numbers=1,Species_Names)),0))),Combo_Gym_Defense),0))</f>
        <v>#VALUE!</v>
      </c>
      <c r="L110" s="24" t="e">
        <f t="array" ref="L110">IF(OR(INDEX(Species_Availability,MATCH($N110,Species_Names,0))="No",INDEX(Species_Evo_Numbers,MATCH($N110,Species_Names,0))&lt;&gt;1),"N/A",$Y110/MAX(IF(NOT(ISNA(MATCH(Combo_Species_Names,IF(Species_Availability="Yes",IF(Species_Evo_Numbers=1,Species_Names)),0))),Combo_Gym_Defense)))</f>
        <v>#VALUE!</v>
      </c>
      <c r="M110" s="28">
        <f t="array" ref="M110">INDEX(Species_Pdex_Numbers,MATCH($N110,Species_Names,0))</f>
        <v>55</v>
      </c>
      <c r="N110" s="30" t="s">
        <v>199</v>
      </c>
      <c r="O110" s="31" t="s">
        <v>65</v>
      </c>
      <c r="P110" s="31" t="s">
        <v>58</v>
      </c>
      <c r="Q110" s="17" t="e">
        <f t="shared" si="2"/>
        <v>#VALUE!</v>
      </c>
      <c r="R110" s="32" t="e">
        <f t="array" ref="R110">IF(OR(AND(COUNTBLANK(Combo_Opponent_Type_1)=1,COUNTBLANK(Combo_Opponent_Type_2)=0),AND(AND(COUNTBLANK(Combo_Opponent_Type_1)=0,COUNTBLANK(Combo_Opponent_Type_2)=0),Combo_Opponent_Type_1=Combo_Opponent_Type_2)),
"Check Types",($S110*INDEX(Species_Tankiness,MATCH($N110,Species_Names,0)))/225)</f>
        <v>#VALUE!</v>
      </c>
      <c r="S110" s="32" t="e">
        <f t="array" ref="S110">IF(OR(AND(COUNTBLANK(Combo_Opponent_Type_1)=1,COUNTBLANK(Combo_Opponent_Type_2)=0),AND(AND(COUNTBLANK(Combo_Opponent_Type_1)=0,COUNTBLANK(Combo_Opponent_Type_2)=0),Combo_Opponent_Type_1=Combo_Opponent_Type_2)),
"Check Types",(
IF($W110&gt;=((1-Game_Weave_Human_Error)*$X110),$W110,$X110)*INDEX(Species_Attack,MATCH($N110,Species_Names,0)))/11)</f>
        <v>#VALUE!</v>
      </c>
      <c r="T110" s="33" t="e">
        <f t="shared" si="3"/>
        <v>#VALUE!</v>
      </c>
      <c r="U110" s="33">
        <f t="array" ref="U1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110,Quick_Names,0))),Type_Species)),0),1)*IF(COUNTBLANK(Combo_Opponent_Type_2)=0,INDEX(Type_Damage_Multipliers,MATCH(Combo_Opponent_Type_2,IF(Type_Move=(INDEX(Quick_Type,MATCH($O110,Quick_Names,0))),Type_Species)),0),1)*(IF(OR(INDEX(Quick_Type,MATCH($O110,Quick_Names,0))=INDEX(Species_Type_1,MATCH($N110,Species_Names,0)),INDEX(Quick_Type,MATCH($O110,Quick_Names,0))=INDEX(Species_Type_2,MATCH($N110,Species_Names,0))),Game_STAB_Multiplier,1)))</f>
        <v>1.25</v>
      </c>
      <c r="V110" s="33">
        <f t="array" ref="V1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110,Charge_Names,0))),Type_Species)),0),1)*IF(COUNTBLANK(Combo_Opponent_Type_2)=0,INDEX(Type_Damage_Multipliers,MATCH(Combo_Opponent_Type_2,IF(Type_Move=(INDEX(Charge_Type,MATCH($P110,Charge_Names,0))),Type_Species)),0),1)*
IF(OR(INDEX(Charge_Type,MATCH($P110,Charge_Names,0))=INDEX(Species_Type_1,MATCH($N110,Species_Names,0)),INDEX(Charge_Type,MATCH($P110,Charge_Names,0))=INDEX(Species_Type_2,MATCH($N110,Species_Names,0))),Game_STAB_Multiplier,1))</f>
        <v>1</v>
      </c>
      <c r="W110" s="33" t="s">
        <v>412</v>
      </c>
      <c r="X110" s="33" t="s">
        <v>583</v>
      </c>
      <c r="Y110" s="32" t="e">
        <f t="array" ref="Y110">((($Z110)*
INDEX(Species_Attack,MATCH($N110,Species_Names,0))*
INDEX(Species_Tankiness,MATCH($N110,Species_Names,0)))/1000)</f>
        <v>#VALUE!</v>
      </c>
      <c r="Z110" s="33" t="s">
        <v>411</v>
      </c>
    </row>
    <row r="111" spans="1:26" ht="14.25" customHeight="1" x14ac:dyDescent="0.2">
      <c r="A111" s="86"/>
      <c r="B111" s="22" t="str">
        <f t="array" ref="B111">CONCATENATE(TEXT($M111,"000"),".",TEXT(INDEX(Quick_Number,MATCH($O111,Quick_Names,0)),"000"),".",TEXT(INDEX(Charge_Number,MATCH($P111,Charge_Names,0)),"000"))</f>
        <v>071.225.117</v>
      </c>
      <c r="C111" s="23" t="e">
        <f t="array" ref="C111">RANK($S111,IF(Combo_Species_Names=$N111,Combo_Gym_Offense),0)</f>
        <v>#VALUE!</v>
      </c>
      <c r="D111" s="24" t="e">
        <f t="array" ref="D111">$S111/MAX(IF(Combo_Species_Names=$N111,Combo_Gym_Offense))</f>
        <v>#VALUE!</v>
      </c>
      <c r="E111" s="23" t="e">
        <f t="array" ref="E111">RANK($Y111,IF(Combo_Species_Names=$N111,Combo_Gym_Defense),0)</f>
        <v>#VALUE!</v>
      </c>
      <c r="F111" s="25" t="e">
        <f t="array" ref="F111">$Y111/MAX(IF(Combo_Species_Names=$N111,Combo_Gym_Defense))</f>
        <v>#VALUE!</v>
      </c>
      <c r="G111" s="23" t="e">
        <f t="array" ref="G111">IF(OR(INDEX(Species_Availability,MATCH($N111,Species_Names,0))="No",INDEX(Species_Evo_Numbers,MATCH($N111,Species_Names,0))&lt;&gt;1),"N/A",RANK($R111,IF(NOT(ISNA(MATCH(Combo_Species_Names,IF(Species_Availability="Yes",IF(Species_Evo_Numbers=1,Species_Names)),0))),Combo_Duel_Ability),0))</f>
        <v>#VALUE!</v>
      </c>
      <c r="H111" s="24" t="e">
        <f t="array" ref="H111">IF(OR(INDEX(Species_Availability,MATCH($N111,Species_Names,0))="No",INDEX(Species_Evo_Numbers,MATCH($N111,Species_Names,0))&lt;&gt;1),"N/A",$R111/MAX(IF(NOT(ISNA(MATCH(Combo_Species_Names,IF(Species_Availability="Yes",IF(Species_Evo_Numbers=1,Species_Names)),0))),Combo_Duel_Ability)))</f>
        <v>#VALUE!</v>
      </c>
      <c r="I111" s="23" t="e">
        <f t="array" ref="I111">IF(OR(INDEX(Species_Availability,MATCH($N111,Species_Names,0))="No",INDEX(Species_Evo_Numbers,MATCH($N111,Species_Names,0))&lt;&gt;1),"N/A",RANK($S111,IF(NOT(ISNA(MATCH(Combo_Species_Names,IF(Species_Availability="Yes",IF(Species_Evo_Numbers=1,Species_Names)),0))),Combo_Gym_Offense),0))</f>
        <v>#VALUE!</v>
      </c>
      <c r="J111" s="24" t="e">
        <f t="array" ref="J111">IF(OR(INDEX(Species_Availability,MATCH($N111,Species_Names,0))="No",INDEX(Species_Evo_Numbers,MATCH($N111,Species_Names,0))&lt;&gt;1),"N/A",$S111/MAX(IF(NOT(ISNA(MATCH(Combo_Species_Names,IF(Species_Availability="Yes",IF(Species_Evo_Numbers=1,Species_Names)),0))),Combo_Gym_Offense)))</f>
        <v>#VALUE!</v>
      </c>
      <c r="K111" s="23" t="e">
        <f t="array" ref="K111">IF(OR(INDEX(Species_Availability,MATCH($N111,Species_Names,0))="No",INDEX(Species_Evo_Numbers,MATCH($N111,Species_Names,0))&lt;&gt;1),"N/A",RANK($Y111,IF(NOT(ISNA(MATCH(Combo_Species_Names,IF(Species_Availability="Yes",IF(Species_Evo_Numbers=1,Species_Names)),0))),Combo_Gym_Defense),0))</f>
        <v>#VALUE!</v>
      </c>
      <c r="L111" s="24" t="e">
        <f t="array" ref="L111">IF(OR(INDEX(Species_Availability,MATCH($N111,Species_Names,0))="No",INDEX(Species_Evo_Numbers,MATCH($N111,Species_Names,0))&lt;&gt;1),"N/A",$Y111/MAX(IF(NOT(ISNA(MATCH(Combo_Species_Names,IF(Species_Availability="Yes",IF(Species_Evo_Numbers=1,Species_Names)),0))),Combo_Gym_Defense)))</f>
        <v>#VALUE!</v>
      </c>
      <c r="M111" s="28">
        <f t="array" ref="M111">INDEX(Species_Pdex_Numbers,MATCH($N111,Species_Names,0))</f>
        <v>71</v>
      </c>
      <c r="N111" s="30" t="s">
        <v>233</v>
      </c>
      <c r="O111" s="31" t="s">
        <v>110</v>
      </c>
      <c r="P111" s="31" t="s">
        <v>178</v>
      </c>
      <c r="Q111" s="17" t="e">
        <f t="shared" si="2"/>
        <v>#VALUE!</v>
      </c>
      <c r="R111" s="32" t="e">
        <f t="array" ref="R111">IF(OR(AND(COUNTBLANK(Combo_Opponent_Type_1)=1,COUNTBLANK(Combo_Opponent_Type_2)=0),AND(AND(COUNTBLANK(Combo_Opponent_Type_1)=0,COUNTBLANK(Combo_Opponent_Type_2)=0),Combo_Opponent_Type_1=Combo_Opponent_Type_2)),
"Check Types",($S111*INDEX(Species_Tankiness,MATCH($N111,Species_Names,0)))/225)</f>
        <v>#VALUE!</v>
      </c>
      <c r="S111" s="32" t="e">
        <f t="array" ref="S111">IF(OR(AND(COUNTBLANK(Combo_Opponent_Type_1)=1,COUNTBLANK(Combo_Opponent_Type_2)=0),AND(AND(COUNTBLANK(Combo_Opponent_Type_1)=0,COUNTBLANK(Combo_Opponent_Type_2)=0),Combo_Opponent_Type_1=Combo_Opponent_Type_2)),
"Check Types",(
IF($W111&gt;=((1-Game_Weave_Human_Error)*$X111),$W111,$X111)*INDEX(Species_Attack,MATCH($N111,Species_Names,0)))/11)</f>
        <v>#VALUE!</v>
      </c>
      <c r="T111" s="33" t="e">
        <f t="shared" si="3"/>
        <v>#VALUE!</v>
      </c>
      <c r="U111" s="33">
        <f t="array" ref="U1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111,Quick_Names,0))),Type_Species)),0),1)*IF(COUNTBLANK(Combo_Opponent_Type_2)=0,INDEX(Type_Damage_Multipliers,MATCH(Combo_Opponent_Type_2,IF(Type_Move=(INDEX(Quick_Type,MATCH($O111,Quick_Names,0))),Type_Species)),0),1)*(IF(OR(INDEX(Quick_Type,MATCH($O111,Quick_Names,0))=INDEX(Species_Type_1,MATCH($N111,Species_Names,0)),INDEX(Quick_Type,MATCH($O111,Quick_Names,0))=INDEX(Species_Type_2,MATCH($N111,Species_Names,0))),Game_STAB_Multiplier,1)))</f>
        <v>1.25</v>
      </c>
      <c r="V111" s="33">
        <f t="array" ref="V1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111,Charge_Names,0))),Type_Species)),0),1)*IF(COUNTBLANK(Combo_Opponent_Type_2)=0,INDEX(Type_Damage_Multipliers,MATCH(Combo_Opponent_Type_2,IF(Type_Move=(INDEX(Charge_Type,MATCH($P111,Charge_Names,0))),Type_Species)),0),1)*
IF(OR(INDEX(Charge_Type,MATCH($P111,Charge_Names,0))=INDEX(Species_Type_1,MATCH($N111,Species_Names,0)),INDEX(Charge_Type,MATCH($P111,Charge_Names,0))=INDEX(Species_Type_2,MATCH($N111,Species_Names,0))),Game_STAB_Multiplier,1))</f>
        <v>1.25</v>
      </c>
      <c r="W111" s="33" t="s">
        <v>511</v>
      </c>
      <c r="X111" s="33" t="s">
        <v>584</v>
      </c>
      <c r="Y111" s="32" t="e">
        <f t="array" ref="Y111">((($Z111)*
INDEX(Species_Attack,MATCH($N111,Species_Names,0))*
INDEX(Species_Tankiness,MATCH($N111,Species_Names,0)))/1000)</f>
        <v>#VALUE!</v>
      </c>
      <c r="Z111" s="33" t="s">
        <v>585</v>
      </c>
    </row>
    <row r="112" spans="1:26" ht="14.25" customHeight="1" x14ac:dyDescent="0.2">
      <c r="A112" s="86"/>
      <c r="B112" s="22" t="str">
        <f t="array" ref="B112">CONCATENATE(TEXT($M112,"000"),".",TEXT(INDEX(Quick_Number,MATCH($O112,Quick_Names,0)),"000"),".",TEXT(INDEX(Charge_Number,MATCH($P112,Charge_Names,0)),"000"))</f>
        <v>073.224.091</v>
      </c>
      <c r="C112" s="23" t="e">
        <f t="array" ref="C112">RANK($S112,IF(Combo_Species_Names=$N112,Combo_Gym_Offense),0)</f>
        <v>#VALUE!</v>
      </c>
      <c r="D112" s="24" t="e">
        <f t="array" ref="D112">$S112/MAX(IF(Combo_Species_Names=$N112,Combo_Gym_Offense))</f>
        <v>#VALUE!</v>
      </c>
      <c r="E112" s="23" t="e">
        <f t="array" ref="E112">RANK($Y112,IF(Combo_Species_Names=$N112,Combo_Gym_Defense),0)</f>
        <v>#VALUE!</v>
      </c>
      <c r="F112" s="25" t="e">
        <f t="array" ref="F112">$Y112/MAX(IF(Combo_Species_Names=$N112,Combo_Gym_Defense))</f>
        <v>#VALUE!</v>
      </c>
      <c r="G112" s="23" t="e">
        <f t="array" ref="G112">IF(OR(INDEX(Species_Availability,MATCH($N112,Species_Names,0))="No",INDEX(Species_Evo_Numbers,MATCH($N112,Species_Names,0))&lt;&gt;1),"N/A",RANK($R112,IF(NOT(ISNA(MATCH(Combo_Species_Names,IF(Species_Availability="Yes",IF(Species_Evo_Numbers=1,Species_Names)),0))),Combo_Duel_Ability),0))</f>
        <v>#VALUE!</v>
      </c>
      <c r="H112" s="24" t="e">
        <f t="array" ref="H112">IF(OR(INDEX(Species_Availability,MATCH($N112,Species_Names,0))="No",INDEX(Species_Evo_Numbers,MATCH($N112,Species_Names,0))&lt;&gt;1),"N/A",$R112/MAX(IF(NOT(ISNA(MATCH(Combo_Species_Names,IF(Species_Availability="Yes",IF(Species_Evo_Numbers=1,Species_Names)),0))),Combo_Duel_Ability)))</f>
        <v>#VALUE!</v>
      </c>
      <c r="I112" s="23" t="e">
        <f t="array" ref="I112">IF(OR(INDEX(Species_Availability,MATCH($N112,Species_Names,0))="No",INDEX(Species_Evo_Numbers,MATCH($N112,Species_Names,0))&lt;&gt;1),"N/A",RANK($S112,IF(NOT(ISNA(MATCH(Combo_Species_Names,IF(Species_Availability="Yes",IF(Species_Evo_Numbers=1,Species_Names)),0))),Combo_Gym_Offense),0))</f>
        <v>#VALUE!</v>
      </c>
      <c r="J112" s="24" t="e">
        <f t="array" ref="J112">IF(OR(INDEX(Species_Availability,MATCH($N112,Species_Names,0))="No",INDEX(Species_Evo_Numbers,MATCH($N112,Species_Names,0))&lt;&gt;1),"N/A",$S112/MAX(IF(NOT(ISNA(MATCH(Combo_Species_Names,IF(Species_Availability="Yes",IF(Species_Evo_Numbers=1,Species_Names)),0))),Combo_Gym_Offense)))</f>
        <v>#VALUE!</v>
      </c>
      <c r="K112" s="23" t="e">
        <f t="array" ref="K112">IF(OR(INDEX(Species_Availability,MATCH($N112,Species_Names,0))="No",INDEX(Species_Evo_Numbers,MATCH($N112,Species_Names,0))&lt;&gt;1),"N/A",RANK($Y112,IF(NOT(ISNA(MATCH(Combo_Species_Names,IF(Species_Availability="Yes",IF(Species_Evo_Numbers=1,Species_Names)),0))),Combo_Gym_Defense),0))</f>
        <v>#VALUE!</v>
      </c>
      <c r="L112" s="24" t="e">
        <f t="array" ref="L112">IF(OR(INDEX(Species_Availability,MATCH($N112,Species_Names,0))="No",INDEX(Species_Evo_Numbers,MATCH($N112,Species_Names,0))&lt;&gt;1),"N/A",$Y112/MAX(IF(NOT(ISNA(MATCH(Combo_Species_Names,IF(Species_Availability="Yes",IF(Species_Evo_Numbers=1,Species_Names)),0))),Combo_Gym_Defense)))</f>
        <v>#VALUE!</v>
      </c>
      <c r="M112" s="28">
        <f t="array" ref="M112">INDEX(Species_Pdex_Numbers,MATCH($N112,Species_Names,0))</f>
        <v>73</v>
      </c>
      <c r="N112" s="30" t="s">
        <v>237</v>
      </c>
      <c r="O112" s="31" t="s">
        <v>77</v>
      </c>
      <c r="P112" s="31" t="s">
        <v>186</v>
      </c>
      <c r="Q112" s="17" t="e">
        <f t="shared" si="2"/>
        <v>#VALUE!</v>
      </c>
      <c r="R112" s="32" t="e">
        <f t="array" ref="R112">IF(OR(AND(COUNTBLANK(Combo_Opponent_Type_1)=1,COUNTBLANK(Combo_Opponent_Type_2)=0),AND(AND(COUNTBLANK(Combo_Opponent_Type_1)=0,COUNTBLANK(Combo_Opponent_Type_2)=0),Combo_Opponent_Type_1=Combo_Opponent_Type_2)),
"Check Types",($S112*INDEX(Species_Tankiness,MATCH($N112,Species_Names,0)))/225)</f>
        <v>#VALUE!</v>
      </c>
      <c r="S112" s="32" t="e">
        <f t="array" ref="S112">IF(OR(AND(COUNTBLANK(Combo_Opponent_Type_1)=1,COUNTBLANK(Combo_Opponent_Type_2)=0),AND(AND(COUNTBLANK(Combo_Opponent_Type_1)=0,COUNTBLANK(Combo_Opponent_Type_2)=0),Combo_Opponent_Type_1=Combo_Opponent_Type_2)),
"Check Types",(
IF($W112&gt;=((1-Game_Weave_Human_Error)*$X112),$W112,$X112)*INDEX(Species_Attack,MATCH($N112,Species_Names,0)))/11)</f>
        <v>#VALUE!</v>
      </c>
      <c r="T112" s="33" t="e">
        <f t="shared" si="3"/>
        <v>#VALUE!</v>
      </c>
      <c r="U112" s="33">
        <f t="array" ref="U1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112,Quick_Names,0))),Type_Species)),0),1)*IF(COUNTBLANK(Combo_Opponent_Type_2)=0,INDEX(Type_Damage_Multipliers,MATCH(Combo_Opponent_Type_2,IF(Type_Move=(INDEX(Quick_Type,MATCH($O112,Quick_Names,0))),Type_Species)),0),1)*(IF(OR(INDEX(Quick_Type,MATCH($O112,Quick_Names,0))=INDEX(Species_Type_1,MATCH($N112,Species_Names,0)),INDEX(Quick_Type,MATCH($O112,Quick_Names,0))=INDEX(Species_Type_2,MATCH($N112,Species_Names,0))),Game_STAB_Multiplier,1)))</f>
        <v>1.25</v>
      </c>
      <c r="V112" s="33">
        <f t="array" ref="V1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112,Charge_Names,0))),Type_Species)),0),1)*IF(COUNTBLANK(Combo_Opponent_Type_2)=0,INDEX(Type_Damage_Multipliers,MATCH(Combo_Opponent_Type_2,IF(Type_Move=(INDEX(Charge_Type,MATCH($P112,Charge_Names,0))),Type_Species)),0),1)*
IF(OR(INDEX(Charge_Type,MATCH($P112,Charge_Names,0))=INDEX(Species_Type_1,MATCH($N112,Species_Names,0)),INDEX(Charge_Type,MATCH($P112,Charge_Names,0))=INDEX(Species_Type_2,MATCH($N112,Species_Names,0))),Game_STAB_Multiplier,1))</f>
        <v>1.25</v>
      </c>
      <c r="W112" s="33" t="s">
        <v>446</v>
      </c>
      <c r="X112" s="33" t="s">
        <v>479</v>
      </c>
      <c r="Y112" s="32" t="e">
        <f t="array" ref="Y112">((($Z112)*
INDEX(Species_Attack,MATCH($N112,Species_Names,0))*
INDEX(Species_Tankiness,MATCH($N112,Species_Names,0)))/1000)</f>
        <v>#VALUE!</v>
      </c>
      <c r="Z112" s="33" t="s">
        <v>480</v>
      </c>
    </row>
    <row r="113" spans="1:26" ht="14.25" customHeight="1" x14ac:dyDescent="0.2">
      <c r="A113" s="86"/>
      <c r="B113" s="22" t="str">
        <f t="array" ref="B113">CONCATENATE(TEXT($M113,"000"),".",TEXT(INDEX(Quick_Number,MATCH($O113,Quick_Names,0)),"000"),".",TEXT(INDEX(Charge_Number,MATCH($P113,Charge_Names,0)),"000"))</f>
        <v>071.215.117</v>
      </c>
      <c r="C113" s="23" t="e">
        <f t="array" ref="C113">RANK($S113,IF(Combo_Species_Names=$N113,Combo_Gym_Offense),0)</f>
        <v>#VALUE!</v>
      </c>
      <c r="D113" s="24" t="e">
        <f t="array" ref="D113">$S113/MAX(IF(Combo_Species_Names=$N113,Combo_Gym_Offense))</f>
        <v>#VALUE!</v>
      </c>
      <c r="E113" s="23" t="e">
        <f t="array" ref="E113">RANK($Y113,IF(Combo_Species_Names=$N113,Combo_Gym_Defense),0)</f>
        <v>#VALUE!</v>
      </c>
      <c r="F113" s="25" t="e">
        <f t="array" ref="F113">$Y113/MAX(IF(Combo_Species_Names=$N113,Combo_Gym_Defense))</f>
        <v>#VALUE!</v>
      </c>
      <c r="G113" s="23" t="e">
        <f t="array" ref="G113">IF(OR(INDEX(Species_Availability,MATCH($N113,Species_Names,0))="No",INDEX(Species_Evo_Numbers,MATCH($N113,Species_Names,0))&lt;&gt;1),"N/A",RANK($R113,IF(NOT(ISNA(MATCH(Combo_Species_Names,IF(Species_Availability="Yes",IF(Species_Evo_Numbers=1,Species_Names)),0))),Combo_Duel_Ability),0))</f>
        <v>#VALUE!</v>
      </c>
      <c r="H113" s="24" t="e">
        <f t="array" ref="H113">IF(OR(INDEX(Species_Availability,MATCH($N113,Species_Names,0))="No",INDEX(Species_Evo_Numbers,MATCH($N113,Species_Names,0))&lt;&gt;1),"N/A",$R113/MAX(IF(NOT(ISNA(MATCH(Combo_Species_Names,IF(Species_Availability="Yes",IF(Species_Evo_Numbers=1,Species_Names)),0))),Combo_Duel_Ability)))</f>
        <v>#VALUE!</v>
      </c>
      <c r="I113" s="23" t="e">
        <f t="array" ref="I113">IF(OR(INDEX(Species_Availability,MATCH($N113,Species_Names,0))="No",INDEX(Species_Evo_Numbers,MATCH($N113,Species_Names,0))&lt;&gt;1),"N/A",RANK($S113,IF(NOT(ISNA(MATCH(Combo_Species_Names,IF(Species_Availability="Yes",IF(Species_Evo_Numbers=1,Species_Names)),0))),Combo_Gym_Offense),0))</f>
        <v>#VALUE!</v>
      </c>
      <c r="J113" s="24" t="e">
        <f t="array" ref="J113">IF(OR(INDEX(Species_Availability,MATCH($N113,Species_Names,0))="No",INDEX(Species_Evo_Numbers,MATCH($N113,Species_Names,0))&lt;&gt;1),"N/A",$S113/MAX(IF(NOT(ISNA(MATCH(Combo_Species_Names,IF(Species_Availability="Yes",IF(Species_Evo_Numbers=1,Species_Names)),0))),Combo_Gym_Offense)))</f>
        <v>#VALUE!</v>
      </c>
      <c r="K113" s="23" t="e">
        <f t="array" ref="K113">IF(OR(INDEX(Species_Availability,MATCH($N113,Species_Names,0))="No",INDEX(Species_Evo_Numbers,MATCH($N113,Species_Names,0))&lt;&gt;1),"N/A",RANK($Y113,IF(NOT(ISNA(MATCH(Combo_Species_Names,IF(Species_Availability="Yes",IF(Species_Evo_Numbers=1,Species_Names)),0))),Combo_Gym_Defense),0))</f>
        <v>#VALUE!</v>
      </c>
      <c r="L113" s="24" t="e">
        <f t="array" ref="L113">IF(OR(INDEX(Species_Availability,MATCH($N113,Species_Names,0))="No",INDEX(Species_Evo_Numbers,MATCH($N113,Species_Names,0))&lt;&gt;1),"N/A",$Y113/MAX(IF(NOT(ISNA(MATCH(Combo_Species_Names,IF(Species_Availability="Yes",IF(Species_Evo_Numbers=1,Species_Names)),0))),Combo_Gym_Defense)))</f>
        <v>#VALUE!</v>
      </c>
      <c r="M113" s="28">
        <f t="array" ref="M113">INDEX(Species_Pdex_Numbers,MATCH($N113,Species_Names,0))</f>
        <v>71</v>
      </c>
      <c r="N113" s="30" t="s">
        <v>233</v>
      </c>
      <c r="O113" s="31" t="s">
        <v>102</v>
      </c>
      <c r="P113" s="31" t="s">
        <v>178</v>
      </c>
      <c r="Q113" s="17" t="e">
        <f t="shared" si="2"/>
        <v>#VALUE!</v>
      </c>
      <c r="R113" s="32" t="e">
        <f t="array" ref="R113">IF(OR(AND(COUNTBLANK(Combo_Opponent_Type_1)=1,COUNTBLANK(Combo_Opponent_Type_2)=0),AND(AND(COUNTBLANK(Combo_Opponent_Type_1)=0,COUNTBLANK(Combo_Opponent_Type_2)=0),Combo_Opponent_Type_1=Combo_Opponent_Type_2)),
"Check Types",($S113*INDEX(Species_Tankiness,MATCH($N113,Species_Names,0)))/225)</f>
        <v>#VALUE!</v>
      </c>
      <c r="S113" s="32" t="e">
        <f t="array" ref="S113">IF(OR(AND(COUNTBLANK(Combo_Opponent_Type_1)=1,COUNTBLANK(Combo_Opponent_Type_2)=0),AND(AND(COUNTBLANK(Combo_Opponent_Type_1)=0,COUNTBLANK(Combo_Opponent_Type_2)=0),Combo_Opponent_Type_1=Combo_Opponent_Type_2)),
"Check Types",(
IF($W113&gt;=((1-Game_Weave_Human_Error)*$X113),$W113,$X113)*INDEX(Species_Attack,MATCH($N113,Species_Names,0)))/11)</f>
        <v>#VALUE!</v>
      </c>
      <c r="T113" s="33" t="e">
        <f t="shared" si="3"/>
        <v>#VALUE!</v>
      </c>
      <c r="U113" s="33">
        <f t="array" ref="U1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113,Quick_Names,0))),Type_Species)),0),1)*IF(COUNTBLANK(Combo_Opponent_Type_2)=0,INDEX(Type_Damage_Multipliers,MATCH(Combo_Opponent_Type_2,IF(Type_Move=(INDEX(Quick_Type,MATCH($O113,Quick_Names,0))),Type_Species)),0),1)*(IF(OR(INDEX(Quick_Type,MATCH($O113,Quick_Names,0))=INDEX(Species_Type_1,MATCH($N113,Species_Names,0)),INDEX(Quick_Type,MATCH($O113,Quick_Names,0))=INDEX(Species_Type_2,MATCH($N113,Species_Names,0))),Game_STAB_Multiplier,1)))</f>
        <v>1.25</v>
      </c>
      <c r="V113" s="33">
        <f t="array" ref="V1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113,Charge_Names,0))),Type_Species)),0),1)*IF(COUNTBLANK(Combo_Opponent_Type_2)=0,INDEX(Type_Damage_Multipliers,MATCH(Combo_Opponent_Type_2,IF(Type_Move=(INDEX(Charge_Type,MATCH($P113,Charge_Names,0))),Type_Species)),0),1)*
IF(OR(INDEX(Charge_Type,MATCH($P113,Charge_Names,0))=INDEX(Species_Type_1,MATCH($N113,Species_Names,0)),INDEX(Charge_Type,MATCH($P113,Charge_Names,0))=INDEX(Species_Type_2,MATCH($N113,Species_Names,0))),Game_STAB_Multiplier,1))</f>
        <v>1.25</v>
      </c>
      <c r="W113" s="33" t="s">
        <v>501</v>
      </c>
      <c r="X113" s="33" t="s">
        <v>586</v>
      </c>
      <c r="Y113" s="32" t="e">
        <f t="array" ref="Y113">((($Z113)*
INDEX(Species_Attack,MATCH($N113,Species_Names,0))*
INDEX(Species_Tankiness,MATCH($N113,Species_Names,0)))/1000)</f>
        <v>#VALUE!</v>
      </c>
      <c r="Z113" s="33" t="s">
        <v>587</v>
      </c>
    </row>
    <row r="114" spans="1:26" ht="14.25" customHeight="1" x14ac:dyDescent="0.2">
      <c r="A114" s="86"/>
      <c r="B114" s="22" t="str">
        <f t="array" ref="B114">CONCATENATE(TEXT($M114,"000"),".",TEXT(INDEX(Quick_Number,MATCH($O114,Quick_Names,0)),"000"),".",TEXT(INDEX(Charge_Number,MATCH($P114,Charge_Names,0)),"000"))</f>
        <v>009.202.036</v>
      </c>
      <c r="C114" s="23" t="e">
        <f t="array" ref="C114">RANK($S114,IF(Combo_Species_Names=$N114,Combo_Gym_Offense),0)</f>
        <v>#VALUE!</v>
      </c>
      <c r="D114" s="24" t="e">
        <f t="array" ref="D114">$S114/MAX(IF(Combo_Species_Names=$N114,Combo_Gym_Offense))</f>
        <v>#VALUE!</v>
      </c>
      <c r="E114" s="23" t="e">
        <f t="array" ref="E114">RANK($Y114,IF(Combo_Species_Names=$N114,Combo_Gym_Defense),0)</f>
        <v>#VALUE!</v>
      </c>
      <c r="F114" s="25" t="e">
        <f t="array" ref="F114">$Y114/MAX(IF(Combo_Species_Names=$N114,Combo_Gym_Defense))</f>
        <v>#VALUE!</v>
      </c>
      <c r="G114" s="23" t="e">
        <f t="array" ref="G114">IF(OR(INDEX(Species_Availability,MATCH($N114,Species_Names,0))="No",INDEX(Species_Evo_Numbers,MATCH($N114,Species_Names,0))&lt;&gt;1),"N/A",RANK($R114,IF(NOT(ISNA(MATCH(Combo_Species_Names,IF(Species_Availability="Yes",IF(Species_Evo_Numbers=1,Species_Names)),0))),Combo_Duel_Ability),0))</f>
        <v>#VALUE!</v>
      </c>
      <c r="H114" s="24" t="e">
        <f t="array" ref="H114">IF(OR(INDEX(Species_Availability,MATCH($N114,Species_Names,0))="No",INDEX(Species_Evo_Numbers,MATCH($N114,Species_Names,0))&lt;&gt;1),"N/A",$R114/MAX(IF(NOT(ISNA(MATCH(Combo_Species_Names,IF(Species_Availability="Yes",IF(Species_Evo_Numbers=1,Species_Names)),0))),Combo_Duel_Ability)))</f>
        <v>#VALUE!</v>
      </c>
      <c r="I114" s="23" t="e">
        <f t="array" ref="I114">IF(OR(INDEX(Species_Availability,MATCH($N114,Species_Names,0))="No",INDEX(Species_Evo_Numbers,MATCH($N114,Species_Names,0))&lt;&gt;1),"N/A",RANK($S114,IF(NOT(ISNA(MATCH(Combo_Species_Names,IF(Species_Availability="Yes",IF(Species_Evo_Numbers=1,Species_Names)),0))),Combo_Gym_Offense),0))</f>
        <v>#VALUE!</v>
      </c>
      <c r="J114" s="24" t="e">
        <f t="array" ref="J114">IF(OR(INDEX(Species_Availability,MATCH($N114,Species_Names,0))="No",INDEX(Species_Evo_Numbers,MATCH($N114,Species_Names,0))&lt;&gt;1),"N/A",$S114/MAX(IF(NOT(ISNA(MATCH(Combo_Species_Names,IF(Species_Availability="Yes",IF(Species_Evo_Numbers=1,Species_Names)),0))),Combo_Gym_Offense)))</f>
        <v>#VALUE!</v>
      </c>
      <c r="K114" s="23" t="e">
        <f t="array" ref="K114">IF(OR(INDEX(Species_Availability,MATCH($N114,Species_Names,0))="No",INDEX(Species_Evo_Numbers,MATCH($N114,Species_Names,0))&lt;&gt;1),"N/A",RANK($Y114,IF(NOT(ISNA(MATCH(Combo_Species_Names,IF(Species_Availability="Yes",IF(Species_Evo_Numbers=1,Species_Names)),0))),Combo_Gym_Defense),0))</f>
        <v>#VALUE!</v>
      </c>
      <c r="L114" s="24" t="e">
        <f t="array" ref="L114">IF(OR(INDEX(Species_Availability,MATCH($N114,Species_Names,0))="No",INDEX(Species_Evo_Numbers,MATCH($N114,Species_Names,0))&lt;&gt;1),"N/A",$Y114/MAX(IF(NOT(ISNA(MATCH(Combo_Species_Names,IF(Species_Availability="Yes",IF(Species_Evo_Numbers=1,Species_Names)),0))),Combo_Gym_Defense)))</f>
        <v>#VALUE!</v>
      </c>
      <c r="M114" s="28">
        <f t="array" ref="M114">INDEX(Species_Pdex_Numbers,MATCH($N114,Species_Names,0))</f>
        <v>9</v>
      </c>
      <c r="N114" s="30" t="s">
        <v>93</v>
      </c>
      <c r="O114" s="31" t="s">
        <v>59</v>
      </c>
      <c r="P114" s="31" t="s">
        <v>226</v>
      </c>
      <c r="Q114" s="17" t="e">
        <f t="shared" si="2"/>
        <v>#VALUE!</v>
      </c>
      <c r="R114" s="32" t="e">
        <f t="array" ref="R114">IF(OR(AND(COUNTBLANK(Combo_Opponent_Type_1)=1,COUNTBLANK(Combo_Opponent_Type_2)=0),AND(AND(COUNTBLANK(Combo_Opponent_Type_1)=0,COUNTBLANK(Combo_Opponent_Type_2)=0),Combo_Opponent_Type_1=Combo_Opponent_Type_2)),
"Check Types",($S114*INDEX(Species_Tankiness,MATCH($N114,Species_Names,0)))/225)</f>
        <v>#VALUE!</v>
      </c>
      <c r="S114" s="32" t="e">
        <f t="array" ref="S114">IF(OR(AND(COUNTBLANK(Combo_Opponent_Type_1)=1,COUNTBLANK(Combo_Opponent_Type_2)=0),AND(AND(COUNTBLANK(Combo_Opponent_Type_1)=0,COUNTBLANK(Combo_Opponent_Type_2)=0),Combo_Opponent_Type_1=Combo_Opponent_Type_2)),
"Check Types",(
IF($W114&gt;=((1-Game_Weave_Human_Error)*$X114),$W114,$X114)*INDEX(Species_Attack,MATCH($N114,Species_Names,0)))/11)</f>
        <v>#VALUE!</v>
      </c>
      <c r="T114" s="33" t="e">
        <f t="shared" si="3"/>
        <v>#VALUE!</v>
      </c>
      <c r="U114" s="33">
        <f t="array" ref="U1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114,Quick_Names,0))),Type_Species)),0),1)*IF(COUNTBLANK(Combo_Opponent_Type_2)=0,INDEX(Type_Damage_Multipliers,MATCH(Combo_Opponent_Type_2,IF(Type_Move=(INDEX(Quick_Type,MATCH($O114,Quick_Names,0))),Type_Species)),0),1)*(IF(OR(INDEX(Quick_Type,MATCH($O114,Quick_Names,0))=INDEX(Species_Type_1,MATCH($N114,Species_Names,0)),INDEX(Quick_Type,MATCH($O114,Quick_Names,0))=INDEX(Species_Type_2,MATCH($N114,Species_Names,0))),Game_STAB_Multiplier,1)))</f>
        <v>1</v>
      </c>
      <c r="V114" s="33">
        <f t="array" ref="V1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114,Charge_Names,0))),Type_Species)),0),1)*IF(COUNTBLANK(Combo_Opponent_Type_2)=0,INDEX(Type_Damage_Multipliers,MATCH(Combo_Opponent_Type_2,IF(Type_Move=(INDEX(Charge_Type,MATCH($P114,Charge_Names,0))),Type_Species)),0),1)*
IF(OR(INDEX(Charge_Type,MATCH($P114,Charge_Names,0))=INDEX(Species_Type_1,MATCH($N114,Species_Names,0)),INDEX(Charge_Type,MATCH($P114,Charge_Names,0))=INDEX(Species_Type_2,MATCH($N114,Species_Names,0))),Game_STAB_Multiplier,1))</f>
        <v>1</v>
      </c>
      <c r="W114" s="33" t="s">
        <v>453</v>
      </c>
      <c r="X114" s="33" t="s">
        <v>588</v>
      </c>
      <c r="Y114" s="32" t="e">
        <f t="array" ref="Y114">((($Z114)*
INDEX(Species_Attack,MATCH($N114,Species_Names,0))*
INDEX(Species_Tankiness,MATCH($N114,Species_Names,0)))/1000)</f>
        <v>#VALUE!</v>
      </c>
      <c r="Z114" s="33" t="s">
        <v>452</v>
      </c>
    </row>
    <row r="115" spans="1:26" ht="14.25" customHeight="1" x14ac:dyDescent="0.2">
      <c r="A115" s="86"/>
      <c r="B115" s="22" t="str">
        <f t="array" ref="B115">CONCATENATE(TEXT($M115,"000"),".",TEXT(INDEX(Quick_Number,MATCH($O115,Quick_Names,0)),"000"),".",TEXT(INDEX(Charge_Number,MATCH($P115,Charge_Names,0)),"000"))</f>
        <v>040.238.014</v>
      </c>
      <c r="C115" s="23" t="e">
        <f t="array" ref="C115">RANK($S115,IF(Combo_Species_Names=$N115,Combo_Gym_Offense),0)</f>
        <v>#VALUE!</v>
      </c>
      <c r="D115" s="24" t="e">
        <f t="array" ref="D115">$S115/MAX(IF(Combo_Species_Names=$N115,Combo_Gym_Offense))</f>
        <v>#VALUE!</v>
      </c>
      <c r="E115" s="23" t="e">
        <f t="array" ref="E115">RANK($Y115,IF(Combo_Species_Names=$N115,Combo_Gym_Defense),0)</f>
        <v>#VALUE!</v>
      </c>
      <c r="F115" s="25" t="e">
        <f t="array" ref="F115">$Y115/MAX(IF(Combo_Species_Names=$N115,Combo_Gym_Defense))</f>
        <v>#VALUE!</v>
      </c>
      <c r="G115" s="23" t="e">
        <f t="array" ref="G115">IF(OR(INDEX(Species_Availability,MATCH($N115,Species_Names,0))="No",INDEX(Species_Evo_Numbers,MATCH($N115,Species_Names,0))&lt;&gt;1),"N/A",RANK($R115,IF(NOT(ISNA(MATCH(Combo_Species_Names,IF(Species_Availability="Yes",IF(Species_Evo_Numbers=1,Species_Names)),0))),Combo_Duel_Ability),0))</f>
        <v>#VALUE!</v>
      </c>
      <c r="H115" s="24" t="e">
        <f t="array" ref="H115">IF(OR(INDEX(Species_Availability,MATCH($N115,Species_Names,0))="No",INDEX(Species_Evo_Numbers,MATCH($N115,Species_Names,0))&lt;&gt;1),"N/A",$R115/MAX(IF(NOT(ISNA(MATCH(Combo_Species_Names,IF(Species_Availability="Yes",IF(Species_Evo_Numbers=1,Species_Names)),0))),Combo_Duel_Ability)))</f>
        <v>#VALUE!</v>
      </c>
      <c r="I115" s="23" t="e">
        <f t="array" ref="I115">IF(OR(INDEX(Species_Availability,MATCH($N115,Species_Names,0))="No",INDEX(Species_Evo_Numbers,MATCH($N115,Species_Names,0))&lt;&gt;1),"N/A",RANK($S115,IF(NOT(ISNA(MATCH(Combo_Species_Names,IF(Species_Availability="Yes",IF(Species_Evo_Numbers=1,Species_Names)),0))),Combo_Gym_Offense),0))</f>
        <v>#VALUE!</v>
      </c>
      <c r="J115" s="24" t="e">
        <f t="array" ref="J115">IF(OR(INDEX(Species_Availability,MATCH($N115,Species_Names,0))="No",INDEX(Species_Evo_Numbers,MATCH($N115,Species_Names,0))&lt;&gt;1),"N/A",$S115/MAX(IF(NOT(ISNA(MATCH(Combo_Species_Names,IF(Species_Availability="Yes",IF(Species_Evo_Numbers=1,Species_Names)),0))),Combo_Gym_Offense)))</f>
        <v>#VALUE!</v>
      </c>
      <c r="K115" s="23" t="e">
        <f t="array" ref="K115">IF(OR(INDEX(Species_Availability,MATCH($N115,Species_Names,0))="No",INDEX(Species_Evo_Numbers,MATCH($N115,Species_Names,0))&lt;&gt;1),"N/A",RANK($Y115,IF(NOT(ISNA(MATCH(Combo_Species_Names,IF(Species_Availability="Yes",IF(Species_Evo_Numbers=1,Species_Names)),0))),Combo_Gym_Defense),0))</f>
        <v>#VALUE!</v>
      </c>
      <c r="L115" s="24" t="e">
        <f t="array" ref="L115">IF(OR(INDEX(Species_Availability,MATCH($N115,Species_Names,0))="No",INDEX(Species_Evo_Numbers,MATCH($N115,Species_Names,0))&lt;&gt;1),"N/A",$Y115/MAX(IF(NOT(ISNA(MATCH(Combo_Species_Names,IF(Species_Availability="Yes",IF(Species_Evo_Numbers=1,Species_Names)),0))),Combo_Gym_Defense)))</f>
        <v>#VALUE!</v>
      </c>
      <c r="M115" s="28">
        <f t="array" ref="M115">INDEX(Species_Pdex_Numbers,MATCH($N115,Species_Names,0))</f>
        <v>40</v>
      </c>
      <c r="N115" s="30" t="s">
        <v>171</v>
      </c>
      <c r="O115" s="31" t="s">
        <v>76</v>
      </c>
      <c r="P115" s="31" t="s">
        <v>130</v>
      </c>
      <c r="Q115" s="17" t="e">
        <f t="shared" si="2"/>
        <v>#VALUE!</v>
      </c>
      <c r="R115" s="32" t="e">
        <f t="array" ref="R115">IF(OR(AND(COUNTBLANK(Combo_Opponent_Type_1)=1,COUNTBLANK(Combo_Opponent_Type_2)=0),AND(AND(COUNTBLANK(Combo_Opponent_Type_1)=0,COUNTBLANK(Combo_Opponent_Type_2)=0),Combo_Opponent_Type_1=Combo_Opponent_Type_2)),
"Check Types",($S115*INDEX(Species_Tankiness,MATCH($N115,Species_Names,0)))/225)</f>
        <v>#VALUE!</v>
      </c>
      <c r="S115" s="32" t="e">
        <f t="array" ref="S115">IF(OR(AND(COUNTBLANK(Combo_Opponent_Type_1)=1,COUNTBLANK(Combo_Opponent_Type_2)=0),AND(AND(COUNTBLANK(Combo_Opponent_Type_1)=0,COUNTBLANK(Combo_Opponent_Type_2)=0),Combo_Opponent_Type_1=Combo_Opponent_Type_2)),
"Check Types",(
IF($W115&gt;=((1-Game_Weave_Human_Error)*$X115),$W115,$X115)*INDEX(Species_Attack,MATCH($N115,Species_Names,0)))/11)</f>
        <v>#VALUE!</v>
      </c>
      <c r="T115" s="33" t="e">
        <f t="shared" si="3"/>
        <v>#VALUE!</v>
      </c>
      <c r="U115" s="33">
        <f t="array" ref="U1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115,Quick_Names,0))),Type_Species)),0),1)*IF(COUNTBLANK(Combo_Opponent_Type_2)=0,INDEX(Type_Damage_Multipliers,MATCH(Combo_Opponent_Type_2,IF(Type_Move=(INDEX(Quick_Type,MATCH($O115,Quick_Names,0))),Type_Species)),0),1)*(IF(OR(INDEX(Quick_Type,MATCH($O115,Quick_Names,0))=INDEX(Species_Type_1,MATCH($N115,Species_Names,0)),INDEX(Quick_Type,MATCH($O115,Quick_Names,0))=INDEX(Species_Type_2,MATCH($N115,Species_Names,0))),Game_STAB_Multiplier,1)))</f>
        <v>1</v>
      </c>
      <c r="V115" s="33">
        <f t="array" ref="V1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115,Charge_Names,0))),Type_Species)),0),1)*IF(COUNTBLANK(Combo_Opponent_Type_2)=0,INDEX(Type_Damage_Multipliers,MATCH(Combo_Opponent_Type_2,IF(Type_Move=(INDEX(Charge_Type,MATCH($P115,Charge_Names,0))),Type_Species)),0),1)*
IF(OR(INDEX(Charge_Type,MATCH($P115,Charge_Names,0))=INDEX(Species_Type_1,MATCH($N115,Species_Names,0)),INDEX(Charge_Type,MATCH($P115,Charge_Names,0))=INDEX(Species_Type_2,MATCH($N115,Species_Names,0))),Game_STAB_Multiplier,1))</f>
        <v>1.25</v>
      </c>
      <c r="W115" s="33" t="s">
        <v>589</v>
      </c>
      <c r="X115" s="33" t="s">
        <v>410</v>
      </c>
      <c r="Y115" s="32" t="e">
        <f t="array" ref="Y115">((($Z115)*
INDEX(Species_Attack,MATCH($N115,Species_Names,0))*
INDEX(Species_Tankiness,MATCH($N115,Species_Names,0)))/1000)</f>
        <v>#VALUE!</v>
      </c>
      <c r="Z115" s="33" t="s">
        <v>421</v>
      </c>
    </row>
    <row r="116" spans="1:26" ht="14.25" customHeight="1" x14ac:dyDescent="0.2">
      <c r="A116" s="86"/>
      <c r="B116" s="22" t="str">
        <f t="array" ref="B116">CONCATENATE(TEXT($M116,"000"),".",TEXT(INDEX(Quick_Number,MATCH($O116,Quick_Names,0)),"000"),".",TEXT(INDEX(Charge_Number,MATCH($P116,Charge_Names,0)),"000"))</f>
        <v>130.202.080</v>
      </c>
      <c r="C116" s="23" t="e">
        <f t="array" ref="C116">RANK($S116,IF(Combo_Species_Names=$N116,Combo_Gym_Offense),0)</f>
        <v>#VALUE!</v>
      </c>
      <c r="D116" s="24" t="e">
        <f t="array" ref="D116">$S116/MAX(IF(Combo_Species_Names=$N116,Combo_Gym_Offense))</f>
        <v>#VALUE!</v>
      </c>
      <c r="E116" s="23" t="e">
        <f t="array" ref="E116">RANK($Y116,IF(Combo_Species_Names=$N116,Combo_Gym_Defense),0)</f>
        <v>#VALUE!</v>
      </c>
      <c r="F116" s="25" t="e">
        <f t="array" ref="F116">$Y116/MAX(IF(Combo_Species_Names=$N116,Combo_Gym_Defense))</f>
        <v>#VALUE!</v>
      </c>
      <c r="G116" s="23" t="e">
        <f t="array" ref="G116">IF(OR(INDEX(Species_Availability,MATCH($N116,Species_Names,0))="No",INDEX(Species_Evo_Numbers,MATCH($N116,Species_Names,0))&lt;&gt;1),"N/A",RANK($R116,IF(NOT(ISNA(MATCH(Combo_Species_Names,IF(Species_Availability="Yes",IF(Species_Evo_Numbers=1,Species_Names)),0))),Combo_Duel_Ability),0))</f>
        <v>#VALUE!</v>
      </c>
      <c r="H116" s="24" t="e">
        <f t="array" ref="H116">IF(OR(INDEX(Species_Availability,MATCH($N116,Species_Names,0))="No",INDEX(Species_Evo_Numbers,MATCH($N116,Species_Names,0))&lt;&gt;1),"N/A",$R116/MAX(IF(NOT(ISNA(MATCH(Combo_Species_Names,IF(Species_Availability="Yes",IF(Species_Evo_Numbers=1,Species_Names)),0))),Combo_Duel_Ability)))</f>
        <v>#VALUE!</v>
      </c>
      <c r="I116" s="23" t="e">
        <f t="array" ref="I116">IF(OR(INDEX(Species_Availability,MATCH($N116,Species_Names,0))="No",INDEX(Species_Evo_Numbers,MATCH($N116,Species_Names,0))&lt;&gt;1),"N/A",RANK($S116,IF(NOT(ISNA(MATCH(Combo_Species_Names,IF(Species_Availability="Yes",IF(Species_Evo_Numbers=1,Species_Names)),0))),Combo_Gym_Offense),0))</f>
        <v>#VALUE!</v>
      </c>
      <c r="J116" s="24" t="e">
        <f t="array" ref="J116">IF(OR(INDEX(Species_Availability,MATCH($N116,Species_Names,0))="No",INDEX(Species_Evo_Numbers,MATCH($N116,Species_Names,0))&lt;&gt;1),"N/A",$S116/MAX(IF(NOT(ISNA(MATCH(Combo_Species_Names,IF(Species_Availability="Yes",IF(Species_Evo_Numbers=1,Species_Names)),0))),Combo_Gym_Offense)))</f>
        <v>#VALUE!</v>
      </c>
      <c r="K116" s="23" t="e">
        <f t="array" ref="K116">IF(OR(INDEX(Species_Availability,MATCH($N116,Species_Names,0))="No",INDEX(Species_Evo_Numbers,MATCH($N116,Species_Names,0))&lt;&gt;1),"N/A",RANK($Y116,IF(NOT(ISNA(MATCH(Combo_Species_Names,IF(Species_Availability="Yes",IF(Species_Evo_Numbers=1,Species_Names)),0))),Combo_Gym_Defense),0))</f>
        <v>#VALUE!</v>
      </c>
      <c r="L116" s="24" t="e">
        <f t="array" ref="L116">IF(OR(INDEX(Species_Availability,MATCH($N116,Species_Names,0))="No",INDEX(Species_Evo_Numbers,MATCH($N116,Species_Names,0))&lt;&gt;1),"N/A",$Y116/MAX(IF(NOT(ISNA(MATCH(Combo_Species_Names,IF(Species_Availability="Yes",IF(Species_Evo_Numbers=1,Species_Names)),0))),Combo_Gym_Defense)))</f>
        <v>#VALUE!</v>
      </c>
      <c r="M116" s="28">
        <f t="array" ref="M116">INDEX(Species_Pdex_Numbers,MATCH($N116,Species_Names,0))</f>
        <v>130</v>
      </c>
      <c r="N116" s="30" t="s">
        <v>347</v>
      </c>
      <c r="O116" s="31" t="s">
        <v>59</v>
      </c>
      <c r="P116" s="31" t="s">
        <v>302</v>
      </c>
      <c r="Q116" s="17" t="e">
        <f t="shared" si="2"/>
        <v>#VALUE!</v>
      </c>
      <c r="R116" s="32" t="e">
        <f t="array" ref="R116">IF(OR(AND(COUNTBLANK(Combo_Opponent_Type_1)=1,COUNTBLANK(Combo_Opponent_Type_2)=0),AND(AND(COUNTBLANK(Combo_Opponent_Type_1)=0,COUNTBLANK(Combo_Opponent_Type_2)=0),Combo_Opponent_Type_1=Combo_Opponent_Type_2)),
"Check Types",($S116*INDEX(Species_Tankiness,MATCH($N116,Species_Names,0)))/225)</f>
        <v>#VALUE!</v>
      </c>
      <c r="S116" s="32" t="e">
        <f t="array" ref="S116">IF(OR(AND(COUNTBLANK(Combo_Opponent_Type_1)=1,COUNTBLANK(Combo_Opponent_Type_2)=0),AND(AND(COUNTBLANK(Combo_Opponent_Type_1)=0,COUNTBLANK(Combo_Opponent_Type_2)=0),Combo_Opponent_Type_1=Combo_Opponent_Type_2)),
"Check Types",(
IF($W116&gt;=((1-Game_Weave_Human_Error)*$X116),$W116,$X116)*INDEX(Species_Attack,MATCH($N116,Species_Names,0)))/11)</f>
        <v>#VALUE!</v>
      </c>
      <c r="T116" s="33" t="e">
        <f t="shared" si="3"/>
        <v>#VALUE!</v>
      </c>
      <c r="U116" s="33">
        <f t="array" ref="U1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116,Quick_Names,0))),Type_Species)),0),1)*IF(COUNTBLANK(Combo_Opponent_Type_2)=0,INDEX(Type_Damage_Multipliers,MATCH(Combo_Opponent_Type_2,IF(Type_Move=(INDEX(Quick_Type,MATCH($O116,Quick_Names,0))),Type_Species)),0),1)*(IF(OR(INDEX(Quick_Type,MATCH($O116,Quick_Names,0))=INDEX(Species_Type_1,MATCH($N116,Species_Names,0)),INDEX(Quick_Type,MATCH($O116,Quick_Names,0))=INDEX(Species_Type_2,MATCH($N116,Species_Names,0))),Game_STAB_Multiplier,1)))</f>
        <v>1</v>
      </c>
      <c r="V116" s="33">
        <f t="array" ref="V1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116,Charge_Names,0))),Type_Species)),0),1)*IF(COUNTBLANK(Combo_Opponent_Type_2)=0,INDEX(Type_Damage_Multipliers,MATCH(Combo_Opponent_Type_2,IF(Type_Move=(INDEX(Charge_Type,MATCH($P116,Charge_Names,0))),Type_Species)),0),1)*
IF(OR(INDEX(Charge_Type,MATCH($P116,Charge_Names,0))=INDEX(Species_Type_1,MATCH($N116,Species_Names,0)),INDEX(Charge_Type,MATCH($P116,Charge_Names,0))=INDEX(Species_Type_2,MATCH($N116,Species_Names,0))),Game_STAB_Multiplier,1))</f>
        <v>1</v>
      </c>
      <c r="W116" s="33" t="s">
        <v>453</v>
      </c>
      <c r="X116" s="33" t="s">
        <v>590</v>
      </c>
      <c r="Y116" s="32" t="e">
        <f t="array" ref="Y116">((($Z116)*
INDEX(Species_Attack,MATCH($N116,Species_Names,0))*
INDEX(Species_Tankiness,MATCH($N116,Species_Names,0)))/1000)</f>
        <v>#VALUE!</v>
      </c>
      <c r="Z116" s="33" t="s">
        <v>591</v>
      </c>
    </row>
    <row r="117" spans="1:26" ht="14.25" customHeight="1" x14ac:dyDescent="0.2">
      <c r="A117" s="86"/>
      <c r="B117" s="22" t="str">
        <f t="array" ref="B117">CONCATENATE(TEXT($M117,"000"),".",TEXT(INDEX(Quick_Number,MATCH($O117,Quick_Names,0)),"000"),".",TEXT(INDEX(Charge_Number,MATCH($P117,Charge_Names,0)),"000"))</f>
        <v>130.204.080</v>
      </c>
      <c r="C117" s="23" t="e">
        <f t="array" ref="C117">RANK($S117,IF(Combo_Species_Names=$N117,Combo_Gym_Offense),0)</f>
        <v>#VALUE!</v>
      </c>
      <c r="D117" s="24" t="e">
        <f t="array" ref="D117">$S117/MAX(IF(Combo_Species_Names=$N117,Combo_Gym_Offense))</f>
        <v>#VALUE!</v>
      </c>
      <c r="E117" s="23" t="e">
        <f t="array" ref="E117">RANK($Y117,IF(Combo_Species_Names=$N117,Combo_Gym_Defense),0)</f>
        <v>#VALUE!</v>
      </c>
      <c r="F117" s="25" t="e">
        <f t="array" ref="F117">$Y117/MAX(IF(Combo_Species_Names=$N117,Combo_Gym_Defense))</f>
        <v>#VALUE!</v>
      </c>
      <c r="G117" s="23" t="e">
        <f t="array" ref="G117">IF(OR(INDEX(Species_Availability,MATCH($N117,Species_Names,0))="No",INDEX(Species_Evo_Numbers,MATCH($N117,Species_Names,0))&lt;&gt;1),"N/A",RANK($R117,IF(NOT(ISNA(MATCH(Combo_Species_Names,IF(Species_Availability="Yes",IF(Species_Evo_Numbers=1,Species_Names)),0))),Combo_Duel_Ability),0))</f>
        <v>#VALUE!</v>
      </c>
      <c r="H117" s="24" t="e">
        <f t="array" ref="H117">IF(OR(INDEX(Species_Availability,MATCH($N117,Species_Names,0))="No",INDEX(Species_Evo_Numbers,MATCH($N117,Species_Names,0))&lt;&gt;1),"N/A",$R117/MAX(IF(NOT(ISNA(MATCH(Combo_Species_Names,IF(Species_Availability="Yes",IF(Species_Evo_Numbers=1,Species_Names)),0))),Combo_Duel_Ability)))</f>
        <v>#VALUE!</v>
      </c>
      <c r="I117" s="23" t="e">
        <f t="array" ref="I117">IF(OR(INDEX(Species_Availability,MATCH($N117,Species_Names,0))="No",INDEX(Species_Evo_Numbers,MATCH($N117,Species_Names,0))&lt;&gt;1),"N/A",RANK($S117,IF(NOT(ISNA(MATCH(Combo_Species_Names,IF(Species_Availability="Yes",IF(Species_Evo_Numbers=1,Species_Names)),0))),Combo_Gym_Offense),0))</f>
        <v>#VALUE!</v>
      </c>
      <c r="J117" s="24" t="e">
        <f t="array" ref="J117">IF(OR(INDEX(Species_Availability,MATCH($N117,Species_Names,0))="No",INDEX(Species_Evo_Numbers,MATCH($N117,Species_Names,0))&lt;&gt;1),"N/A",$S117/MAX(IF(NOT(ISNA(MATCH(Combo_Species_Names,IF(Species_Availability="Yes",IF(Species_Evo_Numbers=1,Species_Names)),0))),Combo_Gym_Offense)))</f>
        <v>#VALUE!</v>
      </c>
      <c r="K117" s="23" t="e">
        <f t="array" ref="K117">IF(OR(INDEX(Species_Availability,MATCH($N117,Species_Names,0))="No",INDEX(Species_Evo_Numbers,MATCH($N117,Species_Names,0))&lt;&gt;1),"N/A",RANK($Y117,IF(NOT(ISNA(MATCH(Combo_Species_Names,IF(Species_Availability="Yes",IF(Species_Evo_Numbers=1,Species_Names)),0))),Combo_Gym_Defense),0))</f>
        <v>#VALUE!</v>
      </c>
      <c r="L117" s="24" t="e">
        <f t="array" ref="L117">IF(OR(INDEX(Species_Availability,MATCH($N117,Species_Names,0))="No",INDEX(Species_Evo_Numbers,MATCH($N117,Species_Names,0))&lt;&gt;1),"N/A",$Y117/MAX(IF(NOT(ISNA(MATCH(Combo_Species_Names,IF(Species_Availability="Yes",IF(Species_Evo_Numbers=1,Species_Names)),0))),Combo_Gym_Defense)))</f>
        <v>#VALUE!</v>
      </c>
      <c r="M117" s="28">
        <f t="array" ref="M117">INDEX(Species_Pdex_Numbers,MATCH($N117,Species_Names,0))</f>
        <v>130</v>
      </c>
      <c r="N117" s="30" t="s">
        <v>347</v>
      </c>
      <c r="O117" s="31" t="s">
        <v>62</v>
      </c>
      <c r="P117" s="31" t="s">
        <v>302</v>
      </c>
      <c r="Q117" s="17" t="e">
        <f t="shared" si="2"/>
        <v>#VALUE!</v>
      </c>
      <c r="R117" s="32" t="e">
        <f t="array" ref="R117">IF(OR(AND(COUNTBLANK(Combo_Opponent_Type_1)=1,COUNTBLANK(Combo_Opponent_Type_2)=0),AND(AND(COUNTBLANK(Combo_Opponent_Type_1)=0,COUNTBLANK(Combo_Opponent_Type_2)=0),Combo_Opponent_Type_1=Combo_Opponent_Type_2)),
"Check Types",($S117*INDEX(Species_Tankiness,MATCH($N117,Species_Names,0)))/225)</f>
        <v>#VALUE!</v>
      </c>
      <c r="S117" s="32" t="e">
        <f t="array" ref="S117">IF(OR(AND(COUNTBLANK(Combo_Opponent_Type_1)=1,COUNTBLANK(Combo_Opponent_Type_2)=0),AND(AND(COUNTBLANK(Combo_Opponent_Type_1)=0,COUNTBLANK(Combo_Opponent_Type_2)=0),Combo_Opponent_Type_1=Combo_Opponent_Type_2)),
"Check Types",(
IF($W117&gt;=((1-Game_Weave_Human_Error)*$X117),$W117,$X117)*INDEX(Species_Attack,MATCH($N117,Species_Names,0)))/11)</f>
        <v>#VALUE!</v>
      </c>
      <c r="T117" s="33" t="e">
        <f t="shared" si="3"/>
        <v>#VALUE!</v>
      </c>
      <c r="U117" s="33">
        <f t="array" ref="U1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117,Quick_Names,0))),Type_Species)),0),1)*IF(COUNTBLANK(Combo_Opponent_Type_2)=0,INDEX(Type_Damage_Multipliers,MATCH(Combo_Opponent_Type_2,IF(Type_Move=(INDEX(Quick_Type,MATCH($O117,Quick_Names,0))),Type_Species)),0),1)*(IF(OR(INDEX(Quick_Type,MATCH($O117,Quick_Names,0))=INDEX(Species_Type_1,MATCH($N117,Species_Names,0)),INDEX(Quick_Type,MATCH($O117,Quick_Names,0))=INDEX(Species_Type_2,MATCH($N117,Species_Names,0))),Game_STAB_Multiplier,1)))</f>
        <v>1</v>
      </c>
      <c r="V117" s="33">
        <f t="array" ref="V1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117,Charge_Names,0))),Type_Species)),0),1)*IF(COUNTBLANK(Combo_Opponent_Type_2)=0,INDEX(Type_Damage_Multipliers,MATCH(Combo_Opponent_Type_2,IF(Type_Move=(INDEX(Charge_Type,MATCH($P117,Charge_Names,0))),Type_Species)),0),1)*
IF(OR(INDEX(Charge_Type,MATCH($P117,Charge_Names,0))=INDEX(Species_Type_1,MATCH($N117,Species_Names,0)),INDEX(Charge_Type,MATCH($P117,Charge_Names,0))=INDEX(Species_Type_2,MATCH($N117,Species_Names,0))),Game_STAB_Multiplier,1))</f>
        <v>1</v>
      </c>
      <c r="W117" s="33" t="s">
        <v>453</v>
      </c>
      <c r="X117" s="33" t="s">
        <v>590</v>
      </c>
      <c r="Y117" s="32" t="e">
        <f t="array" ref="Y117">((($Z117)*
INDEX(Species_Attack,MATCH($N117,Species_Names,0))*
INDEX(Species_Tankiness,MATCH($N117,Species_Names,0)))/1000)</f>
        <v>#VALUE!</v>
      </c>
      <c r="Z117" s="33" t="s">
        <v>591</v>
      </c>
    </row>
    <row r="118" spans="1:26" ht="14.25" customHeight="1" x14ac:dyDescent="0.2">
      <c r="A118" s="86"/>
      <c r="B118" s="22" t="str">
        <f t="array" ref="B118">CONCATENATE(TEXT($M118,"000"),".",TEXT(INDEX(Quick_Number,MATCH($O118,Quick_Names,0)),"000"),".",TEXT(INDEX(Charge_Number,MATCH($P118,Charge_Names,0)),"000"))</f>
        <v>080.235.105</v>
      </c>
      <c r="C118" s="23" t="e">
        <f t="array" ref="C118">RANK($S118,IF(Combo_Species_Names=$N118,Combo_Gym_Offense),0)</f>
        <v>#VALUE!</v>
      </c>
      <c r="D118" s="24" t="e">
        <f t="array" ref="D118">$S118/MAX(IF(Combo_Species_Names=$N118,Combo_Gym_Offense))</f>
        <v>#VALUE!</v>
      </c>
      <c r="E118" s="23" t="e">
        <f t="array" ref="E118">RANK($Y118,IF(Combo_Species_Names=$N118,Combo_Gym_Defense),0)</f>
        <v>#VALUE!</v>
      </c>
      <c r="F118" s="25" t="e">
        <f t="array" ref="F118">$Y118/MAX(IF(Combo_Species_Names=$N118,Combo_Gym_Defense))</f>
        <v>#VALUE!</v>
      </c>
      <c r="G118" s="23" t="e">
        <f t="array" ref="G118">IF(OR(INDEX(Species_Availability,MATCH($N118,Species_Names,0))="No",INDEX(Species_Evo_Numbers,MATCH($N118,Species_Names,0))&lt;&gt;1),"N/A",RANK($R118,IF(NOT(ISNA(MATCH(Combo_Species_Names,IF(Species_Availability="Yes",IF(Species_Evo_Numbers=1,Species_Names)),0))),Combo_Duel_Ability),0))</f>
        <v>#VALUE!</v>
      </c>
      <c r="H118" s="24" t="e">
        <f t="array" ref="H118">IF(OR(INDEX(Species_Availability,MATCH($N118,Species_Names,0))="No",INDEX(Species_Evo_Numbers,MATCH($N118,Species_Names,0))&lt;&gt;1),"N/A",$R118/MAX(IF(NOT(ISNA(MATCH(Combo_Species_Names,IF(Species_Availability="Yes",IF(Species_Evo_Numbers=1,Species_Names)),0))),Combo_Duel_Ability)))</f>
        <v>#VALUE!</v>
      </c>
      <c r="I118" s="23" t="e">
        <f t="array" ref="I118">IF(OR(INDEX(Species_Availability,MATCH($N118,Species_Names,0))="No",INDEX(Species_Evo_Numbers,MATCH($N118,Species_Names,0))&lt;&gt;1),"N/A",RANK($S118,IF(NOT(ISNA(MATCH(Combo_Species_Names,IF(Species_Availability="Yes",IF(Species_Evo_Numbers=1,Species_Names)),0))),Combo_Gym_Offense),0))</f>
        <v>#VALUE!</v>
      </c>
      <c r="J118" s="24" t="e">
        <f t="array" ref="J118">IF(OR(INDEX(Species_Availability,MATCH($N118,Species_Names,0))="No",INDEX(Species_Evo_Numbers,MATCH($N118,Species_Names,0))&lt;&gt;1),"N/A",$S118/MAX(IF(NOT(ISNA(MATCH(Combo_Species_Names,IF(Species_Availability="Yes",IF(Species_Evo_Numbers=1,Species_Names)),0))),Combo_Gym_Offense)))</f>
        <v>#VALUE!</v>
      </c>
      <c r="K118" s="23" t="e">
        <f t="array" ref="K118">IF(OR(INDEX(Species_Availability,MATCH($N118,Species_Names,0))="No",INDEX(Species_Evo_Numbers,MATCH($N118,Species_Names,0))&lt;&gt;1),"N/A",RANK($Y118,IF(NOT(ISNA(MATCH(Combo_Species_Names,IF(Species_Availability="Yes",IF(Species_Evo_Numbers=1,Species_Names)),0))),Combo_Gym_Defense),0))</f>
        <v>#VALUE!</v>
      </c>
      <c r="L118" s="24" t="e">
        <f t="array" ref="L118">IF(OR(INDEX(Species_Availability,MATCH($N118,Species_Names,0))="No",INDEX(Species_Evo_Numbers,MATCH($N118,Species_Names,0))&lt;&gt;1),"N/A",$Y118/MAX(IF(NOT(ISNA(MATCH(Combo_Species_Names,IF(Species_Availability="Yes",IF(Species_Evo_Numbers=1,Species_Names)),0))),Combo_Gym_Defense)))</f>
        <v>#VALUE!</v>
      </c>
      <c r="M118" s="28">
        <f t="array" ref="M118">INDEX(Species_Pdex_Numbers,MATCH($N118,Species_Names,0))</f>
        <v>80</v>
      </c>
      <c r="N118" s="30" t="s">
        <v>252</v>
      </c>
      <c r="O118" s="31" t="s">
        <v>108</v>
      </c>
      <c r="P118" s="31" t="s">
        <v>281</v>
      </c>
      <c r="Q118" s="17" t="e">
        <f t="shared" si="2"/>
        <v>#VALUE!</v>
      </c>
      <c r="R118" s="32" t="e">
        <f t="array" ref="R118">IF(OR(AND(COUNTBLANK(Combo_Opponent_Type_1)=1,COUNTBLANK(Combo_Opponent_Type_2)=0),AND(AND(COUNTBLANK(Combo_Opponent_Type_1)=0,COUNTBLANK(Combo_Opponent_Type_2)=0),Combo_Opponent_Type_1=Combo_Opponent_Type_2)),
"Check Types",($S118*INDEX(Species_Tankiness,MATCH($N118,Species_Names,0)))/225)</f>
        <v>#VALUE!</v>
      </c>
      <c r="S118" s="32" t="e">
        <f t="array" ref="S118">IF(OR(AND(COUNTBLANK(Combo_Opponent_Type_1)=1,COUNTBLANK(Combo_Opponent_Type_2)=0),AND(AND(COUNTBLANK(Combo_Opponent_Type_1)=0,COUNTBLANK(Combo_Opponent_Type_2)=0),Combo_Opponent_Type_1=Combo_Opponent_Type_2)),
"Check Types",(
IF($W118&gt;=((1-Game_Weave_Human_Error)*$X118),$W118,$X118)*INDEX(Species_Attack,MATCH($N118,Species_Names,0)))/11)</f>
        <v>#VALUE!</v>
      </c>
      <c r="T118" s="33" t="e">
        <f t="shared" si="3"/>
        <v>#VALUE!</v>
      </c>
      <c r="U118" s="33">
        <f t="array" ref="U1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118,Quick_Names,0))),Type_Species)),0),1)*IF(COUNTBLANK(Combo_Opponent_Type_2)=0,INDEX(Type_Damage_Multipliers,MATCH(Combo_Opponent_Type_2,IF(Type_Move=(INDEX(Quick_Type,MATCH($O118,Quick_Names,0))),Type_Species)),0),1)*(IF(OR(INDEX(Quick_Type,MATCH($O118,Quick_Names,0))=INDEX(Species_Type_1,MATCH($N118,Species_Names,0)),INDEX(Quick_Type,MATCH($O118,Quick_Names,0))=INDEX(Species_Type_2,MATCH($N118,Species_Names,0))),Game_STAB_Multiplier,1)))</f>
        <v>1.25</v>
      </c>
      <c r="V118" s="33">
        <f t="array" ref="V1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118,Charge_Names,0))),Type_Species)),0),1)*IF(COUNTBLANK(Combo_Opponent_Type_2)=0,INDEX(Type_Damage_Multipliers,MATCH(Combo_Opponent_Type_2,IF(Type_Move=(INDEX(Charge_Type,MATCH($P118,Charge_Names,0))),Type_Species)),0),1)*
IF(OR(INDEX(Charge_Type,MATCH($P118,Charge_Names,0))=INDEX(Species_Type_1,MATCH($N118,Species_Names,0)),INDEX(Charge_Type,MATCH($P118,Charge_Names,0))=INDEX(Species_Type_2,MATCH($N118,Species_Names,0))),Game_STAB_Multiplier,1))</f>
        <v>1.25</v>
      </c>
      <c r="W118" s="33" t="s">
        <v>467</v>
      </c>
      <c r="X118" s="33" t="s">
        <v>592</v>
      </c>
      <c r="Y118" s="32" t="e">
        <f t="array" ref="Y118">((($Z118)*
INDEX(Species_Attack,MATCH($N118,Species_Names,0))*
INDEX(Species_Tankiness,MATCH($N118,Species_Names,0)))/1000)</f>
        <v>#VALUE!</v>
      </c>
      <c r="Z118" s="33" t="s">
        <v>593</v>
      </c>
    </row>
    <row r="119" spans="1:26" ht="14.25" customHeight="1" x14ac:dyDescent="0.2">
      <c r="A119" s="86"/>
      <c r="B119" s="22" t="str">
        <f t="array" ref="B119">CONCATENATE(TEXT($M119,"000"),".",TEXT(INDEX(Quick_Number,MATCH($O119,Quick_Names,0)),"000"),".",TEXT(INDEX(Charge_Number,MATCH($P119,Charge_Names,0)),"000"))</f>
        <v>036.234.087</v>
      </c>
      <c r="C119" s="23" t="e">
        <f t="array" ref="C119">RANK($S119,IF(Combo_Species_Names=$N119,Combo_Gym_Offense),0)</f>
        <v>#VALUE!</v>
      </c>
      <c r="D119" s="24" t="e">
        <f t="array" ref="D119">$S119/MAX(IF(Combo_Species_Names=$N119,Combo_Gym_Offense))</f>
        <v>#VALUE!</v>
      </c>
      <c r="E119" s="23" t="e">
        <f t="array" ref="E119">RANK($Y119,IF(Combo_Species_Names=$N119,Combo_Gym_Defense),0)</f>
        <v>#VALUE!</v>
      </c>
      <c r="F119" s="25" t="e">
        <f t="array" ref="F119">$Y119/MAX(IF(Combo_Species_Names=$N119,Combo_Gym_Defense))</f>
        <v>#VALUE!</v>
      </c>
      <c r="G119" s="23" t="e">
        <f t="array" ref="G119">IF(OR(INDEX(Species_Availability,MATCH($N119,Species_Names,0))="No",INDEX(Species_Evo_Numbers,MATCH($N119,Species_Names,0))&lt;&gt;1),"N/A",RANK($R119,IF(NOT(ISNA(MATCH(Combo_Species_Names,IF(Species_Availability="Yes",IF(Species_Evo_Numbers=1,Species_Names)),0))),Combo_Duel_Ability),0))</f>
        <v>#VALUE!</v>
      </c>
      <c r="H119" s="24" t="e">
        <f t="array" ref="H119">IF(OR(INDEX(Species_Availability,MATCH($N119,Species_Names,0))="No",INDEX(Species_Evo_Numbers,MATCH($N119,Species_Names,0))&lt;&gt;1),"N/A",$R119/MAX(IF(NOT(ISNA(MATCH(Combo_Species_Names,IF(Species_Availability="Yes",IF(Species_Evo_Numbers=1,Species_Names)),0))),Combo_Duel_Ability)))</f>
        <v>#VALUE!</v>
      </c>
      <c r="I119" s="23" t="e">
        <f t="array" ref="I119">IF(OR(INDEX(Species_Availability,MATCH($N119,Species_Names,0))="No",INDEX(Species_Evo_Numbers,MATCH($N119,Species_Names,0))&lt;&gt;1),"N/A",RANK($S119,IF(NOT(ISNA(MATCH(Combo_Species_Names,IF(Species_Availability="Yes",IF(Species_Evo_Numbers=1,Species_Names)),0))),Combo_Gym_Offense),0))</f>
        <v>#VALUE!</v>
      </c>
      <c r="J119" s="24" t="e">
        <f t="array" ref="J119">IF(OR(INDEX(Species_Availability,MATCH($N119,Species_Names,0))="No",INDEX(Species_Evo_Numbers,MATCH($N119,Species_Names,0))&lt;&gt;1),"N/A",$S119/MAX(IF(NOT(ISNA(MATCH(Combo_Species_Names,IF(Species_Availability="Yes",IF(Species_Evo_Numbers=1,Species_Names)),0))),Combo_Gym_Offense)))</f>
        <v>#VALUE!</v>
      </c>
      <c r="K119" s="23" t="e">
        <f t="array" ref="K119">IF(OR(INDEX(Species_Availability,MATCH($N119,Species_Names,0))="No",INDEX(Species_Evo_Numbers,MATCH($N119,Species_Names,0))&lt;&gt;1),"N/A",RANK($Y119,IF(NOT(ISNA(MATCH(Combo_Species_Names,IF(Species_Availability="Yes",IF(Species_Evo_Numbers=1,Species_Names)),0))),Combo_Gym_Defense),0))</f>
        <v>#VALUE!</v>
      </c>
      <c r="L119" s="24" t="e">
        <f t="array" ref="L119">IF(OR(INDEX(Species_Availability,MATCH($N119,Species_Names,0))="No",INDEX(Species_Evo_Numbers,MATCH($N119,Species_Names,0))&lt;&gt;1),"N/A",$Y119/MAX(IF(NOT(ISNA(MATCH(Combo_Species_Names,IF(Species_Availability="Yes",IF(Species_Evo_Numbers=1,Species_Names)),0))),Combo_Gym_Defense)))</f>
        <v>#VALUE!</v>
      </c>
      <c r="M119" s="28">
        <f t="array" ref="M119">INDEX(Species_Pdex_Numbers,MATCH($N119,Species_Names,0))</f>
        <v>36</v>
      </c>
      <c r="N119" s="30" t="s">
        <v>164</v>
      </c>
      <c r="O119" s="31" t="s">
        <v>79</v>
      </c>
      <c r="P119" s="31" t="s">
        <v>185</v>
      </c>
      <c r="Q119" s="17" t="e">
        <f t="shared" si="2"/>
        <v>#VALUE!</v>
      </c>
      <c r="R119" s="32" t="e">
        <f t="array" ref="R119">IF(OR(AND(COUNTBLANK(Combo_Opponent_Type_1)=1,COUNTBLANK(Combo_Opponent_Type_2)=0),AND(AND(COUNTBLANK(Combo_Opponent_Type_1)=0,COUNTBLANK(Combo_Opponent_Type_2)=0),Combo_Opponent_Type_1=Combo_Opponent_Type_2)),
"Check Types",($S119*INDEX(Species_Tankiness,MATCH($N119,Species_Names,0)))/225)</f>
        <v>#VALUE!</v>
      </c>
      <c r="S119" s="32" t="e">
        <f t="array" ref="S119">IF(OR(AND(COUNTBLANK(Combo_Opponent_Type_1)=1,COUNTBLANK(Combo_Opponent_Type_2)=0),AND(AND(COUNTBLANK(Combo_Opponent_Type_1)=0,COUNTBLANK(Combo_Opponent_Type_2)=0),Combo_Opponent_Type_1=Combo_Opponent_Type_2)),
"Check Types",(
IF($W119&gt;=((1-Game_Weave_Human_Error)*$X119),$W119,$X119)*INDEX(Species_Attack,MATCH($N119,Species_Names,0)))/11)</f>
        <v>#VALUE!</v>
      </c>
      <c r="T119" s="33" t="e">
        <f t="shared" si="3"/>
        <v>#VALUE!</v>
      </c>
      <c r="U119" s="33">
        <f t="array" ref="U1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119,Quick_Names,0))),Type_Species)),0),1)*IF(COUNTBLANK(Combo_Opponent_Type_2)=0,INDEX(Type_Damage_Multipliers,MATCH(Combo_Opponent_Type_2,IF(Type_Move=(INDEX(Quick_Type,MATCH($O119,Quick_Names,0))),Type_Species)),0),1)*(IF(OR(INDEX(Quick_Type,MATCH($O119,Quick_Names,0))=INDEX(Species_Type_1,MATCH($N119,Species_Names,0)),INDEX(Quick_Type,MATCH($O119,Quick_Names,0))=INDEX(Species_Type_2,MATCH($N119,Species_Names,0))),Game_STAB_Multiplier,1)))</f>
        <v>1</v>
      </c>
      <c r="V119" s="33">
        <f t="array" ref="V1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119,Charge_Names,0))),Type_Species)),0),1)*IF(COUNTBLANK(Combo_Opponent_Type_2)=0,INDEX(Type_Damage_Multipliers,MATCH(Combo_Opponent_Type_2,IF(Type_Move=(INDEX(Charge_Type,MATCH($P119,Charge_Names,0))),Type_Species)),0),1)*
IF(OR(INDEX(Charge_Type,MATCH($P119,Charge_Names,0))=INDEX(Species_Type_1,MATCH($N119,Species_Names,0)),INDEX(Charge_Type,MATCH($P119,Charge_Names,0))=INDEX(Species_Type_2,MATCH($N119,Species_Names,0))),Game_STAB_Multiplier,1))</f>
        <v>1.25</v>
      </c>
      <c r="W119" s="33" t="s">
        <v>419</v>
      </c>
      <c r="X119" s="33" t="s">
        <v>594</v>
      </c>
      <c r="Y119" s="32" t="e">
        <f t="array" ref="Y119">((($Z119)*
INDEX(Species_Attack,MATCH($N119,Species_Names,0))*
INDEX(Species_Tankiness,MATCH($N119,Species_Names,0)))/1000)</f>
        <v>#VALUE!</v>
      </c>
      <c r="Z119" s="33" t="s">
        <v>595</v>
      </c>
    </row>
    <row r="120" spans="1:26" ht="14.25" customHeight="1" x14ac:dyDescent="0.2">
      <c r="A120" s="86"/>
      <c r="B120" s="22" t="str">
        <f t="array" ref="B120">CONCATENATE(TEXT($M120,"000"),".",TEXT(INDEX(Quick_Number,MATCH($O120,Quick_Names,0)),"000"),".",TEXT(INDEX(Charge_Number,MATCH($P120,Charge_Names,0)),"000"))</f>
        <v>036.222.086</v>
      </c>
      <c r="C120" s="23" t="e">
        <f t="array" ref="C120">RANK($S120,IF(Combo_Species_Names=$N120,Combo_Gym_Offense),0)</f>
        <v>#VALUE!</v>
      </c>
      <c r="D120" s="24" t="e">
        <f t="array" ref="D120">$S120/MAX(IF(Combo_Species_Names=$N120,Combo_Gym_Offense))</f>
        <v>#VALUE!</v>
      </c>
      <c r="E120" s="23" t="e">
        <f t="array" ref="E120">RANK($Y120,IF(Combo_Species_Names=$N120,Combo_Gym_Defense),0)</f>
        <v>#VALUE!</v>
      </c>
      <c r="F120" s="25" t="e">
        <f t="array" ref="F120">$Y120/MAX(IF(Combo_Species_Names=$N120,Combo_Gym_Defense))</f>
        <v>#VALUE!</v>
      </c>
      <c r="G120" s="23" t="e">
        <f t="array" ref="G120">IF(OR(INDEX(Species_Availability,MATCH($N120,Species_Names,0))="No",INDEX(Species_Evo_Numbers,MATCH($N120,Species_Names,0))&lt;&gt;1),"N/A",RANK($R120,IF(NOT(ISNA(MATCH(Combo_Species_Names,IF(Species_Availability="Yes",IF(Species_Evo_Numbers=1,Species_Names)),0))),Combo_Duel_Ability),0))</f>
        <v>#VALUE!</v>
      </c>
      <c r="H120" s="24" t="e">
        <f t="array" ref="H120">IF(OR(INDEX(Species_Availability,MATCH($N120,Species_Names,0))="No",INDEX(Species_Evo_Numbers,MATCH($N120,Species_Names,0))&lt;&gt;1),"N/A",$R120/MAX(IF(NOT(ISNA(MATCH(Combo_Species_Names,IF(Species_Availability="Yes",IF(Species_Evo_Numbers=1,Species_Names)),0))),Combo_Duel_Ability)))</f>
        <v>#VALUE!</v>
      </c>
      <c r="I120" s="23" t="e">
        <f t="array" ref="I120">IF(OR(INDEX(Species_Availability,MATCH($N120,Species_Names,0))="No",INDEX(Species_Evo_Numbers,MATCH($N120,Species_Names,0))&lt;&gt;1),"N/A",RANK($S120,IF(NOT(ISNA(MATCH(Combo_Species_Names,IF(Species_Availability="Yes",IF(Species_Evo_Numbers=1,Species_Names)),0))),Combo_Gym_Offense),0))</f>
        <v>#VALUE!</v>
      </c>
      <c r="J120" s="24" t="e">
        <f t="array" ref="J120">IF(OR(INDEX(Species_Availability,MATCH($N120,Species_Names,0))="No",INDEX(Species_Evo_Numbers,MATCH($N120,Species_Names,0))&lt;&gt;1),"N/A",$S120/MAX(IF(NOT(ISNA(MATCH(Combo_Species_Names,IF(Species_Availability="Yes",IF(Species_Evo_Numbers=1,Species_Names)),0))),Combo_Gym_Offense)))</f>
        <v>#VALUE!</v>
      </c>
      <c r="K120" s="23" t="e">
        <f t="array" ref="K120">IF(OR(INDEX(Species_Availability,MATCH($N120,Species_Names,0))="No",INDEX(Species_Evo_Numbers,MATCH($N120,Species_Names,0))&lt;&gt;1),"N/A",RANK($Y120,IF(NOT(ISNA(MATCH(Combo_Species_Names,IF(Species_Availability="Yes",IF(Species_Evo_Numbers=1,Species_Names)),0))),Combo_Gym_Defense),0))</f>
        <v>#VALUE!</v>
      </c>
      <c r="L120" s="24" t="e">
        <f t="array" ref="L120">IF(OR(INDEX(Species_Availability,MATCH($N120,Species_Names,0))="No",INDEX(Species_Evo_Numbers,MATCH($N120,Species_Names,0))&lt;&gt;1),"N/A",$Y120/MAX(IF(NOT(ISNA(MATCH(Combo_Species_Names,IF(Species_Availability="Yes",IF(Species_Evo_Numbers=1,Species_Names)),0))),Combo_Gym_Defense)))</f>
        <v>#VALUE!</v>
      </c>
      <c r="M120" s="28">
        <f t="array" ref="M120">INDEX(Species_Pdex_Numbers,MATCH($N120,Species_Names,0))</f>
        <v>36</v>
      </c>
      <c r="N120" s="30" t="s">
        <v>164</v>
      </c>
      <c r="O120" s="31" t="s">
        <v>32</v>
      </c>
      <c r="P120" s="31" t="s">
        <v>257</v>
      </c>
      <c r="Q120" s="17" t="e">
        <f t="shared" si="2"/>
        <v>#VALUE!</v>
      </c>
      <c r="R120" s="32" t="e">
        <f t="array" ref="R120">IF(OR(AND(COUNTBLANK(Combo_Opponent_Type_1)=1,COUNTBLANK(Combo_Opponent_Type_2)=0),AND(AND(COUNTBLANK(Combo_Opponent_Type_1)=0,COUNTBLANK(Combo_Opponent_Type_2)=0),Combo_Opponent_Type_1=Combo_Opponent_Type_2)),
"Check Types",($S120*INDEX(Species_Tankiness,MATCH($N120,Species_Names,0)))/225)</f>
        <v>#VALUE!</v>
      </c>
      <c r="S120" s="32" t="e">
        <f t="array" ref="S120">IF(OR(AND(COUNTBLANK(Combo_Opponent_Type_1)=1,COUNTBLANK(Combo_Opponent_Type_2)=0),AND(AND(COUNTBLANK(Combo_Opponent_Type_1)=0,COUNTBLANK(Combo_Opponent_Type_2)=0),Combo_Opponent_Type_1=Combo_Opponent_Type_2)),
"Check Types",(
IF($W120&gt;=((1-Game_Weave_Human_Error)*$X120),$W120,$X120)*INDEX(Species_Attack,MATCH($N120,Species_Names,0)))/11)</f>
        <v>#VALUE!</v>
      </c>
      <c r="T120" s="33" t="e">
        <f t="shared" si="3"/>
        <v>#VALUE!</v>
      </c>
      <c r="U120" s="33">
        <f t="array" ref="U1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120,Quick_Names,0))),Type_Species)),0),1)*IF(COUNTBLANK(Combo_Opponent_Type_2)=0,INDEX(Type_Damage_Multipliers,MATCH(Combo_Opponent_Type_2,IF(Type_Move=(INDEX(Quick_Type,MATCH($O120,Quick_Names,0))),Type_Species)),0),1)*(IF(OR(INDEX(Quick_Type,MATCH($O120,Quick_Names,0))=INDEX(Species_Type_1,MATCH($N120,Species_Names,0)),INDEX(Quick_Type,MATCH($O120,Quick_Names,0))=INDEX(Species_Type_2,MATCH($N120,Species_Names,0))),Game_STAB_Multiplier,1)))</f>
        <v>1</v>
      </c>
      <c r="V120" s="33">
        <f t="array" ref="V1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120,Charge_Names,0))),Type_Species)),0),1)*IF(COUNTBLANK(Combo_Opponent_Type_2)=0,INDEX(Type_Damage_Multipliers,MATCH(Combo_Opponent_Type_2,IF(Type_Move=(INDEX(Charge_Type,MATCH($P120,Charge_Names,0))),Type_Species)),0),1)*
IF(OR(INDEX(Charge_Type,MATCH($P120,Charge_Names,0))=INDEX(Species_Type_1,MATCH($N120,Species_Names,0)),INDEX(Charge_Type,MATCH($P120,Charge_Names,0))=INDEX(Species_Type_2,MATCH($N120,Species_Names,0))),Game_STAB_Multiplier,1))</f>
        <v>1.25</v>
      </c>
      <c r="W120" s="33" t="s">
        <v>536</v>
      </c>
      <c r="X120" s="33" t="s">
        <v>596</v>
      </c>
      <c r="Y120" s="32" t="e">
        <f t="array" ref="Y120">((($Z120)*
INDEX(Species_Attack,MATCH($N120,Species_Names,0))*
INDEX(Species_Tankiness,MATCH($N120,Species_Names,0)))/1000)</f>
        <v>#VALUE!</v>
      </c>
      <c r="Z120" s="33" t="s">
        <v>597</v>
      </c>
    </row>
    <row r="121" spans="1:26" ht="14.25" customHeight="1" x14ac:dyDescent="0.2">
      <c r="A121" s="86"/>
      <c r="B121" s="22" t="str">
        <f t="array" ref="B121">CONCATENATE(TEXT($M121,"000"),".",TEXT(INDEX(Quick_Number,MATCH($O121,Quick_Names,0)),"000"),".",TEXT(INDEX(Charge_Number,MATCH($P121,Charge_Names,0)),"000"))</f>
        <v>121.230.107</v>
      </c>
      <c r="C121" s="23" t="e">
        <f t="array" ref="C121">RANK($S121,IF(Combo_Species_Names=$N121,Combo_Gym_Offense),0)</f>
        <v>#VALUE!</v>
      </c>
      <c r="D121" s="24" t="e">
        <f t="array" ref="D121">$S121/MAX(IF(Combo_Species_Names=$N121,Combo_Gym_Offense))</f>
        <v>#VALUE!</v>
      </c>
      <c r="E121" s="23" t="e">
        <f t="array" ref="E121">RANK($Y121,IF(Combo_Species_Names=$N121,Combo_Gym_Defense),0)</f>
        <v>#VALUE!</v>
      </c>
      <c r="F121" s="25" t="e">
        <f t="array" ref="F121">$Y121/MAX(IF(Combo_Species_Names=$N121,Combo_Gym_Defense))</f>
        <v>#VALUE!</v>
      </c>
      <c r="G121" s="23" t="e">
        <f t="array" ref="G121">IF(OR(INDEX(Species_Availability,MATCH($N121,Species_Names,0))="No",INDEX(Species_Evo_Numbers,MATCH($N121,Species_Names,0))&lt;&gt;1),"N/A",RANK($R121,IF(NOT(ISNA(MATCH(Combo_Species_Names,IF(Species_Availability="Yes",IF(Species_Evo_Numbers=1,Species_Names)),0))),Combo_Duel_Ability),0))</f>
        <v>#VALUE!</v>
      </c>
      <c r="H121" s="24" t="e">
        <f t="array" ref="H121">IF(OR(INDEX(Species_Availability,MATCH($N121,Species_Names,0))="No",INDEX(Species_Evo_Numbers,MATCH($N121,Species_Names,0))&lt;&gt;1),"N/A",$R121/MAX(IF(NOT(ISNA(MATCH(Combo_Species_Names,IF(Species_Availability="Yes",IF(Species_Evo_Numbers=1,Species_Names)),0))),Combo_Duel_Ability)))</f>
        <v>#VALUE!</v>
      </c>
      <c r="I121" s="23" t="e">
        <f t="array" ref="I121">IF(OR(INDEX(Species_Availability,MATCH($N121,Species_Names,0))="No",INDEX(Species_Evo_Numbers,MATCH($N121,Species_Names,0))&lt;&gt;1),"N/A",RANK($S121,IF(NOT(ISNA(MATCH(Combo_Species_Names,IF(Species_Availability="Yes",IF(Species_Evo_Numbers=1,Species_Names)),0))),Combo_Gym_Offense),0))</f>
        <v>#VALUE!</v>
      </c>
      <c r="J121" s="24" t="e">
        <f t="array" ref="J121">IF(OR(INDEX(Species_Availability,MATCH($N121,Species_Names,0))="No",INDEX(Species_Evo_Numbers,MATCH($N121,Species_Names,0))&lt;&gt;1),"N/A",$S121/MAX(IF(NOT(ISNA(MATCH(Combo_Species_Names,IF(Species_Availability="Yes",IF(Species_Evo_Numbers=1,Species_Names)),0))),Combo_Gym_Offense)))</f>
        <v>#VALUE!</v>
      </c>
      <c r="K121" s="23" t="e">
        <f t="array" ref="K121">IF(OR(INDEX(Species_Availability,MATCH($N121,Species_Names,0))="No",INDEX(Species_Evo_Numbers,MATCH($N121,Species_Names,0))&lt;&gt;1),"N/A",RANK($Y121,IF(NOT(ISNA(MATCH(Combo_Species_Names,IF(Species_Availability="Yes",IF(Species_Evo_Numbers=1,Species_Names)),0))),Combo_Gym_Defense),0))</f>
        <v>#VALUE!</v>
      </c>
      <c r="L121" s="24" t="e">
        <f t="array" ref="L121">IF(OR(INDEX(Species_Availability,MATCH($N121,Species_Names,0))="No",INDEX(Species_Evo_Numbers,MATCH($N121,Species_Names,0))&lt;&gt;1),"N/A",$Y121/MAX(IF(NOT(ISNA(MATCH(Combo_Species_Names,IF(Species_Availability="Yes",IF(Species_Evo_Numbers=1,Species_Names)),0))),Combo_Gym_Defense)))</f>
        <v>#VALUE!</v>
      </c>
      <c r="M121" s="28">
        <f t="array" ref="M121">INDEX(Species_Pdex_Numbers,MATCH($N121,Species_Names,0))</f>
        <v>121</v>
      </c>
      <c r="N121" s="30" t="s">
        <v>338</v>
      </c>
      <c r="O121" s="31" t="s">
        <v>65</v>
      </c>
      <c r="P121" s="31" t="s">
        <v>170</v>
      </c>
      <c r="Q121" s="17" t="e">
        <f t="shared" si="2"/>
        <v>#VALUE!</v>
      </c>
      <c r="R121" s="32" t="e">
        <f t="array" ref="R121">IF(OR(AND(COUNTBLANK(Combo_Opponent_Type_1)=1,COUNTBLANK(Combo_Opponent_Type_2)=0),AND(AND(COUNTBLANK(Combo_Opponent_Type_1)=0,COUNTBLANK(Combo_Opponent_Type_2)=0),Combo_Opponent_Type_1=Combo_Opponent_Type_2)),
"Check Types",($S121*INDEX(Species_Tankiness,MATCH($N121,Species_Names,0)))/225)</f>
        <v>#VALUE!</v>
      </c>
      <c r="S121" s="32" t="e">
        <f t="array" ref="S121">IF(OR(AND(COUNTBLANK(Combo_Opponent_Type_1)=1,COUNTBLANK(Combo_Opponent_Type_2)=0),AND(AND(COUNTBLANK(Combo_Opponent_Type_1)=0,COUNTBLANK(Combo_Opponent_Type_2)=0),Combo_Opponent_Type_1=Combo_Opponent_Type_2)),
"Check Types",(
IF($W121&gt;=((1-Game_Weave_Human_Error)*$X121),$W121,$X121)*INDEX(Species_Attack,MATCH($N121,Species_Names,0)))/11)</f>
        <v>#VALUE!</v>
      </c>
      <c r="T121" s="33" t="e">
        <f t="shared" si="3"/>
        <v>#VALUE!</v>
      </c>
      <c r="U121" s="33">
        <f t="array" ref="U1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121,Quick_Names,0))),Type_Species)),0),1)*IF(COUNTBLANK(Combo_Opponent_Type_2)=0,INDEX(Type_Damage_Multipliers,MATCH(Combo_Opponent_Type_2,IF(Type_Move=(INDEX(Quick_Type,MATCH($O121,Quick_Names,0))),Type_Species)),0),1)*(IF(OR(INDEX(Quick_Type,MATCH($O121,Quick_Names,0))=INDEX(Species_Type_1,MATCH($N121,Species_Names,0)),INDEX(Quick_Type,MATCH($O121,Quick_Names,0))=INDEX(Species_Type_2,MATCH($N121,Species_Names,0))),Game_STAB_Multiplier,1)))</f>
        <v>1.25</v>
      </c>
      <c r="V121" s="33">
        <f t="array" ref="V1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121,Charge_Names,0))),Type_Species)),0),1)*IF(COUNTBLANK(Combo_Opponent_Type_2)=0,INDEX(Type_Damage_Multipliers,MATCH(Combo_Opponent_Type_2,IF(Type_Move=(INDEX(Charge_Type,MATCH($P121,Charge_Names,0))),Type_Species)),0),1)*
IF(OR(INDEX(Charge_Type,MATCH($P121,Charge_Names,0))=INDEX(Species_Type_1,MATCH($N121,Species_Names,0)),INDEX(Charge_Type,MATCH($P121,Charge_Names,0))=INDEX(Species_Type_2,MATCH($N121,Species_Names,0))),Game_STAB_Multiplier,1))</f>
        <v>1.25</v>
      </c>
      <c r="W121" s="33" t="s">
        <v>412</v>
      </c>
      <c r="X121" s="33" t="s">
        <v>425</v>
      </c>
      <c r="Y121" s="32" t="e">
        <f t="array" ref="Y121">((($Z121)*
INDEX(Species_Attack,MATCH($N121,Species_Names,0))*
INDEX(Species_Tankiness,MATCH($N121,Species_Names,0)))/1000)</f>
        <v>#VALUE!</v>
      </c>
      <c r="Z121" s="33" t="s">
        <v>426</v>
      </c>
    </row>
    <row r="122" spans="1:26" ht="14.25" customHeight="1" x14ac:dyDescent="0.2">
      <c r="A122" s="86"/>
      <c r="B122" s="22" t="str">
        <f t="array" ref="B122">CONCATENATE(TEXT($M122,"000"),".",TEXT(INDEX(Quick_Number,MATCH($O122,Quick_Names,0)),"000"),".",TEXT(INDEX(Charge_Number,MATCH($P122,Charge_Names,0)),"000"))</f>
        <v>089.225.016</v>
      </c>
      <c r="C122" s="23" t="e">
        <f t="array" ref="C122">RANK($S122,IF(Combo_Species_Names=$N122,Combo_Gym_Offense),0)</f>
        <v>#VALUE!</v>
      </c>
      <c r="D122" s="24" t="e">
        <f t="array" ref="D122">$S122/MAX(IF(Combo_Species_Names=$N122,Combo_Gym_Offense))</f>
        <v>#VALUE!</v>
      </c>
      <c r="E122" s="23" t="e">
        <f t="array" ref="E122">RANK($Y122,IF(Combo_Species_Names=$N122,Combo_Gym_Defense),0)</f>
        <v>#VALUE!</v>
      </c>
      <c r="F122" s="25" t="e">
        <f t="array" ref="F122">$Y122/MAX(IF(Combo_Species_Names=$N122,Combo_Gym_Defense))</f>
        <v>#VALUE!</v>
      </c>
      <c r="G122" s="23" t="e">
        <f t="array" ref="G122">IF(OR(INDEX(Species_Availability,MATCH($N122,Species_Names,0))="No",INDEX(Species_Evo_Numbers,MATCH($N122,Species_Names,0))&lt;&gt;1),"N/A",RANK($R122,IF(NOT(ISNA(MATCH(Combo_Species_Names,IF(Species_Availability="Yes",IF(Species_Evo_Numbers=1,Species_Names)),0))),Combo_Duel_Ability),0))</f>
        <v>#VALUE!</v>
      </c>
      <c r="H122" s="24" t="e">
        <f t="array" ref="H122">IF(OR(INDEX(Species_Availability,MATCH($N122,Species_Names,0))="No",INDEX(Species_Evo_Numbers,MATCH($N122,Species_Names,0))&lt;&gt;1),"N/A",$R122/MAX(IF(NOT(ISNA(MATCH(Combo_Species_Names,IF(Species_Availability="Yes",IF(Species_Evo_Numbers=1,Species_Names)),0))),Combo_Duel_Ability)))</f>
        <v>#VALUE!</v>
      </c>
      <c r="I122" s="23" t="e">
        <f t="array" ref="I122">IF(OR(INDEX(Species_Availability,MATCH($N122,Species_Names,0))="No",INDEX(Species_Evo_Numbers,MATCH($N122,Species_Names,0))&lt;&gt;1),"N/A",RANK($S122,IF(NOT(ISNA(MATCH(Combo_Species_Names,IF(Species_Availability="Yes",IF(Species_Evo_Numbers=1,Species_Names)),0))),Combo_Gym_Offense),0))</f>
        <v>#VALUE!</v>
      </c>
      <c r="J122" s="24" t="e">
        <f t="array" ref="J122">IF(OR(INDEX(Species_Availability,MATCH($N122,Species_Names,0))="No",INDEX(Species_Evo_Numbers,MATCH($N122,Species_Names,0))&lt;&gt;1),"N/A",$S122/MAX(IF(NOT(ISNA(MATCH(Combo_Species_Names,IF(Species_Availability="Yes",IF(Species_Evo_Numbers=1,Species_Names)),0))),Combo_Gym_Offense)))</f>
        <v>#VALUE!</v>
      </c>
      <c r="K122" s="23" t="e">
        <f t="array" ref="K122">IF(OR(INDEX(Species_Availability,MATCH($N122,Species_Names,0))="No",INDEX(Species_Evo_Numbers,MATCH($N122,Species_Names,0))&lt;&gt;1),"N/A",RANK($Y122,IF(NOT(ISNA(MATCH(Combo_Species_Names,IF(Species_Availability="Yes",IF(Species_Evo_Numbers=1,Species_Names)),0))),Combo_Gym_Defense),0))</f>
        <v>#VALUE!</v>
      </c>
      <c r="L122" s="24" t="e">
        <f t="array" ref="L122">IF(OR(INDEX(Species_Availability,MATCH($N122,Species_Names,0))="No",INDEX(Species_Evo_Numbers,MATCH($N122,Species_Names,0))&lt;&gt;1),"N/A",$Y122/MAX(IF(NOT(ISNA(MATCH(Combo_Species_Names,IF(Species_Availability="Yes",IF(Species_Evo_Numbers=1,Species_Names)),0))),Combo_Gym_Defense)))</f>
        <v>#VALUE!</v>
      </c>
      <c r="M122" s="28">
        <f t="array" ref="M122">INDEX(Species_Pdex_Numbers,MATCH($N122,Species_Names,0))</f>
        <v>89</v>
      </c>
      <c r="N122" s="30" t="s">
        <v>272</v>
      </c>
      <c r="O122" s="31" t="s">
        <v>110</v>
      </c>
      <c r="P122" s="31" t="s">
        <v>258</v>
      </c>
      <c r="Q122" s="17" t="e">
        <f t="shared" si="2"/>
        <v>#VALUE!</v>
      </c>
      <c r="R122" s="32" t="e">
        <f t="array" ref="R122">IF(OR(AND(COUNTBLANK(Combo_Opponent_Type_1)=1,COUNTBLANK(Combo_Opponent_Type_2)=0),AND(AND(COUNTBLANK(Combo_Opponent_Type_1)=0,COUNTBLANK(Combo_Opponent_Type_2)=0),Combo_Opponent_Type_1=Combo_Opponent_Type_2)),
"Check Types",($S122*INDEX(Species_Tankiness,MATCH($N122,Species_Names,0)))/225)</f>
        <v>#VALUE!</v>
      </c>
      <c r="S122" s="32" t="e">
        <f t="array" ref="S122">IF(OR(AND(COUNTBLANK(Combo_Opponent_Type_1)=1,COUNTBLANK(Combo_Opponent_Type_2)=0),AND(AND(COUNTBLANK(Combo_Opponent_Type_1)=0,COUNTBLANK(Combo_Opponent_Type_2)=0),Combo_Opponent_Type_1=Combo_Opponent_Type_2)),
"Check Types",(
IF($W122&gt;=((1-Game_Weave_Human_Error)*$X122),$W122,$X122)*INDEX(Species_Attack,MATCH($N122,Species_Names,0)))/11)</f>
        <v>#VALUE!</v>
      </c>
      <c r="T122" s="33" t="e">
        <f t="shared" si="3"/>
        <v>#VALUE!</v>
      </c>
      <c r="U122" s="33">
        <f t="array" ref="U1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122,Quick_Names,0))),Type_Species)),0),1)*IF(COUNTBLANK(Combo_Opponent_Type_2)=0,INDEX(Type_Damage_Multipliers,MATCH(Combo_Opponent_Type_2,IF(Type_Move=(INDEX(Quick_Type,MATCH($O122,Quick_Names,0))),Type_Species)),0),1)*(IF(OR(INDEX(Quick_Type,MATCH($O122,Quick_Names,0))=INDEX(Species_Type_1,MATCH($N122,Species_Names,0)),INDEX(Quick_Type,MATCH($O122,Quick_Names,0))=INDEX(Species_Type_2,MATCH($N122,Species_Names,0))),Game_STAB_Multiplier,1)))</f>
        <v>1.25</v>
      </c>
      <c r="V122" s="33">
        <f t="array" ref="V1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122,Charge_Names,0))),Type_Species)),0),1)*IF(COUNTBLANK(Combo_Opponent_Type_2)=0,INDEX(Type_Damage_Multipliers,MATCH(Combo_Opponent_Type_2,IF(Type_Move=(INDEX(Charge_Type,MATCH($P122,Charge_Names,0))),Type_Species)),0),1)*
IF(OR(INDEX(Charge_Type,MATCH($P122,Charge_Names,0))=INDEX(Species_Type_1,MATCH($N122,Species_Names,0)),INDEX(Charge_Type,MATCH($P122,Charge_Names,0))=INDEX(Species_Type_2,MATCH($N122,Species_Names,0))),Game_STAB_Multiplier,1))</f>
        <v>1</v>
      </c>
      <c r="W122" s="33" t="s">
        <v>511</v>
      </c>
      <c r="X122" s="33" t="s">
        <v>598</v>
      </c>
      <c r="Y122" s="32" t="e">
        <f t="array" ref="Y122">((($Z122)*
INDEX(Species_Attack,MATCH($N122,Species_Names,0))*
INDEX(Species_Tankiness,MATCH($N122,Species_Names,0)))/1000)</f>
        <v>#VALUE!</v>
      </c>
      <c r="Z122" s="33" t="s">
        <v>599</v>
      </c>
    </row>
    <row r="123" spans="1:26" ht="14.25" customHeight="1" x14ac:dyDescent="0.2">
      <c r="A123" s="86"/>
      <c r="B123" s="22" t="str">
        <f t="array" ref="B123">CONCATENATE(TEXT($M123,"000"),".",TEXT(INDEX(Quick_Number,MATCH($O123,Quick_Names,0)),"000"),".",TEXT(INDEX(Charge_Number,MATCH($P123,Charge_Names,0)),"000"))</f>
        <v>034.200.031</v>
      </c>
      <c r="C123" s="23" t="e">
        <f t="array" ref="C123">RANK($S123,IF(Combo_Species_Names=$N123,Combo_Gym_Offense),0)</f>
        <v>#VALUE!</v>
      </c>
      <c r="D123" s="24" t="e">
        <f t="array" ref="D123">$S123/MAX(IF(Combo_Species_Names=$N123,Combo_Gym_Offense))</f>
        <v>#VALUE!</v>
      </c>
      <c r="E123" s="23" t="e">
        <f t="array" ref="E123">RANK($Y123,IF(Combo_Species_Names=$N123,Combo_Gym_Defense),0)</f>
        <v>#VALUE!</v>
      </c>
      <c r="F123" s="25" t="e">
        <f t="array" ref="F123">$Y123/MAX(IF(Combo_Species_Names=$N123,Combo_Gym_Defense))</f>
        <v>#VALUE!</v>
      </c>
      <c r="G123" s="23" t="e">
        <f t="array" ref="G123">IF(OR(INDEX(Species_Availability,MATCH($N123,Species_Names,0))="No",INDEX(Species_Evo_Numbers,MATCH($N123,Species_Names,0))&lt;&gt;1),"N/A",RANK($R123,IF(NOT(ISNA(MATCH(Combo_Species_Names,IF(Species_Availability="Yes",IF(Species_Evo_Numbers=1,Species_Names)),0))),Combo_Duel_Ability),0))</f>
        <v>#VALUE!</v>
      </c>
      <c r="H123" s="24" t="e">
        <f t="array" ref="H123">IF(OR(INDEX(Species_Availability,MATCH($N123,Species_Names,0))="No",INDEX(Species_Evo_Numbers,MATCH($N123,Species_Names,0))&lt;&gt;1),"N/A",$R123/MAX(IF(NOT(ISNA(MATCH(Combo_Species_Names,IF(Species_Availability="Yes",IF(Species_Evo_Numbers=1,Species_Names)),0))),Combo_Duel_Ability)))</f>
        <v>#VALUE!</v>
      </c>
      <c r="I123" s="23" t="e">
        <f t="array" ref="I123">IF(OR(INDEX(Species_Availability,MATCH($N123,Species_Names,0))="No",INDEX(Species_Evo_Numbers,MATCH($N123,Species_Names,0))&lt;&gt;1),"N/A",RANK($S123,IF(NOT(ISNA(MATCH(Combo_Species_Names,IF(Species_Availability="Yes",IF(Species_Evo_Numbers=1,Species_Names)),0))),Combo_Gym_Offense),0))</f>
        <v>#VALUE!</v>
      </c>
      <c r="J123" s="24" t="e">
        <f t="array" ref="J123">IF(OR(INDEX(Species_Availability,MATCH($N123,Species_Names,0))="No",INDEX(Species_Evo_Numbers,MATCH($N123,Species_Names,0))&lt;&gt;1),"N/A",$S123/MAX(IF(NOT(ISNA(MATCH(Combo_Species_Names,IF(Species_Availability="Yes",IF(Species_Evo_Numbers=1,Species_Names)),0))),Combo_Gym_Offense)))</f>
        <v>#VALUE!</v>
      </c>
      <c r="K123" s="23" t="e">
        <f t="array" ref="K123">IF(OR(INDEX(Species_Availability,MATCH($N123,Species_Names,0))="No",INDEX(Species_Evo_Numbers,MATCH($N123,Species_Names,0))&lt;&gt;1),"N/A",RANK($Y123,IF(NOT(ISNA(MATCH(Combo_Species_Names,IF(Species_Availability="Yes",IF(Species_Evo_Numbers=1,Species_Names)),0))),Combo_Gym_Defense),0))</f>
        <v>#VALUE!</v>
      </c>
      <c r="L123" s="24" t="e">
        <f t="array" ref="L123">IF(OR(INDEX(Species_Availability,MATCH($N123,Species_Names,0))="No",INDEX(Species_Evo_Numbers,MATCH($N123,Species_Names,0))&lt;&gt;1),"N/A",$Y123/MAX(IF(NOT(ISNA(MATCH(Combo_Species_Names,IF(Species_Availability="Yes",IF(Species_Evo_Numbers=1,Species_Names)),0))),Combo_Gym_Defense)))</f>
        <v>#VALUE!</v>
      </c>
      <c r="M123" s="28">
        <f t="array" ref="M123">INDEX(Species_Pdex_Numbers,MATCH($N123,Species_Names,0))</f>
        <v>34</v>
      </c>
      <c r="N123" s="30" t="s">
        <v>158</v>
      </c>
      <c r="O123" s="31" t="s">
        <v>121</v>
      </c>
      <c r="P123" s="31" t="s">
        <v>169</v>
      </c>
      <c r="Q123" s="17" t="e">
        <f t="shared" si="2"/>
        <v>#VALUE!</v>
      </c>
      <c r="R123" s="32" t="e">
        <f t="array" ref="R123">IF(OR(AND(COUNTBLANK(Combo_Opponent_Type_1)=1,COUNTBLANK(Combo_Opponent_Type_2)=0),AND(AND(COUNTBLANK(Combo_Opponent_Type_1)=0,COUNTBLANK(Combo_Opponent_Type_2)=0),Combo_Opponent_Type_1=Combo_Opponent_Type_2)),
"Check Types",($S123*INDEX(Species_Tankiness,MATCH($N123,Species_Names,0)))/225)</f>
        <v>#VALUE!</v>
      </c>
      <c r="S123" s="32" t="e">
        <f t="array" ref="S123">IF(OR(AND(COUNTBLANK(Combo_Opponent_Type_1)=1,COUNTBLANK(Combo_Opponent_Type_2)=0),AND(AND(COUNTBLANK(Combo_Opponent_Type_1)=0,COUNTBLANK(Combo_Opponent_Type_2)=0),Combo_Opponent_Type_1=Combo_Opponent_Type_2)),
"Check Types",(
IF($W123&gt;=((1-Game_Weave_Human_Error)*$X123),$W123,$X123)*INDEX(Species_Attack,MATCH($N123,Species_Names,0)))/11)</f>
        <v>#VALUE!</v>
      </c>
      <c r="T123" s="33" t="e">
        <f t="shared" si="3"/>
        <v>#VALUE!</v>
      </c>
      <c r="U123" s="33">
        <f t="array" ref="U1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123,Quick_Names,0))),Type_Species)),0),1)*IF(COUNTBLANK(Combo_Opponent_Type_2)=0,INDEX(Type_Damage_Multipliers,MATCH(Combo_Opponent_Type_2,IF(Type_Move=(INDEX(Quick_Type,MATCH($O123,Quick_Names,0))),Type_Species)),0),1)*(IF(OR(INDEX(Quick_Type,MATCH($O123,Quick_Names,0))=INDEX(Species_Type_1,MATCH($N123,Species_Names,0)),INDEX(Quick_Type,MATCH($O123,Quick_Names,0))=INDEX(Species_Type_2,MATCH($N123,Species_Names,0))),Game_STAB_Multiplier,1)))</f>
        <v>1</v>
      </c>
      <c r="V123" s="33">
        <f t="array" ref="V1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123,Charge_Names,0))),Type_Species)),0),1)*IF(COUNTBLANK(Combo_Opponent_Type_2)=0,INDEX(Type_Damage_Multipliers,MATCH(Combo_Opponent_Type_2,IF(Type_Move=(INDEX(Charge_Type,MATCH($P123,Charge_Names,0))),Type_Species)),0),1)*
IF(OR(INDEX(Charge_Type,MATCH($P123,Charge_Names,0))=INDEX(Species_Type_1,MATCH($N123,Species_Names,0)),INDEX(Charge_Type,MATCH($P123,Charge_Names,0))=INDEX(Species_Type_2,MATCH($N123,Species_Names,0))),Game_STAB_Multiplier,1))</f>
        <v>1.25</v>
      </c>
      <c r="W123" s="33" t="s">
        <v>600</v>
      </c>
      <c r="X123" s="33" t="s">
        <v>601</v>
      </c>
      <c r="Y123" s="32" t="e">
        <f t="array" ref="Y123">((($Z123)*
INDEX(Species_Attack,MATCH($N123,Species_Names,0))*
INDEX(Species_Tankiness,MATCH($N123,Species_Names,0)))/1000)</f>
        <v>#VALUE!</v>
      </c>
      <c r="Z123" s="33" t="s">
        <v>602</v>
      </c>
    </row>
    <row r="124" spans="1:26" ht="14.25" customHeight="1" x14ac:dyDescent="0.2">
      <c r="A124" s="86"/>
      <c r="B124" s="22" t="str">
        <f t="array" ref="B124">CONCATENATE(TEXT($M124,"000"),".",TEXT(INDEX(Quick_Number,MATCH($O124,Quick_Names,0)),"000"),".",TEXT(INDEX(Charge_Number,MATCH($P124,Charge_Names,0)),"000"))</f>
        <v>071.215.090</v>
      </c>
      <c r="C124" s="23" t="e">
        <f t="array" ref="C124">RANK($S124,IF(Combo_Species_Names=$N124,Combo_Gym_Offense),0)</f>
        <v>#VALUE!</v>
      </c>
      <c r="D124" s="24" t="e">
        <f t="array" ref="D124">$S124/MAX(IF(Combo_Species_Names=$N124,Combo_Gym_Offense))</f>
        <v>#VALUE!</v>
      </c>
      <c r="E124" s="23" t="e">
        <f t="array" ref="E124">RANK($Y124,IF(Combo_Species_Names=$N124,Combo_Gym_Defense),0)</f>
        <v>#VALUE!</v>
      </c>
      <c r="F124" s="25" t="e">
        <f t="array" ref="F124">$Y124/MAX(IF(Combo_Species_Names=$N124,Combo_Gym_Defense))</f>
        <v>#VALUE!</v>
      </c>
      <c r="G124" s="23" t="e">
        <f t="array" ref="G124">IF(OR(INDEX(Species_Availability,MATCH($N124,Species_Names,0))="No",INDEX(Species_Evo_Numbers,MATCH($N124,Species_Names,0))&lt;&gt;1),"N/A",RANK($R124,IF(NOT(ISNA(MATCH(Combo_Species_Names,IF(Species_Availability="Yes",IF(Species_Evo_Numbers=1,Species_Names)),0))),Combo_Duel_Ability),0))</f>
        <v>#VALUE!</v>
      </c>
      <c r="H124" s="24" t="e">
        <f t="array" ref="H124">IF(OR(INDEX(Species_Availability,MATCH($N124,Species_Names,0))="No",INDEX(Species_Evo_Numbers,MATCH($N124,Species_Names,0))&lt;&gt;1),"N/A",$R124/MAX(IF(NOT(ISNA(MATCH(Combo_Species_Names,IF(Species_Availability="Yes",IF(Species_Evo_Numbers=1,Species_Names)),0))),Combo_Duel_Ability)))</f>
        <v>#VALUE!</v>
      </c>
      <c r="I124" s="23" t="e">
        <f t="array" ref="I124">IF(OR(INDEX(Species_Availability,MATCH($N124,Species_Names,0))="No",INDEX(Species_Evo_Numbers,MATCH($N124,Species_Names,0))&lt;&gt;1),"N/A",RANK($S124,IF(NOT(ISNA(MATCH(Combo_Species_Names,IF(Species_Availability="Yes",IF(Species_Evo_Numbers=1,Species_Names)),0))),Combo_Gym_Offense),0))</f>
        <v>#VALUE!</v>
      </c>
      <c r="J124" s="24" t="e">
        <f t="array" ref="J124">IF(OR(INDEX(Species_Availability,MATCH($N124,Species_Names,0))="No",INDEX(Species_Evo_Numbers,MATCH($N124,Species_Names,0))&lt;&gt;1),"N/A",$S124/MAX(IF(NOT(ISNA(MATCH(Combo_Species_Names,IF(Species_Availability="Yes",IF(Species_Evo_Numbers=1,Species_Names)),0))),Combo_Gym_Offense)))</f>
        <v>#VALUE!</v>
      </c>
      <c r="K124" s="23" t="e">
        <f t="array" ref="K124">IF(OR(INDEX(Species_Availability,MATCH($N124,Species_Names,0))="No",INDEX(Species_Evo_Numbers,MATCH($N124,Species_Names,0))&lt;&gt;1),"N/A",RANK($Y124,IF(NOT(ISNA(MATCH(Combo_Species_Names,IF(Species_Availability="Yes",IF(Species_Evo_Numbers=1,Species_Names)),0))),Combo_Gym_Defense),0))</f>
        <v>#VALUE!</v>
      </c>
      <c r="L124" s="24" t="e">
        <f t="array" ref="L124">IF(OR(INDEX(Species_Availability,MATCH($N124,Species_Names,0))="No",INDEX(Species_Evo_Numbers,MATCH($N124,Species_Names,0))&lt;&gt;1),"N/A",$Y124/MAX(IF(NOT(ISNA(MATCH(Combo_Species_Names,IF(Species_Availability="Yes",IF(Species_Evo_Numbers=1,Species_Names)),0))),Combo_Gym_Defense)))</f>
        <v>#VALUE!</v>
      </c>
      <c r="M124" s="28">
        <f t="array" ref="M124">INDEX(Species_Pdex_Numbers,MATCH($N124,Species_Names,0))</f>
        <v>71</v>
      </c>
      <c r="N124" s="30" t="s">
        <v>233</v>
      </c>
      <c r="O124" s="31" t="s">
        <v>102</v>
      </c>
      <c r="P124" s="31" t="s">
        <v>180</v>
      </c>
      <c r="Q124" s="17" t="e">
        <f t="shared" si="2"/>
        <v>#VALUE!</v>
      </c>
      <c r="R124" s="32" t="e">
        <f t="array" ref="R124">IF(OR(AND(COUNTBLANK(Combo_Opponent_Type_1)=1,COUNTBLANK(Combo_Opponent_Type_2)=0),AND(AND(COUNTBLANK(Combo_Opponent_Type_1)=0,COUNTBLANK(Combo_Opponent_Type_2)=0),Combo_Opponent_Type_1=Combo_Opponent_Type_2)),
"Check Types",($S124*INDEX(Species_Tankiness,MATCH($N124,Species_Names,0)))/225)</f>
        <v>#VALUE!</v>
      </c>
      <c r="S124" s="32" t="e">
        <f t="array" ref="S124">IF(OR(AND(COUNTBLANK(Combo_Opponent_Type_1)=1,COUNTBLANK(Combo_Opponent_Type_2)=0),AND(AND(COUNTBLANK(Combo_Opponent_Type_1)=0,COUNTBLANK(Combo_Opponent_Type_2)=0),Combo_Opponent_Type_1=Combo_Opponent_Type_2)),
"Check Types",(
IF($W124&gt;=((1-Game_Weave_Human_Error)*$X124),$W124,$X124)*INDEX(Species_Attack,MATCH($N124,Species_Names,0)))/11)</f>
        <v>#VALUE!</v>
      </c>
      <c r="T124" s="33" t="e">
        <f t="shared" si="3"/>
        <v>#VALUE!</v>
      </c>
      <c r="U124" s="33">
        <f t="array" ref="U1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124,Quick_Names,0))),Type_Species)),0),1)*IF(COUNTBLANK(Combo_Opponent_Type_2)=0,INDEX(Type_Damage_Multipliers,MATCH(Combo_Opponent_Type_2,IF(Type_Move=(INDEX(Quick_Type,MATCH($O124,Quick_Names,0))),Type_Species)),0),1)*(IF(OR(INDEX(Quick_Type,MATCH($O124,Quick_Names,0))=INDEX(Species_Type_1,MATCH($N124,Species_Names,0)),INDEX(Quick_Type,MATCH($O124,Quick_Names,0))=INDEX(Species_Type_2,MATCH($N124,Species_Names,0))),Game_STAB_Multiplier,1)))</f>
        <v>1.25</v>
      </c>
      <c r="V124" s="33">
        <f t="array" ref="V1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124,Charge_Names,0))),Type_Species)),0),1)*IF(COUNTBLANK(Combo_Opponent_Type_2)=0,INDEX(Type_Damage_Multipliers,MATCH(Combo_Opponent_Type_2,IF(Type_Move=(INDEX(Charge_Type,MATCH($P124,Charge_Names,0))),Type_Species)),0),1)*
IF(OR(INDEX(Charge_Type,MATCH($P124,Charge_Names,0))=INDEX(Species_Type_1,MATCH($N124,Species_Names,0)),INDEX(Charge_Type,MATCH($P124,Charge_Names,0))=INDEX(Species_Type_2,MATCH($N124,Species_Names,0))),Game_STAB_Multiplier,1))</f>
        <v>1.25</v>
      </c>
      <c r="W124" s="33" t="s">
        <v>501</v>
      </c>
      <c r="X124" s="33" t="s">
        <v>539</v>
      </c>
      <c r="Y124" s="32" t="e">
        <f t="array" ref="Y124">((($Z124)*
INDEX(Species_Attack,MATCH($N124,Species_Names,0))*
INDEX(Species_Tankiness,MATCH($N124,Species_Names,0)))/1000)</f>
        <v>#VALUE!</v>
      </c>
      <c r="Z124" s="33" t="s">
        <v>540</v>
      </c>
    </row>
    <row r="125" spans="1:26" ht="14.25" customHeight="1" x14ac:dyDescent="0.2">
      <c r="A125" s="86"/>
      <c r="B125" s="22" t="str">
        <f t="array" ref="B125">CONCATENATE(TEXT($M125,"000"),".",TEXT(INDEX(Quick_Number,MATCH($O125,Quick_Names,0)),"000"),".",TEXT(INDEX(Charge_Number,MATCH($P125,Charge_Names,0)),"000"))</f>
        <v>071.225.090</v>
      </c>
      <c r="C125" s="23" t="e">
        <f t="array" ref="C125">RANK($S125,IF(Combo_Species_Names=$N125,Combo_Gym_Offense),0)</f>
        <v>#VALUE!</v>
      </c>
      <c r="D125" s="24" t="e">
        <f t="array" ref="D125">$S125/MAX(IF(Combo_Species_Names=$N125,Combo_Gym_Offense))</f>
        <v>#VALUE!</v>
      </c>
      <c r="E125" s="23" t="e">
        <f t="array" ref="E125">RANK($Y125,IF(Combo_Species_Names=$N125,Combo_Gym_Defense),0)</f>
        <v>#VALUE!</v>
      </c>
      <c r="F125" s="25" t="e">
        <f t="array" ref="F125">$Y125/MAX(IF(Combo_Species_Names=$N125,Combo_Gym_Defense))</f>
        <v>#VALUE!</v>
      </c>
      <c r="G125" s="23" t="e">
        <f t="array" ref="G125">IF(OR(INDEX(Species_Availability,MATCH($N125,Species_Names,0))="No",INDEX(Species_Evo_Numbers,MATCH($N125,Species_Names,0))&lt;&gt;1),"N/A",RANK($R125,IF(NOT(ISNA(MATCH(Combo_Species_Names,IF(Species_Availability="Yes",IF(Species_Evo_Numbers=1,Species_Names)),0))),Combo_Duel_Ability),0))</f>
        <v>#VALUE!</v>
      </c>
      <c r="H125" s="24" t="e">
        <f t="array" ref="H125">IF(OR(INDEX(Species_Availability,MATCH($N125,Species_Names,0))="No",INDEX(Species_Evo_Numbers,MATCH($N125,Species_Names,0))&lt;&gt;1),"N/A",$R125/MAX(IF(NOT(ISNA(MATCH(Combo_Species_Names,IF(Species_Availability="Yes",IF(Species_Evo_Numbers=1,Species_Names)),0))),Combo_Duel_Ability)))</f>
        <v>#VALUE!</v>
      </c>
      <c r="I125" s="23" t="e">
        <f t="array" ref="I125">IF(OR(INDEX(Species_Availability,MATCH($N125,Species_Names,0))="No",INDEX(Species_Evo_Numbers,MATCH($N125,Species_Names,0))&lt;&gt;1),"N/A",RANK($S125,IF(NOT(ISNA(MATCH(Combo_Species_Names,IF(Species_Availability="Yes",IF(Species_Evo_Numbers=1,Species_Names)),0))),Combo_Gym_Offense),0))</f>
        <v>#VALUE!</v>
      </c>
      <c r="J125" s="24" t="e">
        <f t="array" ref="J125">IF(OR(INDEX(Species_Availability,MATCH($N125,Species_Names,0))="No",INDEX(Species_Evo_Numbers,MATCH($N125,Species_Names,0))&lt;&gt;1),"N/A",$S125/MAX(IF(NOT(ISNA(MATCH(Combo_Species_Names,IF(Species_Availability="Yes",IF(Species_Evo_Numbers=1,Species_Names)),0))),Combo_Gym_Offense)))</f>
        <v>#VALUE!</v>
      </c>
      <c r="K125" s="23" t="e">
        <f t="array" ref="K125">IF(OR(INDEX(Species_Availability,MATCH($N125,Species_Names,0))="No",INDEX(Species_Evo_Numbers,MATCH($N125,Species_Names,0))&lt;&gt;1),"N/A",RANK($Y125,IF(NOT(ISNA(MATCH(Combo_Species_Names,IF(Species_Availability="Yes",IF(Species_Evo_Numbers=1,Species_Names)),0))),Combo_Gym_Defense),0))</f>
        <v>#VALUE!</v>
      </c>
      <c r="L125" s="24" t="e">
        <f t="array" ref="L125">IF(OR(INDEX(Species_Availability,MATCH($N125,Species_Names,0))="No",INDEX(Species_Evo_Numbers,MATCH($N125,Species_Names,0))&lt;&gt;1),"N/A",$Y125/MAX(IF(NOT(ISNA(MATCH(Combo_Species_Names,IF(Species_Availability="Yes",IF(Species_Evo_Numbers=1,Species_Names)),0))),Combo_Gym_Defense)))</f>
        <v>#VALUE!</v>
      </c>
      <c r="M125" s="28">
        <f t="array" ref="M125">INDEX(Species_Pdex_Numbers,MATCH($N125,Species_Names,0))</f>
        <v>71</v>
      </c>
      <c r="N125" s="30" t="s">
        <v>233</v>
      </c>
      <c r="O125" s="31" t="s">
        <v>110</v>
      </c>
      <c r="P125" s="31" t="s">
        <v>180</v>
      </c>
      <c r="Q125" s="17" t="e">
        <f t="shared" si="2"/>
        <v>#VALUE!</v>
      </c>
      <c r="R125" s="32" t="e">
        <f t="array" ref="R125">IF(OR(AND(COUNTBLANK(Combo_Opponent_Type_1)=1,COUNTBLANK(Combo_Opponent_Type_2)=0),AND(AND(COUNTBLANK(Combo_Opponent_Type_1)=0,COUNTBLANK(Combo_Opponent_Type_2)=0),Combo_Opponent_Type_1=Combo_Opponent_Type_2)),
"Check Types",($S125*INDEX(Species_Tankiness,MATCH($N125,Species_Names,0)))/225)</f>
        <v>#VALUE!</v>
      </c>
      <c r="S125" s="32" t="e">
        <f t="array" ref="S125">IF(OR(AND(COUNTBLANK(Combo_Opponent_Type_1)=1,COUNTBLANK(Combo_Opponent_Type_2)=0),AND(AND(COUNTBLANK(Combo_Opponent_Type_1)=0,COUNTBLANK(Combo_Opponent_Type_2)=0),Combo_Opponent_Type_1=Combo_Opponent_Type_2)),
"Check Types",(
IF($W125&gt;=((1-Game_Weave_Human_Error)*$X125),$W125,$X125)*INDEX(Species_Attack,MATCH($N125,Species_Names,0)))/11)</f>
        <v>#VALUE!</v>
      </c>
      <c r="T125" s="33" t="e">
        <f t="shared" si="3"/>
        <v>#VALUE!</v>
      </c>
      <c r="U125" s="33">
        <f t="array" ref="U1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125,Quick_Names,0))),Type_Species)),0),1)*IF(COUNTBLANK(Combo_Opponent_Type_2)=0,INDEX(Type_Damage_Multipliers,MATCH(Combo_Opponent_Type_2,IF(Type_Move=(INDEX(Quick_Type,MATCH($O125,Quick_Names,0))),Type_Species)),0),1)*(IF(OR(INDEX(Quick_Type,MATCH($O125,Quick_Names,0))=INDEX(Species_Type_1,MATCH($N125,Species_Names,0)),INDEX(Quick_Type,MATCH($O125,Quick_Names,0))=INDEX(Species_Type_2,MATCH($N125,Species_Names,0))),Game_STAB_Multiplier,1)))</f>
        <v>1.25</v>
      </c>
      <c r="V125" s="33">
        <f t="array" ref="V1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125,Charge_Names,0))),Type_Species)),0),1)*IF(COUNTBLANK(Combo_Opponent_Type_2)=0,INDEX(Type_Damage_Multipliers,MATCH(Combo_Opponent_Type_2,IF(Type_Move=(INDEX(Charge_Type,MATCH($P125,Charge_Names,0))),Type_Species)),0),1)*
IF(OR(INDEX(Charge_Type,MATCH($P125,Charge_Names,0))=INDEX(Species_Type_1,MATCH($N125,Species_Names,0)),INDEX(Charge_Type,MATCH($P125,Charge_Names,0))=INDEX(Species_Type_2,MATCH($N125,Species_Names,0))),Game_STAB_Multiplier,1))</f>
        <v>1.25</v>
      </c>
      <c r="W125" s="33" t="s">
        <v>511</v>
      </c>
      <c r="X125" s="33" t="s">
        <v>514</v>
      </c>
      <c r="Y125" s="32" t="e">
        <f t="array" ref="Y125">((($Z125)*
INDEX(Species_Attack,MATCH($N125,Species_Names,0))*
INDEX(Species_Tankiness,MATCH($N125,Species_Names,0)))/1000)</f>
        <v>#VALUE!</v>
      </c>
      <c r="Z125" s="33" t="s">
        <v>603</v>
      </c>
    </row>
    <row r="126" spans="1:26" ht="14.25" customHeight="1" x14ac:dyDescent="0.2">
      <c r="A126" s="86"/>
      <c r="B126" s="22" t="str">
        <f t="array" ref="B126">CONCATENATE(TEXT($M126,"000"),".",TEXT(INDEX(Quick_Number,MATCH($O126,Quick_Names,0)),"000"),".",TEXT(INDEX(Charge_Number,MATCH($P126,Charge_Names,0)),"000"))</f>
        <v>073.225.107</v>
      </c>
      <c r="C126" s="23" t="e">
        <f t="array" ref="C126">RANK($S126,IF(Combo_Species_Names=$N126,Combo_Gym_Offense),0)</f>
        <v>#VALUE!</v>
      </c>
      <c r="D126" s="24" t="e">
        <f t="array" ref="D126">$S126/MAX(IF(Combo_Species_Names=$N126,Combo_Gym_Offense))</f>
        <v>#VALUE!</v>
      </c>
      <c r="E126" s="23" t="e">
        <f t="array" ref="E126">RANK($Y126,IF(Combo_Species_Names=$N126,Combo_Gym_Defense),0)</f>
        <v>#VALUE!</v>
      </c>
      <c r="F126" s="25" t="e">
        <f t="array" ref="F126">$Y126/MAX(IF(Combo_Species_Names=$N126,Combo_Gym_Defense))</f>
        <v>#VALUE!</v>
      </c>
      <c r="G126" s="23" t="e">
        <f t="array" ref="G126">IF(OR(INDEX(Species_Availability,MATCH($N126,Species_Names,0))="No",INDEX(Species_Evo_Numbers,MATCH($N126,Species_Names,0))&lt;&gt;1),"N/A",RANK($R126,IF(NOT(ISNA(MATCH(Combo_Species_Names,IF(Species_Availability="Yes",IF(Species_Evo_Numbers=1,Species_Names)),0))),Combo_Duel_Ability),0))</f>
        <v>#VALUE!</v>
      </c>
      <c r="H126" s="24" t="e">
        <f t="array" ref="H126">IF(OR(INDEX(Species_Availability,MATCH($N126,Species_Names,0))="No",INDEX(Species_Evo_Numbers,MATCH($N126,Species_Names,0))&lt;&gt;1),"N/A",$R126/MAX(IF(NOT(ISNA(MATCH(Combo_Species_Names,IF(Species_Availability="Yes",IF(Species_Evo_Numbers=1,Species_Names)),0))),Combo_Duel_Ability)))</f>
        <v>#VALUE!</v>
      </c>
      <c r="I126" s="23" t="e">
        <f t="array" ref="I126">IF(OR(INDEX(Species_Availability,MATCH($N126,Species_Names,0))="No",INDEX(Species_Evo_Numbers,MATCH($N126,Species_Names,0))&lt;&gt;1),"N/A",RANK($S126,IF(NOT(ISNA(MATCH(Combo_Species_Names,IF(Species_Availability="Yes",IF(Species_Evo_Numbers=1,Species_Names)),0))),Combo_Gym_Offense),0))</f>
        <v>#VALUE!</v>
      </c>
      <c r="J126" s="24" t="e">
        <f t="array" ref="J126">IF(OR(INDEX(Species_Availability,MATCH($N126,Species_Names,0))="No",INDEX(Species_Evo_Numbers,MATCH($N126,Species_Names,0))&lt;&gt;1),"N/A",$S126/MAX(IF(NOT(ISNA(MATCH(Combo_Species_Names,IF(Species_Availability="Yes",IF(Species_Evo_Numbers=1,Species_Names)),0))),Combo_Gym_Offense)))</f>
        <v>#VALUE!</v>
      </c>
      <c r="K126" s="23" t="e">
        <f t="array" ref="K126">IF(OR(INDEX(Species_Availability,MATCH($N126,Species_Names,0))="No",INDEX(Species_Evo_Numbers,MATCH($N126,Species_Names,0))&lt;&gt;1),"N/A",RANK($Y126,IF(NOT(ISNA(MATCH(Combo_Species_Names,IF(Species_Availability="Yes",IF(Species_Evo_Numbers=1,Species_Names)),0))),Combo_Gym_Defense),0))</f>
        <v>#VALUE!</v>
      </c>
      <c r="L126" s="24" t="e">
        <f t="array" ref="L126">IF(OR(INDEX(Species_Availability,MATCH($N126,Species_Names,0))="No",INDEX(Species_Evo_Numbers,MATCH($N126,Species_Names,0))&lt;&gt;1),"N/A",$Y126/MAX(IF(NOT(ISNA(MATCH(Combo_Species_Names,IF(Species_Availability="Yes",IF(Species_Evo_Numbers=1,Species_Names)),0))),Combo_Gym_Defense)))</f>
        <v>#VALUE!</v>
      </c>
      <c r="M126" s="28">
        <f t="array" ref="M126">INDEX(Species_Pdex_Numbers,MATCH($N126,Species_Names,0))</f>
        <v>73</v>
      </c>
      <c r="N126" s="30" t="s">
        <v>237</v>
      </c>
      <c r="O126" s="31" t="s">
        <v>110</v>
      </c>
      <c r="P126" s="31" t="s">
        <v>170</v>
      </c>
      <c r="Q126" s="17" t="e">
        <f t="shared" si="2"/>
        <v>#VALUE!</v>
      </c>
      <c r="R126" s="32" t="e">
        <f t="array" ref="R126">IF(OR(AND(COUNTBLANK(Combo_Opponent_Type_1)=1,COUNTBLANK(Combo_Opponent_Type_2)=0),AND(AND(COUNTBLANK(Combo_Opponent_Type_1)=0,COUNTBLANK(Combo_Opponent_Type_2)=0),Combo_Opponent_Type_1=Combo_Opponent_Type_2)),
"Check Types",($S126*INDEX(Species_Tankiness,MATCH($N126,Species_Names,0)))/225)</f>
        <v>#VALUE!</v>
      </c>
      <c r="S126" s="32" t="e">
        <f t="array" ref="S126">IF(OR(AND(COUNTBLANK(Combo_Opponent_Type_1)=1,COUNTBLANK(Combo_Opponent_Type_2)=0),AND(AND(COUNTBLANK(Combo_Opponent_Type_1)=0,COUNTBLANK(Combo_Opponent_Type_2)=0),Combo_Opponent_Type_1=Combo_Opponent_Type_2)),
"Check Types",(
IF($W126&gt;=((1-Game_Weave_Human_Error)*$X126),$W126,$X126)*INDEX(Species_Attack,MATCH($N126,Species_Names,0)))/11)</f>
        <v>#VALUE!</v>
      </c>
      <c r="T126" s="33" t="e">
        <f t="shared" si="3"/>
        <v>#VALUE!</v>
      </c>
      <c r="U126" s="33">
        <f t="array" ref="U1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126,Quick_Names,0))),Type_Species)),0),1)*IF(COUNTBLANK(Combo_Opponent_Type_2)=0,INDEX(Type_Damage_Multipliers,MATCH(Combo_Opponent_Type_2,IF(Type_Move=(INDEX(Quick_Type,MATCH($O126,Quick_Names,0))),Type_Species)),0),1)*(IF(OR(INDEX(Quick_Type,MATCH($O126,Quick_Names,0))=INDEX(Species_Type_1,MATCH($N126,Species_Names,0)),INDEX(Quick_Type,MATCH($O126,Quick_Names,0))=INDEX(Species_Type_2,MATCH($N126,Species_Names,0))),Game_STAB_Multiplier,1)))</f>
        <v>1.25</v>
      </c>
      <c r="V126" s="33">
        <f t="array" ref="V1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126,Charge_Names,0))),Type_Species)),0),1)*IF(COUNTBLANK(Combo_Opponent_Type_2)=0,INDEX(Type_Damage_Multipliers,MATCH(Combo_Opponent_Type_2,IF(Type_Move=(INDEX(Charge_Type,MATCH($P126,Charge_Names,0))),Type_Species)),0),1)*
IF(OR(INDEX(Charge_Type,MATCH($P126,Charge_Names,0))=INDEX(Species_Type_1,MATCH($N126,Species_Names,0)),INDEX(Charge_Type,MATCH($P126,Charge_Names,0))=INDEX(Species_Type_2,MATCH($N126,Species_Names,0))),Game_STAB_Multiplier,1))</f>
        <v>1.25</v>
      </c>
      <c r="W126" s="33" t="s">
        <v>511</v>
      </c>
      <c r="X126" s="33" t="s">
        <v>604</v>
      </c>
      <c r="Y126" s="32" t="e">
        <f t="array" ref="Y126">((($Z126)*
INDEX(Species_Attack,MATCH($N126,Species_Names,0))*
INDEX(Species_Tankiness,MATCH($N126,Species_Names,0)))/1000)</f>
        <v>#VALUE!</v>
      </c>
      <c r="Z126" s="33" t="s">
        <v>605</v>
      </c>
    </row>
    <row r="127" spans="1:26" ht="14.25" customHeight="1" x14ac:dyDescent="0.2">
      <c r="A127" s="86"/>
      <c r="B127" s="22" t="str">
        <f t="array" ref="B127">CONCATENATE(TEXT($M127,"000"),".",TEXT(INDEX(Quick_Number,MATCH($O127,Quick_Names,0)),"000"),".",TEXT(INDEX(Charge_Number,MATCH($P127,Charge_Names,0)),"000"))</f>
        <v>006.209.083</v>
      </c>
      <c r="C127" s="23" t="e">
        <f t="array" ref="C127">RANK($S127,IF(Combo_Species_Names=$N127,Combo_Gym_Offense),0)</f>
        <v>#VALUE!</v>
      </c>
      <c r="D127" s="24" t="e">
        <f t="array" ref="D127">$S127/MAX(IF(Combo_Species_Names=$N127,Combo_Gym_Offense))</f>
        <v>#VALUE!</v>
      </c>
      <c r="E127" s="23" t="e">
        <f t="array" ref="E127">RANK($Y127,IF(Combo_Species_Names=$N127,Combo_Gym_Defense),0)</f>
        <v>#VALUE!</v>
      </c>
      <c r="F127" s="25" t="e">
        <f t="array" ref="F127">$Y127/MAX(IF(Combo_Species_Names=$N127,Combo_Gym_Defense))</f>
        <v>#VALUE!</v>
      </c>
      <c r="G127" s="23" t="e">
        <f t="array" ref="G127">IF(OR(INDEX(Species_Availability,MATCH($N127,Species_Names,0))="No",INDEX(Species_Evo_Numbers,MATCH($N127,Species_Names,0))&lt;&gt;1),"N/A",RANK($R127,IF(NOT(ISNA(MATCH(Combo_Species_Names,IF(Species_Availability="Yes",IF(Species_Evo_Numbers=1,Species_Names)),0))),Combo_Duel_Ability),0))</f>
        <v>#VALUE!</v>
      </c>
      <c r="H127" s="24" t="e">
        <f t="array" ref="H127">IF(OR(INDEX(Species_Availability,MATCH($N127,Species_Names,0))="No",INDEX(Species_Evo_Numbers,MATCH($N127,Species_Names,0))&lt;&gt;1),"N/A",$R127/MAX(IF(NOT(ISNA(MATCH(Combo_Species_Names,IF(Species_Availability="Yes",IF(Species_Evo_Numbers=1,Species_Names)),0))),Combo_Duel_Ability)))</f>
        <v>#VALUE!</v>
      </c>
      <c r="I127" s="23" t="e">
        <f t="array" ref="I127">IF(OR(INDEX(Species_Availability,MATCH($N127,Species_Names,0))="No",INDEX(Species_Evo_Numbers,MATCH($N127,Species_Names,0))&lt;&gt;1),"N/A",RANK($S127,IF(NOT(ISNA(MATCH(Combo_Species_Names,IF(Species_Availability="Yes",IF(Species_Evo_Numbers=1,Species_Names)),0))),Combo_Gym_Offense),0))</f>
        <v>#VALUE!</v>
      </c>
      <c r="J127" s="24" t="e">
        <f t="array" ref="J127">IF(OR(INDEX(Species_Availability,MATCH($N127,Species_Names,0))="No",INDEX(Species_Evo_Numbers,MATCH($N127,Species_Names,0))&lt;&gt;1),"N/A",$S127/MAX(IF(NOT(ISNA(MATCH(Combo_Species_Names,IF(Species_Availability="Yes",IF(Species_Evo_Numbers=1,Species_Names)),0))),Combo_Gym_Offense)))</f>
        <v>#VALUE!</v>
      </c>
      <c r="K127" s="23" t="e">
        <f t="array" ref="K127">IF(OR(INDEX(Species_Availability,MATCH($N127,Species_Names,0))="No",INDEX(Species_Evo_Numbers,MATCH($N127,Species_Names,0))&lt;&gt;1),"N/A",RANK($Y127,IF(NOT(ISNA(MATCH(Combo_Species_Names,IF(Species_Availability="Yes",IF(Species_Evo_Numbers=1,Species_Names)),0))),Combo_Gym_Defense),0))</f>
        <v>#VALUE!</v>
      </c>
      <c r="L127" s="24" t="e">
        <f t="array" ref="L127">IF(OR(INDEX(Species_Availability,MATCH($N127,Species_Names,0))="No",INDEX(Species_Evo_Numbers,MATCH($N127,Species_Names,0))&lt;&gt;1),"N/A",$Y127/MAX(IF(NOT(ISNA(MATCH(Combo_Species_Names,IF(Species_Availability="Yes",IF(Species_Evo_Numbers=1,Species_Names)),0))),Combo_Gym_Defense)))</f>
        <v>#VALUE!</v>
      </c>
      <c r="M127" s="28">
        <f t="array" ref="M127">INDEX(Species_Pdex_Numbers,MATCH($N127,Species_Names,0))</f>
        <v>6</v>
      </c>
      <c r="N127" s="30" t="s">
        <v>81</v>
      </c>
      <c r="O127" s="31" t="s">
        <v>111</v>
      </c>
      <c r="P127" s="31" t="s">
        <v>155</v>
      </c>
      <c r="Q127" s="17" t="e">
        <f t="shared" si="2"/>
        <v>#VALUE!</v>
      </c>
      <c r="R127" s="32" t="e">
        <f t="array" ref="R127">IF(OR(AND(COUNTBLANK(Combo_Opponent_Type_1)=1,COUNTBLANK(Combo_Opponent_Type_2)=0),AND(AND(COUNTBLANK(Combo_Opponent_Type_1)=0,COUNTBLANK(Combo_Opponent_Type_2)=0),Combo_Opponent_Type_1=Combo_Opponent_Type_2)),
"Check Types",($S127*INDEX(Species_Tankiness,MATCH($N127,Species_Names,0)))/225)</f>
        <v>#VALUE!</v>
      </c>
      <c r="S127" s="32" t="e">
        <f t="array" ref="S127">IF(OR(AND(COUNTBLANK(Combo_Opponent_Type_1)=1,COUNTBLANK(Combo_Opponent_Type_2)=0),AND(AND(COUNTBLANK(Combo_Opponent_Type_1)=0,COUNTBLANK(Combo_Opponent_Type_2)=0),Combo_Opponent_Type_1=Combo_Opponent_Type_2)),
"Check Types",(
IF($W127&gt;=((1-Game_Weave_Human_Error)*$X127),$W127,$X127)*INDEX(Species_Attack,MATCH($N127,Species_Names,0)))/11)</f>
        <v>#VALUE!</v>
      </c>
      <c r="T127" s="33" t="e">
        <f t="shared" si="3"/>
        <v>#VALUE!</v>
      </c>
      <c r="U127" s="33">
        <f t="array" ref="U1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127,Quick_Names,0))),Type_Species)),0),1)*IF(COUNTBLANK(Combo_Opponent_Type_2)=0,INDEX(Type_Damage_Multipliers,MATCH(Combo_Opponent_Type_2,IF(Type_Move=(INDEX(Quick_Type,MATCH($O127,Quick_Names,0))),Type_Species)),0),1)*(IF(OR(INDEX(Quick_Type,MATCH($O127,Quick_Names,0))=INDEX(Species_Type_1,MATCH($N127,Species_Names,0)),INDEX(Quick_Type,MATCH($O127,Quick_Names,0))=INDEX(Species_Type_2,MATCH($N127,Species_Names,0))),Game_STAB_Multiplier,1)))</f>
        <v>1.25</v>
      </c>
      <c r="V127" s="33">
        <f t="array" ref="V1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127,Charge_Names,0))),Type_Species)),0),1)*IF(COUNTBLANK(Combo_Opponent_Type_2)=0,INDEX(Type_Damage_Multipliers,MATCH(Combo_Opponent_Type_2,IF(Type_Move=(INDEX(Charge_Type,MATCH($P127,Charge_Names,0))),Type_Species)),0),1)*
IF(OR(INDEX(Charge_Type,MATCH($P127,Charge_Names,0))=INDEX(Species_Type_1,MATCH($N127,Species_Names,0)),INDEX(Charge_Type,MATCH($P127,Charge_Names,0))=INDEX(Species_Type_2,MATCH($N127,Species_Names,0))),Game_STAB_Multiplier,1))</f>
        <v>1</v>
      </c>
      <c r="W127" s="33" t="s">
        <v>511</v>
      </c>
      <c r="X127" s="33" t="s">
        <v>606</v>
      </c>
      <c r="Y127" s="32" t="e">
        <f t="array" ref="Y127">((($Z127)*
INDEX(Species_Attack,MATCH($N127,Species_Names,0))*
INDEX(Species_Tankiness,MATCH($N127,Species_Names,0)))/1000)</f>
        <v>#VALUE!</v>
      </c>
      <c r="Z127" s="33" t="s">
        <v>607</v>
      </c>
    </row>
    <row r="128" spans="1:26" ht="14.25" customHeight="1" x14ac:dyDescent="0.2">
      <c r="A128" s="86"/>
      <c r="B128" s="22" t="str">
        <f t="array" ref="B128">CONCATENATE(TEXT($M128,"000"),".",TEXT(INDEX(Quick_Number,MATCH($O128,Quick_Names,0)),"000"),".",TEXT(INDEX(Charge_Number,MATCH($P128,Charge_Names,0)),"000"))</f>
        <v>136.209.024</v>
      </c>
      <c r="C128" s="23" t="e">
        <f t="array" ref="C128">RANK($S128,IF(Combo_Species_Names=$N128,Combo_Gym_Offense),0)</f>
        <v>#VALUE!</v>
      </c>
      <c r="D128" s="24" t="e">
        <f t="array" ref="D128">$S128/MAX(IF(Combo_Species_Names=$N128,Combo_Gym_Offense))</f>
        <v>#VALUE!</v>
      </c>
      <c r="E128" s="23" t="e">
        <f t="array" ref="E128">RANK($Y128,IF(Combo_Species_Names=$N128,Combo_Gym_Defense),0)</f>
        <v>#VALUE!</v>
      </c>
      <c r="F128" s="25" t="e">
        <f t="array" ref="F128">$Y128/MAX(IF(Combo_Species_Names=$N128,Combo_Gym_Defense))</f>
        <v>#VALUE!</v>
      </c>
      <c r="G128" s="23" t="e">
        <f t="array" ref="G128">IF(OR(INDEX(Species_Availability,MATCH($N128,Species_Names,0))="No",INDEX(Species_Evo_Numbers,MATCH($N128,Species_Names,0))&lt;&gt;1),"N/A",RANK($R128,IF(NOT(ISNA(MATCH(Combo_Species_Names,IF(Species_Availability="Yes",IF(Species_Evo_Numbers=1,Species_Names)),0))),Combo_Duel_Ability),0))</f>
        <v>#VALUE!</v>
      </c>
      <c r="H128" s="24" t="e">
        <f t="array" ref="H128">IF(OR(INDEX(Species_Availability,MATCH($N128,Species_Names,0))="No",INDEX(Species_Evo_Numbers,MATCH($N128,Species_Names,0))&lt;&gt;1),"N/A",$R128/MAX(IF(NOT(ISNA(MATCH(Combo_Species_Names,IF(Species_Availability="Yes",IF(Species_Evo_Numbers=1,Species_Names)),0))),Combo_Duel_Ability)))</f>
        <v>#VALUE!</v>
      </c>
      <c r="I128" s="23" t="e">
        <f t="array" ref="I128">IF(OR(INDEX(Species_Availability,MATCH($N128,Species_Names,0))="No",INDEX(Species_Evo_Numbers,MATCH($N128,Species_Names,0))&lt;&gt;1),"N/A",RANK($S128,IF(NOT(ISNA(MATCH(Combo_Species_Names,IF(Species_Availability="Yes",IF(Species_Evo_Numbers=1,Species_Names)),0))),Combo_Gym_Offense),0))</f>
        <v>#VALUE!</v>
      </c>
      <c r="J128" s="24" t="e">
        <f t="array" ref="J128">IF(OR(INDEX(Species_Availability,MATCH($N128,Species_Names,0))="No",INDEX(Species_Evo_Numbers,MATCH($N128,Species_Names,0))&lt;&gt;1),"N/A",$S128/MAX(IF(NOT(ISNA(MATCH(Combo_Species_Names,IF(Species_Availability="Yes",IF(Species_Evo_Numbers=1,Species_Names)),0))),Combo_Gym_Offense)))</f>
        <v>#VALUE!</v>
      </c>
      <c r="K128" s="23" t="e">
        <f t="array" ref="K128">IF(OR(INDEX(Species_Availability,MATCH($N128,Species_Names,0))="No",INDEX(Species_Evo_Numbers,MATCH($N128,Species_Names,0))&lt;&gt;1),"N/A",RANK($Y128,IF(NOT(ISNA(MATCH(Combo_Species_Names,IF(Species_Availability="Yes",IF(Species_Evo_Numbers=1,Species_Names)),0))),Combo_Gym_Defense),0))</f>
        <v>#VALUE!</v>
      </c>
      <c r="L128" s="24" t="e">
        <f t="array" ref="L128">IF(OR(INDEX(Species_Availability,MATCH($N128,Species_Names,0))="No",INDEX(Species_Evo_Numbers,MATCH($N128,Species_Names,0))&lt;&gt;1),"N/A",$Y128/MAX(IF(NOT(ISNA(MATCH(Combo_Species_Names,IF(Species_Availability="Yes",IF(Species_Evo_Numbers=1,Species_Names)),0))),Combo_Gym_Defense)))</f>
        <v>#VALUE!</v>
      </c>
      <c r="M128" s="28">
        <f t="array" ref="M128">INDEX(Species_Pdex_Numbers,MATCH($N128,Species_Names,0))</f>
        <v>136</v>
      </c>
      <c r="N128" s="30" t="s">
        <v>354</v>
      </c>
      <c r="O128" s="31" t="s">
        <v>111</v>
      </c>
      <c r="P128" s="31" t="s">
        <v>200</v>
      </c>
      <c r="Q128" s="17" t="e">
        <f t="shared" si="2"/>
        <v>#VALUE!</v>
      </c>
      <c r="R128" s="32" t="e">
        <f t="array" ref="R128">IF(OR(AND(COUNTBLANK(Combo_Opponent_Type_1)=1,COUNTBLANK(Combo_Opponent_Type_2)=0),AND(AND(COUNTBLANK(Combo_Opponent_Type_1)=0,COUNTBLANK(Combo_Opponent_Type_2)=0),Combo_Opponent_Type_1=Combo_Opponent_Type_2)),
"Check Types",($S128*INDEX(Species_Tankiness,MATCH($N128,Species_Names,0)))/225)</f>
        <v>#VALUE!</v>
      </c>
      <c r="S128" s="32" t="e">
        <f t="array" ref="S128">IF(OR(AND(COUNTBLANK(Combo_Opponent_Type_1)=1,COUNTBLANK(Combo_Opponent_Type_2)=0),AND(AND(COUNTBLANK(Combo_Opponent_Type_1)=0,COUNTBLANK(Combo_Opponent_Type_2)=0),Combo_Opponent_Type_1=Combo_Opponent_Type_2)),
"Check Types",(
IF($W128&gt;=((1-Game_Weave_Human_Error)*$X128),$W128,$X128)*INDEX(Species_Attack,MATCH($N128,Species_Names,0)))/11)</f>
        <v>#VALUE!</v>
      </c>
      <c r="T128" s="33" t="e">
        <f t="shared" si="3"/>
        <v>#VALUE!</v>
      </c>
      <c r="U128" s="33">
        <f t="array" ref="U1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128,Quick_Names,0))),Type_Species)),0),1)*IF(COUNTBLANK(Combo_Opponent_Type_2)=0,INDEX(Type_Damage_Multipliers,MATCH(Combo_Opponent_Type_2,IF(Type_Move=(INDEX(Quick_Type,MATCH($O128,Quick_Names,0))),Type_Species)),0),1)*(IF(OR(INDEX(Quick_Type,MATCH($O128,Quick_Names,0))=INDEX(Species_Type_1,MATCH($N128,Species_Names,0)),INDEX(Quick_Type,MATCH($O128,Quick_Names,0))=INDEX(Species_Type_2,MATCH($N128,Species_Names,0))),Game_STAB_Multiplier,1)))</f>
        <v>1.25</v>
      </c>
      <c r="V128" s="33">
        <f t="array" ref="V1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128,Charge_Names,0))),Type_Species)),0),1)*IF(COUNTBLANK(Combo_Opponent_Type_2)=0,INDEX(Type_Damage_Multipliers,MATCH(Combo_Opponent_Type_2,IF(Type_Move=(INDEX(Charge_Type,MATCH($P128,Charge_Names,0))),Type_Species)),0),1)*
IF(OR(INDEX(Charge_Type,MATCH($P128,Charge_Names,0))=INDEX(Species_Type_1,MATCH($N128,Species_Names,0)),INDEX(Charge_Type,MATCH($P128,Charge_Names,0))=INDEX(Species_Type_2,MATCH($N128,Species_Names,0))),Game_STAB_Multiplier,1))</f>
        <v>1.25</v>
      </c>
      <c r="W128" s="33" t="s">
        <v>511</v>
      </c>
      <c r="X128" s="33" t="s">
        <v>560</v>
      </c>
      <c r="Y128" s="32" t="e">
        <f t="array" ref="Y128">((($Z128)*
INDEX(Species_Attack,MATCH($N128,Species_Names,0))*
INDEX(Species_Tankiness,MATCH($N128,Species_Names,0)))/1000)</f>
        <v>#VALUE!</v>
      </c>
      <c r="Z128" s="33" t="s">
        <v>561</v>
      </c>
    </row>
    <row r="129" spans="1:26" ht="14.25" customHeight="1" x14ac:dyDescent="0.2">
      <c r="A129" s="86"/>
      <c r="B129" s="22" t="str">
        <f t="array" ref="B129">CONCATENATE(TEXT($M129,"000"),".",TEXT(INDEX(Quick_Number,MATCH($O129,Quick_Names,0)),"000"),".",TEXT(INDEX(Charge_Number,MATCH($P129,Charge_Names,0)),"000"))</f>
        <v>139.230.064</v>
      </c>
      <c r="C129" s="23" t="e">
        <f t="array" ref="C129">RANK($S129,IF(Combo_Species_Names=$N129,Combo_Gym_Offense),0)</f>
        <v>#VALUE!</v>
      </c>
      <c r="D129" s="24" t="e">
        <f t="array" ref="D129">$S129/MAX(IF(Combo_Species_Names=$N129,Combo_Gym_Offense))</f>
        <v>#VALUE!</v>
      </c>
      <c r="E129" s="23" t="e">
        <f t="array" ref="E129">RANK($Y129,IF(Combo_Species_Names=$N129,Combo_Gym_Defense),0)</f>
        <v>#VALUE!</v>
      </c>
      <c r="F129" s="25" t="e">
        <f t="array" ref="F129">$Y129/MAX(IF(Combo_Species_Names=$N129,Combo_Gym_Defense))</f>
        <v>#VALUE!</v>
      </c>
      <c r="G129" s="23" t="e">
        <f t="array" ref="G129">IF(OR(INDEX(Species_Availability,MATCH($N129,Species_Names,0))="No",INDEX(Species_Evo_Numbers,MATCH($N129,Species_Names,0))&lt;&gt;1),"N/A",RANK($R129,IF(NOT(ISNA(MATCH(Combo_Species_Names,IF(Species_Availability="Yes",IF(Species_Evo_Numbers=1,Species_Names)),0))),Combo_Duel_Ability),0))</f>
        <v>#VALUE!</v>
      </c>
      <c r="H129" s="24" t="e">
        <f t="array" ref="H129">IF(OR(INDEX(Species_Availability,MATCH($N129,Species_Names,0))="No",INDEX(Species_Evo_Numbers,MATCH($N129,Species_Names,0))&lt;&gt;1),"N/A",$R129/MAX(IF(NOT(ISNA(MATCH(Combo_Species_Names,IF(Species_Availability="Yes",IF(Species_Evo_Numbers=1,Species_Names)),0))),Combo_Duel_Ability)))</f>
        <v>#VALUE!</v>
      </c>
      <c r="I129" s="23" t="e">
        <f t="array" ref="I129">IF(OR(INDEX(Species_Availability,MATCH($N129,Species_Names,0))="No",INDEX(Species_Evo_Numbers,MATCH($N129,Species_Names,0))&lt;&gt;1),"N/A",RANK($S129,IF(NOT(ISNA(MATCH(Combo_Species_Names,IF(Species_Availability="Yes",IF(Species_Evo_Numbers=1,Species_Names)),0))),Combo_Gym_Offense),0))</f>
        <v>#VALUE!</v>
      </c>
      <c r="J129" s="24" t="e">
        <f t="array" ref="J129">IF(OR(INDEX(Species_Availability,MATCH($N129,Species_Names,0))="No",INDEX(Species_Evo_Numbers,MATCH($N129,Species_Names,0))&lt;&gt;1),"N/A",$S129/MAX(IF(NOT(ISNA(MATCH(Combo_Species_Names,IF(Species_Availability="Yes",IF(Species_Evo_Numbers=1,Species_Names)),0))),Combo_Gym_Offense)))</f>
        <v>#VALUE!</v>
      </c>
      <c r="K129" s="23" t="e">
        <f t="array" ref="K129">IF(OR(INDEX(Species_Availability,MATCH($N129,Species_Names,0))="No",INDEX(Species_Evo_Numbers,MATCH($N129,Species_Names,0))&lt;&gt;1),"N/A",RANK($Y129,IF(NOT(ISNA(MATCH(Combo_Species_Names,IF(Species_Availability="Yes",IF(Species_Evo_Numbers=1,Species_Names)),0))),Combo_Gym_Defense),0))</f>
        <v>#VALUE!</v>
      </c>
      <c r="L129" s="24" t="e">
        <f t="array" ref="L129">IF(OR(INDEX(Species_Availability,MATCH($N129,Species_Names,0))="No",INDEX(Species_Evo_Numbers,MATCH($N129,Species_Names,0))&lt;&gt;1),"N/A",$Y129/MAX(IF(NOT(ISNA(MATCH(Combo_Species_Names,IF(Species_Availability="Yes",IF(Species_Evo_Numbers=1,Species_Names)),0))),Combo_Gym_Defense)))</f>
        <v>#VALUE!</v>
      </c>
      <c r="M129" s="28">
        <f t="array" ref="M129">INDEX(Species_Pdex_Numbers,MATCH($N129,Species_Names,0))</f>
        <v>139</v>
      </c>
      <c r="N129" s="30" t="s">
        <v>357</v>
      </c>
      <c r="O129" s="31" t="s">
        <v>65</v>
      </c>
      <c r="P129" s="31" t="s">
        <v>222</v>
      </c>
      <c r="Q129" s="17" t="e">
        <f t="shared" si="2"/>
        <v>#VALUE!</v>
      </c>
      <c r="R129" s="32" t="e">
        <f t="array" ref="R129">IF(OR(AND(COUNTBLANK(Combo_Opponent_Type_1)=1,COUNTBLANK(Combo_Opponent_Type_2)=0),AND(AND(COUNTBLANK(Combo_Opponent_Type_1)=0,COUNTBLANK(Combo_Opponent_Type_2)=0),Combo_Opponent_Type_1=Combo_Opponent_Type_2)),
"Check Types",($S129*INDEX(Species_Tankiness,MATCH($N129,Species_Names,0)))/225)</f>
        <v>#VALUE!</v>
      </c>
      <c r="S129" s="32" t="e">
        <f t="array" ref="S129">IF(OR(AND(COUNTBLANK(Combo_Opponent_Type_1)=1,COUNTBLANK(Combo_Opponent_Type_2)=0),AND(AND(COUNTBLANK(Combo_Opponent_Type_1)=0,COUNTBLANK(Combo_Opponent_Type_2)=0),Combo_Opponent_Type_1=Combo_Opponent_Type_2)),
"Check Types",(
IF($W129&gt;=((1-Game_Weave_Human_Error)*$X129),$W129,$X129)*INDEX(Species_Attack,MATCH($N129,Species_Names,0)))/11)</f>
        <v>#VALUE!</v>
      </c>
      <c r="T129" s="33" t="e">
        <f t="shared" si="3"/>
        <v>#VALUE!</v>
      </c>
      <c r="U129" s="33">
        <f t="array" ref="U1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129,Quick_Names,0))),Type_Species)),0),1)*IF(COUNTBLANK(Combo_Opponent_Type_2)=0,INDEX(Type_Damage_Multipliers,MATCH(Combo_Opponent_Type_2,IF(Type_Move=(INDEX(Quick_Type,MATCH($O129,Quick_Names,0))),Type_Species)),0),1)*(IF(OR(INDEX(Quick_Type,MATCH($O129,Quick_Names,0))=INDEX(Species_Type_1,MATCH($N129,Species_Names,0)),INDEX(Quick_Type,MATCH($O129,Quick_Names,0))=INDEX(Species_Type_2,MATCH($N129,Species_Names,0))),Game_STAB_Multiplier,1)))</f>
        <v>1.25</v>
      </c>
      <c r="V129" s="33">
        <f t="array" ref="V1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129,Charge_Names,0))),Type_Species)),0),1)*IF(COUNTBLANK(Combo_Opponent_Type_2)=0,INDEX(Type_Damage_Multipliers,MATCH(Combo_Opponent_Type_2,IF(Type_Move=(INDEX(Charge_Type,MATCH($P129,Charge_Names,0))),Type_Species)),0),1)*
IF(OR(INDEX(Charge_Type,MATCH($P129,Charge_Names,0))=INDEX(Species_Type_1,MATCH($N129,Species_Names,0)),INDEX(Charge_Type,MATCH($P129,Charge_Names,0))=INDEX(Species_Type_2,MATCH($N129,Species_Names,0))),Game_STAB_Multiplier,1))</f>
        <v>1.25</v>
      </c>
      <c r="W129" s="33" t="s">
        <v>412</v>
      </c>
      <c r="X129" s="33" t="s">
        <v>608</v>
      </c>
      <c r="Y129" s="32" t="e">
        <f t="array" ref="Y129">((($Z129)*
INDEX(Species_Attack,MATCH($N129,Species_Names,0))*
INDEX(Species_Tankiness,MATCH($N129,Species_Names,0)))/1000)</f>
        <v>#VALUE!</v>
      </c>
      <c r="Z129" s="33" t="s">
        <v>609</v>
      </c>
    </row>
    <row r="130" spans="1:26" ht="14.25" customHeight="1" x14ac:dyDescent="0.2">
      <c r="A130" s="86"/>
      <c r="B130" s="22" t="str">
        <f t="array" ref="B130">CONCATENATE(TEXT($M130,"000"),".",TEXT(INDEX(Quick_Number,MATCH($O130,Quick_Names,0)),"000"),".",TEXT(INDEX(Charge_Number,MATCH($P130,Charge_Names,0)),"000"))</f>
        <v>018.210.122</v>
      </c>
      <c r="C130" s="23" t="e">
        <f t="array" ref="C130">RANK($S130,IF(Combo_Species_Names=$N130,Combo_Gym_Offense),0)</f>
        <v>#VALUE!</v>
      </c>
      <c r="D130" s="24" t="e">
        <f t="array" ref="D130">$S130/MAX(IF(Combo_Species_Names=$N130,Combo_Gym_Offense))</f>
        <v>#VALUE!</v>
      </c>
      <c r="E130" s="23" t="e">
        <f t="array" ref="E130">RANK($Y130,IF(Combo_Species_Names=$N130,Combo_Gym_Defense),0)</f>
        <v>#VALUE!</v>
      </c>
      <c r="F130" s="25" t="e">
        <f t="array" ref="F130">$Y130/MAX(IF(Combo_Species_Names=$N130,Combo_Gym_Defense))</f>
        <v>#VALUE!</v>
      </c>
      <c r="G130" s="23" t="e">
        <f t="array" ref="G130">IF(OR(INDEX(Species_Availability,MATCH($N130,Species_Names,0))="No",INDEX(Species_Evo_Numbers,MATCH($N130,Species_Names,0))&lt;&gt;1),"N/A",RANK($R130,IF(NOT(ISNA(MATCH(Combo_Species_Names,IF(Species_Availability="Yes",IF(Species_Evo_Numbers=1,Species_Names)),0))),Combo_Duel_Ability),0))</f>
        <v>#VALUE!</v>
      </c>
      <c r="H130" s="24" t="e">
        <f t="array" ref="H130">IF(OR(INDEX(Species_Availability,MATCH($N130,Species_Names,0))="No",INDEX(Species_Evo_Numbers,MATCH($N130,Species_Names,0))&lt;&gt;1),"N/A",$R130/MAX(IF(NOT(ISNA(MATCH(Combo_Species_Names,IF(Species_Availability="Yes",IF(Species_Evo_Numbers=1,Species_Names)),0))),Combo_Duel_Ability)))</f>
        <v>#VALUE!</v>
      </c>
      <c r="I130" s="23" t="e">
        <f t="array" ref="I130">IF(OR(INDEX(Species_Availability,MATCH($N130,Species_Names,0))="No",INDEX(Species_Evo_Numbers,MATCH($N130,Species_Names,0))&lt;&gt;1),"N/A",RANK($S130,IF(NOT(ISNA(MATCH(Combo_Species_Names,IF(Species_Availability="Yes",IF(Species_Evo_Numbers=1,Species_Names)),0))),Combo_Gym_Offense),0))</f>
        <v>#VALUE!</v>
      </c>
      <c r="J130" s="24" t="e">
        <f t="array" ref="J130">IF(OR(INDEX(Species_Availability,MATCH($N130,Species_Names,0))="No",INDEX(Species_Evo_Numbers,MATCH($N130,Species_Names,0))&lt;&gt;1),"N/A",$S130/MAX(IF(NOT(ISNA(MATCH(Combo_Species_Names,IF(Species_Availability="Yes",IF(Species_Evo_Numbers=1,Species_Names)),0))),Combo_Gym_Offense)))</f>
        <v>#VALUE!</v>
      </c>
      <c r="K130" s="23" t="e">
        <f t="array" ref="K130">IF(OR(INDEX(Species_Availability,MATCH($N130,Species_Names,0))="No",INDEX(Species_Evo_Numbers,MATCH($N130,Species_Names,0))&lt;&gt;1),"N/A",RANK($Y130,IF(NOT(ISNA(MATCH(Combo_Species_Names,IF(Species_Availability="Yes",IF(Species_Evo_Numbers=1,Species_Names)),0))),Combo_Gym_Defense),0))</f>
        <v>#VALUE!</v>
      </c>
      <c r="L130" s="24" t="e">
        <f t="array" ref="L130">IF(OR(INDEX(Species_Availability,MATCH($N130,Species_Names,0))="No",INDEX(Species_Evo_Numbers,MATCH($N130,Species_Names,0))&lt;&gt;1),"N/A",$Y130/MAX(IF(NOT(ISNA(MATCH(Combo_Species_Names,IF(Species_Availability="Yes",IF(Species_Evo_Numbers=1,Species_Names)),0))),Combo_Gym_Defense)))</f>
        <v>#VALUE!</v>
      </c>
      <c r="M130" s="28">
        <f t="array" ref="M130">INDEX(Species_Pdex_Numbers,MATCH($N130,Species_Names,0))</f>
        <v>18</v>
      </c>
      <c r="N130" s="30" t="s">
        <v>126</v>
      </c>
      <c r="O130" s="31" t="s">
        <v>69</v>
      </c>
      <c r="P130" s="31" t="s">
        <v>157</v>
      </c>
      <c r="Q130" s="17" t="e">
        <f t="shared" si="2"/>
        <v>#VALUE!</v>
      </c>
      <c r="R130" s="32" t="e">
        <f t="array" ref="R130">IF(OR(AND(COUNTBLANK(Combo_Opponent_Type_1)=1,COUNTBLANK(Combo_Opponent_Type_2)=0),AND(AND(COUNTBLANK(Combo_Opponent_Type_1)=0,COUNTBLANK(Combo_Opponent_Type_2)=0),Combo_Opponent_Type_1=Combo_Opponent_Type_2)),
"Check Types",($S130*INDEX(Species_Tankiness,MATCH($N130,Species_Names,0)))/225)</f>
        <v>#VALUE!</v>
      </c>
      <c r="S130" s="32" t="e">
        <f t="array" ref="S130">IF(OR(AND(COUNTBLANK(Combo_Opponent_Type_1)=1,COUNTBLANK(Combo_Opponent_Type_2)=0),AND(AND(COUNTBLANK(Combo_Opponent_Type_1)=0,COUNTBLANK(Combo_Opponent_Type_2)=0),Combo_Opponent_Type_1=Combo_Opponent_Type_2)),
"Check Types",(
IF($W130&gt;=((1-Game_Weave_Human_Error)*$X130),$W130,$X130)*INDEX(Species_Attack,MATCH($N130,Species_Names,0)))/11)</f>
        <v>#VALUE!</v>
      </c>
      <c r="T130" s="33" t="e">
        <f t="shared" si="3"/>
        <v>#VALUE!</v>
      </c>
      <c r="U130" s="33">
        <f t="array" ref="U1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130,Quick_Names,0))),Type_Species)),0),1)*IF(COUNTBLANK(Combo_Opponent_Type_2)=0,INDEX(Type_Damage_Multipliers,MATCH(Combo_Opponent_Type_2,IF(Type_Move=(INDEX(Quick_Type,MATCH($O130,Quick_Names,0))),Type_Species)),0),1)*(IF(OR(INDEX(Quick_Type,MATCH($O130,Quick_Names,0))=INDEX(Species_Type_1,MATCH($N130,Species_Names,0)),INDEX(Quick_Type,MATCH($O130,Quick_Names,0))=INDEX(Species_Type_2,MATCH($N130,Species_Names,0))),Game_STAB_Multiplier,1)))</f>
        <v>1.25</v>
      </c>
      <c r="V130" s="33">
        <f t="array" ref="V1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130,Charge_Names,0))),Type_Species)),0),1)*IF(COUNTBLANK(Combo_Opponent_Type_2)=0,INDEX(Type_Damage_Multipliers,MATCH(Combo_Opponent_Type_2,IF(Type_Move=(INDEX(Charge_Type,MATCH($P130,Charge_Names,0))),Type_Species)),0),1)*
IF(OR(INDEX(Charge_Type,MATCH($P130,Charge_Names,0))=INDEX(Species_Type_1,MATCH($N130,Species_Names,0)),INDEX(Charge_Type,MATCH($P130,Charge_Names,0))=INDEX(Species_Type_2,MATCH($N130,Species_Names,0))),Game_STAB_Multiplier,1))</f>
        <v>1.25</v>
      </c>
      <c r="W130" s="33" t="s">
        <v>489</v>
      </c>
      <c r="X130" s="33" t="s">
        <v>610</v>
      </c>
      <c r="Y130" s="32" t="e">
        <f t="array" ref="Y130">((($Z130)*
INDEX(Species_Attack,MATCH($N130,Species_Names,0))*
INDEX(Species_Tankiness,MATCH($N130,Species_Names,0)))/1000)</f>
        <v>#VALUE!</v>
      </c>
      <c r="Z130" s="33" t="s">
        <v>418</v>
      </c>
    </row>
    <row r="131" spans="1:26" ht="14.25" customHeight="1" x14ac:dyDescent="0.2">
      <c r="A131" s="86"/>
      <c r="B131" s="22" t="str">
        <f t="array" ref="B131">CONCATENATE(TEXT($M131,"000"),".",TEXT(INDEX(Quick_Number,MATCH($O131,Quick_Names,0)),"000"),".",TEXT(INDEX(Charge_Number,MATCH($P131,Charge_Names,0)),"000"))</f>
        <v>062.216.054</v>
      </c>
      <c r="C131" s="23" t="e">
        <f t="array" ref="C131">RANK($S131,IF(Combo_Species_Names=$N131,Combo_Gym_Offense),0)</f>
        <v>#VALUE!</v>
      </c>
      <c r="D131" s="24" t="e">
        <f t="array" ref="D131">$S131/MAX(IF(Combo_Species_Names=$N131,Combo_Gym_Offense))</f>
        <v>#VALUE!</v>
      </c>
      <c r="E131" s="23" t="e">
        <f t="array" ref="E131">RANK($Y131,IF(Combo_Species_Names=$N131,Combo_Gym_Defense),0)</f>
        <v>#VALUE!</v>
      </c>
      <c r="F131" s="25" t="e">
        <f t="array" ref="F131">$Y131/MAX(IF(Combo_Species_Names=$N131,Combo_Gym_Defense))</f>
        <v>#VALUE!</v>
      </c>
      <c r="G131" s="23" t="e">
        <f t="array" ref="G131">IF(OR(INDEX(Species_Availability,MATCH($N131,Species_Names,0))="No",INDEX(Species_Evo_Numbers,MATCH($N131,Species_Names,0))&lt;&gt;1),"N/A",RANK($R131,IF(NOT(ISNA(MATCH(Combo_Species_Names,IF(Species_Availability="Yes",IF(Species_Evo_Numbers=1,Species_Names)),0))),Combo_Duel_Ability),0))</f>
        <v>#VALUE!</v>
      </c>
      <c r="H131" s="24" t="e">
        <f t="array" ref="H131">IF(OR(INDEX(Species_Availability,MATCH($N131,Species_Names,0))="No",INDEX(Species_Evo_Numbers,MATCH($N131,Species_Names,0))&lt;&gt;1),"N/A",$R131/MAX(IF(NOT(ISNA(MATCH(Combo_Species_Names,IF(Species_Availability="Yes",IF(Species_Evo_Numbers=1,Species_Names)),0))),Combo_Duel_Ability)))</f>
        <v>#VALUE!</v>
      </c>
      <c r="I131" s="23" t="e">
        <f t="array" ref="I131">IF(OR(INDEX(Species_Availability,MATCH($N131,Species_Names,0))="No",INDEX(Species_Evo_Numbers,MATCH($N131,Species_Names,0))&lt;&gt;1),"N/A",RANK($S131,IF(NOT(ISNA(MATCH(Combo_Species_Names,IF(Species_Availability="Yes",IF(Species_Evo_Numbers=1,Species_Names)),0))),Combo_Gym_Offense),0))</f>
        <v>#VALUE!</v>
      </c>
      <c r="J131" s="24" t="e">
        <f t="array" ref="J131">IF(OR(INDEX(Species_Availability,MATCH($N131,Species_Names,0))="No",INDEX(Species_Evo_Numbers,MATCH($N131,Species_Names,0))&lt;&gt;1),"N/A",$S131/MAX(IF(NOT(ISNA(MATCH(Combo_Species_Names,IF(Species_Availability="Yes",IF(Species_Evo_Numbers=1,Species_Names)),0))),Combo_Gym_Offense)))</f>
        <v>#VALUE!</v>
      </c>
      <c r="K131" s="23" t="e">
        <f t="array" ref="K131">IF(OR(INDEX(Species_Availability,MATCH($N131,Species_Names,0))="No",INDEX(Species_Evo_Numbers,MATCH($N131,Species_Names,0))&lt;&gt;1),"N/A",RANK($Y131,IF(NOT(ISNA(MATCH(Combo_Species_Names,IF(Species_Availability="Yes",IF(Species_Evo_Numbers=1,Species_Names)),0))),Combo_Gym_Defense),0))</f>
        <v>#VALUE!</v>
      </c>
      <c r="L131" s="24" t="e">
        <f t="array" ref="L131">IF(OR(INDEX(Species_Availability,MATCH($N131,Species_Names,0))="No",INDEX(Species_Evo_Numbers,MATCH($N131,Species_Names,0))&lt;&gt;1),"N/A",$Y131/MAX(IF(NOT(ISNA(MATCH(Combo_Species_Names,IF(Species_Availability="Yes",IF(Species_Evo_Numbers=1,Species_Names)),0))),Combo_Gym_Defense)))</f>
        <v>#VALUE!</v>
      </c>
      <c r="M131" s="28">
        <f t="array" ref="M131">INDEX(Species_Pdex_Numbers,MATCH($N131,Species_Names,0))</f>
        <v>62</v>
      </c>
      <c r="N131" s="30" t="s">
        <v>215</v>
      </c>
      <c r="O131" s="31" t="s">
        <v>89</v>
      </c>
      <c r="P131" s="31" t="s">
        <v>243</v>
      </c>
      <c r="Q131" s="17" t="e">
        <f t="shared" si="2"/>
        <v>#VALUE!</v>
      </c>
      <c r="R131" s="32" t="e">
        <f t="array" ref="R131">IF(OR(AND(COUNTBLANK(Combo_Opponent_Type_1)=1,COUNTBLANK(Combo_Opponent_Type_2)=0),AND(AND(COUNTBLANK(Combo_Opponent_Type_1)=0,COUNTBLANK(Combo_Opponent_Type_2)=0),Combo_Opponent_Type_1=Combo_Opponent_Type_2)),
"Check Types",($S131*INDEX(Species_Tankiness,MATCH($N131,Species_Names,0)))/225)</f>
        <v>#VALUE!</v>
      </c>
      <c r="S131" s="32" t="e">
        <f t="array" ref="S131">IF(OR(AND(COUNTBLANK(Combo_Opponent_Type_1)=1,COUNTBLANK(Combo_Opponent_Type_2)=0),AND(AND(COUNTBLANK(Combo_Opponent_Type_1)=0,COUNTBLANK(Combo_Opponent_Type_2)=0),Combo_Opponent_Type_1=Combo_Opponent_Type_2)),
"Check Types",(
IF($W131&gt;=((1-Game_Weave_Human_Error)*$X131),$W131,$X131)*INDEX(Species_Attack,MATCH($N131,Species_Names,0)))/11)</f>
        <v>#VALUE!</v>
      </c>
      <c r="T131" s="33" t="e">
        <f t="shared" si="3"/>
        <v>#VALUE!</v>
      </c>
      <c r="U131" s="33">
        <f t="array" ref="U1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131,Quick_Names,0))),Type_Species)),0),1)*IF(COUNTBLANK(Combo_Opponent_Type_2)=0,INDEX(Type_Damage_Multipliers,MATCH(Combo_Opponent_Type_2,IF(Type_Move=(INDEX(Quick_Type,MATCH($O131,Quick_Names,0))),Type_Species)),0),1)*(IF(OR(INDEX(Quick_Type,MATCH($O131,Quick_Names,0))=INDEX(Species_Type_1,MATCH($N131,Species_Names,0)),INDEX(Quick_Type,MATCH($O131,Quick_Names,0))=INDEX(Species_Type_2,MATCH($N131,Species_Names,0))),Game_STAB_Multiplier,1)))</f>
        <v>1</v>
      </c>
      <c r="V131" s="33">
        <f t="array" ref="V1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131,Charge_Names,0))),Type_Species)),0),1)*IF(COUNTBLANK(Combo_Opponent_Type_2)=0,INDEX(Type_Damage_Multipliers,MATCH(Combo_Opponent_Type_2,IF(Type_Move=(INDEX(Charge_Type,MATCH($P131,Charge_Names,0))),Type_Species)),0),1)*
IF(OR(INDEX(Charge_Type,MATCH($P131,Charge_Names,0))=INDEX(Species_Type_1,MATCH($N131,Species_Names,0)),INDEX(Charge_Type,MATCH($P131,Charge_Names,0))=INDEX(Species_Type_2,MATCH($N131,Species_Names,0))),Game_STAB_Multiplier,1))</f>
        <v>1.25</v>
      </c>
      <c r="W131" s="33" t="s">
        <v>518</v>
      </c>
      <c r="X131" s="33" t="s">
        <v>611</v>
      </c>
      <c r="Y131" s="32" t="e">
        <f t="array" ref="Y131">((($Z131)*
INDEX(Species_Attack,MATCH($N131,Species_Names,0))*
INDEX(Species_Tankiness,MATCH($N131,Species_Names,0)))/1000)</f>
        <v>#VALUE!</v>
      </c>
      <c r="Z131" s="33" t="s">
        <v>612</v>
      </c>
    </row>
    <row r="132" spans="1:26" ht="14.25" customHeight="1" x14ac:dyDescent="0.2">
      <c r="A132" s="86"/>
      <c r="B132" s="22" t="str">
        <f t="array" ref="B132">CONCATENATE(TEXT($M132,"000"),".",TEXT(INDEX(Quick_Number,MATCH($O132,Quick_Names,0)),"000"),".",TEXT(INDEX(Charge_Number,MATCH($P132,Charge_Names,0)),"000"))</f>
        <v>097.235.108</v>
      </c>
      <c r="C132" s="23" t="e">
        <f t="array" ref="C132">RANK($S132,IF(Combo_Species_Names=$N132,Combo_Gym_Offense),0)</f>
        <v>#VALUE!</v>
      </c>
      <c r="D132" s="24" t="e">
        <f t="array" ref="D132">$S132/MAX(IF(Combo_Species_Names=$N132,Combo_Gym_Offense))</f>
        <v>#VALUE!</v>
      </c>
      <c r="E132" s="23" t="e">
        <f t="array" ref="E132">RANK($Y132,IF(Combo_Species_Names=$N132,Combo_Gym_Defense),0)</f>
        <v>#VALUE!</v>
      </c>
      <c r="F132" s="25" t="e">
        <f t="array" ref="F132">$Y132/MAX(IF(Combo_Species_Names=$N132,Combo_Gym_Defense))</f>
        <v>#VALUE!</v>
      </c>
      <c r="G132" s="23" t="e">
        <f t="array" ref="G132">IF(OR(INDEX(Species_Availability,MATCH($N132,Species_Names,0))="No",INDEX(Species_Evo_Numbers,MATCH($N132,Species_Names,0))&lt;&gt;1),"N/A",RANK($R132,IF(NOT(ISNA(MATCH(Combo_Species_Names,IF(Species_Availability="Yes",IF(Species_Evo_Numbers=1,Species_Names)),0))),Combo_Duel_Ability),0))</f>
        <v>#VALUE!</v>
      </c>
      <c r="H132" s="24" t="e">
        <f t="array" ref="H132">IF(OR(INDEX(Species_Availability,MATCH($N132,Species_Names,0))="No",INDEX(Species_Evo_Numbers,MATCH($N132,Species_Names,0))&lt;&gt;1),"N/A",$R132/MAX(IF(NOT(ISNA(MATCH(Combo_Species_Names,IF(Species_Availability="Yes",IF(Species_Evo_Numbers=1,Species_Names)),0))),Combo_Duel_Ability)))</f>
        <v>#VALUE!</v>
      </c>
      <c r="I132" s="23" t="e">
        <f t="array" ref="I132">IF(OR(INDEX(Species_Availability,MATCH($N132,Species_Names,0))="No",INDEX(Species_Evo_Numbers,MATCH($N132,Species_Names,0))&lt;&gt;1),"N/A",RANK($S132,IF(NOT(ISNA(MATCH(Combo_Species_Names,IF(Species_Availability="Yes",IF(Species_Evo_Numbers=1,Species_Names)),0))),Combo_Gym_Offense),0))</f>
        <v>#VALUE!</v>
      </c>
      <c r="J132" s="24" t="e">
        <f t="array" ref="J132">IF(OR(INDEX(Species_Availability,MATCH($N132,Species_Names,0))="No",INDEX(Species_Evo_Numbers,MATCH($N132,Species_Names,0))&lt;&gt;1),"N/A",$S132/MAX(IF(NOT(ISNA(MATCH(Combo_Species_Names,IF(Species_Availability="Yes",IF(Species_Evo_Numbers=1,Species_Names)),0))),Combo_Gym_Offense)))</f>
        <v>#VALUE!</v>
      </c>
      <c r="K132" s="23" t="e">
        <f t="array" ref="K132">IF(OR(INDEX(Species_Availability,MATCH($N132,Species_Names,0))="No",INDEX(Species_Evo_Numbers,MATCH($N132,Species_Names,0))&lt;&gt;1),"N/A",RANK($Y132,IF(NOT(ISNA(MATCH(Combo_Species_Names,IF(Species_Availability="Yes",IF(Species_Evo_Numbers=1,Species_Names)),0))),Combo_Gym_Defense),0))</f>
        <v>#VALUE!</v>
      </c>
      <c r="L132" s="24" t="e">
        <f t="array" ref="L132">IF(OR(INDEX(Species_Availability,MATCH($N132,Species_Names,0))="No",INDEX(Species_Evo_Numbers,MATCH($N132,Species_Names,0))&lt;&gt;1),"N/A",$Y132/MAX(IF(NOT(ISNA(MATCH(Combo_Species_Names,IF(Species_Availability="Yes",IF(Species_Evo_Numbers=1,Species_Names)),0))),Combo_Gym_Defense)))</f>
        <v>#VALUE!</v>
      </c>
      <c r="M132" s="28">
        <f t="array" ref="M132">INDEX(Species_Pdex_Numbers,MATCH($N132,Species_Names,0))</f>
        <v>97</v>
      </c>
      <c r="N132" s="30" t="s">
        <v>293</v>
      </c>
      <c r="O132" s="31" t="s">
        <v>108</v>
      </c>
      <c r="P132" s="31" t="s">
        <v>58</v>
      </c>
      <c r="Q132" s="17" t="e">
        <f t="shared" si="2"/>
        <v>#VALUE!</v>
      </c>
      <c r="R132" s="32" t="e">
        <f t="array" ref="R132">IF(OR(AND(COUNTBLANK(Combo_Opponent_Type_1)=1,COUNTBLANK(Combo_Opponent_Type_2)=0),AND(AND(COUNTBLANK(Combo_Opponent_Type_1)=0,COUNTBLANK(Combo_Opponent_Type_2)=0),Combo_Opponent_Type_1=Combo_Opponent_Type_2)),
"Check Types",($S132*INDEX(Species_Tankiness,MATCH($N132,Species_Names,0)))/225)</f>
        <v>#VALUE!</v>
      </c>
      <c r="S132" s="32" t="e">
        <f t="array" ref="S132">IF(OR(AND(COUNTBLANK(Combo_Opponent_Type_1)=1,COUNTBLANK(Combo_Opponent_Type_2)=0),AND(AND(COUNTBLANK(Combo_Opponent_Type_1)=0,COUNTBLANK(Combo_Opponent_Type_2)=0),Combo_Opponent_Type_1=Combo_Opponent_Type_2)),
"Check Types",(
IF($W132&gt;=((1-Game_Weave_Human_Error)*$X132),$W132,$X132)*INDEX(Species_Attack,MATCH($N132,Species_Names,0)))/11)</f>
        <v>#VALUE!</v>
      </c>
      <c r="T132" s="33" t="e">
        <f t="shared" si="3"/>
        <v>#VALUE!</v>
      </c>
      <c r="U132" s="33">
        <f t="array" ref="U1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132,Quick_Names,0))),Type_Species)),0),1)*IF(COUNTBLANK(Combo_Opponent_Type_2)=0,INDEX(Type_Damage_Multipliers,MATCH(Combo_Opponent_Type_2,IF(Type_Move=(INDEX(Quick_Type,MATCH($O132,Quick_Names,0))),Type_Species)),0),1)*(IF(OR(INDEX(Quick_Type,MATCH($O132,Quick_Names,0))=INDEX(Species_Type_1,MATCH($N132,Species_Names,0)),INDEX(Quick_Type,MATCH($O132,Quick_Names,0))=INDEX(Species_Type_2,MATCH($N132,Species_Names,0))),Game_STAB_Multiplier,1)))</f>
        <v>1.25</v>
      </c>
      <c r="V132" s="33">
        <f t="array" ref="V1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132,Charge_Names,0))),Type_Species)),0),1)*IF(COUNTBLANK(Combo_Opponent_Type_2)=0,INDEX(Type_Damage_Multipliers,MATCH(Combo_Opponent_Type_2,IF(Type_Move=(INDEX(Charge_Type,MATCH($P132,Charge_Names,0))),Type_Species)),0),1)*
IF(OR(INDEX(Charge_Type,MATCH($P132,Charge_Names,0))=INDEX(Species_Type_1,MATCH($N132,Species_Names,0)),INDEX(Charge_Type,MATCH($P132,Charge_Names,0))=INDEX(Species_Type_2,MATCH($N132,Species_Names,0))),Game_STAB_Multiplier,1))</f>
        <v>1.25</v>
      </c>
      <c r="W132" s="33" t="s">
        <v>467</v>
      </c>
      <c r="X132" s="33" t="s">
        <v>495</v>
      </c>
      <c r="Y132" s="32" t="e">
        <f t="array" ref="Y132">((($Z132)*
INDEX(Species_Attack,MATCH($N132,Species_Names,0))*
INDEX(Species_Tankiness,MATCH($N132,Species_Names,0)))/1000)</f>
        <v>#VALUE!</v>
      </c>
      <c r="Z132" s="33" t="s">
        <v>440</v>
      </c>
    </row>
    <row r="133" spans="1:26" ht="14.25" customHeight="1" x14ac:dyDescent="0.2">
      <c r="A133" s="86"/>
      <c r="B133" s="22" t="str">
        <f t="array" ref="B133">CONCATENATE(TEXT($M133,"000"),".",TEXT(INDEX(Quick_Number,MATCH($O133,Quick_Names,0)),"000"),".",TEXT(INDEX(Charge_Number,MATCH($P133,Charge_Names,0)),"000"))</f>
        <v>045.215.087</v>
      </c>
      <c r="C133" s="23" t="e">
        <f t="array" ref="C133">RANK($S133,IF(Combo_Species_Names=$N133,Combo_Gym_Offense),0)</f>
        <v>#VALUE!</v>
      </c>
      <c r="D133" s="24" t="e">
        <f t="array" ref="D133">$S133/MAX(IF(Combo_Species_Names=$N133,Combo_Gym_Offense))</f>
        <v>#VALUE!</v>
      </c>
      <c r="E133" s="23" t="e">
        <f t="array" ref="E133">RANK($Y133,IF(Combo_Species_Names=$N133,Combo_Gym_Defense),0)</f>
        <v>#VALUE!</v>
      </c>
      <c r="F133" s="25" t="e">
        <f t="array" ref="F133">$Y133/MAX(IF(Combo_Species_Names=$N133,Combo_Gym_Defense))</f>
        <v>#VALUE!</v>
      </c>
      <c r="G133" s="23" t="e">
        <f t="array" ref="G133">IF(OR(INDEX(Species_Availability,MATCH($N133,Species_Names,0))="No",INDEX(Species_Evo_Numbers,MATCH($N133,Species_Names,0))&lt;&gt;1),"N/A",RANK($R133,IF(NOT(ISNA(MATCH(Combo_Species_Names,IF(Species_Availability="Yes",IF(Species_Evo_Numbers=1,Species_Names)),0))),Combo_Duel_Ability),0))</f>
        <v>#VALUE!</v>
      </c>
      <c r="H133" s="24" t="e">
        <f t="array" ref="H133">IF(OR(INDEX(Species_Availability,MATCH($N133,Species_Names,0))="No",INDEX(Species_Evo_Numbers,MATCH($N133,Species_Names,0))&lt;&gt;1),"N/A",$R133/MAX(IF(NOT(ISNA(MATCH(Combo_Species_Names,IF(Species_Availability="Yes",IF(Species_Evo_Numbers=1,Species_Names)),0))),Combo_Duel_Ability)))</f>
        <v>#VALUE!</v>
      </c>
      <c r="I133" s="23" t="e">
        <f t="array" ref="I133">IF(OR(INDEX(Species_Availability,MATCH($N133,Species_Names,0))="No",INDEX(Species_Evo_Numbers,MATCH($N133,Species_Names,0))&lt;&gt;1),"N/A",RANK($S133,IF(NOT(ISNA(MATCH(Combo_Species_Names,IF(Species_Availability="Yes",IF(Species_Evo_Numbers=1,Species_Names)),0))),Combo_Gym_Offense),0))</f>
        <v>#VALUE!</v>
      </c>
      <c r="J133" s="24" t="e">
        <f t="array" ref="J133">IF(OR(INDEX(Species_Availability,MATCH($N133,Species_Names,0))="No",INDEX(Species_Evo_Numbers,MATCH($N133,Species_Names,0))&lt;&gt;1),"N/A",$S133/MAX(IF(NOT(ISNA(MATCH(Combo_Species_Names,IF(Species_Availability="Yes",IF(Species_Evo_Numbers=1,Species_Names)),0))),Combo_Gym_Offense)))</f>
        <v>#VALUE!</v>
      </c>
      <c r="K133" s="23" t="e">
        <f t="array" ref="K133">IF(OR(INDEX(Species_Availability,MATCH($N133,Species_Names,0))="No",INDEX(Species_Evo_Numbers,MATCH($N133,Species_Names,0))&lt;&gt;1),"N/A",RANK($Y133,IF(NOT(ISNA(MATCH(Combo_Species_Names,IF(Species_Availability="Yes",IF(Species_Evo_Numbers=1,Species_Names)),0))),Combo_Gym_Defense),0))</f>
        <v>#VALUE!</v>
      </c>
      <c r="L133" s="24" t="e">
        <f t="array" ref="L133">IF(OR(INDEX(Species_Availability,MATCH($N133,Species_Names,0))="No",INDEX(Species_Evo_Numbers,MATCH($N133,Species_Names,0))&lt;&gt;1),"N/A",$Y133/MAX(IF(NOT(ISNA(MATCH(Combo_Species_Names,IF(Species_Availability="Yes",IF(Species_Evo_Numbers=1,Species_Names)),0))),Combo_Gym_Defense)))</f>
        <v>#VALUE!</v>
      </c>
      <c r="M133" s="28">
        <f t="array" ref="M133">INDEX(Species_Pdex_Numbers,MATCH($N133,Species_Names,0))</f>
        <v>45</v>
      </c>
      <c r="N133" s="30" t="s">
        <v>181</v>
      </c>
      <c r="O133" s="31" t="s">
        <v>102</v>
      </c>
      <c r="P133" s="31" t="s">
        <v>185</v>
      </c>
      <c r="Q133" s="17" t="e">
        <f t="shared" si="2"/>
        <v>#VALUE!</v>
      </c>
      <c r="R133" s="32" t="e">
        <f t="array" ref="R133">IF(OR(AND(COUNTBLANK(Combo_Opponent_Type_1)=1,COUNTBLANK(Combo_Opponent_Type_2)=0),AND(AND(COUNTBLANK(Combo_Opponent_Type_1)=0,COUNTBLANK(Combo_Opponent_Type_2)=0),Combo_Opponent_Type_1=Combo_Opponent_Type_2)),
"Check Types",($S133*INDEX(Species_Tankiness,MATCH($N133,Species_Names,0)))/225)</f>
        <v>#VALUE!</v>
      </c>
      <c r="S133" s="32" t="e">
        <f t="array" ref="S133">IF(OR(AND(COUNTBLANK(Combo_Opponent_Type_1)=1,COUNTBLANK(Combo_Opponent_Type_2)=0),AND(AND(COUNTBLANK(Combo_Opponent_Type_1)=0,COUNTBLANK(Combo_Opponent_Type_2)=0),Combo_Opponent_Type_1=Combo_Opponent_Type_2)),
"Check Types",(
IF($W133&gt;=((1-Game_Weave_Human_Error)*$X133),$W133,$X133)*INDEX(Species_Attack,MATCH($N133,Species_Names,0)))/11)</f>
        <v>#VALUE!</v>
      </c>
      <c r="T133" s="33" t="e">
        <f t="shared" si="3"/>
        <v>#VALUE!</v>
      </c>
      <c r="U133" s="33">
        <f t="array" ref="U1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133,Quick_Names,0))),Type_Species)),0),1)*IF(COUNTBLANK(Combo_Opponent_Type_2)=0,INDEX(Type_Damage_Multipliers,MATCH(Combo_Opponent_Type_2,IF(Type_Move=(INDEX(Quick_Type,MATCH($O133,Quick_Names,0))),Type_Species)),0),1)*(IF(OR(INDEX(Quick_Type,MATCH($O133,Quick_Names,0))=INDEX(Species_Type_1,MATCH($N133,Species_Names,0)),INDEX(Quick_Type,MATCH($O133,Quick_Names,0))=INDEX(Species_Type_2,MATCH($N133,Species_Names,0))),Game_STAB_Multiplier,1)))</f>
        <v>1.25</v>
      </c>
      <c r="V133" s="33">
        <f t="array" ref="V1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133,Charge_Names,0))),Type_Species)),0),1)*IF(COUNTBLANK(Combo_Opponent_Type_2)=0,INDEX(Type_Damage_Multipliers,MATCH(Combo_Opponent_Type_2,IF(Type_Move=(INDEX(Charge_Type,MATCH($P133,Charge_Names,0))),Type_Species)),0),1)*
IF(OR(INDEX(Charge_Type,MATCH($P133,Charge_Names,0))=INDEX(Species_Type_1,MATCH($N133,Species_Names,0)),INDEX(Charge_Type,MATCH($P133,Charge_Names,0))=INDEX(Species_Type_2,MATCH($N133,Species_Names,0))),Game_STAB_Multiplier,1))</f>
        <v>1</v>
      </c>
      <c r="W133" s="33" t="s">
        <v>501</v>
      </c>
      <c r="X133" s="33" t="s">
        <v>613</v>
      </c>
      <c r="Y133" s="32" t="e">
        <f t="array" ref="Y133">((($Z133)*
INDEX(Species_Attack,MATCH($N133,Species_Names,0))*
INDEX(Species_Tankiness,MATCH($N133,Species_Names,0)))/1000)</f>
        <v>#VALUE!</v>
      </c>
      <c r="Z133" s="33" t="s">
        <v>614</v>
      </c>
    </row>
    <row r="134" spans="1:26" ht="14.25" customHeight="1" x14ac:dyDescent="0.2">
      <c r="A134" s="86"/>
      <c r="B134" s="22" t="str">
        <f t="array" ref="B134">CONCATENATE(TEXT($M134,"000"),".",TEXT(INDEX(Quick_Number,MATCH($O134,Quick_Names,0)),"000"),".",TEXT(INDEX(Charge_Number,MATCH($P134,Charge_Names,0)),"000"))</f>
        <v>040.222.086</v>
      </c>
      <c r="C134" s="23" t="e">
        <f t="array" ref="C134">RANK($S134,IF(Combo_Species_Names=$N134,Combo_Gym_Offense),0)</f>
        <v>#VALUE!</v>
      </c>
      <c r="D134" s="24" t="e">
        <f t="array" ref="D134">$S134/MAX(IF(Combo_Species_Names=$N134,Combo_Gym_Offense))</f>
        <v>#VALUE!</v>
      </c>
      <c r="E134" s="23" t="e">
        <f t="array" ref="E134">RANK($Y134,IF(Combo_Species_Names=$N134,Combo_Gym_Defense),0)</f>
        <v>#VALUE!</v>
      </c>
      <c r="F134" s="25" t="e">
        <f t="array" ref="F134">$Y134/MAX(IF(Combo_Species_Names=$N134,Combo_Gym_Defense))</f>
        <v>#VALUE!</v>
      </c>
      <c r="G134" s="23" t="e">
        <f t="array" ref="G134">IF(OR(INDEX(Species_Availability,MATCH($N134,Species_Names,0))="No",INDEX(Species_Evo_Numbers,MATCH($N134,Species_Names,0))&lt;&gt;1),"N/A",RANK($R134,IF(NOT(ISNA(MATCH(Combo_Species_Names,IF(Species_Availability="Yes",IF(Species_Evo_Numbers=1,Species_Names)),0))),Combo_Duel_Ability),0))</f>
        <v>#VALUE!</v>
      </c>
      <c r="H134" s="24" t="e">
        <f t="array" ref="H134">IF(OR(INDEX(Species_Availability,MATCH($N134,Species_Names,0))="No",INDEX(Species_Evo_Numbers,MATCH($N134,Species_Names,0))&lt;&gt;1),"N/A",$R134/MAX(IF(NOT(ISNA(MATCH(Combo_Species_Names,IF(Species_Availability="Yes",IF(Species_Evo_Numbers=1,Species_Names)),0))),Combo_Duel_Ability)))</f>
        <v>#VALUE!</v>
      </c>
      <c r="I134" s="23" t="e">
        <f t="array" ref="I134">IF(OR(INDEX(Species_Availability,MATCH($N134,Species_Names,0))="No",INDEX(Species_Evo_Numbers,MATCH($N134,Species_Names,0))&lt;&gt;1),"N/A",RANK($S134,IF(NOT(ISNA(MATCH(Combo_Species_Names,IF(Species_Availability="Yes",IF(Species_Evo_Numbers=1,Species_Names)),0))),Combo_Gym_Offense),0))</f>
        <v>#VALUE!</v>
      </c>
      <c r="J134" s="24" t="e">
        <f t="array" ref="J134">IF(OR(INDEX(Species_Availability,MATCH($N134,Species_Names,0))="No",INDEX(Species_Evo_Numbers,MATCH($N134,Species_Names,0))&lt;&gt;1),"N/A",$S134/MAX(IF(NOT(ISNA(MATCH(Combo_Species_Names,IF(Species_Availability="Yes",IF(Species_Evo_Numbers=1,Species_Names)),0))),Combo_Gym_Offense)))</f>
        <v>#VALUE!</v>
      </c>
      <c r="K134" s="23" t="e">
        <f t="array" ref="K134">IF(OR(INDEX(Species_Availability,MATCH($N134,Species_Names,0))="No",INDEX(Species_Evo_Numbers,MATCH($N134,Species_Names,0))&lt;&gt;1),"N/A",RANK($Y134,IF(NOT(ISNA(MATCH(Combo_Species_Names,IF(Species_Availability="Yes",IF(Species_Evo_Numbers=1,Species_Names)),0))),Combo_Gym_Defense),0))</f>
        <v>#VALUE!</v>
      </c>
      <c r="L134" s="24" t="e">
        <f t="array" ref="L134">IF(OR(INDEX(Species_Availability,MATCH($N134,Species_Names,0))="No",INDEX(Species_Evo_Numbers,MATCH($N134,Species_Names,0))&lt;&gt;1),"N/A",$Y134/MAX(IF(NOT(ISNA(MATCH(Combo_Species_Names,IF(Species_Availability="Yes",IF(Species_Evo_Numbers=1,Species_Names)),0))),Combo_Gym_Defense)))</f>
        <v>#VALUE!</v>
      </c>
      <c r="M134" s="28">
        <f t="array" ref="M134">INDEX(Species_Pdex_Numbers,MATCH($N134,Species_Names,0))</f>
        <v>40</v>
      </c>
      <c r="N134" s="30" t="s">
        <v>171</v>
      </c>
      <c r="O134" s="31" t="s">
        <v>32</v>
      </c>
      <c r="P134" s="31" t="s">
        <v>257</v>
      </c>
      <c r="Q134" s="17" t="e">
        <f t="shared" ref="Q134:Q197" si="4">IF(OR(AND(COUNTBLANK(Combo_Opponent_Type_1)=1,COUNTBLANK(Combo_Opponent_Type_2)=0),AND(AND(COUNTBLANK(Combo_Opponent_Type_1)=0,COUNTBLANK(Combo_Opponent_Type_2)=0),Combo_Opponent_Type_1=Combo_Opponent_Type_2)),
"Check Types",IF($W134&gt;=((1-Game_Weave_Human_Error)*$X134),"Quick Only","Weave"))</f>
        <v>#VALUE!</v>
      </c>
      <c r="R134" s="32" t="e">
        <f t="array" ref="R134">IF(OR(AND(COUNTBLANK(Combo_Opponent_Type_1)=1,COUNTBLANK(Combo_Opponent_Type_2)=0),AND(AND(COUNTBLANK(Combo_Opponent_Type_1)=0,COUNTBLANK(Combo_Opponent_Type_2)=0),Combo_Opponent_Type_1=Combo_Opponent_Type_2)),
"Check Types",($S134*INDEX(Species_Tankiness,MATCH($N134,Species_Names,0)))/225)</f>
        <v>#VALUE!</v>
      </c>
      <c r="S134" s="32" t="e">
        <f t="array" ref="S134">IF(OR(AND(COUNTBLANK(Combo_Opponent_Type_1)=1,COUNTBLANK(Combo_Opponent_Type_2)=0),AND(AND(COUNTBLANK(Combo_Opponent_Type_1)=0,COUNTBLANK(Combo_Opponent_Type_2)=0),Combo_Opponent_Type_1=Combo_Opponent_Type_2)),
"Check Types",(
IF($W134&gt;=((1-Game_Weave_Human_Error)*$X134),$W134,$X134)*INDEX(Species_Attack,MATCH($N134,Species_Names,0)))/11)</f>
        <v>#VALUE!</v>
      </c>
      <c r="T134" s="33" t="e">
        <f t="shared" ref="T134:T197" si="5">IF(OR(AND(COUNTBLANK(Combo_Opponent_Type_1)=1,COUNTBLANK(Combo_Opponent_Type_2)=0),AND(AND(COUNTBLANK(Combo_Opponent_Type_1)=0,COUNTBLANK(Combo_Opponent_Type_2)=0),Combo_Opponent_Type_1=Combo_Opponent_Type_2)),
"Check Types",IF($W134&gt;=((1-Game_Weave_Human_Error)*$X134),$W134,$X134))</f>
        <v>#VALUE!</v>
      </c>
      <c r="U134" s="33">
        <f t="array" ref="U1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134,Quick_Names,0))),Type_Species)),0),1)*IF(COUNTBLANK(Combo_Opponent_Type_2)=0,INDEX(Type_Damage_Multipliers,MATCH(Combo_Opponent_Type_2,IF(Type_Move=(INDEX(Quick_Type,MATCH($O134,Quick_Names,0))),Type_Species)),0),1)*(IF(OR(INDEX(Quick_Type,MATCH($O134,Quick_Names,0))=INDEX(Species_Type_1,MATCH($N134,Species_Names,0)),INDEX(Quick_Type,MATCH($O134,Quick_Names,0))=INDEX(Species_Type_2,MATCH($N134,Species_Names,0))),Game_STAB_Multiplier,1)))</f>
        <v>1.25</v>
      </c>
      <c r="V134" s="33">
        <f t="array" ref="V1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134,Charge_Names,0))),Type_Species)),0),1)*IF(COUNTBLANK(Combo_Opponent_Type_2)=0,INDEX(Type_Damage_Multipliers,MATCH(Combo_Opponent_Type_2,IF(Type_Move=(INDEX(Charge_Type,MATCH($P134,Charge_Names,0))),Type_Species)),0),1)*
IF(OR(INDEX(Charge_Type,MATCH($P134,Charge_Names,0))=INDEX(Species_Type_1,MATCH($N134,Species_Names,0)),INDEX(Charge_Type,MATCH($P134,Charge_Names,0))=INDEX(Species_Type_2,MATCH($N134,Species_Names,0))),Game_STAB_Multiplier,1))</f>
        <v>1.25</v>
      </c>
      <c r="W134" s="33" t="s">
        <v>508</v>
      </c>
      <c r="X134" s="33" t="s">
        <v>615</v>
      </c>
      <c r="Y134" s="32" t="e">
        <f t="array" ref="Y134">((($Z134)*
INDEX(Species_Attack,MATCH($N134,Species_Names,0))*
INDEX(Species_Tankiness,MATCH($N134,Species_Names,0)))/1000)</f>
        <v>#VALUE!</v>
      </c>
      <c r="Z134" s="33" t="s">
        <v>616</v>
      </c>
    </row>
    <row r="135" spans="1:26" ht="14.25" customHeight="1" x14ac:dyDescent="0.2">
      <c r="A135" s="86"/>
      <c r="B135" s="22" t="str">
        <f t="array" ref="B135">CONCATENATE(TEXT($M135,"000"),".",TEXT(INDEX(Quick_Number,MATCH($O135,Quick_Names,0)),"000"),".",TEXT(INDEX(Charge_Number,MATCH($P135,Charge_Names,0)),"000"))</f>
        <v>136.209.042</v>
      </c>
      <c r="C135" s="23" t="e">
        <f t="array" ref="C135">RANK($S135,IF(Combo_Species_Names=$N135,Combo_Gym_Offense),0)</f>
        <v>#VALUE!</v>
      </c>
      <c r="D135" s="24" t="e">
        <f t="array" ref="D135">$S135/MAX(IF(Combo_Species_Names=$N135,Combo_Gym_Offense))</f>
        <v>#VALUE!</v>
      </c>
      <c r="E135" s="23" t="e">
        <f t="array" ref="E135">RANK($Y135,IF(Combo_Species_Names=$N135,Combo_Gym_Defense),0)</f>
        <v>#VALUE!</v>
      </c>
      <c r="F135" s="25" t="e">
        <f t="array" ref="F135">$Y135/MAX(IF(Combo_Species_Names=$N135,Combo_Gym_Defense))</f>
        <v>#VALUE!</v>
      </c>
      <c r="G135" s="23" t="e">
        <f t="array" ref="G135">IF(OR(INDEX(Species_Availability,MATCH($N135,Species_Names,0))="No",INDEX(Species_Evo_Numbers,MATCH($N135,Species_Names,0))&lt;&gt;1),"N/A",RANK($R135,IF(NOT(ISNA(MATCH(Combo_Species_Names,IF(Species_Availability="Yes",IF(Species_Evo_Numbers=1,Species_Names)),0))),Combo_Duel_Ability),0))</f>
        <v>#VALUE!</v>
      </c>
      <c r="H135" s="24" t="e">
        <f t="array" ref="H135">IF(OR(INDEX(Species_Availability,MATCH($N135,Species_Names,0))="No",INDEX(Species_Evo_Numbers,MATCH($N135,Species_Names,0))&lt;&gt;1),"N/A",$R135/MAX(IF(NOT(ISNA(MATCH(Combo_Species_Names,IF(Species_Availability="Yes",IF(Species_Evo_Numbers=1,Species_Names)),0))),Combo_Duel_Ability)))</f>
        <v>#VALUE!</v>
      </c>
      <c r="I135" s="23" t="e">
        <f t="array" ref="I135">IF(OR(INDEX(Species_Availability,MATCH($N135,Species_Names,0))="No",INDEX(Species_Evo_Numbers,MATCH($N135,Species_Names,0))&lt;&gt;1),"N/A",RANK($S135,IF(NOT(ISNA(MATCH(Combo_Species_Names,IF(Species_Availability="Yes",IF(Species_Evo_Numbers=1,Species_Names)),0))),Combo_Gym_Offense),0))</f>
        <v>#VALUE!</v>
      </c>
      <c r="J135" s="24" t="e">
        <f t="array" ref="J135">IF(OR(INDEX(Species_Availability,MATCH($N135,Species_Names,0))="No",INDEX(Species_Evo_Numbers,MATCH($N135,Species_Names,0))&lt;&gt;1),"N/A",$S135/MAX(IF(NOT(ISNA(MATCH(Combo_Species_Names,IF(Species_Availability="Yes",IF(Species_Evo_Numbers=1,Species_Names)),0))),Combo_Gym_Offense)))</f>
        <v>#VALUE!</v>
      </c>
      <c r="K135" s="23" t="e">
        <f t="array" ref="K135">IF(OR(INDEX(Species_Availability,MATCH($N135,Species_Names,0))="No",INDEX(Species_Evo_Numbers,MATCH($N135,Species_Names,0))&lt;&gt;1),"N/A",RANK($Y135,IF(NOT(ISNA(MATCH(Combo_Species_Names,IF(Species_Availability="Yes",IF(Species_Evo_Numbers=1,Species_Names)),0))),Combo_Gym_Defense),0))</f>
        <v>#VALUE!</v>
      </c>
      <c r="L135" s="24" t="e">
        <f t="array" ref="L135">IF(OR(INDEX(Species_Availability,MATCH($N135,Species_Names,0))="No",INDEX(Species_Evo_Numbers,MATCH($N135,Species_Names,0))&lt;&gt;1),"N/A",$Y135/MAX(IF(NOT(ISNA(MATCH(Combo_Species_Names,IF(Species_Availability="Yes",IF(Species_Evo_Numbers=1,Species_Names)),0))),Combo_Gym_Defense)))</f>
        <v>#VALUE!</v>
      </c>
      <c r="M135" s="28">
        <f t="array" ref="M135">INDEX(Species_Pdex_Numbers,MATCH($N135,Species_Names,0))</f>
        <v>136</v>
      </c>
      <c r="N135" s="30" t="s">
        <v>354</v>
      </c>
      <c r="O135" s="31" t="s">
        <v>111</v>
      </c>
      <c r="P135" s="31" t="s">
        <v>183</v>
      </c>
      <c r="Q135" s="17" t="e">
        <f t="shared" si="4"/>
        <v>#VALUE!</v>
      </c>
      <c r="R135" s="32" t="e">
        <f t="array" ref="R135">IF(OR(AND(COUNTBLANK(Combo_Opponent_Type_1)=1,COUNTBLANK(Combo_Opponent_Type_2)=0),AND(AND(COUNTBLANK(Combo_Opponent_Type_1)=0,COUNTBLANK(Combo_Opponent_Type_2)=0),Combo_Opponent_Type_1=Combo_Opponent_Type_2)),
"Check Types",($S135*INDEX(Species_Tankiness,MATCH($N135,Species_Names,0)))/225)</f>
        <v>#VALUE!</v>
      </c>
      <c r="S135" s="32" t="e">
        <f t="array" ref="S135">IF(OR(AND(COUNTBLANK(Combo_Opponent_Type_1)=1,COUNTBLANK(Combo_Opponent_Type_2)=0),AND(AND(COUNTBLANK(Combo_Opponent_Type_1)=0,COUNTBLANK(Combo_Opponent_Type_2)=0),Combo_Opponent_Type_1=Combo_Opponent_Type_2)),
"Check Types",(
IF($W135&gt;=((1-Game_Weave_Human_Error)*$X135),$W135,$X135)*INDEX(Species_Attack,MATCH($N135,Species_Names,0)))/11)</f>
        <v>#VALUE!</v>
      </c>
      <c r="T135" s="33" t="e">
        <f t="shared" si="5"/>
        <v>#VALUE!</v>
      </c>
      <c r="U135" s="33">
        <f t="array" ref="U1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135,Quick_Names,0))),Type_Species)),0),1)*IF(COUNTBLANK(Combo_Opponent_Type_2)=0,INDEX(Type_Damage_Multipliers,MATCH(Combo_Opponent_Type_2,IF(Type_Move=(INDEX(Quick_Type,MATCH($O135,Quick_Names,0))),Type_Species)),0),1)*(IF(OR(INDEX(Quick_Type,MATCH($O135,Quick_Names,0))=INDEX(Species_Type_1,MATCH($N135,Species_Names,0)),INDEX(Quick_Type,MATCH($O135,Quick_Names,0))=INDEX(Species_Type_2,MATCH($N135,Species_Names,0))),Game_STAB_Multiplier,1)))</f>
        <v>1.25</v>
      </c>
      <c r="V135" s="33">
        <f t="array" ref="V1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135,Charge_Names,0))),Type_Species)),0),1)*IF(COUNTBLANK(Combo_Opponent_Type_2)=0,INDEX(Type_Damage_Multipliers,MATCH(Combo_Opponent_Type_2,IF(Type_Move=(INDEX(Charge_Type,MATCH($P135,Charge_Names,0))),Type_Species)),0),1)*
IF(OR(INDEX(Charge_Type,MATCH($P135,Charge_Names,0))=INDEX(Species_Type_1,MATCH($N135,Species_Names,0)),INDEX(Charge_Type,MATCH($P135,Charge_Names,0))=INDEX(Species_Type_2,MATCH($N135,Species_Names,0))),Game_STAB_Multiplier,1))</f>
        <v>1.25</v>
      </c>
      <c r="W135" s="33" t="s">
        <v>511</v>
      </c>
      <c r="X135" s="33" t="s">
        <v>617</v>
      </c>
      <c r="Y135" s="32" t="e">
        <f t="array" ref="Y135">((($Z135)*
INDEX(Species_Attack,MATCH($N135,Species_Names,0))*
INDEX(Species_Tankiness,MATCH($N135,Species_Names,0)))/1000)</f>
        <v>#VALUE!</v>
      </c>
      <c r="Z135" s="33" t="s">
        <v>618</v>
      </c>
    </row>
    <row r="136" spans="1:26" ht="14.25" customHeight="1" x14ac:dyDescent="0.2">
      <c r="A136" s="86"/>
      <c r="B136" s="22" t="str">
        <f t="array" ref="B136">CONCATENATE(TEXT($M136,"000"),".",TEXT(INDEX(Quick_Number,MATCH($O136,Quick_Names,0)),"000"),".",TEXT(INDEX(Charge_Number,MATCH($P136,Charge_Names,0)),"000"))</f>
        <v>055.230.039</v>
      </c>
      <c r="C136" s="23" t="e">
        <f t="array" ref="C136">RANK($S136,IF(Combo_Species_Names=$N136,Combo_Gym_Offense),0)</f>
        <v>#VALUE!</v>
      </c>
      <c r="D136" s="24" t="e">
        <f t="array" ref="D136">$S136/MAX(IF(Combo_Species_Names=$N136,Combo_Gym_Offense))</f>
        <v>#VALUE!</v>
      </c>
      <c r="E136" s="23" t="e">
        <f t="array" ref="E136">RANK($Y136,IF(Combo_Species_Names=$N136,Combo_Gym_Defense),0)</f>
        <v>#VALUE!</v>
      </c>
      <c r="F136" s="25" t="e">
        <f t="array" ref="F136">$Y136/MAX(IF(Combo_Species_Names=$N136,Combo_Gym_Defense))</f>
        <v>#VALUE!</v>
      </c>
      <c r="G136" s="23" t="e">
        <f t="array" ref="G136">IF(OR(INDEX(Species_Availability,MATCH($N136,Species_Names,0))="No",INDEX(Species_Evo_Numbers,MATCH($N136,Species_Names,0))&lt;&gt;1),"N/A",RANK($R136,IF(NOT(ISNA(MATCH(Combo_Species_Names,IF(Species_Availability="Yes",IF(Species_Evo_Numbers=1,Species_Names)),0))),Combo_Duel_Ability),0))</f>
        <v>#VALUE!</v>
      </c>
      <c r="H136" s="24" t="e">
        <f t="array" ref="H136">IF(OR(INDEX(Species_Availability,MATCH($N136,Species_Names,0))="No",INDEX(Species_Evo_Numbers,MATCH($N136,Species_Names,0))&lt;&gt;1),"N/A",$R136/MAX(IF(NOT(ISNA(MATCH(Combo_Species_Names,IF(Species_Availability="Yes",IF(Species_Evo_Numbers=1,Species_Names)),0))),Combo_Duel_Ability)))</f>
        <v>#VALUE!</v>
      </c>
      <c r="I136" s="23" t="e">
        <f t="array" ref="I136">IF(OR(INDEX(Species_Availability,MATCH($N136,Species_Names,0))="No",INDEX(Species_Evo_Numbers,MATCH($N136,Species_Names,0))&lt;&gt;1),"N/A",RANK($S136,IF(NOT(ISNA(MATCH(Combo_Species_Names,IF(Species_Availability="Yes",IF(Species_Evo_Numbers=1,Species_Names)),0))),Combo_Gym_Offense),0))</f>
        <v>#VALUE!</v>
      </c>
      <c r="J136" s="24" t="e">
        <f t="array" ref="J136">IF(OR(INDEX(Species_Availability,MATCH($N136,Species_Names,0))="No",INDEX(Species_Evo_Numbers,MATCH($N136,Species_Names,0))&lt;&gt;1),"N/A",$S136/MAX(IF(NOT(ISNA(MATCH(Combo_Species_Names,IF(Species_Availability="Yes",IF(Species_Evo_Numbers=1,Species_Names)),0))),Combo_Gym_Offense)))</f>
        <v>#VALUE!</v>
      </c>
      <c r="K136" s="23" t="e">
        <f t="array" ref="K136">IF(OR(INDEX(Species_Availability,MATCH($N136,Species_Names,0))="No",INDEX(Species_Evo_Numbers,MATCH($N136,Species_Names,0))&lt;&gt;1),"N/A",RANK($Y136,IF(NOT(ISNA(MATCH(Combo_Species_Names,IF(Species_Availability="Yes",IF(Species_Evo_Numbers=1,Species_Names)),0))),Combo_Gym_Defense),0))</f>
        <v>#VALUE!</v>
      </c>
      <c r="L136" s="24" t="e">
        <f t="array" ref="L136">IF(OR(INDEX(Species_Availability,MATCH($N136,Species_Names,0))="No",INDEX(Species_Evo_Numbers,MATCH($N136,Species_Names,0))&lt;&gt;1),"N/A",$Y136/MAX(IF(NOT(ISNA(MATCH(Combo_Species_Names,IF(Species_Availability="Yes",IF(Species_Evo_Numbers=1,Species_Names)),0))),Combo_Gym_Defense)))</f>
        <v>#VALUE!</v>
      </c>
      <c r="M136" s="28">
        <f t="array" ref="M136">INDEX(Species_Pdex_Numbers,MATCH($N136,Species_Names,0))</f>
        <v>55</v>
      </c>
      <c r="N136" s="30" t="s">
        <v>199</v>
      </c>
      <c r="O136" s="31" t="s">
        <v>65</v>
      </c>
      <c r="P136" s="31" t="s">
        <v>209</v>
      </c>
      <c r="Q136" s="17" t="e">
        <f t="shared" si="4"/>
        <v>#VALUE!</v>
      </c>
      <c r="R136" s="32" t="e">
        <f t="array" ref="R136">IF(OR(AND(COUNTBLANK(Combo_Opponent_Type_1)=1,COUNTBLANK(Combo_Opponent_Type_2)=0),AND(AND(COUNTBLANK(Combo_Opponent_Type_1)=0,COUNTBLANK(Combo_Opponent_Type_2)=0),Combo_Opponent_Type_1=Combo_Opponent_Type_2)),
"Check Types",($S136*INDEX(Species_Tankiness,MATCH($N136,Species_Names,0)))/225)</f>
        <v>#VALUE!</v>
      </c>
      <c r="S136" s="32" t="e">
        <f t="array" ref="S136">IF(OR(AND(COUNTBLANK(Combo_Opponent_Type_1)=1,COUNTBLANK(Combo_Opponent_Type_2)=0),AND(AND(COUNTBLANK(Combo_Opponent_Type_1)=0,COUNTBLANK(Combo_Opponent_Type_2)=0),Combo_Opponent_Type_1=Combo_Opponent_Type_2)),
"Check Types",(
IF($W136&gt;=((1-Game_Weave_Human_Error)*$X136),$W136,$X136)*INDEX(Species_Attack,MATCH($N136,Species_Names,0)))/11)</f>
        <v>#VALUE!</v>
      </c>
      <c r="T136" s="33" t="e">
        <f t="shared" si="5"/>
        <v>#VALUE!</v>
      </c>
      <c r="U136" s="33">
        <f t="array" ref="U1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136,Quick_Names,0))),Type_Species)),0),1)*IF(COUNTBLANK(Combo_Opponent_Type_2)=0,INDEX(Type_Damage_Multipliers,MATCH(Combo_Opponent_Type_2,IF(Type_Move=(INDEX(Quick_Type,MATCH($O136,Quick_Names,0))),Type_Species)),0),1)*(IF(OR(INDEX(Quick_Type,MATCH($O136,Quick_Names,0))=INDEX(Species_Type_1,MATCH($N136,Species_Names,0)),INDEX(Quick_Type,MATCH($O136,Quick_Names,0))=INDEX(Species_Type_2,MATCH($N136,Species_Names,0))),Game_STAB_Multiplier,1)))</f>
        <v>1.25</v>
      </c>
      <c r="V136" s="33">
        <f t="array" ref="V1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136,Charge_Names,0))),Type_Species)),0),1)*IF(COUNTBLANK(Combo_Opponent_Type_2)=0,INDEX(Type_Damage_Multipliers,MATCH(Combo_Opponent_Type_2,IF(Type_Move=(INDEX(Charge_Type,MATCH($P136,Charge_Names,0))),Type_Species)),0),1)*
IF(OR(INDEX(Charge_Type,MATCH($P136,Charge_Names,0))=INDEX(Species_Type_1,MATCH($N136,Species_Names,0)),INDEX(Charge_Type,MATCH($P136,Charge_Names,0))=INDEX(Species_Type_2,MATCH($N136,Species_Names,0))),Game_STAB_Multiplier,1))</f>
        <v>1</v>
      </c>
      <c r="W136" s="33" t="s">
        <v>412</v>
      </c>
      <c r="X136" s="33" t="s">
        <v>514</v>
      </c>
      <c r="Y136" s="32" t="e">
        <f t="array" ref="Y136">((($Z136)*
INDEX(Species_Attack,MATCH($N136,Species_Names,0))*
INDEX(Species_Tankiness,MATCH($N136,Species_Names,0)))/1000)</f>
        <v>#VALUE!</v>
      </c>
      <c r="Z136" s="33" t="s">
        <v>515</v>
      </c>
    </row>
    <row r="137" spans="1:26" ht="14.25" customHeight="1" x14ac:dyDescent="0.2">
      <c r="A137" s="86"/>
      <c r="B137" s="22" t="str">
        <f t="array" ref="B137">CONCATENATE(TEXT($M137,"000"),".",TEXT(INDEX(Quick_Number,MATCH($O137,Quick_Names,0)),"000"),".",TEXT(INDEX(Charge_Number,MATCH($P137,Charge_Names,0)),"000"))</f>
        <v>112.241.031</v>
      </c>
      <c r="C137" s="23" t="e">
        <f t="array" ref="C137">RANK($S137,IF(Combo_Species_Names=$N137,Combo_Gym_Offense),0)</f>
        <v>#VALUE!</v>
      </c>
      <c r="D137" s="24" t="e">
        <f t="array" ref="D137">$S137/MAX(IF(Combo_Species_Names=$N137,Combo_Gym_Offense))</f>
        <v>#VALUE!</v>
      </c>
      <c r="E137" s="23" t="e">
        <f t="array" ref="E137">RANK($Y137,IF(Combo_Species_Names=$N137,Combo_Gym_Defense),0)</f>
        <v>#VALUE!</v>
      </c>
      <c r="F137" s="25" t="e">
        <f t="array" ref="F137">$Y137/MAX(IF(Combo_Species_Names=$N137,Combo_Gym_Defense))</f>
        <v>#VALUE!</v>
      </c>
      <c r="G137" s="23" t="e">
        <f t="array" ref="G137">IF(OR(INDEX(Species_Availability,MATCH($N137,Species_Names,0))="No",INDEX(Species_Evo_Numbers,MATCH($N137,Species_Names,0))&lt;&gt;1),"N/A",RANK($R137,IF(NOT(ISNA(MATCH(Combo_Species_Names,IF(Species_Availability="Yes",IF(Species_Evo_Numbers=1,Species_Names)),0))),Combo_Duel_Ability),0))</f>
        <v>#VALUE!</v>
      </c>
      <c r="H137" s="24" t="e">
        <f t="array" ref="H137">IF(OR(INDEX(Species_Availability,MATCH($N137,Species_Names,0))="No",INDEX(Species_Evo_Numbers,MATCH($N137,Species_Names,0))&lt;&gt;1),"N/A",$R137/MAX(IF(NOT(ISNA(MATCH(Combo_Species_Names,IF(Species_Availability="Yes",IF(Species_Evo_Numbers=1,Species_Names)),0))),Combo_Duel_Ability)))</f>
        <v>#VALUE!</v>
      </c>
      <c r="I137" s="23" t="e">
        <f t="array" ref="I137">IF(OR(INDEX(Species_Availability,MATCH($N137,Species_Names,0))="No",INDEX(Species_Evo_Numbers,MATCH($N137,Species_Names,0))&lt;&gt;1),"N/A",RANK($S137,IF(NOT(ISNA(MATCH(Combo_Species_Names,IF(Species_Availability="Yes",IF(Species_Evo_Numbers=1,Species_Names)),0))),Combo_Gym_Offense),0))</f>
        <v>#VALUE!</v>
      </c>
      <c r="J137" s="24" t="e">
        <f t="array" ref="J137">IF(OR(INDEX(Species_Availability,MATCH($N137,Species_Names,0))="No",INDEX(Species_Evo_Numbers,MATCH($N137,Species_Names,0))&lt;&gt;1),"N/A",$S137/MAX(IF(NOT(ISNA(MATCH(Combo_Species_Names,IF(Species_Availability="Yes",IF(Species_Evo_Numbers=1,Species_Names)),0))),Combo_Gym_Offense)))</f>
        <v>#VALUE!</v>
      </c>
      <c r="K137" s="23" t="e">
        <f t="array" ref="K137">IF(OR(INDEX(Species_Availability,MATCH($N137,Species_Names,0))="No",INDEX(Species_Evo_Numbers,MATCH($N137,Species_Names,0))&lt;&gt;1),"N/A",RANK($Y137,IF(NOT(ISNA(MATCH(Combo_Species_Names,IF(Species_Availability="Yes",IF(Species_Evo_Numbers=1,Species_Names)),0))),Combo_Gym_Defense),0))</f>
        <v>#VALUE!</v>
      </c>
      <c r="L137" s="24" t="e">
        <f t="array" ref="L137">IF(OR(INDEX(Species_Availability,MATCH($N137,Species_Names,0))="No",INDEX(Species_Evo_Numbers,MATCH($N137,Species_Names,0))&lt;&gt;1),"N/A",$Y137/MAX(IF(NOT(ISNA(MATCH(Combo_Species_Names,IF(Species_Availability="Yes",IF(Species_Evo_Numbers=1,Species_Names)),0))),Combo_Gym_Defense)))</f>
        <v>#VALUE!</v>
      </c>
      <c r="M137" s="28">
        <f t="array" ref="M137">INDEX(Species_Pdex_Numbers,MATCH($N137,Species_Names,0))</f>
        <v>112</v>
      </c>
      <c r="N137" s="30" t="s">
        <v>325</v>
      </c>
      <c r="O137" s="31" t="s">
        <v>97</v>
      </c>
      <c r="P137" s="31" t="s">
        <v>169</v>
      </c>
      <c r="Q137" s="17" t="e">
        <f t="shared" si="4"/>
        <v>#VALUE!</v>
      </c>
      <c r="R137" s="32" t="e">
        <f t="array" ref="R137">IF(OR(AND(COUNTBLANK(Combo_Opponent_Type_1)=1,COUNTBLANK(Combo_Opponent_Type_2)=0),AND(AND(COUNTBLANK(Combo_Opponent_Type_1)=0,COUNTBLANK(Combo_Opponent_Type_2)=0),Combo_Opponent_Type_1=Combo_Opponent_Type_2)),
"Check Types",($S137*INDEX(Species_Tankiness,MATCH($N137,Species_Names,0)))/225)</f>
        <v>#VALUE!</v>
      </c>
      <c r="S137" s="32" t="e">
        <f t="array" ref="S137">IF(OR(AND(COUNTBLANK(Combo_Opponent_Type_1)=1,COUNTBLANK(Combo_Opponent_Type_2)=0),AND(AND(COUNTBLANK(Combo_Opponent_Type_1)=0,COUNTBLANK(Combo_Opponent_Type_2)=0),Combo_Opponent_Type_1=Combo_Opponent_Type_2)),
"Check Types",(
IF($W137&gt;=((1-Game_Weave_Human_Error)*$X137),$W137,$X137)*INDEX(Species_Attack,MATCH($N137,Species_Names,0)))/11)</f>
        <v>#VALUE!</v>
      </c>
      <c r="T137" s="33" t="e">
        <f t="shared" si="5"/>
        <v>#VALUE!</v>
      </c>
      <c r="U137" s="33">
        <f t="array" ref="U1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137,Quick_Names,0))),Type_Species)),0),1)*IF(COUNTBLANK(Combo_Opponent_Type_2)=0,INDEX(Type_Damage_Multipliers,MATCH(Combo_Opponent_Type_2,IF(Type_Move=(INDEX(Quick_Type,MATCH($O137,Quick_Names,0))),Type_Species)),0),1)*(IF(OR(INDEX(Quick_Type,MATCH($O137,Quick_Names,0))=INDEX(Species_Type_1,MATCH($N137,Species_Names,0)),INDEX(Quick_Type,MATCH($O137,Quick_Names,0))=INDEX(Species_Type_2,MATCH($N137,Species_Names,0))),Game_STAB_Multiplier,1)))</f>
        <v>1</v>
      </c>
      <c r="V137" s="33">
        <f t="array" ref="V1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137,Charge_Names,0))),Type_Species)),0),1)*IF(COUNTBLANK(Combo_Opponent_Type_2)=0,INDEX(Type_Damage_Multipliers,MATCH(Combo_Opponent_Type_2,IF(Type_Move=(INDEX(Charge_Type,MATCH($P137,Charge_Names,0))),Type_Species)),0),1)*
IF(OR(INDEX(Charge_Type,MATCH($P137,Charge_Names,0))=INDEX(Species_Type_1,MATCH($N137,Species_Names,0)),INDEX(Charge_Type,MATCH($P137,Charge_Names,0))=INDEX(Species_Type_2,MATCH($N137,Species_Names,0))),Game_STAB_Multiplier,1))</f>
        <v>1.25</v>
      </c>
      <c r="W137" s="33" t="s">
        <v>577</v>
      </c>
      <c r="X137" s="33" t="s">
        <v>619</v>
      </c>
      <c r="Y137" s="32" t="e">
        <f t="array" ref="Y137">((($Z137)*
INDEX(Species_Attack,MATCH($N137,Species_Names,0))*
INDEX(Species_Tankiness,MATCH($N137,Species_Names,0)))/1000)</f>
        <v>#VALUE!</v>
      </c>
      <c r="Z137" s="33" t="s">
        <v>620</v>
      </c>
    </row>
    <row r="138" spans="1:26" ht="14.25" customHeight="1" x14ac:dyDescent="0.2">
      <c r="A138" s="86"/>
      <c r="B138" s="22" t="str">
        <f t="array" ref="B138">CONCATENATE(TEXT($M138,"000"),".",TEXT(INDEX(Quick_Number,MATCH($O138,Quick_Names,0)),"000"),".",TEXT(INDEX(Charge_Number,MATCH($P138,Charge_Names,0)),"000"))</f>
        <v>038.209.103</v>
      </c>
      <c r="C138" s="23" t="e">
        <f t="array" ref="C138">RANK($S138,IF(Combo_Species_Names=$N138,Combo_Gym_Offense),0)</f>
        <v>#VALUE!</v>
      </c>
      <c r="D138" s="24" t="e">
        <f t="array" ref="D138">$S138/MAX(IF(Combo_Species_Names=$N138,Combo_Gym_Offense))</f>
        <v>#VALUE!</v>
      </c>
      <c r="E138" s="23" t="e">
        <f t="array" ref="E138">RANK($Y138,IF(Combo_Species_Names=$N138,Combo_Gym_Defense),0)</f>
        <v>#VALUE!</v>
      </c>
      <c r="F138" s="25" t="e">
        <f t="array" ref="F138">$Y138/MAX(IF(Combo_Species_Names=$N138,Combo_Gym_Defense))</f>
        <v>#VALUE!</v>
      </c>
      <c r="G138" s="23" t="e">
        <f t="array" ref="G138">IF(OR(INDEX(Species_Availability,MATCH($N138,Species_Names,0))="No",INDEX(Species_Evo_Numbers,MATCH($N138,Species_Names,0))&lt;&gt;1),"N/A",RANK($R138,IF(NOT(ISNA(MATCH(Combo_Species_Names,IF(Species_Availability="Yes",IF(Species_Evo_Numbers=1,Species_Names)),0))),Combo_Duel_Ability),0))</f>
        <v>#VALUE!</v>
      </c>
      <c r="H138" s="24" t="e">
        <f t="array" ref="H138">IF(OR(INDEX(Species_Availability,MATCH($N138,Species_Names,0))="No",INDEX(Species_Evo_Numbers,MATCH($N138,Species_Names,0))&lt;&gt;1),"N/A",$R138/MAX(IF(NOT(ISNA(MATCH(Combo_Species_Names,IF(Species_Availability="Yes",IF(Species_Evo_Numbers=1,Species_Names)),0))),Combo_Duel_Ability)))</f>
        <v>#VALUE!</v>
      </c>
      <c r="I138" s="23" t="e">
        <f t="array" ref="I138">IF(OR(INDEX(Species_Availability,MATCH($N138,Species_Names,0))="No",INDEX(Species_Evo_Numbers,MATCH($N138,Species_Names,0))&lt;&gt;1),"N/A",RANK($S138,IF(NOT(ISNA(MATCH(Combo_Species_Names,IF(Species_Availability="Yes",IF(Species_Evo_Numbers=1,Species_Names)),0))),Combo_Gym_Offense),0))</f>
        <v>#VALUE!</v>
      </c>
      <c r="J138" s="24" t="e">
        <f t="array" ref="J138">IF(OR(INDEX(Species_Availability,MATCH($N138,Species_Names,0))="No",INDEX(Species_Evo_Numbers,MATCH($N138,Species_Names,0))&lt;&gt;1),"N/A",$S138/MAX(IF(NOT(ISNA(MATCH(Combo_Species_Names,IF(Species_Availability="Yes",IF(Species_Evo_Numbers=1,Species_Names)),0))),Combo_Gym_Offense)))</f>
        <v>#VALUE!</v>
      </c>
      <c r="K138" s="23" t="e">
        <f t="array" ref="K138">IF(OR(INDEX(Species_Availability,MATCH($N138,Species_Names,0))="No",INDEX(Species_Evo_Numbers,MATCH($N138,Species_Names,0))&lt;&gt;1),"N/A",RANK($Y138,IF(NOT(ISNA(MATCH(Combo_Species_Names,IF(Species_Availability="Yes",IF(Species_Evo_Numbers=1,Species_Names)),0))),Combo_Gym_Defense),0))</f>
        <v>#VALUE!</v>
      </c>
      <c r="L138" s="24" t="e">
        <f t="array" ref="L138">IF(OR(INDEX(Species_Availability,MATCH($N138,Species_Names,0))="No",INDEX(Species_Evo_Numbers,MATCH($N138,Species_Names,0))&lt;&gt;1),"N/A",$Y138/MAX(IF(NOT(ISNA(MATCH(Combo_Species_Names,IF(Species_Availability="Yes",IF(Species_Evo_Numbers=1,Species_Names)),0))),Combo_Gym_Defense)))</f>
        <v>#VALUE!</v>
      </c>
      <c r="M138" s="28">
        <f t="array" ref="M138">INDEX(Species_Pdex_Numbers,MATCH($N138,Species_Names,0))</f>
        <v>38</v>
      </c>
      <c r="N138" s="30" t="s">
        <v>167</v>
      </c>
      <c r="O138" s="31" t="s">
        <v>111</v>
      </c>
      <c r="P138" s="31" t="s">
        <v>163</v>
      </c>
      <c r="Q138" s="17" t="e">
        <f t="shared" si="4"/>
        <v>#VALUE!</v>
      </c>
      <c r="R138" s="32" t="e">
        <f t="array" ref="R138">IF(OR(AND(COUNTBLANK(Combo_Opponent_Type_1)=1,COUNTBLANK(Combo_Opponent_Type_2)=0),AND(AND(COUNTBLANK(Combo_Opponent_Type_1)=0,COUNTBLANK(Combo_Opponent_Type_2)=0),Combo_Opponent_Type_1=Combo_Opponent_Type_2)),
"Check Types",($S138*INDEX(Species_Tankiness,MATCH($N138,Species_Names,0)))/225)</f>
        <v>#VALUE!</v>
      </c>
      <c r="S138" s="32" t="e">
        <f t="array" ref="S138">IF(OR(AND(COUNTBLANK(Combo_Opponent_Type_1)=1,COUNTBLANK(Combo_Opponent_Type_2)=0),AND(AND(COUNTBLANK(Combo_Opponent_Type_1)=0,COUNTBLANK(Combo_Opponent_Type_2)=0),Combo_Opponent_Type_1=Combo_Opponent_Type_2)),
"Check Types",(
IF($W138&gt;=((1-Game_Weave_Human_Error)*$X138),$W138,$X138)*INDEX(Species_Attack,MATCH($N138,Species_Names,0)))/11)</f>
        <v>#VALUE!</v>
      </c>
      <c r="T138" s="33" t="e">
        <f t="shared" si="5"/>
        <v>#VALUE!</v>
      </c>
      <c r="U138" s="33">
        <f t="array" ref="U1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138,Quick_Names,0))),Type_Species)),0),1)*IF(COUNTBLANK(Combo_Opponent_Type_2)=0,INDEX(Type_Damage_Multipliers,MATCH(Combo_Opponent_Type_2,IF(Type_Move=(INDEX(Quick_Type,MATCH($O138,Quick_Names,0))),Type_Species)),0),1)*(IF(OR(INDEX(Quick_Type,MATCH($O138,Quick_Names,0))=INDEX(Species_Type_1,MATCH($N138,Species_Names,0)),INDEX(Quick_Type,MATCH($O138,Quick_Names,0))=INDEX(Species_Type_2,MATCH($N138,Species_Names,0))),Game_STAB_Multiplier,1)))</f>
        <v>1.25</v>
      </c>
      <c r="V138" s="33">
        <f t="array" ref="V1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138,Charge_Names,0))),Type_Species)),0),1)*IF(COUNTBLANK(Combo_Opponent_Type_2)=0,INDEX(Type_Damage_Multipliers,MATCH(Combo_Opponent_Type_2,IF(Type_Move=(INDEX(Charge_Type,MATCH($P138,Charge_Names,0))),Type_Species)),0),1)*
IF(OR(INDEX(Charge_Type,MATCH($P138,Charge_Names,0))=INDEX(Species_Type_1,MATCH($N138,Species_Names,0)),INDEX(Charge_Type,MATCH($P138,Charge_Names,0))=INDEX(Species_Type_2,MATCH($N138,Species_Names,0))),Game_STAB_Multiplier,1))</f>
        <v>1.25</v>
      </c>
      <c r="W138" s="33" t="s">
        <v>511</v>
      </c>
      <c r="X138" s="33" t="s">
        <v>508</v>
      </c>
      <c r="Y138" s="32" t="e">
        <f t="array" ref="Y138">((($Z138)*
INDEX(Species_Attack,MATCH($N138,Species_Names,0))*
INDEX(Species_Tankiness,MATCH($N138,Species_Names,0)))/1000)</f>
        <v>#VALUE!</v>
      </c>
      <c r="Z138" s="33" t="s">
        <v>543</v>
      </c>
    </row>
    <row r="139" spans="1:26" ht="14.25" customHeight="1" x14ac:dyDescent="0.2">
      <c r="A139" s="86"/>
      <c r="B139" s="22" t="str">
        <f t="array" ref="B139">CONCATENATE(TEXT($M139,"000"),".",TEXT(INDEX(Quick_Number,MATCH($O139,Quick_Names,0)),"000"),".",TEXT(INDEX(Charge_Number,MATCH($P139,Charge_Names,0)),"000"))</f>
        <v>068.229.032</v>
      </c>
      <c r="C139" s="23" t="e">
        <f t="array" ref="C139">RANK($S139,IF(Combo_Species_Names=$N139,Combo_Gym_Offense),0)</f>
        <v>#VALUE!</v>
      </c>
      <c r="D139" s="24" t="e">
        <f t="array" ref="D139">$S139/MAX(IF(Combo_Species_Names=$N139,Combo_Gym_Offense))</f>
        <v>#VALUE!</v>
      </c>
      <c r="E139" s="23" t="e">
        <f t="array" ref="E139">RANK($Y139,IF(Combo_Species_Names=$N139,Combo_Gym_Defense),0)</f>
        <v>#VALUE!</v>
      </c>
      <c r="F139" s="25" t="e">
        <f t="array" ref="F139">$Y139/MAX(IF(Combo_Species_Names=$N139,Combo_Gym_Defense))</f>
        <v>#VALUE!</v>
      </c>
      <c r="G139" s="23" t="e">
        <f t="array" ref="G139">IF(OR(INDEX(Species_Availability,MATCH($N139,Species_Names,0))="No",INDEX(Species_Evo_Numbers,MATCH($N139,Species_Names,0))&lt;&gt;1),"N/A",RANK($R139,IF(NOT(ISNA(MATCH(Combo_Species_Names,IF(Species_Availability="Yes",IF(Species_Evo_Numbers=1,Species_Names)),0))),Combo_Duel_Ability),0))</f>
        <v>#VALUE!</v>
      </c>
      <c r="H139" s="24" t="e">
        <f t="array" ref="H139">IF(OR(INDEX(Species_Availability,MATCH($N139,Species_Names,0))="No",INDEX(Species_Evo_Numbers,MATCH($N139,Species_Names,0))&lt;&gt;1),"N/A",$R139/MAX(IF(NOT(ISNA(MATCH(Combo_Species_Names,IF(Species_Availability="Yes",IF(Species_Evo_Numbers=1,Species_Names)),0))),Combo_Duel_Ability)))</f>
        <v>#VALUE!</v>
      </c>
      <c r="I139" s="23" t="e">
        <f t="array" ref="I139">IF(OR(INDEX(Species_Availability,MATCH($N139,Species_Names,0))="No",INDEX(Species_Evo_Numbers,MATCH($N139,Species_Names,0))&lt;&gt;1),"N/A",RANK($S139,IF(NOT(ISNA(MATCH(Combo_Species_Names,IF(Species_Availability="Yes",IF(Species_Evo_Numbers=1,Species_Names)),0))),Combo_Gym_Offense),0))</f>
        <v>#VALUE!</v>
      </c>
      <c r="J139" s="24" t="e">
        <f t="array" ref="J139">IF(OR(INDEX(Species_Availability,MATCH($N139,Species_Names,0))="No",INDEX(Species_Evo_Numbers,MATCH($N139,Species_Names,0))&lt;&gt;1),"N/A",$S139/MAX(IF(NOT(ISNA(MATCH(Combo_Species_Names,IF(Species_Availability="Yes",IF(Species_Evo_Numbers=1,Species_Names)),0))),Combo_Gym_Offense)))</f>
        <v>#VALUE!</v>
      </c>
      <c r="K139" s="23" t="e">
        <f t="array" ref="K139">IF(OR(INDEX(Species_Availability,MATCH($N139,Species_Names,0))="No",INDEX(Species_Evo_Numbers,MATCH($N139,Species_Names,0))&lt;&gt;1),"N/A",RANK($Y139,IF(NOT(ISNA(MATCH(Combo_Species_Names,IF(Species_Availability="Yes",IF(Species_Evo_Numbers=1,Species_Names)),0))),Combo_Gym_Defense),0))</f>
        <v>#VALUE!</v>
      </c>
      <c r="L139" s="24" t="e">
        <f t="array" ref="L139">IF(OR(INDEX(Species_Availability,MATCH($N139,Species_Names,0))="No",INDEX(Species_Evo_Numbers,MATCH($N139,Species_Names,0))&lt;&gt;1),"N/A",$Y139/MAX(IF(NOT(ISNA(MATCH(Combo_Species_Names,IF(Species_Availability="Yes",IF(Species_Evo_Numbers=1,Species_Names)),0))),Combo_Gym_Defense)))</f>
        <v>#VALUE!</v>
      </c>
      <c r="M139" s="28">
        <f t="array" ref="M139">INDEX(Species_Pdex_Numbers,MATCH($N139,Species_Names,0))</f>
        <v>68</v>
      </c>
      <c r="N139" s="30" t="s">
        <v>227</v>
      </c>
      <c r="O139" s="31" t="s">
        <v>118</v>
      </c>
      <c r="P139" s="31" t="s">
        <v>149</v>
      </c>
      <c r="Q139" s="17" t="e">
        <f t="shared" si="4"/>
        <v>#VALUE!</v>
      </c>
      <c r="R139" s="32" t="e">
        <f t="array" ref="R139">IF(OR(AND(COUNTBLANK(Combo_Opponent_Type_1)=1,COUNTBLANK(Combo_Opponent_Type_2)=0),AND(AND(COUNTBLANK(Combo_Opponent_Type_1)=0,COUNTBLANK(Combo_Opponent_Type_2)=0),Combo_Opponent_Type_1=Combo_Opponent_Type_2)),
"Check Types",($S139*INDEX(Species_Tankiness,MATCH($N139,Species_Names,0)))/225)</f>
        <v>#VALUE!</v>
      </c>
      <c r="S139" s="32" t="e">
        <f t="array" ref="S139">IF(OR(AND(COUNTBLANK(Combo_Opponent_Type_1)=1,COUNTBLANK(Combo_Opponent_Type_2)=0),AND(AND(COUNTBLANK(Combo_Opponent_Type_1)=0,COUNTBLANK(Combo_Opponent_Type_2)=0),Combo_Opponent_Type_1=Combo_Opponent_Type_2)),
"Check Types",(
IF($W139&gt;=((1-Game_Weave_Human_Error)*$X139),$W139,$X139)*INDEX(Species_Attack,MATCH($N139,Species_Names,0)))/11)</f>
        <v>#VALUE!</v>
      </c>
      <c r="T139" s="33" t="e">
        <f t="shared" si="5"/>
        <v>#VALUE!</v>
      </c>
      <c r="U139" s="33">
        <f t="array" ref="U1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139,Quick_Names,0))),Type_Species)),0),1)*IF(COUNTBLANK(Combo_Opponent_Type_2)=0,INDEX(Type_Damage_Multipliers,MATCH(Combo_Opponent_Type_2,IF(Type_Move=(INDEX(Quick_Type,MATCH($O139,Quick_Names,0))),Type_Species)),0),1)*(IF(OR(INDEX(Quick_Type,MATCH($O139,Quick_Names,0))=INDEX(Species_Type_1,MATCH($N139,Species_Names,0)),INDEX(Quick_Type,MATCH($O139,Quick_Names,0))=INDEX(Species_Type_2,MATCH($N139,Species_Names,0))),Game_STAB_Multiplier,1)))</f>
        <v>1</v>
      </c>
      <c r="V139" s="33">
        <f t="array" ref="V1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139,Charge_Names,0))),Type_Species)),0),1)*IF(COUNTBLANK(Combo_Opponent_Type_2)=0,INDEX(Type_Damage_Multipliers,MATCH(Combo_Opponent_Type_2,IF(Type_Move=(INDEX(Charge_Type,MATCH($P139,Charge_Names,0))),Type_Species)),0),1)*
IF(OR(INDEX(Charge_Type,MATCH($P139,Charge_Names,0))=INDEX(Species_Type_1,MATCH($N139,Species_Names,0)),INDEX(Charge_Type,MATCH($P139,Charge_Names,0))=INDEX(Species_Type_2,MATCH($N139,Species_Names,0))),Game_STAB_Multiplier,1))</f>
        <v>1</v>
      </c>
      <c r="W139" s="33" t="s">
        <v>621</v>
      </c>
      <c r="X139" s="33" t="s">
        <v>622</v>
      </c>
      <c r="Y139" s="32" t="e">
        <f t="array" ref="Y139">((($Z139)*
INDEX(Species_Attack,MATCH($N139,Species_Names,0))*
INDEX(Species_Tankiness,MATCH($N139,Species_Names,0)))/1000)</f>
        <v>#VALUE!</v>
      </c>
      <c r="Z139" s="33" t="s">
        <v>623</v>
      </c>
    </row>
    <row r="140" spans="1:26" ht="14.25" customHeight="1" x14ac:dyDescent="0.2">
      <c r="A140" s="86"/>
      <c r="B140" s="22" t="str">
        <f t="array" ref="B140">CONCATENATE(TEXT($M140,"000"),".",TEXT(INDEX(Quick_Number,MATCH($O140,Quick_Names,0)),"000"),".",TEXT(INDEX(Charge_Number,MATCH($P140,Charge_Names,0)),"000"))</f>
        <v>139.227.107</v>
      </c>
      <c r="C140" s="23" t="e">
        <f t="array" ref="C140">RANK($S140,IF(Combo_Species_Names=$N140,Combo_Gym_Offense),0)</f>
        <v>#VALUE!</v>
      </c>
      <c r="D140" s="24" t="e">
        <f t="array" ref="D140">$S140/MAX(IF(Combo_Species_Names=$N140,Combo_Gym_Offense))</f>
        <v>#VALUE!</v>
      </c>
      <c r="E140" s="23" t="e">
        <f t="array" ref="E140">RANK($Y140,IF(Combo_Species_Names=$N140,Combo_Gym_Defense),0)</f>
        <v>#VALUE!</v>
      </c>
      <c r="F140" s="25" t="e">
        <f t="array" ref="F140">$Y140/MAX(IF(Combo_Species_Names=$N140,Combo_Gym_Defense))</f>
        <v>#VALUE!</v>
      </c>
      <c r="G140" s="23" t="e">
        <f t="array" ref="G140">IF(OR(INDEX(Species_Availability,MATCH($N140,Species_Names,0))="No",INDEX(Species_Evo_Numbers,MATCH($N140,Species_Names,0))&lt;&gt;1),"N/A",RANK($R140,IF(NOT(ISNA(MATCH(Combo_Species_Names,IF(Species_Availability="Yes",IF(Species_Evo_Numbers=1,Species_Names)),0))),Combo_Duel_Ability),0))</f>
        <v>#VALUE!</v>
      </c>
      <c r="H140" s="24" t="e">
        <f t="array" ref="H140">IF(OR(INDEX(Species_Availability,MATCH($N140,Species_Names,0))="No",INDEX(Species_Evo_Numbers,MATCH($N140,Species_Names,0))&lt;&gt;1),"N/A",$R140/MAX(IF(NOT(ISNA(MATCH(Combo_Species_Names,IF(Species_Availability="Yes",IF(Species_Evo_Numbers=1,Species_Names)),0))),Combo_Duel_Ability)))</f>
        <v>#VALUE!</v>
      </c>
      <c r="I140" s="23" t="e">
        <f t="array" ref="I140">IF(OR(INDEX(Species_Availability,MATCH($N140,Species_Names,0))="No",INDEX(Species_Evo_Numbers,MATCH($N140,Species_Names,0))&lt;&gt;1),"N/A",RANK($S140,IF(NOT(ISNA(MATCH(Combo_Species_Names,IF(Species_Availability="Yes",IF(Species_Evo_Numbers=1,Species_Names)),0))),Combo_Gym_Offense),0))</f>
        <v>#VALUE!</v>
      </c>
      <c r="J140" s="24" t="e">
        <f t="array" ref="J140">IF(OR(INDEX(Species_Availability,MATCH($N140,Species_Names,0))="No",INDEX(Species_Evo_Numbers,MATCH($N140,Species_Names,0))&lt;&gt;1),"N/A",$S140/MAX(IF(NOT(ISNA(MATCH(Combo_Species_Names,IF(Species_Availability="Yes",IF(Species_Evo_Numbers=1,Species_Names)),0))),Combo_Gym_Offense)))</f>
        <v>#VALUE!</v>
      </c>
      <c r="K140" s="23" t="e">
        <f t="array" ref="K140">IF(OR(INDEX(Species_Availability,MATCH($N140,Species_Names,0))="No",INDEX(Species_Evo_Numbers,MATCH($N140,Species_Names,0))&lt;&gt;1),"N/A",RANK($Y140,IF(NOT(ISNA(MATCH(Combo_Species_Names,IF(Species_Availability="Yes",IF(Species_Evo_Numbers=1,Species_Names)),0))),Combo_Gym_Defense),0))</f>
        <v>#VALUE!</v>
      </c>
      <c r="L140" s="24" t="e">
        <f t="array" ref="L140">IF(OR(INDEX(Species_Availability,MATCH($N140,Species_Names,0))="No",INDEX(Species_Evo_Numbers,MATCH($N140,Species_Names,0))&lt;&gt;1),"N/A",$Y140/MAX(IF(NOT(ISNA(MATCH(Combo_Species_Names,IF(Species_Availability="Yes",IF(Species_Evo_Numbers=1,Species_Names)),0))),Combo_Gym_Defense)))</f>
        <v>#VALUE!</v>
      </c>
      <c r="M140" s="28">
        <f t="array" ref="M140">INDEX(Species_Pdex_Numbers,MATCH($N140,Species_Names,0))</f>
        <v>139</v>
      </c>
      <c r="N140" s="30" t="s">
        <v>357</v>
      </c>
      <c r="O140" s="31" t="s">
        <v>112</v>
      </c>
      <c r="P140" s="31" t="s">
        <v>170</v>
      </c>
      <c r="Q140" s="17" t="e">
        <f t="shared" si="4"/>
        <v>#VALUE!</v>
      </c>
      <c r="R140" s="32" t="e">
        <f t="array" ref="R140">IF(OR(AND(COUNTBLANK(Combo_Opponent_Type_1)=1,COUNTBLANK(Combo_Opponent_Type_2)=0),AND(AND(COUNTBLANK(Combo_Opponent_Type_1)=0,COUNTBLANK(Combo_Opponent_Type_2)=0),Combo_Opponent_Type_1=Combo_Opponent_Type_2)),
"Check Types",($S140*INDEX(Species_Tankiness,MATCH($N140,Species_Names,0)))/225)</f>
        <v>#VALUE!</v>
      </c>
      <c r="S140" s="32" t="e">
        <f t="array" ref="S140">IF(OR(AND(COUNTBLANK(Combo_Opponent_Type_1)=1,COUNTBLANK(Combo_Opponent_Type_2)=0),AND(AND(COUNTBLANK(Combo_Opponent_Type_1)=0,COUNTBLANK(Combo_Opponent_Type_2)=0),Combo_Opponent_Type_1=Combo_Opponent_Type_2)),
"Check Types",(
IF($W140&gt;=((1-Game_Weave_Human_Error)*$X140),$W140,$X140)*INDEX(Species_Attack,MATCH($N140,Species_Names,0)))/11)</f>
        <v>#VALUE!</v>
      </c>
      <c r="T140" s="33" t="e">
        <f t="shared" si="5"/>
        <v>#VALUE!</v>
      </c>
      <c r="U140" s="33">
        <f t="array" ref="U1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140,Quick_Names,0))),Type_Species)),0),1)*IF(COUNTBLANK(Combo_Opponent_Type_2)=0,INDEX(Type_Damage_Multipliers,MATCH(Combo_Opponent_Type_2,IF(Type_Move=(INDEX(Quick_Type,MATCH($O140,Quick_Names,0))),Type_Species)),0),1)*(IF(OR(INDEX(Quick_Type,MATCH($O140,Quick_Names,0))=INDEX(Species_Type_1,MATCH($N140,Species_Names,0)),INDEX(Quick_Type,MATCH($O140,Quick_Names,0))=INDEX(Species_Type_2,MATCH($N140,Species_Names,0))),Game_STAB_Multiplier,1)))</f>
        <v>1.25</v>
      </c>
      <c r="V140" s="33">
        <f t="array" ref="V1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140,Charge_Names,0))),Type_Species)),0),1)*IF(COUNTBLANK(Combo_Opponent_Type_2)=0,INDEX(Type_Damage_Multipliers,MATCH(Combo_Opponent_Type_2,IF(Type_Move=(INDEX(Charge_Type,MATCH($P140,Charge_Names,0))),Type_Species)),0),1)*
IF(OR(INDEX(Charge_Type,MATCH($P140,Charge_Names,0))=INDEX(Species_Type_1,MATCH($N140,Species_Names,0)),INDEX(Charge_Type,MATCH($P140,Charge_Names,0))=INDEX(Species_Type_2,MATCH($N140,Species_Names,0))),Game_STAB_Multiplier,1))</f>
        <v>1.25</v>
      </c>
      <c r="W140" s="33" t="s">
        <v>548</v>
      </c>
      <c r="X140" s="33" t="s">
        <v>624</v>
      </c>
      <c r="Y140" s="32" t="e">
        <f t="array" ref="Y140">((($Z140)*
INDEX(Species_Attack,MATCH($N140,Species_Names,0))*
INDEX(Species_Tankiness,MATCH($N140,Species_Names,0)))/1000)</f>
        <v>#VALUE!</v>
      </c>
      <c r="Z140" s="33" t="s">
        <v>625</v>
      </c>
    </row>
    <row r="141" spans="1:26" ht="14.25" customHeight="1" x14ac:dyDescent="0.2">
      <c r="A141" s="86"/>
      <c r="B141" s="22" t="str">
        <f t="array" ref="B141">CONCATENATE(TEXT($M141,"000"),".",TEXT(INDEX(Quick_Number,MATCH($O141,Quick_Names,0)),"000"),".",TEXT(INDEX(Charge_Number,MATCH($P141,Charge_Names,0)),"000"))</f>
        <v>036.234.086</v>
      </c>
      <c r="C141" s="23" t="e">
        <f t="array" ref="C141">RANK($S141,IF(Combo_Species_Names=$N141,Combo_Gym_Offense),0)</f>
        <v>#VALUE!</v>
      </c>
      <c r="D141" s="24" t="e">
        <f t="array" ref="D141">$S141/MAX(IF(Combo_Species_Names=$N141,Combo_Gym_Offense))</f>
        <v>#VALUE!</v>
      </c>
      <c r="E141" s="23" t="e">
        <f t="array" ref="E141">RANK($Y141,IF(Combo_Species_Names=$N141,Combo_Gym_Defense),0)</f>
        <v>#VALUE!</v>
      </c>
      <c r="F141" s="25" t="e">
        <f t="array" ref="F141">$Y141/MAX(IF(Combo_Species_Names=$N141,Combo_Gym_Defense))</f>
        <v>#VALUE!</v>
      </c>
      <c r="G141" s="23" t="e">
        <f t="array" ref="G141">IF(OR(INDEX(Species_Availability,MATCH($N141,Species_Names,0))="No",INDEX(Species_Evo_Numbers,MATCH($N141,Species_Names,0))&lt;&gt;1),"N/A",RANK($R141,IF(NOT(ISNA(MATCH(Combo_Species_Names,IF(Species_Availability="Yes",IF(Species_Evo_Numbers=1,Species_Names)),0))),Combo_Duel_Ability),0))</f>
        <v>#VALUE!</v>
      </c>
      <c r="H141" s="24" t="e">
        <f t="array" ref="H141">IF(OR(INDEX(Species_Availability,MATCH($N141,Species_Names,0))="No",INDEX(Species_Evo_Numbers,MATCH($N141,Species_Names,0))&lt;&gt;1),"N/A",$R141/MAX(IF(NOT(ISNA(MATCH(Combo_Species_Names,IF(Species_Availability="Yes",IF(Species_Evo_Numbers=1,Species_Names)),0))),Combo_Duel_Ability)))</f>
        <v>#VALUE!</v>
      </c>
      <c r="I141" s="23" t="e">
        <f t="array" ref="I141">IF(OR(INDEX(Species_Availability,MATCH($N141,Species_Names,0))="No",INDEX(Species_Evo_Numbers,MATCH($N141,Species_Names,0))&lt;&gt;1),"N/A",RANK($S141,IF(NOT(ISNA(MATCH(Combo_Species_Names,IF(Species_Availability="Yes",IF(Species_Evo_Numbers=1,Species_Names)),0))),Combo_Gym_Offense),0))</f>
        <v>#VALUE!</v>
      </c>
      <c r="J141" s="24" t="e">
        <f t="array" ref="J141">IF(OR(INDEX(Species_Availability,MATCH($N141,Species_Names,0))="No",INDEX(Species_Evo_Numbers,MATCH($N141,Species_Names,0))&lt;&gt;1),"N/A",$S141/MAX(IF(NOT(ISNA(MATCH(Combo_Species_Names,IF(Species_Availability="Yes",IF(Species_Evo_Numbers=1,Species_Names)),0))),Combo_Gym_Offense)))</f>
        <v>#VALUE!</v>
      </c>
      <c r="K141" s="23" t="e">
        <f t="array" ref="K141">IF(OR(INDEX(Species_Availability,MATCH($N141,Species_Names,0))="No",INDEX(Species_Evo_Numbers,MATCH($N141,Species_Names,0))&lt;&gt;1),"N/A",RANK($Y141,IF(NOT(ISNA(MATCH(Combo_Species_Names,IF(Species_Availability="Yes",IF(Species_Evo_Numbers=1,Species_Names)),0))),Combo_Gym_Defense),0))</f>
        <v>#VALUE!</v>
      </c>
      <c r="L141" s="24" t="e">
        <f t="array" ref="L141">IF(OR(INDEX(Species_Availability,MATCH($N141,Species_Names,0))="No",INDEX(Species_Evo_Numbers,MATCH($N141,Species_Names,0))&lt;&gt;1),"N/A",$Y141/MAX(IF(NOT(ISNA(MATCH(Combo_Species_Names,IF(Species_Availability="Yes",IF(Species_Evo_Numbers=1,Species_Names)),0))),Combo_Gym_Defense)))</f>
        <v>#VALUE!</v>
      </c>
      <c r="M141" s="28">
        <f t="array" ref="M141">INDEX(Species_Pdex_Numbers,MATCH($N141,Species_Names,0))</f>
        <v>36</v>
      </c>
      <c r="N141" s="30" t="s">
        <v>164</v>
      </c>
      <c r="O141" s="31" t="s">
        <v>79</v>
      </c>
      <c r="P141" s="31" t="s">
        <v>257</v>
      </c>
      <c r="Q141" s="17" t="e">
        <f t="shared" si="4"/>
        <v>#VALUE!</v>
      </c>
      <c r="R141" s="32" t="e">
        <f t="array" ref="R141">IF(OR(AND(COUNTBLANK(Combo_Opponent_Type_1)=1,COUNTBLANK(Combo_Opponent_Type_2)=0),AND(AND(COUNTBLANK(Combo_Opponent_Type_1)=0,COUNTBLANK(Combo_Opponent_Type_2)=0),Combo_Opponent_Type_1=Combo_Opponent_Type_2)),
"Check Types",($S141*INDEX(Species_Tankiness,MATCH($N141,Species_Names,0)))/225)</f>
        <v>#VALUE!</v>
      </c>
      <c r="S141" s="32" t="e">
        <f t="array" ref="S141">IF(OR(AND(COUNTBLANK(Combo_Opponent_Type_1)=1,COUNTBLANK(Combo_Opponent_Type_2)=0),AND(AND(COUNTBLANK(Combo_Opponent_Type_1)=0,COUNTBLANK(Combo_Opponent_Type_2)=0),Combo_Opponent_Type_1=Combo_Opponent_Type_2)),
"Check Types",(
IF($W141&gt;=((1-Game_Weave_Human_Error)*$X141),$W141,$X141)*INDEX(Species_Attack,MATCH($N141,Species_Names,0)))/11)</f>
        <v>#VALUE!</v>
      </c>
      <c r="T141" s="33" t="e">
        <f t="shared" si="5"/>
        <v>#VALUE!</v>
      </c>
      <c r="U141" s="33">
        <f t="array" ref="U1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141,Quick_Names,0))),Type_Species)),0),1)*IF(COUNTBLANK(Combo_Opponent_Type_2)=0,INDEX(Type_Damage_Multipliers,MATCH(Combo_Opponent_Type_2,IF(Type_Move=(INDEX(Quick_Type,MATCH($O141,Quick_Names,0))),Type_Species)),0),1)*(IF(OR(INDEX(Quick_Type,MATCH($O141,Quick_Names,0))=INDEX(Species_Type_1,MATCH($N141,Species_Names,0)),INDEX(Quick_Type,MATCH($O141,Quick_Names,0))=INDEX(Species_Type_2,MATCH($N141,Species_Names,0))),Game_STAB_Multiplier,1)))</f>
        <v>1</v>
      </c>
      <c r="V141" s="33">
        <f t="array" ref="V1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141,Charge_Names,0))),Type_Species)),0),1)*IF(COUNTBLANK(Combo_Opponent_Type_2)=0,INDEX(Type_Damage_Multipliers,MATCH(Combo_Opponent_Type_2,IF(Type_Move=(INDEX(Charge_Type,MATCH($P141,Charge_Names,0))),Type_Species)),0),1)*
IF(OR(INDEX(Charge_Type,MATCH($P141,Charge_Names,0))=INDEX(Species_Type_1,MATCH($N141,Species_Names,0)),INDEX(Charge_Type,MATCH($P141,Charge_Names,0))=INDEX(Species_Type_2,MATCH($N141,Species_Names,0))),Game_STAB_Multiplier,1))</f>
        <v>1.25</v>
      </c>
      <c r="W141" s="33" t="s">
        <v>419</v>
      </c>
      <c r="X141" s="33" t="s">
        <v>626</v>
      </c>
      <c r="Y141" s="32" t="e">
        <f t="array" ref="Y141">((($Z141)*
INDEX(Species_Attack,MATCH($N141,Species_Names,0))*
INDEX(Species_Tankiness,MATCH($N141,Species_Names,0)))/1000)</f>
        <v>#VALUE!</v>
      </c>
      <c r="Z141" s="33" t="s">
        <v>627</v>
      </c>
    </row>
    <row r="142" spans="1:26" ht="14.25" customHeight="1" x14ac:dyDescent="0.2">
      <c r="A142" s="86"/>
      <c r="B142" s="22" t="str">
        <f t="array" ref="B142">CONCATENATE(TEXT($M142,"000"),".",TEXT(INDEX(Quick_Number,MATCH($O142,Quick_Names,0)),"000"),".",TEXT(INDEX(Charge_Number,MATCH($P142,Charge_Names,0)),"000"))</f>
        <v>038.238.103</v>
      </c>
      <c r="C142" s="23" t="e">
        <f t="array" ref="C142">RANK($S142,IF(Combo_Species_Names=$N142,Combo_Gym_Offense),0)</f>
        <v>#VALUE!</v>
      </c>
      <c r="D142" s="24" t="e">
        <f t="array" ref="D142">$S142/MAX(IF(Combo_Species_Names=$N142,Combo_Gym_Offense))</f>
        <v>#VALUE!</v>
      </c>
      <c r="E142" s="23" t="e">
        <f t="array" ref="E142">RANK($Y142,IF(Combo_Species_Names=$N142,Combo_Gym_Defense),0)</f>
        <v>#VALUE!</v>
      </c>
      <c r="F142" s="25" t="e">
        <f t="array" ref="F142">$Y142/MAX(IF(Combo_Species_Names=$N142,Combo_Gym_Defense))</f>
        <v>#VALUE!</v>
      </c>
      <c r="G142" s="23" t="e">
        <f t="array" ref="G142">IF(OR(INDEX(Species_Availability,MATCH($N142,Species_Names,0))="No",INDEX(Species_Evo_Numbers,MATCH($N142,Species_Names,0))&lt;&gt;1),"N/A",RANK($R142,IF(NOT(ISNA(MATCH(Combo_Species_Names,IF(Species_Availability="Yes",IF(Species_Evo_Numbers=1,Species_Names)),0))),Combo_Duel_Ability),0))</f>
        <v>#VALUE!</v>
      </c>
      <c r="H142" s="24" t="e">
        <f t="array" ref="H142">IF(OR(INDEX(Species_Availability,MATCH($N142,Species_Names,0))="No",INDEX(Species_Evo_Numbers,MATCH($N142,Species_Names,0))&lt;&gt;1),"N/A",$R142/MAX(IF(NOT(ISNA(MATCH(Combo_Species_Names,IF(Species_Availability="Yes",IF(Species_Evo_Numbers=1,Species_Names)),0))),Combo_Duel_Ability)))</f>
        <v>#VALUE!</v>
      </c>
      <c r="I142" s="23" t="e">
        <f t="array" ref="I142">IF(OR(INDEX(Species_Availability,MATCH($N142,Species_Names,0))="No",INDEX(Species_Evo_Numbers,MATCH($N142,Species_Names,0))&lt;&gt;1),"N/A",RANK($S142,IF(NOT(ISNA(MATCH(Combo_Species_Names,IF(Species_Availability="Yes",IF(Species_Evo_Numbers=1,Species_Names)),0))),Combo_Gym_Offense),0))</f>
        <v>#VALUE!</v>
      </c>
      <c r="J142" s="24" t="e">
        <f t="array" ref="J142">IF(OR(INDEX(Species_Availability,MATCH($N142,Species_Names,0))="No",INDEX(Species_Evo_Numbers,MATCH($N142,Species_Names,0))&lt;&gt;1),"N/A",$S142/MAX(IF(NOT(ISNA(MATCH(Combo_Species_Names,IF(Species_Availability="Yes",IF(Species_Evo_Numbers=1,Species_Names)),0))),Combo_Gym_Offense)))</f>
        <v>#VALUE!</v>
      </c>
      <c r="K142" s="23" t="e">
        <f t="array" ref="K142">IF(OR(INDEX(Species_Availability,MATCH($N142,Species_Names,0))="No",INDEX(Species_Evo_Numbers,MATCH($N142,Species_Names,0))&lt;&gt;1),"N/A",RANK($Y142,IF(NOT(ISNA(MATCH(Combo_Species_Names,IF(Species_Availability="Yes",IF(Species_Evo_Numbers=1,Species_Names)),0))),Combo_Gym_Defense),0))</f>
        <v>#VALUE!</v>
      </c>
      <c r="L142" s="24" t="e">
        <f t="array" ref="L142">IF(OR(INDEX(Species_Availability,MATCH($N142,Species_Names,0))="No",INDEX(Species_Evo_Numbers,MATCH($N142,Species_Names,0))&lt;&gt;1),"N/A",$Y142/MAX(IF(NOT(ISNA(MATCH(Combo_Species_Names,IF(Species_Availability="Yes",IF(Species_Evo_Numbers=1,Species_Names)),0))),Combo_Gym_Defense)))</f>
        <v>#VALUE!</v>
      </c>
      <c r="M142" s="28">
        <f t="array" ref="M142">INDEX(Species_Pdex_Numbers,MATCH($N142,Species_Names,0))</f>
        <v>38</v>
      </c>
      <c r="N142" s="30" t="s">
        <v>167</v>
      </c>
      <c r="O142" s="31" t="s">
        <v>76</v>
      </c>
      <c r="P142" s="31" t="s">
        <v>163</v>
      </c>
      <c r="Q142" s="17" t="e">
        <f t="shared" si="4"/>
        <v>#VALUE!</v>
      </c>
      <c r="R142" s="32" t="e">
        <f t="array" ref="R142">IF(OR(AND(COUNTBLANK(Combo_Opponent_Type_1)=1,COUNTBLANK(Combo_Opponent_Type_2)=0),AND(AND(COUNTBLANK(Combo_Opponent_Type_1)=0,COUNTBLANK(Combo_Opponent_Type_2)=0),Combo_Opponent_Type_1=Combo_Opponent_Type_2)),
"Check Types",($S142*INDEX(Species_Tankiness,MATCH($N142,Species_Names,0)))/225)</f>
        <v>#VALUE!</v>
      </c>
      <c r="S142" s="32" t="e">
        <f t="array" ref="S142">IF(OR(AND(COUNTBLANK(Combo_Opponent_Type_1)=1,COUNTBLANK(Combo_Opponent_Type_2)=0),AND(AND(COUNTBLANK(Combo_Opponent_Type_1)=0,COUNTBLANK(Combo_Opponent_Type_2)=0),Combo_Opponent_Type_1=Combo_Opponent_Type_2)),
"Check Types",(
IF($W142&gt;=((1-Game_Weave_Human_Error)*$X142),$W142,$X142)*INDEX(Species_Attack,MATCH($N142,Species_Names,0)))/11)</f>
        <v>#VALUE!</v>
      </c>
      <c r="T142" s="33" t="e">
        <f t="shared" si="5"/>
        <v>#VALUE!</v>
      </c>
      <c r="U142" s="33">
        <f t="array" ref="U1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142,Quick_Names,0))),Type_Species)),0),1)*IF(COUNTBLANK(Combo_Opponent_Type_2)=0,INDEX(Type_Damage_Multipliers,MATCH(Combo_Opponent_Type_2,IF(Type_Move=(INDEX(Quick_Type,MATCH($O142,Quick_Names,0))),Type_Species)),0),1)*(IF(OR(INDEX(Quick_Type,MATCH($O142,Quick_Names,0))=INDEX(Species_Type_1,MATCH($N142,Species_Names,0)),INDEX(Quick_Type,MATCH($O142,Quick_Names,0))=INDEX(Species_Type_2,MATCH($N142,Species_Names,0))),Game_STAB_Multiplier,1)))</f>
        <v>1</v>
      </c>
      <c r="V142" s="33">
        <f t="array" ref="V1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142,Charge_Names,0))),Type_Species)),0),1)*IF(COUNTBLANK(Combo_Opponent_Type_2)=0,INDEX(Type_Damage_Multipliers,MATCH(Combo_Opponent_Type_2,IF(Type_Move=(INDEX(Charge_Type,MATCH($P142,Charge_Names,0))),Type_Species)),0),1)*
IF(OR(INDEX(Charge_Type,MATCH($P142,Charge_Names,0))=INDEX(Species_Type_1,MATCH($N142,Species_Names,0)),INDEX(Charge_Type,MATCH($P142,Charge_Names,0))=INDEX(Species_Type_2,MATCH($N142,Species_Names,0))),Game_STAB_Multiplier,1))</f>
        <v>1.25</v>
      </c>
      <c r="W142" s="33" t="s">
        <v>589</v>
      </c>
      <c r="X142" s="33" t="s">
        <v>420</v>
      </c>
      <c r="Y142" s="32" t="e">
        <f t="array" ref="Y142">((($Z142)*
INDEX(Species_Attack,MATCH($N142,Species_Names,0))*
INDEX(Species_Tankiness,MATCH($N142,Species_Names,0)))/1000)</f>
        <v>#VALUE!</v>
      </c>
      <c r="Z142" s="33" t="s">
        <v>433</v>
      </c>
    </row>
    <row r="143" spans="1:26" ht="14.25" customHeight="1" x14ac:dyDescent="0.2">
      <c r="A143" s="86"/>
      <c r="B143" s="22" t="str">
        <f t="array" ref="B143">CONCATENATE(TEXT($M143,"000"),".",TEXT(INDEX(Quick_Number,MATCH($O143,Quick_Names,0)),"000"),".",TEXT(INDEX(Charge_Number,MATCH($P143,Charge_Names,0)),"000"))</f>
        <v>036.234.108</v>
      </c>
      <c r="C143" s="23" t="e">
        <f t="array" ref="C143">RANK($S143,IF(Combo_Species_Names=$N143,Combo_Gym_Offense),0)</f>
        <v>#VALUE!</v>
      </c>
      <c r="D143" s="24" t="e">
        <f t="array" ref="D143">$S143/MAX(IF(Combo_Species_Names=$N143,Combo_Gym_Offense))</f>
        <v>#VALUE!</v>
      </c>
      <c r="E143" s="23" t="e">
        <f t="array" ref="E143">RANK($Y143,IF(Combo_Species_Names=$N143,Combo_Gym_Defense),0)</f>
        <v>#VALUE!</v>
      </c>
      <c r="F143" s="25" t="e">
        <f t="array" ref="F143">$Y143/MAX(IF(Combo_Species_Names=$N143,Combo_Gym_Defense))</f>
        <v>#VALUE!</v>
      </c>
      <c r="G143" s="23" t="e">
        <f t="array" ref="G143">IF(OR(INDEX(Species_Availability,MATCH($N143,Species_Names,0))="No",INDEX(Species_Evo_Numbers,MATCH($N143,Species_Names,0))&lt;&gt;1),"N/A",RANK($R143,IF(NOT(ISNA(MATCH(Combo_Species_Names,IF(Species_Availability="Yes",IF(Species_Evo_Numbers=1,Species_Names)),0))),Combo_Duel_Ability),0))</f>
        <v>#VALUE!</v>
      </c>
      <c r="H143" s="24" t="e">
        <f t="array" ref="H143">IF(OR(INDEX(Species_Availability,MATCH($N143,Species_Names,0))="No",INDEX(Species_Evo_Numbers,MATCH($N143,Species_Names,0))&lt;&gt;1),"N/A",$R143/MAX(IF(NOT(ISNA(MATCH(Combo_Species_Names,IF(Species_Availability="Yes",IF(Species_Evo_Numbers=1,Species_Names)),0))),Combo_Duel_Ability)))</f>
        <v>#VALUE!</v>
      </c>
      <c r="I143" s="23" t="e">
        <f t="array" ref="I143">IF(OR(INDEX(Species_Availability,MATCH($N143,Species_Names,0))="No",INDEX(Species_Evo_Numbers,MATCH($N143,Species_Names,0))&lt;&gt;1),"N/A",RANK($S143,IF(NOT(ISNA(MATCH(Combo_Species_Names,IF(Species_Availability="Yes",IF(Species_Evo_Numbers=1,Species_Names)),0))),Combo_Gym_Offense),0))</f>
        <v>#VALUE!</v>
      </c>
      <c r="J143" s="24" t="e">
        <f t="array" ref="J143">IF(OR(INDEX(Species_Availability,MATCH($N143,Species_Names,0))="No",INDEX(Species_Evo_Numbers,MATCH($N143,Species_Names,0))&lt;&gt;1),"N/A",$S143/MAX(IF(NOT(ISNA(MATCH(Combo_Species_Names,IF(Species_Availability="Yes",IF(Species_Evo_Numbers=1,Species_Names)),0))),Combo_Gym_Offense)))</f>
        <v>#VALUE!</v>
      </c>
      <c r="K143" s="23" t="e">
        <f t="array" ref="K143">IF(OR(INDEX(Species_Availability,MATCH($N143,Species_Names,0))="No",INDEX(Species_Evo_Numbers,MATCH($N143,Species_Names,0))&lt;&gt;1),"N/A",RANK($Y143,IF(NOT(ISNA(MATCH(Combo_Species_Names,IF(Species_Availability="Yes",IF(Species_Evo_Numbers=1,Species_Names)),0))),Combo_Gym_Defense),0))</f>
        <v>#VALUE!</v>
      </c>
      <c r="L143" s="24" t="e">
        <f t="array" ref="L143">IF(OR(INDEX(Species_Availability,MATCH($N143,Species_Names,0))="No",INDEX(Species_Evo_Numbers,MATCH($N143,Species_Names,0))&lt;&gt;1),"N/A",$Y143/MAX(IF(NOT(ISNA(MATCH(Combo_Species_Names,IF(Species_Availability="Yes",IF(Species_Evo_Numbers=1,Species_Names)),0))),Combo_Gym_Defense)))</f>
        <v>#VALUE!</v>
      </c>
      <c r="M143" s="28">
        <f t="array" ref="M143">INDEX(Species_Pdex_Numbers,MATCH($N143,Species_Names,0))</f>
        <v>36</v>
      </c>
      <c r="N143" s="30" t="s">
        <v>164</v>
      </c>
      <c r="O143" s="31" t="s">
        <v>79</v>
      </c>
      <c r="P143" s="31" t="s">
        <v>58</v>
      </c>
      <c r="Q143" s="17" t="e">
        <f t="shared" si="4"/>
        <v>#VALUE!</v>
      </c>
      <c r="R143" s="32" t="e">
        <f t="array" ref="R143">IF(OR(AND(COUNTBLANK(Combo_Opponent_Type_1)=1,COUNTBLANK(Combo_Opponent_Type_2)=0),AND(AND(COUNTBLANK(Combo_Opponent_Type_1)=0,COUNTBLANK(Combo_Opponent_Type_2)=0),Combo_Opponent_Type_1=Combo_Opponent_Type_2)),
"Check Types",($S143*INDEX(Species_Tankiness,MATCH($N143,Species_Names,0)))/225)</f>
        <v>#VALUE!</v>
      </c>
      <c r="S143" s="32" t="e">
        <f t="array" ref="S143">IF(OR(AND(COUNTBLANK(Combo_Opponent_Type_1)=1,COUNTBLANK(Combo_Opponent_Type_2)=0),AND(AND(COUNTBLANK(Combo_Opponent_Type_1)=0,COUNTBLANK(Combo_Opponent_Type_2)=0),Combo_Opponent_Type_1=Combo_Opponent_Type_2)),
"Check Types",(
IF($W143&gt;=((1-Game_Weave_Human_Error)*$X143),$W143,$X143)*INDEX(Species_Attack,MATCH($N143,Species_Names,0)))/11)</f>
        <v>#VALUE!</v>
      </c>
      <c r="T143" s="33" t="e">
        <f t="shared" si="5"/>
        <v>#VALUE!</v>
      </c>
      <c r="U143" s="33">
        <f t="array" ref="U1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143,Quick_Names,0))),Type_Species)),0),1)*IF(COUNTBLANK(Combo_Opponent_Type_2)=0,INDEX(Type_Damage_Multipliers,MATCH(Combo_Opponent_Type_2,IF(Type_Move=(INDEX(Quick_Type,MATCH($O143,Quick_Names,0))),Type_Species)),0),1)*(IF(OR(INDEX(Quick_Type,MATCH($O143,Quick_Names,0))=INDEX(Species_Type_1,MATCH($N143,Species_Names,0)),INDEX(Quick_Type,MATCH($O143,Quick_Names,0))=INDEX(Species_Type_2,MATCH($N143,Species_Names,0))),Game_STAB_Multiplier,1)))</f>
        <v>1</v>
      </c>
      <c r="V143" s="33">
        <f t="array" ref="V1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143,Charge_Names,0))),Type_Species)),0),1)*IF(COUNTBLANK(Combo_Opponent_Type_2)=0,INDEX(Type_Damage_Multipliers,MATCH(Combo_Opponent_Type_2,IF(Type_Move=(INDEX(Charge_Type,MATCH($P143,Charge_Names,0))),Type_Species)),0),1)*
IF(OR(INDEX(Charge_Type,MATCH($P143,Charge_Names,0))=INDEX(Species_Type_1,MATCH($N143,Species_Names,0)),INDEX(Charge_Type,MATCH($P143,Charge_Names,0))=INDEX(Species_Type_2,MATCH($N143,Species_Names,0))),Game_STAB_Multiplier,1))</f>
        <v>1</v>
      </c>
      <c r="W143" s="33" t="s">
        <v>419</v>
      </c>
      <c r="X143" s="33" t="s">
        <v>628</v>
      </c>
      <c r="Y143" s="32" t="e">
        <f t="array" ref="Y143">((($Z143)*
INDEX(Species_Attack,MATCH($N143,Species_Names,0))*
INDEX(Species_Tankiness,MATCH($N143,Species_Names,0)))/1000)</f>
        <v>#VALUE!</v>
      </c>
      <c r="Z143" s="33" t="s">
        <v>629</v>
      </c>
    </row>
    <row r="144" spans="1:26" ht="14.25" customHeight="1" x14ac:dyDescent="0.2">
      <c r="A144" s="86"/>
      <c r="B144" s="22" t="str">
        <f t="array" ref="B144">CONCATENATE(TEXT($M144,"000"),".",TEXT(INDEX(Quick_Number,MATCH($O144,Quick_Names,0)),"000"),".",TEXT(INDEX(Charge_Number,MATCH($P144,Charge_Names,0)),"000"))</f>
        <v>073.225.040</v>
      </c>
      <c r="C144" s="23" t="e">
        <f t="array" ref="C144">RANK($S144,IF(Combo_Species_Names=$N144,Combo_Gym_Offense),0)</f>
        <v>#VALUE!</v>
      </c>
      <c r="D144" s="24" t="e">
        <f t="array" ref="D144">$S144/MAX(IF(Combo_Species_Names=$N144,Combo_Gym_Offense))</f>
        <v>#VALUE!</v>
      </c>
      <c r="E144" s="23" t="e">
        <f t="array" ref="E144">RANK($Y144,IF(Combo_Species_Names=$N144,Combo_Gym_Defense),0)</f>
        <v>#VALUE!</v>
      </c>
      <c r="F144" s="25" t="e">
        <f t="array" ref="F144">$Y144/MAX(IF(Combo_Species_Names=$N144,Combo_Gym_Defense))</f>
        <v>#VALUE!</v>
      </c>
      <c r="G144" s="23" t="e">
        <f t="array" ref="G144">IF(OR(INDEX(Species_Availability,MATCH($N144,Species_Names,0))="No",INDEX(Species_Evo_Numbers,MATCH($N144,Species_Names,0))&lt;&gt;1),"N/A",RANK($R144,IF(NOT(ISNA(MATCH(Combo_Species_Names,IF(Species_Availability="Yes",IF(Species_Evo_Numbers=1,Species_Names)),0))),Combo_Duel_Ability),0))</f>
        <v>#VALUE!</v>
      </c>
      <c r="H144" s="24" t="e">
        <f t="array" ref="H144">IF(OR(INDEX(Species_Availability,MATCH($N144,Species_Names,0))="No",INDEX(Species_Evo_Numbers,MATCH($N144,Species_Names,0))&lt;&gt;1),"N/A",$R144/MAX(IF(NOT(ISNA(MATCH(Combo_Species_Names,IF(Species_Availability="Yes",IF(Species_Evo_Numbers=1,Species_Names)),0))),Combo_Duel_Ability)))</f>
        <v>#VALUE!</v>
      </c>
      <c r="I144" s="23" t="e">
        <f t="array" ref="I144">IF(OR(INDEX(Species_Availability,MATCH($N144,Species_Names,0))="No",INDEX(Species_Evo_Numbers,MATCH($N144,Species_Names,0))&lt;&gt;1),"N/A",RANK($S144,IF(NOT(ISNA(MATCH(Combo_Species_Names,IF(Species_Availability="Yes",IF(Species_Evo_Numbers=1,Species_Names)),0))),Combo_Gym_Offense),0))</f>
        <v>#VALUE!</v>
      </c>
      <c r="J144" s="24" t="e">
        <f t="array" ref="J144">IF(OR(INDEX(Species_Availability,MATCH($N144,Species_Names,0))="No",INDEX(Species_Evo_Numbers,MATCH($N144,Species_Names,0))&lt;&gt;1),"N/A",$S144/MAX(IF(NOT(ISNA(MATCH(Combo_Species_Names,IF(Species_Availability="Yes",IF(Species_Evo_Numbers=1,Species_Names)),0))),Combo_Gym_Offense)))</f>
        <v>#VALUE!</v>
      </c>
      <c r="K144" s="23" t="e">
        <f t="array" ref="K144">IF(OR(INDEX(Species_Availability,MATCH($N144,Species_Names,0))="No",INDEX(Species_Evo_Numbers,MATCH($N144,Species_Names,0))&lt;&gt;1),"N/A",RANK($Y144,IF(NOT(ISNA(MATCH(Combo_Species_Names,IF(Species_Availability="Yes",IF(Species_Evo_Numbers=1,Species_Names)),0))),Combo_Gym_Defense),0))</f>
        <v>#VALUE!</v>
      </c>
      <c r="L144" s="24" t="e">
        <f t="array" ref="L144">IF(OR(INDEX(Species_Availability,MATCH($N144,Species_Names,0))="No",INDEX(Species_Evo_Numbers,MATCH($N144,Species_Names,0))&lt;&gt;1),"N/A",$Y144/MAX(IF(NOT(ISNA(MATCH(Combo_Species_Names,IF(Species_Availability="Yes",IF(Species_Evo_Numbers=1,Species_Names)),0))),Combo_Gym_Defense)))</f>
        <v>#VALUE!</v>
      </c>
      <c r="M144" s="28">
        <f t="array" ref="M144">INDEX(Species_Pdex_Numbers,MATCH($N144,Species_Names,0))</f>
        <v>73</v>
      </c>
      <c r="N144" s="30" t="s">
        <v>237</v>
      </c>
      <c r="O144" s="31" t="s">
        <v>110</v>
      </c>
      <c r="P144" s="31" t="s">
        <v>153</v>
      </c>
      <c r="Q144" s="17" t="e">
        <f t="shared" si="4"/>
        <v>#VALUE!</v>
      </c>
      <c r="R144" s="32" t="e">
        <f t="array" ref="R144">IF(OR(AND(COUNTBLANK(Combo_Opponent_Type_1)=1,COUNTBLANK(Combo_Opponent_Type_2)=0),AND(AND(COUNTBLANK(Combo_Opponent_Type_1)=0,COUNTBLANK(Combo_Opponent_Type_2)=0),Combo_Opponent_Type_1=Combo_Opponent_Type_2)),
"Check Types",($S144*INDEX(Species_Tankiness,MATCH($N144,Species_Names,0)))/225)</f>
        <v>#VALUE!</v>
      </c>
      <c r="S144" s="32" t="e">
        <f t="array" ref="S144">IF(OR(AND(COUNTBLANK(Combo_Opponent_Type_1)=1,COUNTBLANK(Combo_Opponent_Type_2)=0),AND(AND(COUNTBLANK(Combo_Opponent_Type_1)=0,COUNTBLANK(Combo_Opponent_Type_2)=0),Combo_Opponent_Type_1=Combo_Opponent_Type_2)),
"Check Types",(
IF($W144&gt;=((1-Game_Weave_Human_Error)*$X144),$W144,$X144)*INDEX(Species_Attack,MATCH($N144,Species_Names,0)))/11)</f>
        <v>#VALUE!</v>
      </c>
      <c r="T144" s="33" t="e">
        <f t="shared" si="5"/>
        <v>#VALUE!</v>
      </c>
      <c r="U144" s="33">
        <f t="array" ref="U1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144,Quick_Names,0))),Type_Species)),0),1)*IF(COUNTBLANK(Combo_Opponent_Type_2)=0,INDEX(Type_Damage_Multipliers,MATCH(Combo_Opponent_Type_2,IF(Type_Move=(INDEX(Quick_Type,MATCH($O144,Quick_Names,0))),Type_Species)),0),1)*(IF(OR(INDEX(Quick_Type,MATCH($O144,Quick_Names,0))=INDEX(Species_Type_1,MATCH($N144,Species_Names,0)),INDEX(Quick_Type,MATCH($O144,Quick_Names,0))=INDEX(Species_Type_2,MATCH($N144,Species_Names,0))),Game_STAB_Multiplier,1)))</f>
        <v>1.25</v>
      </c>
      <c r="V144" s="33">
        <f t="array" ref="V1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144,Charge_Names,0))),Type_Species)),0),1)*IF(COUNTBLANK(Combo_Opponent_Type_2)=0,INDEX(Type_Damage_Multipliers,MATCH(Combo_Opponent_Type_2,IF(Type_Move=(INDEX(Charge_Type,MATCH($P144,Charge_Names,0))),Type_Species)),0),1)*
IF(OR(INDEX(Charge_Type,MATCH($P144,Charge_Names,0))=INDEX(Species_Type_1,MATCH($N144,Species_Names,0)),INDEX(Charge_Type,MATCH($P144,Charge_Names,0))=INDEX(Species_Type_2,MATCH($N144,Species_Names,0))),Game_STAB_Multiplier,1))</f>
        <v>1</v>
      </c>
      <c r="W144" s="33" t="s">
        <v>511</v>
      </c>
      <c r="X144" s="33" t="s">
        <v>617</v>
      </c>
      <c r="Y144" s="32" t="e">
        <f t="array" ref="Y144">((($Z144)*
INDEX(Species_Attack,MATCH($N144,Species_Names,0))*
INDEX(Species_Tankiness,MATCH($N144,Species_Names,0)))/1000)</f>
        <v>#VALUE!</v>
      </c>
      <c r="Z144" s="33" t="s">
        <v>618</v>
      </c>
    </row>
    <row r="145" spans="1:26" ht="14.25" customHeight="1" x14ac:dyDescent="0.2">
      <c r="A145" s="86"/>
      <c r="B145" s="22" t="str">
        <f t="array" ref="B145">CONCATENATE(TEXT($M145,"000"),".",TEXT(INDEX(Quick_Number,MATCH($O145,Quick_Names,0)),"000"),".",TEXT(INDEX(Charge_Number,MATCH($P145,Charge_Names,0)),"000"))</f>
        <v>045.225.087</v>
      </c>
      <c r="C145" s="23" t="e">
        <f t="array" ref="C145">RANK($S145,IF(Combo_Species_Names=$N145,Combo_Gym_Offense),0)</f>
        <v>#VALUE!</v>
      </c>
      <c r="D145" s="24" t="e">
        <f t="array" ref="D145">$S145/MAX(IF(Combo_Species_Names=$N145,Combo_Gym_Offense))</f>
        <v>#VALUE!</v>
      </c>
      <c r="E145" s="23" t="e">
        <f t="array" ref="E145">RANK($Y145,IF(Combo_Species_Names=$N145,Combo_Gym_Defense),0)</f>
        <v>#VALUE!</v>
      </c>
      <c r="F145" s="25" t="e">
        <f t="array" ref="F145">$Y145/MAX(IF(Combo_Species_Names=$N145,Combo_Gym_Defense))</f>
        <v>#VALUE!</v>
      </c>
      <c r="G145" s="23" t="e">
        <f t="array" ref="G145">IF(OR(INDEX(Species_Availability,MATCH($N145,Species_Names,0))="No",INDEX(Species_Evo_Numbers,MATCH($N145,Species_Names,0))&lt;&gt;1),"N/A",RANK($R145,IF(NOT(ISNA(MATCH(Combo_Species_Names,IF(Species_Availability="Yes",IF(Species_Evo_Numbers=1,Species_Names)),0))),Combo_Duel_Ability),0))</f>
        <v>#VALUE!</v>
      </c>
      <c r="H145" s="24" t="e">
        <f t="array" ref="H145">IF(OR(INDEX(Species_Availability,MATCH($N145,Species_Names,0))="No",INDEX(Species_Evo_Numbers,MATCH($N145,Species_Names,0))&lt;&gt;1),"N/A",$R145/MAX(IF(NOT(ISNA(MATCH(Combo_Species_Names,IF(Species_Availability="Yes",IF(Species_Evo_Numbers=1,Species_Names)),0))),Combo_Duel_Ability)))</f>
        <v>#VALUE!</v>
      </c>
      <c r="I145" s="23" t="e">
        <f t="array" ref="I145">IF(OR(INDEX(Species_Availability,MATCH($N145,Species_Names,0))="No",INDEX(Species_Evo_Numbers,MATCH($N145,Species_Names,0))&lt;&gt;1),"N/A",RANK($S145,IF(NOT(ISNA(MATCH(Combo_Species_Names,IF(Species_Availability="Yes",IF(Species_Evo_Numbers=1,Species_Names)),0))),Combo_Gym_Offense),0))</f>
        <v>#VALUE!</v>
      </c>
      <c r="J145" s="24" t="e">
        <f t="array" ref="J145">IF(OR(INDEX(Species_Availability,MATCH($N145,Species_Names,0))="No",INDEX(Species_Evo_Numbers,MATCH($N145,Species_Names,0))&lt;&gt;1),"N/A",$S145/MAX(IF(NOT(ISNA(MATCH(Combo_Species_Names,IF(Species_Availability="Yes",IF(Species_Evo_Numbers=1,Species_Names)),0))),Combo_Gym_Offense)))</f>
        <v>#VALUE!</v>
      </c>
      <c r="K145" s="23" t="e">
        <f t="array" ref="K145">IF(OR(INDEX(Species_Availability,MATCH($N145,Species_Names,0))="No",INDEX(Species_Evo_Numbers,MATCH($N145,Species_Names,0))&lt;&gt;1),"N/A",RANK($Y145,IF(NOT(ISNA(MATCH(Combo_Species_Names,IF(Species_Availability="Yes",IF(Species_Evo_Numbers=1,Species_Names)),0))),Combo_Gym_Defense),0))</f>
        <v>#VALUE!</v>
      </c>
      <c r="L145" s="24" t="e">
        <f t="array" ref="L145">IF(OR(INDEX(Species_Availability,MATCH($N145,Species_Names,0))="No",INDEX(Species_Evo_Numbers,MATCH($N145,Species_Names,0))&lt;&gt;1),"N/A",$Y145/MAX(IF(NOT(ISNA(MATCH(Combo_Species_Names,IF(Species_Availability="Yes",IF(Species_Evo_Numbers=1,Species_Names)),0))),Combo_Gym_Defense)))</f>
        <v>#VALUE!</v>
      </c>
      <c r="M145" s="28">
        <f t="array" ref="M145">INDEX(Species_Pdex_Numbers,MATCH($N145,Species_Names,0))</f>
        <v>45</v>
      </c>
      <c r="N145" s="30" t="s">
        <v>181</v>
      </c>
      <c r="O145" s="31" t="s">
        <v>110</v>
      </c>
      <c r="P145" s="31" t="s">
        <v>185</v>
      </c>
      <c r="Q145" s="17" t="e">
        <f t="shared" si="4"/>
        <v>#VALUE!</v>
      </c>
      <c r="R145" s="32" t="e">
        <f t="array" ref="R145">IF(OR(AND(COUNTBLANK(Combo_Opponent_Type_1)=1,COUNTBLANK(Combo_Opponent_Type_2)=0),AND(AND(COUNTBLANK(Combo_Opponent_Type_1)=0,COUNTBLANK(Combo_Opponent_Type_2)=0),Combo_Opponent_Type_1=Combo_Opponent_Type_2)),
"Check Types",($S145*INDEX(Species_Tankiness,MATCH($N145,Species_Names,0)))/225)</f>
        <v>#VALUE!</v>
      </c>
      <c r="S145" s="32" t="e">
        <f t="array" ref="S145">IF(OR(AND(COUNTBLANK(Combo_Opponent_Type_1)=1,COUNTBLANK(Combo_Opponent_Type_2)=0),AND(AND(COUNTBLANK(Combo_Opponent_Type_1)=0,COUNTBLANK(Combo_Opponent_Type_2)=0),Combo_Opponent_Type_1=Combo_Opponent_Type_2)),
"Check Types",(
IF($W145&gt;=((1-Game_Weave_Human_Error)*$X145),$W145,$X145)*INDEX(Species_Attack,MATCH($N145,Species_Names,0)))/11)</f>
        <v>#VALUE!</v>
      </c>
      <c r="T145" s="33" t="e">
        <f t="shared" si="5"/>
        <v>#VALUE!</v>
      </c>
      <c r="U145" s="33">
        <f t="array" ref="U1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145,Quick_Names,0))),Type_Species)),0),1)*IF(COUNTBLANK(Combo_Opponent_Type_2)=0,INDEX(Type_Damage_Multipliers,MATCH(Combo_Opponent_Type_2,IF(Type_Move=(INDEX(Quick_Type,MATCH($O145,Quick_Names,0))),Type_Species)),0),1)*(IF(OR(INDEX(Quick_Type,MATCH($O145,Quick_Names,0))=INDEX(Species_Type_1,MATCH($N145,Species_Names,0)),INDEX(Quick_Type,MATCH($O145,Quick_Names,0))=INDEX(Species_Type_2,MATCH($N145,Species_Names,0))),Game_STAB_Multiplier,1)))</f>
        <v>1.25</v>
      </c>
      <c r="V145" s="33">
        <f t="array" ref="V1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145,Charge_Names,0))),Type_Species)),0),1)*IF(COUNTBLANK(Combo_Opponent_Type_2)=0,INDEX(Type_Damage_Multipliers,MATCH(Combo_Opponent_Type_2,IF(Type_Move=(INDEX(Charge_Type,MATCH($P145,Charge_Names,0))),Type_Species)),0),1)*
IF(OR(INDEX(Charge_Type,MATCH($P145,Charge_Names,0))=INDEX(Species_Type_1,MATCH($N145,Species_Names,0)),INDEX(Charge_Type,MATCH($P145,Charge_Names,0))=INDEX(Species_Type_2,MATCH($N145,Species_Names,0))),Game_STAB_Multiplier,1))</f>
        <v>1</v>
      </c>
      <c r="W145" s="33" t="s">
        <v>511</v>
      </c>
      <c r="X145" s="33" t="s">
        <v>630</v>
      </c>
      <c r="Y145" s="32" t="e">
        <f t="array" ref="Y145">((($Z145)*
INDEX(Species_Attack,MATCH($N145,Species_Names,0))*
INDEX(Species_Tankiness,MATCH($N145,Species_Names,0)))/1000)</f>
        <v>#VALUE!</v>
      </c>
      <c r="Z145" s="33" t="s">
        <v>452</v>
      </c>
    </row>
    <row r="146" spans="1:26" ht="14.25" customHeight="1" x14ac:dyDescent="0.2">
      <c r="A146" s="86"/>
      <c r="B146" s="22" t="str">
        <f t="array" ref="B146">CONCATENATE(TEXT($M146,"000"),".",TEXT(INDEX(Quick_Number,MATCH($O146,Quick_Names,0)),"000"),".",TEXT(INDEX(Charge_Number,MATCH($P146,Charge_Names,0)),"000"))</f>
        <v>055.235.107</v>
      </c>
      <c r="C146" s="23" t="e">
        <f t="array" ref="C146">RANK($S146,IF(Combo_Species_Names=$N146,Combo_Gym_Offense),0)</f>
        <v>#VALUE!</v>
      </c>
      <c r="D146" s="24" t="e">
        <f t="array" ref="D146">$S146/MAX(IF(Combo_Species_Names=$N146,Combo_Gym_Offense))</f>
        <v>#VALUE!</v>
      </c>
      <c r="E146" s="23" t="e">
        <f t="array" ref="E146">RANK($Y146,IF(Combo_Species_Names=$N146,Combo_Gym_Defense),0)</f>
        <v>#VALUE!</v>
      </c>
      <c r="F146" s="25" t="e">
        <f t="array" ref="F146">$Y146/MAX(IF(Combo_Species_Names=$N146,Combo_Gym_Defense))</f>
        <v>#VALUE!</v>
      </c>
      <c r="G146" s="23" t="e">
        <f t="array" ref="G146">IF(OR(INDEX(Species_Availability,MATCH($N146,Species_Names,0))="No",INDEX(Species_Evo_Numbers,MATCH($N146,Species_Names,0))&lt;&gt;1),"N/A",RANK($R146,IF(NOT(ISNA(MATCH(Combo_Species_Names,IF(Species_Availability="Yes",IF(Species_Evo_Numbers=1,Species_Names)),0))),Combo_Duel_Ability),0))</f>
        <v>#VALUE!</v>
      </c>
      <c r="H146" s="24" t="e">
        <f t="array" ref="H146">IF(OR(INDEX(Species_Availability,MATCH($N146,Species_Names,0))="No",INDEX(Species_Evo_Numbers,MATCH($N146,Species_Names,0))&lt;&gt;1),"N/A",$R146/MAX(IF(NOT(ISNA(MATCH(Combo_Species_Names,IF(Species_Availability="Yes",IF(Species_Evo_Numbers=1,Species_Names)),0))),Combo_Duel_Ability)))</f>
        <v>#VALUE!</v>
      </c>
      <c r="I146" s="23" t="e">
        <f t="array" ref="I146">IF(OR(INDEX(Species_Availability,MATCH($N146,Species_Names,0))="No",INDEX(Species_Evo_Numbers,MATCH($N146,Species_Names,0))&lt;&gt;1),"N/A",RANK($S146,IF(NOT(ISNA(MATCH(Combo_Species_Names,IF(Species_Availability="Yes",IF(Species_Evo_Numbers=1,Species_Names)),0))),Combo_Gym_Offense),0))</f>
        <v>#VALUE!</v>
      </c>
      <c r="J146" s="24" t="e">
        <f t="array" ref="J146">IF(OR(INDEX(Species_Availability,MATCH($N146,Species_Names,0))="No",INDEX(Species_Evo_Numbers,MATCH($N146,Species_Names,0))&lt;&gt;1),"N/A",$S146/MAX(IF(NOT(ISNA(MATCH(Combo_Species_Names,IF(Species_Availability="Yes",IF(Species_Evo_Numbers=1,Species_Names)),0))),Combo_Gym_Offense)))</f>
        <v>#VALUE!</v>
      </c>
      <c r="K146" s="23" t="e">
        <f t="array" ref="K146">IF(OR(INDEX(Species_Availability,MATCH($N146,Species_Names,0))="No",INDEX(Species_Evo_Numbers,MATCH($N146,Species_Names,0))&lt;&gt;1),"N/A",RANK($Y146,IF(NOT(ISNA(MATCH(Combo_Species_Names,IF(Species_Availability="Yes",IF(Species_Evo_Numbers=1,Species_Names)),0))),Combo_Gym_Defense),0))</f>
        <v>#VALUE!</v>
      </c>
      <c r="L146" s="24" t="e">
        <f t="array" ref="L146">IF(OR(INDEX(Species_Availability,MATCH($N146,Species_Names,0))="No",INDEX(Species_Evo_Numbers,MATCH($N146,Species_Names,0))&lt;&gt;1),"N/A",$Y146/MAX(IF(NOT(ISNA(MATCH(Combo_Species_Names,IF(Species_Availability="Yes",IF(Species_Evo_Numbers=1,Species_Names)),0))),Combo_Gym_Defense)))</f>
        <v>#VALUE!</v>
      </c>
      <c r="M146" s="28">
        <f t="array" ref="M146">INDEX(Species_Pdex_Numbers,MATCH($N146,Species_Names,0))</f>
        <v>55</v>
      </c>
      <c r="N146" s="30" t="s">
        <v>199</v>
      </c>
      <c r="O146" s="31" t="s">
        <v>108</v>
      </c>
      <c r="P146" s="31" t="s">
        <v>170</v>
      </c>
      <c r="Q146" s="17" t="e">
        <f t="shared" si="4"/>
        <v>#VALUE!</v>
      </c>
      <c r="R146" s="32" t="e">
        <f t="array" ref="R146">IF(OR(AND(COUNTBLANK(Combo_Opponent_Type_1)=1,COUNTBLANK(Combo_Opponent_Type_2)=0),AND(AND(COUNTBLANK(Combo_Opponent_Type_1)=0,COUNTBLANK(Combo_Opponent_Type_2)=0),Combo_Opponent_Type_1=Combo_Opponent_Type_2)),
"Check Types",($S146*INDEX(Species_Tankiness,MATCH($N146,Species_Names,0)))/225)</f>
        <v>#VALUE!</v>
      </c>
      <c r="S146" s="32" t="e">
        <f t="array" ref="S146">IF(OR(AND(COUNTBLANK(Combo_Opponent_Type_1)=1,COUNTBLANK(Combo_Opponent_Type_2)=0),AND(AND(COUNTBLANK(Combo_Opponent_Type_1)=0,COUNTBLANK(Combo_Opponent_Type_2)=0),Combo_Opponent_Type_1=Combo_Opponent_Type_2)),
"Check Types",(
IF($W146&gt;=((1-Game_Weave_Human_Error)*$X146),$W146,$X146)*INDEX(Species_Attack,MATCH($N146,Species_Names,0)))/11)</f>
        <v>#VALUE!</v>
      </c>
      <c r="T146" s="33" t="e">
        <f t="shared" si="5"/>
        <v>#VALUE!</v>
      </c>
      <c r="U146" s="33">
        <f t="array" ref="U1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146,Quick_Names,0))),Type_Species)),0),1)*IF(COUNTBLANK(Combo_Opponent_Type_2)=0,INDEX(Type_Damage_Multipliers,MATCH(Combo_Opponent_Type_2,IF(Type_Move=(INDEX(Quick_Type,MATCH($O146,Quick_Names,0))),Type_Species)),0),1)*(IF(OR(INDEX(Quick_Type,MATCH($O146,Quick_Names,0))=INDEX(Species_Type_1,MATCH($N146,Species_Names,0)),INDEX(Quick_Type,MATCH($O146,Quick_Names,0))=INDEX(Species_Type_2,MATCH($N146,Species_Names,0))),Game_STAB_Multiplier,1)))</f>
        <v>1</v>
      </c>
      <c r="V146" s="33">
        <f t="array" ref="V1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146,Charge_Names,0))),Type_Species)),0),1)*IF(COUNTBLANK(Combo_Opponent_Type_2)=0,INDEX(Type_Damage_Multipliers,MATCH(Combo_Opponent_Type_2,IF(Type_Move=(INDEX(Charge_Type,MATCH($P146,Charge_Names,0))),Type_Species)),0),1)*
IF(OR(INDEX(Charge_Type,MATCH($P146,Charge_Names,0))=INDEX(Species_Type_1,MATCH($N146,Species_Names,0)),INDEX(Charge_Type,MATCH($P146,Charge_Names,0))=INDEX(Species_Type_2,MATCH($N146,Species_Names,0))),Game_STAB_Multiplier,1))</f>
        <v>1.25</v>
      </c>
      <c r="W146" s="33" t="s">
        <v>631</v>
      </c>
      <c r="X146" s="33" t="s">
        <v>632</v>
      </c>
      <c r="Y146" s="32" t="e">
        <f t="array" ref="Y146">((($Z146)*
INDEX(Species_Attack,MATCH($N146,Species_Names,0))*
INDEX(Species_Tankiness,MATCH($N146,Species_Names,0)))/1000)</f>
        <v>#VALUE!</v>
      </c>
      <c r="Z146" s="33" t="s">
        <v>633</v>
      </c>
    </row>
    <row r="147" spans="1:26" ht="14.25" customHeight="1" x14ac:dyDescent="0.2">
      <c r="A147" s="86"/>
      <c r="B147" s="22" t="str">
        <f t="array" ref="B147">CONCATENATE(TEXT($M147,"000"),".",TEXT(INDEX(Quick_Number,MATCH($O147,Quick_Names,0)),"000"),".",TEXT(INDEX(Charge_Number,MATCH($P147,Charge_Names,0)),"000"))</f>
        <v>068.229.028</v>
      </c>
      <c r="C147" s="23" t="e">
        <f t="array" ref="C147">RANK($S147,IF(Combo_Species_Names=$N147,Combo_Gym_Offense),0)</f>
        <v>#VALUE!</v>
      </c>
      <c r="D147" s="24" t="e">
        <f t="array" ref="D147">$S147/MAX(IF(Combo_Species_Names=$N147,Combo_Gym_Offense))</f>
        <v>#VALUE!</v>
      </c>
      <c r="E147" s="23" t="e">
        <f t="array" ref="E147">RANK($Y147,IF(Combo_Species_Names=$N147,Combo_Gym_Defense),0)</f>
        <v>#VALUE!</v>
      </c>
      <c r="F147" s="25" t="e">
        <f t="array" ref="F147">$Y147/MAX(IF(Combo_Species_Names=$N147,Combo_Gym_Defense))</f>
        <v>#VALUE!</v>
      </c>
      <c r="G147" s="23" t="e">
        <f t="array" ref="G147">IF(OR(INDEX(Species_Availability,MATCH($N147,Species_Names,0))="No",INDEX(Species_Evo_Numbers,MATCH($N147,Species_Names,0))&lt;&gt;1),"N/A",RANK($R147,IF(NOT(ISNA(MATCH(Combo_Species_Names,IF(Species_Availability="Yes",IF(Species_Evo_Numbers=1,Species_Names)),0))),Combo_Duel_Ability),0))</f>
        <v>#VALUE!</v>
      </c>
      <c r="H147" s="24" t="e">
        <f t="array" ref="H147">IF(OR(INDEX(Species_Availability,MATCH($N147,Species_Names,0))="No",INDEX(Species_Evo_Numbers,MATCH($N147,Species_Names,0))&lt;&gt;1),"N/A",$R147/MAX(IF(NOT(ISNA(MATCH(Combo_Species_Names,IF(Species_Availability="Yes",IF(Species_Evo_Numbers=1,Species_Names)),0))),Combo_Duel_Ability)))</f>
        <v>#VALUE!</v>
      </c>
      <c r="I147" s="23" t="e">
        <f t="array" ref="I147">IF(OR(INDEX(Species_Availability,MATCH($N147,Species_Names,0))="No",INDEX(Species_Evo_Numbers,MATCH($N147,Species_Names,0))&lt;&gt;1),"N/A",RANK($S147,IF(NOT(ISNA(MATCH(Combo_Species_Names,IF(Species_Availability="Yes",IF(Species_Evo_Numbers=1,Species_Names)),0))),Combo_Gym_Offense),0))</f>
        <v>#VALUE!</v>
      </c>
      <c r="J147" s="24" t="e">
        <f t="array" ref="J147">IF(OR(INDEX(Species_Availability,MATCH($N147,Species_Names,0))="No",INDEX(Species_Evo_Numbers,MATCH($N147,Species_Names,0))&lt;&gt;1),"N/A",$S147/MAX(IF(NOT(ISNA(MATCH(Combo_Species_Names,IF(Species_Availability="Yes",IF(Species_Evo_Numbers=1,Species_Names)),0))),Combo_Gym_Offense)))</f>
        <v>#VALUE!</v>
      </c>
      <c r="K147" s="23" t="e">
        <f t="array" ref="K147">IF(OR(INDEX(Species_Availability,MATCH($N147,Species_Names,0))="No",INDEX(Species_Evo_Numbers,MATCH($N147,Species_Names,0))&lt;&gt;1),"N/A",RANK($Y147,IF(NOT(ISNA(MATCH(Combo_Species_Names,IF(Species_Availability="Yes",IF(Species_Evo_Numbers=1,Species_Names)),0))),Combo_Gym_Defense),0))</f>
        <v>#VALUE!</v>
      </c>
      <c r="L147" s="24" t="e">
        <f t="array" ref="L147">IF(OR(INDEX(Species_Availability,MATCH($N147,Species_Names,0))="No",INDEX(Species_Evo_Numbers,MATCH($N147,Species_Names,0))&lt;&gt;1),"N/A",$Y147/MAX(IF(NOT(ISNA(MATCH(Combo_Species_Names,IF(Species_Availability="Yes",IF(Species_Evo_Numbers=1,Species_Names)),0))),Combo_Gym_Defense)))</f>
        <v>#VALUE!</v>
      </c>
      <c r="M147" s="28">
        <f t="array" ref="M147">INDEX(Species_Pdex_Numbers,MATCH($N147,Species_Names,0))</f>
        <v>68</v>
      </c>
      <c r="N147" s="30" t="s">
        <v>227</v>
      </c>
      <c r="O147" s="31" t="s">
        <v>118</v>
      </c>
      <c r="P147" s="31" t="s">
        <v>146</v>
      </c>
      <c r="Q147" s="17" t="e">
        <f t="shared" si="4"/>
        <v>#VALUE!</v>
      </c>
      <c r="R147" s="32" t="e">
        <f t="array" ref="R147">IF(OR(AND(COUNTBLANK(Combo_Opponent_Type_1)=1,COUNTBLANK(Combo_Opponent_Type_2)=0),AND(AND(COUNTBLANK(Combo_Opponent_Type_1)=0,COUNTBLANK(Combo_Opponent_Type_2)=0),Combo_Opponent_Type_1=Combo_Opponent_Type_2)),
"Check Types",($S147*INDEX(Species_Tankiness,MATCH($N147,Species_Names,0)))/225)</f>
        <v>#VALUE!</v>
      </c>
      <c r="S147" s="32" t="e">
        <f t="array" ref="S147">IF(OR(AND(COUNTBLANK(Combo_Opponent_Type_1)=1,COUNTBLANK(Combo_Opponent_Type_2)=0),AND(AND(COUNTBLANK(Combo_Opponent_Type_1)=0,COUNTBLANK(Combo_Opponent_Type_2)=0),Combo_Opponent_Type_1=Combo_Opponent_Type_2)),
"Check Types",(
IF($W147&gt;=((1-Game_Weave_Human_Error)*$X147),$W147,$X147)*INDEX(Species_Attack,MATCH($N147,Species_Names,0)))/11)</f>
        <v>#VALUE!</v>
      </c>
      <c r="T147" s="33" t="e">
        <f t="shared" si="5"/>
        <v>#VALUE!</v>
      </c>
      <c r="U147" s="33">
        <f t="array" ref="U1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147,Quick_Names,0))),Type_Species)),0),1)*IF(COUNTBLANK(Combo_Opponent_Type_2)=0,INDEX(Type_Damage_Multipliers,MATCH(Combo_Opponent_Type_2,IF(Type_Move=(INDEX(Quick_Type,MATCH($O147,Quick_Names,0))),Type_Species)),0),1)*(IF(OR(INDEX(Quick_Type,MATCH($O147,Quick_Names,0))=INDEX(Species_Type_1,MATCH($N147,Species_Names,0)),INDEX(Quick_Type,MATCH($O147,Quick_Names,0))=INDEX(Species_Type_2,MATCH($N147,Species_Names,0))),Game_STAB_Multiplier,1)))</f>
        <v>1</v>
      </c>
      <c r="V147" s="33">
        <f t="array" ref="V1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147,Charge_Names,0))),Type_Species)),0),1)*IF(COUNTBLANK(Combo_Opponent_Type_2)=0,INDEX(Type_Damage_Multipliers,MATCH(Combo_Opponent_Type_2,IF(Type_Move=(INDEX(Charge_Type,MATCH($P147,Charge_Names,0))),Type_Species)),0),1)*
IF(OR(INDEX(Charge_Type,MATCH($P147,Charge_Names,0))=INDEX(Species_Type_1,MATCH($N147,Species_Names,0)),INDEX(Charge_Type,MATCH($P147,Charge_Names,0))=INDEX(Species_Type_2,MATCH($N147,Species_Names,0))),Game_STAB_Multiplier,1))</f>
        <v>1.25</v>
      </c>
      <c r="W147" s="33" t="s">
        <v>621</v>
      </c>
      <c r="X147" s="33" t="s">
        <v>634</v>
      </c>
      <c r="Y147" s="32" t="e">
        <f t="array" ref="Y147">((($Z147)*
INDEX(Species_Attack,MATCH($N147,Species_Names,0))*
INDEX(Species_Tankiness,MATCH($N147,Species_Names,0)))/1000)</f>
        <v>#VALUE!</v>
      </c>
      <c r="Z147" s="33" t="s">
        <v>635</v>
      </c>
    </row>
    <row r="148" spans="1:26" ht="14.25" customHeight="1" x14ac:dyDescent="0.2">
      <c r="A148" s="86"/>
      <c r="B148" s="22" t="str">
        <f t="array" ref="B148">CONCATENATE(TEXT($M148,"000"),".",TEXT(INDEX(Quick_Number,MATCH($O148,Quick_Names,0)),"000"),".",TEXT(INDEX(Charge_Number,MATCH($P148,Charge_Names,0)),"000"))</f>
        <v>097.234.060</v>
      </c>
      <c r="C148" s="23" t="e">
        <f t="array" ref="C148">RANK($S148,IF(Combo_Species_Names=$N148,Combo_Gym_Offense),0)</f>
        <v>#VALUE!</v>
      </c>
      <c r="D148" s="24" t="e">
        <f t="array" ref="D148">$S148/MAX(IF(Combo_Species_Names=$N148,Combo_Gym_Offense))</f>
        <v>#VALUE!</v>
      </c>
      <c r="E148" s="23" t="e">
        <f t="array" ref="E148">RANK($Y148,IF(Combo_Species_Names=$N148,Combo_Gym_Defense),0)</f>
        <v>#VALUE!</v>
      </c>
      <c r="F148" s="25" t="e">
        <f t="array" ref="F148">$Y148/MAX(IF(Combo_Species_Names=$N148,Combo_Gym_Defense))</f>
        <v>#VALUE!</v>
      </c>
      <c r="G148" s="23" t="e">
        <f t="array" ref="G148">IF(OR(INDEX(Species_Availability,MATCH($N148,Species_Names,0))="No",INDEX(Species_Evo_Numbers,MATCH($N148,Species_Names,0))&lt;&gt;1),"N/A",RANK($R148,IF(NOT(ISNA(MATCH(Combo_Species_Names,IF(Species_Availability="Yes",IF(Species_Evo_Numbers=1,Species_Names)),0))),Combo_Duel_Ability),0))</f>
        <v>#VALUE!</v>
      </c>
      <c r="H148" s="24" t="e">
        <f t="array" ref="H148">IF(OR(INDEX(Species_Availability,MATCH($N148,Species_Names,0))="No",INDEX(Species_Evo_Numbers,MATCH($N148,Species_Names,0))&lt;&gt;1),"N/A",$R148/MAX(IF(NOT(ISNA(MATCH(Combo_Species_Names,IF(Species_Availability="Yes",IF(Species_Evo_Numbers=1,Species_Names)),0))),Combo_Duel_Ability)))</f>
        <v>#VALUE!</v>
      </c>
      <c r="I148" s="23" t="e">
        <f t="array" ref="I148">IF(OR(INDEX(Species_Availability,MATCH($N148,Species_Names,0))="No",INDEX(Species_Evo_Numbers,MATCH($N148,Species_Names,0))&lt;&gt;1),"N/A",RANK($S148,IF(NOT(ISNA(MATCH(Combo_Species_Names,IF(Species_Availability="Yes",IF(Species_Evo_Numbers=1,Species_Names)),0))),Combo_Gym_Offense),0))</f>
        <v>#VALUE!</v>
      </c>
      <c r="J148" s="24" t="e">
        <f t="array" ref="J148">IF(OR(INDEX(Species_Availability,MATCH($N148,Species_Names,0))="No",INDEX(Species_Evo_Numbers,MATCH($N148,Species_Names,0))&lt;&gt;1),"N/A",$S148/MAX(IF(NOT(ISNA(MATCH(Combo_Species_Names,IF(Species_Availability="Yes",IF(Species_Evo_Numbers=1,Species_Names)),0))),Combo_Gym_Offense)))</f>
        <v>#VALUE!</v>
      </c>
      <c r="K148" s="23" t="e">
        <f t="array" ref="K148">IF(OR(INDEX(Species_Availability,MATCH($N148,Species_Names,0))="No",INDEX(Species_Evo_Numbers,MATCH($N148,Species_Names,0))&lt;&gt;1),"N/A",RANK($Y148,IF(NOT(ISNA(MATCH(Combo_Species_Names,IF(Species_Availability="Yes",IF(Species_Evo_Numbers=1,Species_Names)),0))),Combo_Gym_Defense),0))</f>
        <v>#VALUE!</v>
      </c>
      <c r="L148" s="24" t="e">
        <f t="array" ref="L148">IF(OR(INDEX(Species_Availability,MATCH($N148,Species_Names,0))="No",INDEX(Species_Evo_Numbers,MATCH($N148,Species_Names,0))&lt;&gt;1),"N/A",$Y148/MAX(IF(NOT(ISNA(MATCH(Combo_Species_Names,IF(Species_Availability="Yes",IF(Species_Evo_Numbers=1,Species_Names)),0))),Combo_Gym_Defense)))</f>
        <v>#VALUE!</v>
      </c>
      <c r="M148" s="28">
        <f t="array" ref="M148">INDEX(Species_Pdex_Numbers,MATCH($N148,Species_Names,0))</f>
        <v>97</v>
      </c>
      <c r="N148" s="30" t="s">
        <v>293</v>
      </c>
      <c r="O148" s="31" t="s">
        <v>79</v>
      </c>
      <c r="P148" s="31" t="s">
        <v>232</v>
      </c>
      <c r="Q148" s="17" t="e">
        <f t="shared" si="4"/>
        <v>#VALUE!</v>
      </c>
      <c r="R148" s="32" t="e">
        <f t="array" ref="R148">IF(OR(AND(COUNTBLANK(Combo_Opponent_Type_1)=1,COUNTBLANK(Combo_Opponent_Type_2)=0),AND(AND(COUNTBLANK(Combo_Opponent_Type_1)=0,COUNTBLANK(Combo_Opponent_Type_2)=0),Combo_Opponent_Type_1=Combo_Opponent_Type_2)),
"Check Types",($S148*INDEX(Species_Tankiness,MATCH($N148,Species_Names,0)))/225)</f>
        <v>#VALUE!</v>
      </c>
      <c r="S148" s="32" t="e">
        <f t="array" ref="S148">IF(OR(AND(COUNTBLANK(Combo_Opponent_Type_1)=1,COUNTBLANK(Combo_Opponent_Type_2)=0),AND(AND(COUNTBLANK(Combo_Opponent_Type_1)=0,COUNTBLANK(Combo_Opponent_Type_2)=0),Combo_Opponent_Type_1=Combo_Opponent_Type_2)),
"Check Types",(
IF($W148&gt;=((1-Game_Weave_Human_Error)*$X148),$W148,$X148)*INDEX(Species_Attack,MATCH($N148,Species_Names,0)))/11)</f>
        <v>#VALUE!</v>
      </c>
      <c r="T148" s="33" t="e">
        <f t="shared" si="5"/>
        <v>#VALUE!</v>
      </c>
      <c r="U148" s="33">
        <f t="array" ref="U1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148,Quick_Names,0))),Type_Species)),0),1)*IF(COUNTBLANK(Combo_Opponent_Type_2)=0,INDEX(Type_Damage_Multipliers,MATCH(Combo_Opponent_Type_2,IF(Type_Move=(INDEX(Quick_Type,MATCH($O148,Quick_Names,0))),Type_Species)),0),1)*(IF(OR(INDEX(Quick_Type,MATCH($O148,Quick_Names,0))=INDEX(Species_Type_1,MATCH($N148,Species_Names,0)),INDEX(Quick_Type,MATCH($O148,Quick_Names,0))=INDEX(Species_Type_2,MATCH($N148,Species_Names,0))),Game_STAB_Multiplier,1)))</f>
        <v>1.25</v>
      </c>
      <c r="V148" s="33">
        <f t="array" ref="V1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148,Charge_Names,0))),Type_Species)),0),1)*IF(COUNTBLANK(Combo_Opponent_Type_2)=0,INDEX(Type_Damage_Multipliers,MATCH(Combo_Opponent_Type_2,IF(Type_Move=(INDEX(Charge_Type,MATCH($P148,Charge_Names,0))),Type_Species)),0),1)*
IF(OR(INDEX(Charge_Type,MATCH($P148,Charge_Names,0))=INDEX(Species_Type_1,MATCH($N148,Species_Names,0)),INDEX(Charge_Type,MATCH($P148,Charge_Names,0))=INDEX(Species_Type_2,MATCH($N148,Species_Names,0))),Game_STAB_Multiplier,1))</f>
        <v>1.25</v>
      </c>
      <c r="W148" s="33" t="s">
        <v>446</v>
      </c>
      <c r="X148" s="33" t="s">
        <v>636</v>
      </c>
      <c r="Y148" s="32" t="e">
        <f t="array" ref="Y148">((($Z148)*
INDEX(Species_Attack,MATCH($N148,Species_Names,0))*
INDEX(Species_Tankiness,MATCH($N148,Species_Names,0)))/1000)</f>
        <v>#VALUE!</v>
      </c>
      <c r="Z148" s="33" t="s">
        <v>485</v>
      </c>
    </row>
    <row r="149" spans="1:26" ht="14.25" customHeight="1" x14ac:dyDescent="0.2">
      <c r="A149" s="86"/>
      <c r="B149" s="22" t="str">
        <f t="array" ref="B149">CONCATENATE(TEXT($M149,"000"),".",TEXT(INDEX(Quick_Number,MATCH($O149,Quick_Names,0)),"000"),".",TEXT(INDEX(Charge_Number,MATCH($P149,Charge_Names,0)),"000"))</f>
        <v>097.234.070</v>
      </c>
      <c r="C149" s="23" t="e">
        <f t="array" ref="C149">RANK($S149,IF(Combo_Species_Names=$N149,Combo_Gym_Offense),0)</f>
        <v>#VALUE!</v>
      </c>
      <c r="D149" s="24" t="e">
        <f t="array" ref="D149">$S149/MAX(IF(Combo_Species_Names=$N149,Combo_Gym_Offense))</f>
        <v>#VALUE!</v>
      </c>
      <c r="E149" s="23" t="e">
        <f t="array" ref="E149">RANK($Y149,IF(Combo_Species_Names=$N149,Combo_Gym_Defense),0)</f>
        <v>#VALUE!</v>
      </c>
      <c r="F149" s="25" t="e">
        <f t="array" ref="F149">$Y149/MAX(IF(Combo_Species_Names=$N149,Combo_Gym_Defense))</f>
        <v>#VALUE!</v>
      </c>
      <c r="G149" s="23" t="e">
        <f t="array" ref="G149">IF(OR(INDEX(Species_Availability,MATCH($N149,Species_Names,0))="No",INDEX(Species_Evo_Numbers,MATCH($N149,Species_Names,0))&lt;&gt;1),"N/A",RANK($R149,IF(NOT(ISNA(MATCH(Combo_Species_Names,IF(Species_Availability="Yes",IF(Species_Evo_Numbers=1,Species_Names)),0))),Combo_Duel_Ability),0))</f>
        <v>#VALUE!</v>
      </c>
      <c r="H149" s="24" t="e">
        <f t="array" ref="H149">IF(OR(INDEX(Species_Availability,MATCH($N149,Species_Names,0))="No",INDEX(Species_Evo_Numbers,MATCH($N149,Species_Names,0))&lt;&gt;1),"N/A",$R149/MAX(IF(NOT(ISNA(MATCH(Combo_Species_Names,IF(Species_Availability="Yes",IF(Species_Evo_Numbers=1,Species_Names)),0))),Combo_Duel_Ability)))</f>
        <v>#VALUE!</v>
      </c>
      <c r="I149" s="23" t="e">
        <f t="array" ref="I149">IF(OR(INDEX(Species_Availability,MATCH($N149,Species_Names,0))="No",INDEX(Species_Evo_Numbers,MATCH($N149,Species_Names,0))&lt;&gt;1),"N/A",RANK($S149,IF(NOT(ISNA(MATCH(Combo_Species_Names,IF(Species_Availability="Yes",IF(Species_Evo_Numbers=1,Species_Names)),0))),Combo_Gym_Offense),0))</f>
        <v>#VALUE!</v>
      </c>
      <c r="J149" s="24" t="e">
        <f t="array" ref="J149">IF(OR(INDEX(Species_Availability,MATCH($N149,Species_Names,0))="No",INDEX(Species_Evo_Numbers,MATCH($N149,Species_Names,0))&lt;&gt;1),"N/A",$S149/MAX(IF(NOT(ISNA(MATCH(Combo_Species_Names,IF(Species_Availability="Yes",IF(Species_Evo_Numbers=1,Species_Names)),0))),Combo_Gym_Offense)))</f>
        <v>#VALUE!</v>
      </c>
      <c r="K149" s="23" t="e">
        <f t="array" ref="K149">IF(OR(INDEX(Species_Availability,MATCH($N149,Species_Names,0))="No",INDEX(Species_Evo_Numbers,MATCH($N149,Species_Names,0))&lt;&gt;1),"N/A",RANK($Y149,IF(NOT(ISNA(MATCH(Combo_Species_Names,IF(Species_Availability="Yes",IF(Species_Evo_Numbers=1,Species_Names)),0))),Combo_Gym_Defense),0))</f>
        <v>#VALUE!</v>
      </c>
      <c r="L149" s="24" t="e">
        <f t="array" ref="L149">IF(OR(INDEX(Species_Availability,MATCH($N149,Species_Names,0))="No",INDEX(Species_Evo_Numbers,MATCH($N149,Species_Names,0))&lt;&gt;1),"N/A",$Y149/MAX(IF(NOT(ISNA(MATCH(Combo_Species_Names,IF(Species_Availability="Yes",IF(Species_Evo_Numbers=1,Species_Names)),0))),Combo_Gym_Defense)))</f>
        <v>#VALUE!</v>
      </c>
      <c r="M149" s="28">
        <f t="array" ref="M149">INDEX(Species_Pdex_Numbers,MATCH($N149,Species_Names,0))</f>
        <v>97</v>
      </c>
      <c r="N149" s="30" t="s">
        <v>293</v>
      </c>
      <c r="O149" s="31" t="s">
        <v>79</v>
      </c>
      <c r="P149" s="31" t="s">
        <v>234</v>
      </c>
      <c r="Q149" s="17" t="e">
        <f t="shared" si="4"/>
        <v>#VALUE!</v>
      </c>
      <c r="R149" s="32" t="e">
        <f t="array" ref="R149">IF(OR(AND(COUNTBLANK(Combo_Opponent_Type_1)=1,COUNTBLANK(Combo_Opponent_Type_2)=0),AND(AND(COUNTBLANK(Combo_Opponent_Type_1)=0,COUNTBLANK(Combo_Opponent_Type_2)=0),Combo_Opponent_Type_1=Combo_Opponent_Type_2)),
"Check Types",($S149*INDEX(Species_Tankiness,MATCH($N149,Species_Names,0)))/225)</f>
        <v>#VALUE!</v>
      </c>
      <c r="S149" s="32" t="e">
        <f t="array" ref="S149">IF(OR(AND(COUNTBLANK(Combo_Opponent_Type_1)=1,COUNTBLANK(Combo_Opponent_Type_2)=0),AND(AND(COUNTBLANK(Combo_Opponent_Type_1)=0,COUNTBLANK(Combo_Opponent_Type_2)=0),Combo_Opponent_Type_1=Combo_Opponent_Type_2)),
"Check Types",(
IF($W149&gt;=((1-Game_Weave_Human_Error)*$X149),$W149,$X149)*INDEX(Species_Attack,MATCH($N149,Species_Names,0)))/11)</f>
        <v>#VALUE!</v>
      </c>
      <c r="T149" s="33" t="e">
        <f t="shared" si="5"/>
        <v>#VALUE!</v>
      </c>
      <c r="U149" s="33">
        <f t="array" ref="U1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149,Quick_Names,0))),Type_Species)),0),1)*IF(COUNTBLANK(Combo_Opponent_Type_2)=0,INDEX(Type_Damage_Multipliers,MATCH(Combo_Opponent_Type_2,IF(Type_Move=(INDEX(Quick_Type,MATCH($O149,Quick_Names,0))),Type_Species)),0),1)*(IF(OR(INDEX(Quick_Type,MATCH($O149,Quick_Names,0))=INDEX(Species_Type_1,MATCH($N149,Species_Names,0)),INDEX(Quick_Type,MATCH($O149,Quick_Names,0))=INDEX(Species_Type_2,MATCH($N149,Species_Names,0))),Game_STAB_Multiplier,1)))</f>
        <v>1.25</v>
      </c>
      <c r="V149" s="33">
        <f t="array" ref="V1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149,Charge_Names,0))),Type_Species)),0),1)*IF(COUNTBLANK(Combo_Opponent_Type_2)=0,INDEX(Type_Damage_Multipliers,MATCH(Combo_Opponent_Type_2,IF(Type_Move=(INDEX(Charge_Type,MATCH($P149,Charge_Names,0))),Type_Species)),0),1)*
IF(OR(INDEX(Charge_Type,MATCH($P149,Charge_Names,0))=INDEX(Species_Type_1,MATCH($N149,Species_Names,0)),INDEX(Charge_Type,MATCH($P149,Charge_Names,0))=INDEX(Species_Type_2,MATCH($N149,Species_Names,0))),Game_STAB_Multiplier,1))</f>
        <v>1</v>
      </c>
      <c r="W149" s="33" t="s">
        <v>446</v>
      </c>
      <c r="X149" s="33" t="s">
        <v>637</v>
      </c>
      <c r="Y149" s="32" t="e">
        <f t="array" ref="Y149">((($Z149)*
INDEX(Species_Attack,MATCH($N149,Species_Names,0))*
INDEX(Species_Tankiness,MATCH($N149,Species_Names,0)))/1000)</f>
        <v>#VALUE!</v>
      </c>
      <c r="Z149" s="33" t="s">
        <v>638</v>
      </c>
    </row>
    <row r="150" spans="1:26" ht="14.25" customHeight="1" x14ac:dyDescent="0.2">
      <c r="A150" s="86"/>
      <c r="B150" s="22" t="str">
        <f t="array" ref="B150">CONCATENATE(TEXT($M150,"000"),".",TEXT(INDEX(Quick_Number,MATCH($O150,Quick_Names,0)),"000"),".",TEXT(INDEX(Charge_Number,MATCH($P150,Charge_Names,0)),"000"))</f>
        <v>141.216.032</v>
      </c>
      <c r="C150" s="23" t="e">
        <f t="array" ref="C150">RANK($S150,IF(Combo_Species_Names=$N150,Combo_Gym_Offense),0)</f>
        <v>#VALUE!</v>
      </c>
      <c r="D150" s="24" t="e">
        <f t="array" ref="D150">$S150/MAX(IF(Combo_Species_Names=$N150,Combo_Gym_Offense))</f>
        <v>#VALUE!</v>
      </c>
      <c r="E150" s="23" t="e">
        <f t="array" ref="E150">RANK($Y150,IF(Combo_Species_Names=$N150,Combo_Gym_Defense),0)</f>
        <v>#VALUE!</v>
      </c>
      <c r="F150" s="25" t="e">
        <f t="array" ref="F150">$Y150/MAX(IF(Combo_Species_Names=$N150,Combo_Gym_Defense))</f>
        <v>#VALUE!</v>
      </c>
      <c r="G150" s="23" t="e">
        <f t="array" ref="G150">IF(OR(INDEX(Species_Availability,MATCH($N150,Species_Names,0))="No",INDEX(Species_Evo_Numbers,MATCH($N150,Species_Names,0))&lt;&gt;1),"N/A",RANK($R150,IF(NOT(ISNA(MATCH(Combo_Species_Names,IF(Species_Availability="Yes",IF(Species_Evo_Numbers=1,Species_Names)),0))),Combo_Duel_Ability),0))</f>
        <v>#VALUE!</v>
      </c>
      <c r="H150" s="24" t="e">
        <f t="array" ref="H150">IF(OR(INDEX(Species_Availability,MATCH($N150,Species_Names,0))="No",INDEX(Species_Evo_Numbers,MATCH($N150,Species_Names,0))&lt;&gt;1),"N/A",$R150/MAX(IF(NOT(ISNA(MATCH(Combo_Species_Names,IF(Species_Availability="Yes",IF(Species_Evo_Numbers=1,Species_Names)),0))),Combo_Duel_Ability)))</f>
        <v>#VALUE!</v>
      </c>
      <c r="I150" s="23" t="e">
        <f t="array" ref="I150">IF(OR(INDEX(Species_Availability,MATCH($N150,Species_Names,0))="No",INDEX(Species_Evo_Numbers,MATCH($N150,Species_Names,0))&lt;&gt;1),"N/A",RANK($S150,IF(NOT(ISNA(MATCH(Combo_Species_Names,IF(Species_Availability="Yes",IF(Species_Evo_Numbers=1,Species_Names)),0))),Combo_Gym_Offense),0))</f>
        <v>#VALUE!</v>
      </c>
      <c r="J150" s="24" t="e">
        <f t="array" ref="J150">IF(OR(INDEX(Species_Availability,MATCH($N150,Species_Names,0))="No",INDEX(Species_Evo_Numbers,MATCH($N150,Species_Names,0))&lt;&gt;1),"N/A",$S150/MAX(IF(NOT(ISNA(MATCH(Combo_Species_Names,IF(Species_Availability="Yes",IF(Species_Evo_Numbers=1,Species_Names)),0))),Combo_Gym_Offense)))</f>
        <v>#VALUE!</v>
      </c>
      <c r="K150" s="23" t="e">
        <f t="array" ref="K150">IF(OR(INDEX(Species_Availability,MATCH($N150,Species_Names,0))="No",INDEX(Species_Evo_Numbers,MATCH($N150,Species_Names,0))&lt;&gt;1),"N/A",RANK($Y150,IF(NOT(ISNA(MATCH(Combo_Species_Names,IF(Species_Availability="Yes",IF(Species_Evo_Numbers=1,Species_Names)),0))),Combo_Gym_Defense),0))</f>
        <v>#VALUE!</v>
      </c>
      <c r="L150" s="24" t="e">
        <f t="array" ref="L150">IF(OR(INDEX(Species_Availability,MATCH($N150,Species_Names,0))="No",INDEX(Species_Evo_Numbers,MATCH($N150,Species_Names,0))&lt;&gt;1),"N/A",$Y150/MAX(IF(NOT(ISNA(MATCH(Combo_Species_Names,IF(Species_Availability="Yes",IF(Species_Evo_Numbers=1,Species_Names)),0))),Combo_Gym_Defense)))</f>
        <v>#VALUE!</v>
      </c>
      <c r="M150" s="28">
        <f t="array" ref="M150">INDEX(Species_Pdex_Numbers,MATCH($N150,Species_Names,0))</f>
        <v>141</v>
      </c>
      <c r="N150" s="30" t="s">
        <v>359</v>
      </c>
      <c r="O150" s="31" t="s">
        <v>89</v>
      </c>
      <c r="P150" s="31" t="s">
        <v>149</v>
      </c>
      <c r="Q150" s="17" t="e">
        <f t="shared" si="4"/>
        <v>#VALUE!</v>
      </c>
      <c r="R150" s="32" t="e">
        <f t="array" ref="R150">IF(OR(AND(COUNTBLANK(Combo_Opponent_Type_1)=1,COUNTBLANK(Combo_Opponent_Type_2)=0),AND(AND(COUNTBLANK(Combo_Opponent_Type_1)=0,COUNTBLANK(Combo_Opponent_Type_2)=0),Combo_Opponent_Type_1=Combo_Opponent_Type_2)),
"Check Types",($S150*INDEX(Species_Tankiness,MATCH($N150,Species_Names,0)))/225)</f>
        <v>#VALUE!</v>
      </c>
      <c r="S150" s="32" t="e">
        <f t="array" ref="S150">IF(OR(AND(COUNTBLANK(Combo_Opponent_Type_1)=1,COUNTBLANK(Combo_Opponent_Type_2)=0),AND(AND(COUNTBLANK(Combo_Opponent_Type_1)=0,COUNTBLANK(Combo_Opponent_Type_2)=0),Combo_Opponent_Type_1=Combo_Opponent_Type_2)),
"Check Types",(
IF($W150&gt;=((1-Game_Weave_Human_Error)*$X150),$W150,$X150)*INDEX(Species_Attack,MATCH($N150,Species_Names,0)))/11)</f>
        <v>#VALUE!</v>
      </c>
      <c r="T150" s="33" t="e">
        <f t="shared" si="5"/>
        <v>#VALUE!</v>
      </c>
      <c r="U150" s="33">
        <f t="array" ref="U1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150,Quick_Names,0))),Type_Species)),0),1)*IF(COUNTBLANK(Combo_Opponent_Type_2)=0,INDEX(Type_Damage_Multipliers,MATCH(Combo_Opponent_Type_2,IF(Type_Move=(INDEX(Quick_Type,MATCH($O150,Quick_Names,0))),Type_Species)),0),1)*(IF(OR(INDEX(Quick_Type,MATCH($O150,Quick_Names,0))=INDEX(Species_Type_1,MATCH($N150,Species_Names,0)),INDEX(Quick_Type,MATCH($O150,Quick_Names,0))=INDEX(Species_Type_2,MATCH($N150,Species_Names,0))),Game_STAB_Multiplier,1)))</f>
        <v>1</v>
      </c>
      <c r="V150" s="33">
        <f t="array" ref="V1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150,Charge_Names,0))),Type_Species)),0),1)*IF(COUNTBLANK(Combo_Opponent_Type_2)=0,INDEX(Type_Damage_Multipliers,MATCH(Combo_Opponent_Type_2,IF(Type_Move=(INDEX(Charge_Type,MATCH($P150,Charge_Names,0))),Type_Species)),0),1)*
IF(OR(INDEX(Charge_Type,MATCH($P150,Charge_Names,0))=INDEX(Species_Type_1,MATCH($N150,Species_Names,0)),INDEX(Charge_Type,MATCH($P150,Charge_Names,0))=INDEX(Species_Type_2,MATCH($N150,Species_Names,0))),Game_STAB_Multiplier,1))</f>
        <v>1.25</v>
      </c>
      <c r="W150" s="33" t="s">
        <v>518</v>
      </c>
      <c r="X150" s="33" t="s">
        <v>610</v>
      </c>
      <c r="Y150" s="32" t="e">
        <f t="array" ref="Y150">((($Z150)*
INDEX(Species_Attack,MATCH($N150,Species_Names,0))*
INDEX(Species_Tankiness,MATCH($N150,Species_Names,0)))/1000)</f>
        <v>#VALUE!</v>
      </c>
      <c r="Z150" s="33" t="s">
        <v>639</v>
      </c>
    </row>
    <row r="151" spans="1:26" ht="14.25" customHeight="1" x14ac:dyDescent="0.2">
      <c r="A151" s="86"/>
      <c r="B151" s="22" t="str">
        <f t="array" ref="B151">CONCATENATE(TEXT($M151,"000"),".",TEXT(INDEX(Quick_Number,MATCH($O151,Quick_Names,0)),"000"),".",TEXT(INDEX(Charge_Number,MATCH($P151,Charge_Names,0)),"000"))</f>
        <v>073.225.091</v>
      </c>
      <c r="C151" s="23" t="e">
        <f t="array" ref="C151">RANK($S151,IF(Combo_Species_Names=$N151,Combo_Gym_Offense),0)</f>
        <v>#VALUE!</v>
      </c>
      <c r="D151" s="24" t="e">
        <f t="array" ref="D151">$S151/MAX(IF(Combo_Species_Names=$N151,Combo_Gym_Offense))</f>
        <v>#VALUE!</v>
      </c>
      <c r="E151" s="23" t="e">
        <f t="array" ref="E151">RANK($Y151,IF(Combo_Species_Names=$N151,Combo_Gym_Defense),0)</f>
        <v>#VALUE!</v>
      </c>
      <c r="F151" s="25" t="e">
        <f t="array" ref="F151">$Y151/MAX(IF(Combo_Species_Names=$N151,Combo_Gym_Defense))</f>
        <v>#VALUE!</v>
      </c>
      <c r="G151" s="23" t="e">
        <f t="array" ref="G151">IF(OR(INDEX(Species_Availability,MATCH($N151,Species_Names,0))="No",INDEX(Species_Evo_Numbers,MATCH($N151,Species_Names,0))&lt;&gt;1),"N/A",RANK($R151,IF(NOT(ISNA(MATCH(Combo_Species_Names,IF(Species_Availability="Yes",IF(Species_Evo_Numbers=1,Species_Names)),0))),Combo_Duel_Ability),0))</f>
        <v>#VALUE!</v>
      </c>
      <c r="H151" s="24" t="e">
        <f t="array" ref="H151">IF(OR(INDEX(Species_Availability,MATCH($N151,Species_Names,0))="No",INDEX(Species_Evo_Numbers,MATCH($N151,Species_Names,0))&lt;&gt;1),"N/A",$R151/MAX(IF(NOT(ISNA(MATCH(Combo_Species_Names,IF(Species_Availability="Yes",IF(Species_Evo_Numbers=1,Species_Names)),0))),Combo_Duel_Ability)))</f>
        <v>#VALUE!</v>
      </c>
      <c r="I151" s="23" t="e">
        <f t="array" ref="I151">IF(OR(INDEX(Species_Availability,MATCH($N151,Species_Names,0))="No",INDEX(Species_Evo_Numbers,MATCH($N151,Species_Names,0))&lt;&gt;1),"N/A",RANK($S151,IF(NOT(ISNA(MATCH(Combo_Species_Names,IF(Species_Availability="Yes",IF(Species_Evo_Numbers=1,Species_Names)),0))),Combo_Gym_Offense),0))</f>
        <v>#VALUE!</v>
      </c>
      <c r="J151" s="24" t="e">
        <f t="array" ref="J151">IF(OR(INDEX(Species_Availability,MATCH($N151,Species_Names,0))="No",INDEX(Species_Evo_Numbers,MATCH($N151,Species_Names,0))&lt;&gt;1),"N/A",$S151/MAX(IF(NOT(ISNA(MATCH(Combo_Species_Names,IF(Species_Availability="Yes",IF(Species_Evo_Numbers=1,Species_Names)),0))),Combo_Gym_Offense)))</f>
        <v>#VALUE!</v>
      </c>
      <c r="K151" s="23" t="e">
        <f t="array" ref="K151">IF(OR(INDEX(Species_Availability,MATCH($N151,Species_Names,0))="No",INDEX(Species_Evo_Numbers,MATCH($N151,Species_Names,0))&lt;&gt;1),"N/A",RANK($Y151,IF(NOT(ISNA(MATCH(Combo_Species_Names,IF(Species_Availability="Yes",IF(Species_Evo_Numbers=1,Species_Names)),0))),Combo_Gym_Defense),0))</f>
        <v>#VALUE!</v>
      </c>
      <c r="L151" s="24" t="e">
        <f t="array" ref="L151">IF(OR(INDEX(Species_Availability,MATCH($N151,Species_Names,0))="No",INDEX(Species_Evo_Numbers,MATCH($N151,Species_Names,0))&lt;&gt;1),"N/A",$Y151/MAX(IF(NOT(ISNA(MATCH(Combo_Species_Names,IF(Species_Availability="Yes",IF(Species_Evo_Numbers=1,Species_Names)),0))),Combo_Gym_Defense)))</f>
        <v>#VALUE!</v>
      </c>
      <c r="M151" s="28">
        <f t="array" ref="M151">INDEX(Species_Pdex_Numbers,MATCH($N151,Species_Names,0))</f>
        <v>73</v>
      </c>
      <c r="N151" s="30" t="s">
        <v>237</v>
      </c>
      <c r="O151" s="31" t="s">
        <v>110</v>
      </c>
      <c r="P151" s="31" t="s">
        <v>186</v>
      </c>
      <c r="Q151" s="17" t="e">
        <f t="shared" si="4"/>
        <v>#VALUE!</v>
      </c>
      <c r="R151" s="32" t="e">
        <f t="array" ref="R151">IF(OR(AND(COUNTBLANK(Combo_Opponent_Type_1)=1,COUNTBLANK(Combo_Opponent_Type_2)=0),AND(AND(COUNTBLANK(Combo_Opponent_Type_1)=0,COUNTBLANK(Combo_Opponent_Type_2)=0),Combo_Opponent_Type_1=Combo_Opponent_Type_2)),
"Check Types",($S151*INDEX(Species_Tankiness,MATCH($N151,Species_Names,0)))/225)</f>
        <v>#VALUE!</v>
      </c>
      <c r="S151" s="32" t="e">
        <f t="array" ref="S151">IF(OR(AND(COUNTBLANK(Combo_Opponent_Type_1)=1,COUNTBLANK(Combo_Opponent_Type_2)=0),AND(AND(COUNTBLANK(Combo_Opponent_Type_1)=0,COUNTBLANK(Combo_Opponent_Type_2)=0),Combo_Opponent_Type_1=Combo_Opponent_Type_2)),
"Check Types",(
IF($W151&gt;=((1-Game_Weave_Human_Error)*$X151),$W151,$X151)*INDEX(Species_Attack,MATCH($N151,Species_Names,0)))/11)</f>
        <v>#VALUE!</v>
      </c>
      <c r="T151" s="33" t="e">
        <f t="shared" si="5"/>
        <v>#VALUE!</v>
      </c>
      <c r="U151" s="33">
        <f t="array" ref="U1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151,Quick_Names,0))),Type_Species)),0),1)*IF(COUNTBLANK(Combo_Opponent_Type_2)=0,INDEX(Type_Damage_Multipliers,MATCH(Combo_Opponent_Type_2,IF(Type_Move=(INDEX(Quick_Type,MATCH($O151,Quick_Names,0))),Type_Species)),0),1)*(IF(OR(INDEX(Quick_Type,MATCH($O151,Quick_Names,0))=INDEX(Species_Type_1,MATCH($N151,Species_Names,0)),INDEX(Quick_Type,MATCH($O151,Quick_Names,0))=INDEX(Species_Type_2,MATCH($N151,Species_Names,0))),Game_STAB_Multiplier,1)))</f>
        <v>1.25</v>
      </c>
      <c r="V151" s="33">
        <f t="array" ref="V1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151,Charge_Names,0))),Type_Species)),0),1)*IF(COUNTBLANK(Combo_Opponent_Type_2)=0,INDEX(Type_Damage_Multipliers,MATCH(Combo_Opponent_Type_2,IF(Type_Move=(INDEX(Charge_Type,MATCH($P151,Charge_Names,0))),Type_Species)),0),1)*
IF(OR(INDEX(Charge_Type,MATCH($P151,Charge_Names,0))=INDEX(Species_Type_1,MATCH($N151,Species_Names,0)),INDEX(Charge_Type,MATCH($P151,Charge_Names,0))=INDEX(Species_Type_2,MATCH($N151,Species_Names,0))),Game_STAB_Multiplier,1))</f>
        <v>1.25</v>
      </c>
      <c r="W151" s="33" t="s">
        <v>511</v>
      </c>
      <c r="X151" s="33" t="s">
        <v>523</v>
      </c>
      <c r="Y151" s="32" t="e">
        <f t="array" ref="Y151">((($Z151)*
INDEX(Species_Attack,MATCH($N151,Species_Names,0))*
INDEX(Species_Tankiness,MATCH($N151,Species_Names,0)))/1000)</f>
        <v>#VALUE!</v>
      </c>
      <c r="Z151" s="33" t="s">
        <v>524</v>
      </c>
    </row>
    <row r="152" spans="1:26" ht="14.25" customHeight="1" x14ac:dyDescent="0.2">
      <c r="A152" s="86"/>
      <c r="B152" s="22" t="str">
        <f t="array" ref="B152">CONCATENATE(TEXT($M152,"000"),".",TEXT(INDEX(Quick_Number,MATCH($O152,Quick_Names,0)),"000"),".",TEXT(INDEX(Charge_Number,MATCH($P152,Charge_Names,0)),"000"))</f>
        <v>139.230.062</v>
      </c>
      <c r="C152" s="23" t="e">
        <f t="array" ref="C152">RANK($S152,IF(Combo_Species_Names=$N152,Combo_Gym_Offense),0)</f>
        <v>#VALUE!</v>
      </c>
      <c r="D152" s="24" t="e">
        <f t="array" ref="D152">$S152/MAX(IF(Combo_Species_Names=$N152,Combo_Gym_Offense))</f>
        <v>#VALUE!</v>
      </c>
      <c r="E152" s="23" t="e">
        <f t="array" ref="E152">RANK($Y152,IF(Combo_Species_Names=$N152,Combo_Gym_Defense),0)</f>
        <v>#VALUE!</v>
      </c>
      <c r="F152" s="25" t="e">
        <f t="array" ref="F152">$Y152/MAX(IF(Combo_Species_Names=$N152,Combo_Gym_Defense))</f>
        <v>#VALUE!</v>
      </c>
      <c r="G152" s="23" t="e">
        <f t="array" ref="G152">IF(OR(INDEX(Species_Availability,MATCH($N152,Species_Names,0))="No",INDEX(Species_Evo_Numbers,MATCH($N152,Species_Names,0))&lt;&gt;1),"N/A",RANK($R152,IF(NOT(ISNA(MATCH(Combo_Species_Names,IF(Species_Availability="Yes",IF(Species_Evo_Numbers=1,Species_Names)),0))),Combo_Duel_Ability),0))</f>
        <v>#VALUE!</v>
      </c>
      <c r="H152" s="24" t="e">
        <f t="array" ref="H152">IF(OR(INDEX(Species_Availability,MATCH($N152,Species_Names,0))="No",INDEX(Species_Evo_Numbers,MATCH($N152,Species_Names,0))&lt;&gt;1),"N/A",$R152/MAX(IF(NOT(ISNA(MATCH(Combo_Species_Names,IF(Species_Availability="Yes",IF(Species_Evo_Numbers=1,Species_Names)),0))),Combo_Duel_Ability)))</f>
        <v>#VALUE!</v>
      </c>
      <c r="I152" s="23" t="e">
        <f t="array" ref="I152">IF(OR(INDEX(Species_Availability,MATCH($N152,Species_Names,0))="No",INDEX(Species_Evo_Numbers,MATCH($N152,Species_Names,0))&lt;&gt;1),"N/A",RANK($S152,IF(NOT(ISNA(MATCH(Combo_Species_Names,IF(Species_Availability="Yes",IF(Species_Evo_Numbers=1,Species_Names)),0))),Combo_Gym_Offense),0))</f>
        <v>#VALUE!</v>
      </c>
      <c r="J152" s="24" t="e">
        <f t="array" ref="J152">IF(OR(INDEX(Species_Availability,MATCH($N152,Species_Names,0))="No",INDEX(Species_Evo_Numbers,MATCH($N152,Species_Names,0))&lt;&gt;1),"N/A",$S152/MAX(IF(NOT(ISNA(MATCH(Combo_Species_Names,IF(Species_Availability="Yes",IF(Species_Evo_Numbers=1,Species_Names)),0))),Combo_Gym_Offense)))</f>
        <v>#VALUE!</v>
      </c>
      <c r="K152" s="23" t="e">
        <f t="array" ref="K152">IF(OR(INDEX(Species_Availability,MATCH($N152,Species_Names,0))="No",INDEX(Species_Evo_Numbers,MATCH($N152,Species_Names,0))&lt;&gt;1),"N/A",RANK($Y152,IF(NOT(ISNA(MATCH(Combo_Species_Names,IF(Species_Availability="Yes",IF(Species_Evo_Numbers=1,Species_Names)),0))),Combo_Gym_Defense),0))</f>
        <v>#VALUE!</v>
      </c>
      <c r="L152" s="24" t="e">
        <f t="array" ref="L152">IF(OR(INDEX(Species_Availability,MATCH($N152,Species_Names,0))="No",INDEX(Species_Evo_Numbers,MATCH($N152,Species_Names,0))&lt;&gt;1),"N/A",$Y152/MAX(IF(NOT(ISNA(MATCH(Combo_Species_Names,IF(Species_Availability="Yes",IF(Species_Evo_Numbers=1,Species_Names)),0))),Combo_Gym_Defense)))</f>
        <v>#VALUE!</v>
      </c>
      <c r="M152" s="28">
        <f t="array" ref="M152">INDEX(Species_Pdex_Numbers,MATCH($N152,Species_Names,0))</f>
        <v>139</v>
      </c>
      <c r="N152" s="30" t="s">
        <v>357</v>
      </c>
      <c r="O152" s="31" t="s">
        <v>65</v>
      </c>
      <c r="P152" s="31" t="s">
        <v>297</v>
      </c>
      <c r="Q152" s="17" t="e">
        <f t="shared" si="4"/>
        <v>#VALUE!</v>
      </c>
      <c r="R152" s="32" t="e">
        <f t="array" ref="R152">IF(OR(AND(COUNTBLANK(Combo_Opponent_Type_1)=1,COUNTBLANK(Combo_Opponent_Type_2)=0),AND(AND(COUNTBLANK(Combo_Opponent_Type_1)=0,COUNTBLANK(Combo_Opponent_Type_2)=0),Combo_Opponent_Type_1=Combo_Opponent_Type_2)),
"Check Types",($S152*INDEX(Species_Tankiness,MATCH($N152,Species_Names,0)))/225)</f>
        <v>#VALUE!</v>
      </c>
      <c r="S152" s="32" t="e">
        <f t="array" ref="S152">IF(OR(AND(COUNTBLANK(Combo_Opponent_Type_1)=1,COUNTBLANK(Combo_Opponent_Type_2)=0),AND(AND(COUNTBLANK(Combo_Opponent_Type_1)=0,COUNTBLANK(Combo_Opponent_Type_2)=0),Combo_Opponent_Type_1=Combo_Opponent_Type_2)),
"Check Types",(
IF($W152&gt;=((1-Game_Weave_Human_Error)*$X152),$W152,$X152)*INDEX(Species_Attack,MATCH($N152,Species_Names,0)))/11)</f>
        <v>#VALUE!</v>
      </c>
      <c r="T152" s="33" t="e">
        <f t="shared" si="5"/>
        <v>#VALUE!</v>
      </c>
      <c r="U152" s="33">
        <f t="array" ref="U1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152,Quick_Names,0))),Type_Species)),0),1)*IF(COUNTBLANK(Combo_Opponent_Type_2)=0,INDEX(Type_Damage_Multipliers,MATCH(Combo_Opponent_Type_2,IF(Type_Move=(INDEX(Quick_Type,MATCH($O152,Quick_Names,0))),Type_Species)),0),1)*(IF(OR(INDEX(Quick_Type,MATCH($O152,Quick_Names,0))=INDEX(Species_Type_1,MATCH($N152,Species_Names,0)),INDEX(Quick_Type,MATCH($O152,Quick_Names,0))=INDEX(Species_Type_2,MATCH($N152,Species_Names,0))),Game_STAB_Multiplier,1)))</f>
        <v>1.25</v>
      </c>
      <c r="V152" s="33">
        <f t="array" ref="V1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152,Charge_Names,0))),Type_Species)),0),1)*IF(COUNTBLANK(Combo_Opponent_Type_2)=0,INDEX(Type_Damage_Multipliers,MATCH(Combo_Opponent_Type_2,IF(Type_Move=(INDEX(Charge_Type,MATCH($P152,Charge_Names,0))),Type_Species)),0),1)*
IF(OR(INDEX(Charge_Type,MATCH($P152,Charge_Names,0))=INDEX(Species_Type_1,MATCH($N152,Species_Names,0)),INDEX(Charge_Type,MATCH($P152,Charge_Names,0))=INDEX(Species_Type_2,MATCH($N152,Species_Names,0))),Game_STAB_Multiplier,1))</f>
        <v>1.25</v>
      </c>
      <c r="W152" s="33" t="s">
        <v>412</v>
      </c>
      <c r="X152" s="33" t="s">
        <v>640</v>
      </c>
      <c r="Y152" s="32" t="e">
        <f t="array" ref="Y152">((($Z152)*
INDEX(Species_Attack,MATCH($N152,Species_Names,0))*
INDEX(Species_Tankiness,MATCH($N152,Species_Names,0)))/1000)</f>
        <v>#VALUE!</v>
      </c>
      <c r="Z152" s="33" t="s">
        <v>641</v>
      </c>
    </row>
    <row r="153" spans="1:26" ht="14.25" customHeight="1" x14ac:dyDescent="0.2">
      <c r="A153" s="86"/>
      <c r="B153" s="22" t="str">
        <f t="array" ref="B153">CONCATENATE(TEXT($M153,"000"),".",TEXT(INDEX(Quick_Number,MATCH($O153,Quick_Names,0)),"000"),".",TEXT(INDEX(Charge_Number,MATCH($P153,Charge_Names,0)),"000"))</f>
        <v>040.238.088</v>
      </c>
      <c r="C153" s="23" t="e">
        <f t="array" ref="C153">RANK($S153,IF(Combo_Species_Names=$N153,Combo_Gym_Offense),0)</f>
        <v>#VALUE!</v>
      </c>
      <c r="D153" s="24" t="e">
        <f t="array" ref="D153">$S153/MAX(IF(Combo_Species_Names=$N153,Combo_Gym_Offense))</f>
        <v>#VALUE!</v>
      </c>
      <c r="E153" s="23" t="e">
        <f t="array" ref="E153">RANK($Y153,IF(Combo_Species_Names=$N153,Combo_Gym_Defense),0)</f>
        <v>#VALUE!</v>
      </c>
      <c r="F153" s="25" t="e">
        <f t="array" ref="F153">$Y153/MAX(IF(Combo_Species_Names=$N153,Combo_Gym_Defense))</f>
        <v>#VALUE!</v>
      </c>
      <c r="G153" s="23" t="e">
        <f t="array" ref="G153">IF(OR(INDEX(Species_Availability,MATCH($N153,Species_Names,0))="No",INDEX(Species_Evo_Numbers,MATCH($N153,Species_Names,0))&lt;&gt;1),"N/A",RANK($R153,IF(NOT(ISNA(MATCH(Combo_Species_Names,IF(Species_Availability="Yes",IF(Species_Evo_Numbers=1,Species_Names)),0))),Combo_Duel_Ability),0))</f>
        <v>#VALUE!</v>
      </c>
      <c r="H153" s="24" t="e">
        <f t="array" ref="H153">IF(OR(INDEX(Species_Availability,MATCH($N153,Species_Names,0))="No",INDEX(Species_Evo_Numbers,MATCH($N153,Species_Names,0))&lt;&gt;1),"N/A",$R153/MAX(IF(NOT(ISNA(MATCH(Combo_Species_Names,IF(Species_Availability="Yes",IF(Species_Evo_Numbers=1,Species_Names)),0))),Combo_Duel_Ability)))</f>
        <v>#VALUE!</v>
      </c>
      <c r="I153" s="23" t="e">
        <f t="array" ref="I153">IF(OR(INDEX(Species_Availability,MATCH($N153,Species_Names,0))="No",INDEX(Species_Evo_Numbers,MATCH($N153,Species_Names,0))&lt;&gt;1),"N/A",RANK($S153,IF(NOT(ISNA(MATCH(Combo_Species_Names,IF(Species_Availability="Yes",IF(Species_Evo_Numbers=1,Species_Names)),0))),Combo_Gym_Offense),0))</f>
        <v>#VALUE!</v>
      </c>
      <c r="J153" s="24" t="e">
        <f t="array" ref="J153">IF(OR(INDEX(Species_Availability,MATCH($N153,Species_Names,0))="No",INDEX(Species_Evo_Numbers,MATCH($N153,Species_Names,0))&lt;&gt;1),"N/A",$S153/MAX(IF(NOT(ISNA(MATCH(Combo_Species_Names,IF(Species_Availability="Yes",IF(Species_Evo_Numbers=1,Species_Names)),0))),Combo_Gym_Offense)))</f>
        <v>#VALUE!</v>
      </c>
      <c r="K153" s="23" t="e">
        <f t="array" ref="K153">IF(OR(INDEX(Species_Availability,MATCH($N153,Species_Names,0))="No",INDEX(Species_Evo_Numbers,MATCH($N153,Species_Names,0))&lt;&gt;1),"N/A",RANK($Y153,IF(NOT(ISNA(MATCH(Combo_Species_Names,IF(Species_Availability="Yes",IF(Species_Evo_Numbers=1,Species_Names)),0))),Combo_Gym_Defense),0))</f>
        <v>#VALUE!</v>
      </c>
      <c r="L153" s="24" t="e">
        <f t="array" ref="L153">IF(OR(INDEX(Species_Availability,MATCH($N153,Species_Names,0))="No",INDEX(Species_Evo_Numbers,MATCH($N153,Species_Names,0))&lt;&gt;1),"N/A",$Y153/MAX(IF(NOT(ISNA(MATCH(Combo_Species_Names,IF(Species_Availability="Yes",IF(Species_Evo_Numbers=1,Species_Names)),0))),Combo_Gym_Defense)))</f>
        <v>#VALUE!</v>
      </c>
      <c r="M153" s="28">
        <f t="array" ref="M153">INDEX(Species_Pdex_Numbers,MATCH($N153,Species_Names,0))</f>
        <v>40</v>
      </c>
      <c r="N153" s="30" t="s">
        <v>171</v>
      </c>
      <c r="O153" s="31" t="s">
        <v>76</v>
      </c>
      <c r="P153" s="31" t="s">
        <v>202</v>
      </c>
      <c r="Q153" s="17" t="e">
        <f t="shared" si="4"/>
        <v>#VALUE!</v>
      </c>
      <c r="R153" s="32" t="e">
        <f t="array" ref="R153">IF(OR(AND(COUNTBLANK(Combo_Opponent_Type_1)=1,COUNTBLANK(Combo_Opponent_Type_2)=0),AND(AND(COUNTBLANK(Combo_Opponent_Type_1)=0,COUNTBLANK(Combo_Opponent_Type_2)=0),Combo_Opponent_Type_1=Combo_Opponent_Type_2)),
"Check Types",($S153*INDEX(Species_Tankiness,MATCH($N153,Species_Names,0)))/225)</f>
        <v>#VALUE!</v>
      </c>
      <c r="S153" s="32" t="e">
        <f t="array" ref="S153">IF(OR(AND(COUNTBLANK(Combo_Opponent_Type_1)=1,COUNTBLANK(Combo_Opponent_Type_2)=0),AND(AND(COUNTBLANK(Combo_Opponent_Type_1)=0,COUNTBLANK(Combo_Opponent_Type_2)=0),Combo_Opponent_Type_1=Combo_Opponent_Type_2)),
"Check Types",(
IF($W153&gt;=((1-Game_Weave_Human_Error)*$X153),$W153,$X153)*INDEX(Species_Attack,MATCH($N153,Species_Names,0)))/11)</f>
        <v>#VALUE!</v>
      </c>
      <c r="T153" s="33" t="e">
        <f t="shared" si="5"/>
        <v>#VALUE!</v>
      </c>
      <c r="U153" s="33">
        <f t="array" ref="U1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153,Quick_Names,0))),Type_Species)),0),1)*IF(COUNTBLANK(Combo_Opponent_Type_2)=0,INDEX(Type_Damage_Multipliers,MATCH(Combo_Opponent_Type_2,IF(Type_Move=(INDEX(Quick_Type,MATCH($O153,Quick_Names,0))),Type_Species)),0),1)*(IF(OR(INDEX(Quick_Type,MATCH($O153,Quick_Names,0))=INDEX(Species_Type_1,MATCH($N153,Species_Names,0)),INDEX(Quick_Type,MATCH($O153,Quick_Names,0))=INDEX(Species_Type_2,MATCH($N153,Species_Names,0))),Game_STAB_Multiplier,1)))</f>
        <v>1</v>
      </c>
      <c r="V153" s="33">
        <f t="array" ref="V1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153,Charge_Names,0))),Type_Species)),0),1)*IF(COUNTBLANK(Combo_Opponent_Type_2)=0,INDEX(Type_Damage_Multipliers,MATCH(Combo_Opponent_Type_2,IF(Type_Move=(INDEX(Charge_Type,MATCH($P153,Charge_Names,0))),Type_Species)),0),1)*
IF(OR(INDEX(Charge_Type,MATCH($P153,Charge_Names,0))=INDEX(Species_Type_1,MATCH($N153,Species_Names,0)),INDEX(Charge_Type,MATCH($P153,Charge_Names,0))=INDEX(Species_Type_2,MATCH($N153,Species_Names,0))),Game_STAB_Multiplier,1))</f>
        <v>1.25</v>
      </c>
      <c r="W153" s="33" t="s">
        <v>589</v>
      </c>
      <c r="X153" s="33" t="s">
        <v>642</v>
      </c>
      <c r="Y153" s="32" t="e">
        <f t="array" ref="Y153">((($Z153)*
INDEX(Species_Attack,MATCH($N153,Species_Names,0))*
INDEX(Species_Tankiness,MATCH($N153,Species_Names,0)))/1000)</f>
        <v>#VALUE!</v>
      </c>
      <c r="Z153" s="33" t="s">
        <v>643</v>
      </c>
    </row>
    <row r="154" spans="1:26" ht="14.25" customHeight="1" x14ac:dyDescent="0.2">
      <c r="A154" s="86"/>
      <c r="B154" s="22" t="str">
        <f t="array" ref="B154">CONCATENATE(TEXT($M154,"000"),".",TEXT(INDEX(Quick_Number,MATCH($O154,Quick_Names,0)),"000"),".",TEXT(INDEX(Charge_Number,MATCH($P154,Charge_Names,0)),"000"))</f>
        <v>110.225.090</v>
      </c>
      <c r="C154" s="23" t="e">
        <f t="array" ref="C154">RANK($S154,IF(Combo_Species_Names=$N154,Combo_Gym_Offense),0)</f>
        <v>#VALUE!</v>
      </c>
      <c r="D154" s="24" t="e">
        <f t="array" ref="D154">$S154/MAX(IF(Combo_Species_Names=$N154,Combo_Gym_Offense))</f>
        <v>#VALUE!</v>
      </c>
      <c r="E154" s="23" t="e">
        <f t="array" ref="E154">RANK($Y154,IF(Combo_Species_Names=$N154,Combo_Gym_Defense),0)</f>
        <v>#VALUE!</v>
      </c>
      <c r="F154" s="25" t="e">
        <f t="array" ref="F154">$Y154/MAX(IF(Combo_Species_Names=$N154,Combo_Gym_Defense))</f>
        <v>#VALUE!</v>
      </c>
      <c r="G154" s="23" t="e">
        <f t="array" ref="G154">IF(OR(INDEX(Species_Availability,MATCH($N154,Species_Names,0))="No",INDEX(Species_Evo_Numbers,MATCH($N154,Species_Names,0))&lt;&gt;1),"N/A",RANK($R154,IF(NOT(ISNA(MATCH(Combo_Species_Names,IF(Species_Availability="Yes",IF(Species_Evo_Numbers=1,Species_Names)),0))),Combo_Duel_Ability),0))</f>
        <v>#VALUE!</v>
      </c>
      <c r="H154" s="24" t="e">
        <f t="array" ref="H154">IF(OR(INDEX(Species_Availability,MATCH($N154,Species_Names,0))="No",INDEX(Species_Evo_Numbers,MATCH($N154,Species_Names,0))&lt;&gt;1),"N/A",$R154/MAX(IF(NOT(ISNA(MATCH(Combo_Species_Names,IF(Species_Availability="Yes",IF(Species_Evo_Numbers=1,Species_Names)),0))),Combo_Duel_Ability)))</f>
        <v>#VALUE!</v>
      </c>
      <c r="I154" s="23" t="e">
        <f t="array" ref="I154">IF(OR(INDEX(Species_Availability,MATCH($N154,Species_Names,0))="No",INDEX(Species_Evo_Numbers,MATCH($N154,Species_Names,0))&lt;&gt;1),"N/A",RANK($S154,IF(NOT(ISNA(MATCH(Combo_Species_Names,IF(Species_Availability="Yes",IF(Species_Evo_Numbers=1,Species_Names)),0))),Combo_Gym_Offense),0))</f>
        <v>#VALUE!</v>
      </c>
      <c r="J154" s="24" t="e">
        <f t="array" ref="J154">IF(OR(INDEX(Species_Availability,MATCH($N154,Species_Names,0))="No",INDEX(Species_Evo_Numbers,MATCH($N154,Species_Names,0))&lt;&gt;1),"N/A",$S154/MAX(IF(NOT(ISNA(MATCH(Combo_Species_Names,IF(Species_Availability="Yes",IF(Species_Evo_Numbers=1,Species_Names)),0))),Combo_Gym_Offense)))</f>
        <v>#VALUE!</v>
      </c>
      <c r="K154" s="23" t="e">
        <f t="array" ref="K154">IF(OR(INDEX(Species_Availability,MATCH($N154,Species_Names,0))="No",INDEX(Species_Evo_Numbers,MATCH($N154,Species_Names,0))&lt;&gt;1),"N/A",RANK($Y154,IF(NOT(ISNA(MATCH(Combo_Species_Names,IF(Species_Availability="Yes",IF(Species_Evo_Numbers=1,Species_Names)),0))),Combo_Gym_Defense),0))</f>
        <v>#VALUE!</v>
      </c>
      <c r="L154" s="24" t="e">
        <f t="array" ref="L154">IF(OR(INDEX(Species_Availability,MATCH($N154,Species_Names,0))="No",INDEX(Species_Evo_Numbers,MATCH($N154,Species_Names,0))&lt;&gt;1),"N/A",$Y154/MAX(IF(NOT(ISNA(MATCH(Combo_Species_Names,IF(Species_Availability="Yes",IF(Species_Evo_Numbers=1,Species_Names)),0))),Combo_Gym_Defense)))</f>
        <v>#VALUE!</v>
      </c>
      <c r="M154" s="28">
        <f t="array" ref="M154">INDEX(Species_Pdex_Numbers,MATCH($N154,Species_Names,0))</f>
        <v>110</v>
      </c>
      <c r="N154" s="30" t="s">
        <v>323</v>
      </c>
      <c r="O154" s="31" t="s">
        <v>110</v>
      </c>
      <c r="P154" s="31" t="s">
        <v>180</v>
      </c>
      <c r="Q154" s="17" t="e">
        <f t="shared" si="4"/>
        <v>#VALUE!</v>
      </c>
      <c r="R154" s="32" t="e">
        <f t="array" ref="R154">IF(OR(AND(COUNTBLANK(Combo_Opponent_Type_1)=1,COUNTBLANK(Combo_Opponent_Type_2)=0),AND(AND(COUNTBLANK(Combo_Opponent_Type_1)=0,COUNTBLANK(Combo_Opponent_Type_2)=0),Combo_Opponent_Type_1=Combo_Opponent_Type_2)),
"Check Types",($S154*INDEX(Species_Tankiness,MATCH($N154,Species_Names,0)))/225)</f>
        <v>#VALUE!</v>
      </c>
      <c r="S154" s="32" t="e">
        <f t="array" ref="S154">IF(OR(AND(COUNTBLANK(Combo_Opponent_Type_1)=1,COUNTBLANK(Combo_Opponent_Type_2)=0),AND(AND(COUNTBLANK(Combo_Opponent_Type_1)=0,COUNTBLANK(Combo_Opponent_Type_2)=0),Combo_Opponent_Type_1=Combo_Opponent_Type_2)),
"Check Types",(
IF($W154&gt;=((1-Game_Weave_Human_Error)*$X154),$W154,$X154)*INDEX(Species_Attack,MATCH($N154,Species_Names,0)))/11)</f>
        <v>#VALUE!</v>
      </c>
      <c r="T154" s="33" t="e">
        <f t="shared" si="5"/>
        <v>#VALUE!</v>
      </c>
      <c r="U154" s="33">
        <f t="array" ref="U1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154,Quick_Names,0))),Type_Species)),0),1)*IF(COUNTBLANK(Combo_Opponent_Type_2)=0,INDEX(Type_Damage_Multipliers,MATCH(Combo_Opponent_Type_2,IF(Type_Move=(INDEX(Quick_Type,MATCH($O154,Quick_Names,0))),Type_Species)),0),1)*(IF(OR(INDEX(Quick_Type,MATCH($O154,Quick_Names,0))=INDEX(Species_Type_1,MATCH($N154,Species_Names,0)),INDEX(Quick_Type,MATCH($O154,Quick_Names,0))=INDEX(Species_Type_2,MATCH($N154,Species_Names,0))),Game_STAB_Multiplier,1)))</f>
        <v>1.25</v>
      </c>
      <c r="V154" s="33">
        <f t="array" ref="V1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154,Charge_Names,0))),Type_Species)),0),1)*IF(COUNTBLANK(Combo_Opponent_Type_2)=0,INDEX(Type_Damage_Multipliers,MATCH(Combo_Opponent_Type_2,IF(Type_Move=(INDEX(Charge_Type,MATCH($P154,Charge_Names,0))),Type_Species)),0),1)*
IF(OR(INDEX(Charge_Type,MATCH($P154,Charge_Names,0))=INDEX(Species_Type_1,MATCH($N154,Species_Names,0)),INDEX(Charge_Type,MATCH($P154,Charge_Names,0))=INDEX(Species_Type_2,MATCH($N154,Species_Names,0))),Game_STAB_Multiplier,1))</f>
        <v>1.25</v>
      </c>
      <c r="W154" s="33" t="s">
        <v>511</v>
      </c>
      <c r="X154" s="33" t="s">
        <v>514</v>
      </c>
      <c r="Y154" s="32" t="e">
        <f t="array" ref="Y154">((($Z154)*
INDEX(Species_Attack,MATCH($N154,Species_Names,0))*
INDEX(Species_Tankiness,MATCH($N154,Species_Names,0)))/1000)</f>
        <v>#VALUE!</v>
      </c>
      <c r="Z154" s="33" t="s">
        <v>603</v>
      </c>
    </row>
    <row r="155" spans="1:26" ht="14.25" customHeight="1" x14ac:dyDescent="0.2">
      <c r="A155" s="86"/>
      <c r="B155" s="22" t="str">
        <f t="array" ref="B155">CONCATENATE(TEXT($M155,"000"),".",TEXT(INDEX(Quick_Number,MATCH($O155,Quick_Names,0)),"000"),".",TEXT(INDEX(Charge_Number,MATCH($P155,Charge_Names,0)),"000"))</f>
        <v>076.216.062</v>
      </c>
      <c r="C155" s="23" t="e">
        <f t="array" ref="C155">RANK($S155,IF(Combo_Species_Names=$N155,Combo_Gym_Offense),0)</f>
        <v>#VALUE!</v>
      </c>
      <c r="D155" s="24" t="e">
        <f t="array" ref="D155">$S155/MAX(IF(Combo_Species_Names=$N155,Combo_Gym_Offense))</f>
        <v>#VALUE!</v>
      </c>
      <c r="E155" s="23" t="e">
        <f t="array" ref="E155">RANK($Y155,IF(Combo_Species_Names=$N155,Combo_Gym_Defense),0)</f>
        <v>#VALUE!</v>
      </c>
      <c r="F155" s="25" t="e">
        <f t="array" ref="F155">$Y155/MAX(IF(Combo_Species_Names=$N155,Combo_Gym_Defense))</f>
        <v>#VALUE!</v>
      </c>
      <c r="G155" s="23" t="e">
        <f t="array" ref="G155">IF(OR(INDEX(Species_Availability,MATCH($N155,Species_Names,0))="No",INDEX(Species_Evo_Numbers,MATCH($N155,Species_Names,0))&lt;&gt;1),"N/A",RANK($R155,IF(NOT(ISNA(MATCH(Combo_Species_Names,IF(Species_Availability="Yes",IF(Species_Evo_Numbers=1,Species_Names)),0))),Combo_Duel_Ability),0))</f>
        <v>#VALUE!</v>
      </c>
      <c r="H155" s="24" t="e">
        <f t="array" ref="H155">IF(OR(INDEX(Species_Availability,MATCH($N155,Species_Names,0))="No",INDEX(Species_Evo_Numbers,MATCH($N155,Species_Names,0))&lt;&gt;1),"N/A",$R155/MAX(IF(NOT(ISNA(MATCH(Combo_Species_Names,IF(Species_Availability="Yes",IF(Species_Evo_Numbers=1,Species_Names)),0))),Combo_Duel_Ability)))</f>
        <v>#VALUE!</v>
      </c>
      <c r="I155" s="23" t="e">
        <f t="array" ref="I155">IF(OR(INDEX(Species_Availability,MATCH($N155,Species_Names,0))="No",INDEX(Species_Evo_Numbers,MATCH($N155,Species_Names,0))&lt;&gt;1),"N/A",RANK($S155,IF(NOT(ISNA(MATCH(Combo_Species_Names,IF(Species_Availability="Yes",IF(Species_Evo_Numbers=1,Species_Names)),0))),Combo_Gym_Offense),0))</f>
        <v>#VALUE!</v>
      </c>
      <c r="J155" s="24" t="e">
        <f t="array" ref="J155">IF(OR(INDEX(Species_Availability,MATCH($N155,Species_Names,0))="No",INDEX(Species_Evo_Numbers,MATCH($N155,Species_Names,0))&lt;&gt;1),"N/A",$S155/MAX(IF(NOT(ISNA(MATCH(Combo_Species_Names,IF(Species_Availability="Yes",IF(Species_Evo_Numbers=1,Species_Names)),0))),Combo_Gym_Offense)))</f>
        <v>#VALUE!</v>
      </c>
      <c r="K155" s="23" t="e">
        <f t="array" ref="K155">IF(OR(INDEX(Species_Availability,MATCH($N155,Species_Names,0))="No",INDEX(Species_Evo_Numbers,MATCH($N155,Species_Names,0))&lt;&gt;1),"N/A",RANK($Y155,IF(NOT(ISNA(MATCH(Combo_Species_Names,IF(Species_Availability="Yes",IF(Species_Evo_Numbers=1,Species_Names)),0))),Combo_Gym_Defense),0))</f>
        <v>#VALUE!</v>
      </c>
      <c r="L155" s="24" t="e">
        <f t="array" ref="L155">IF(OR(INDEX(Species_Availability,MATCH($N155,Species_Names,0))="No",INDEX(Species_Evo_Numbers,MATCH($N155,Species_Names,0))&lt;&gt;1),"N/A",$Y155/MAX(IF(NOT(ISNA(MATCH(Combo_Species_Names,IF(Species_Availability="Yes",IF(Species_Evo_Numbers=1,Species_Names)),0))),Combo_Gym_Defense)))</f>
        <v>#VALUE!</v>
      </c>
      <c r="M155" s="28">
        <f t="array" ref="M155">INDEX(Species_Pdex_Numbers,MATCH($N155,Species_Names,0))</f>
        <v>76</v>
      </c>
      <c r="N155" s="30" t="s">
        <v>244</v>
      </c>
      <c r="O155" s="31" t="s">
        <v>89</v>
      </c>
      <c r="P155" s="31" t="s">
        <v>297</v>
      </c>
      <c r="Q155" s="17" t="e">
        <f t="shared" si="4"/>
        <v>#VALUE!</v>
      </c>
      <c r="R155" s="32" t="e">
        <f t="array" ref="R155">IF(OR(AND(COUNTBLANK(Combo_Opponent_Type_1)=1,COUNTBLANK(Combo_Opponent_Type_2)=0),AND(AND(COUNTBLANK(Combo_Opponent_Type_1)=0,COUNTBLANK(Combo_Opponent_Type_2)=0),Combo_Opponent_Type_1=Combo_Opponent_Type_2)),
"Check Types",($S155*INDEX(Species_Tankiness,MATCH($N155,Species_Names,0)))/225)</f>
        <v>#VALUE!</v>
      </c>
      <c r="S155" s="32" t="e">
        <f t="array" ref="S155">IF(OR(AND(COUNTBLANK(Combo_Opponent_Type_1)=1,COUNTBLANK(Combo_Opponent_Type_2)=0),AND(AND(COUNTBLANK(Combo_Opponent_Type_1)=0,COUNTBLANK(Combo_Opponent_Type_2)=0),Combo_Opponent_Type_1=Combo_Opponent_Type_2)),
"Check Types",(
IF($W155&gt;=((1-Game_Weave_Human_Error)*$X155),$W155,$X155)*INDEX(Species_Attack,MATCH($N155,Species_Names,0)))/11)</f>
        <v>#VALUE!</v>
      </c>
      <c r="T155" s="33" t="e">
        <f t="shared" si="5"/>
        <v>#VALUE!</v>
      </c>
      <c r="U155" s="33">
        <f t="array" ref="U1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155,Quick_Names,0))),Type_Species)),0),1)*IF(COUNTBLANK(Combo_Opponent_Type_2)=0,INDEX(Type_Damage_Multipliers,MATCH(Combo_Opponent_Type_2,IF(Type_Move=(INDEX(Quick_Type,MATCH($O155,Quick_Names,0))),Type_Species)),0),1)*(IF(OR(INDEX(Quick_Type,MATCH($O155,Quick_Names,0))=INDEX(Species_Type_1,MATCH($N155,Species_Names,0)),INDEX(Quick_Type,MATCH($O155,Quick_Names,0))=INDEX(Species_Type_2,MATCH($N155,Species_Names,0))),Game_STAB_Multiplier,1)))</f>
        <v>1.25</v>
      </c>
      <c r="V155" s="33">
        <f t="array" ref="V1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155,Charge_Names,0))),Type_Species)),0),1)*IF(COUNTBLANK(Combo_Opponent_Type_2)=0,INDEX(Type_Damage_Multipliers,MATCH(Combo_Opponent_Type_2,IF(Type_Move=(INDEX(Charge_Type,MATCH($P155,Charge_Names,0))),Type_Species)),0),1)*
IF(OR(INDEX(Charge_Type,MATCH($P155,Charge_Names,0))=INDEX(Species_Type_1,MATCH($N155,Species_Names,0)),INDEX(Charge_Type,MATCH($P155,Charge_Names,0))=INDEX(Species_Type_2,MATCH($N155,Species_Names,0))),Game_STAB_Multiplier,1))</f>
        <v>1.25</v>
      </c>
      <c r="W155" s="33" t="s">
        <v>496</v>
      </c>
      <c r="X155" s="33" t="s">
        <v>644</v>
      </c>
      <c r="Y155" s="32" t="e">
        <f t="array" ref="Y155">((($Z155)*
INDEX(Species_Attack,MATCH($N155,Species_Names,0))*
INDEX(Species_Tankiness,MATCH($N155,Species_Names,0)))/1000)</f>
        <v>#VALUE!</v>
      </c>
      <c r="Z155" s="33" t="s">
        <v>645</v>
      </c>
    </row>
    <row r="156" spans="1:26" ht="14.25" customHeight="1" x14ac:dyDescent="0.2">
      <c r="A156" s="86"/>
      <c r="B156" s="22" t="str">
        <f t="array" ref="B156">CONCATENATE(TEXT($M156,"000"),".",TEXT(INDEX(Quick_Number,MATCH($O156,Quick_Names,0)),"000"),".",TEXT(INDEX(Charge_Number,MATCH($P156,Charge_Names,0)),"000"))</f>
        <v>142.202.014</v>
      </c>
      <c r="C156" s="23" t="e">
        <f t="array" ref="C156">RANK($S156,IF(Combo_Species_Names=$N156,Combo_Gym_Offense),0)</f>
        <v>#VALUE!</v>
      </c>
      <c r="D156" s="24" t="e">
        <f t="array" ref="D156">$S156/MAX(IF(Combo_Species_Names=$N156,Combo_Gym_Offense))</f>
        <v>#VALUE!</v>
      </c>
      <c r="E156" s="23" t="e">
        <f t="array" ref="E156">RANK($Y156,IF(Combo_Species_Names=$N156,Combo_Gym_Defense),0)</f>
        <v>#VALUE!</v>
      </c>
      <c r="F156" s="25" t="e">
        <f t="array" ref="F156">$Y156/MAX(IF(Combo_Species_Names=$N156,Combo_Gym_Defense))</f>
        <v>#VALUE!</v>
      </c>
      <c r="G156" s="23" t="e">
        <f t="array" ref="G156">IF(OR(INDEX(Species_Availability,MATCH($N156,Species_Names,0))="No",INDEX(Species_Evo_Numbers,MATCH($N156,Species_Names,0))&lt;&gt;1),"N/A",RANK($R156,IF(NOT(ISNA(MATCH(Combo_Species_Names,IF(Species_Availability="Yes",IF(Species_Evo_Numbers=1,Species_Names)),0))),Combo_Duel_Ability),0))</f>
        <v>#VALUE!</v>
      </c>
      <c r="H156" s="24" t="e">
        <f t="array" ref="H156">IF(OR(INDEX(Species_Availability,MATCH($N156,Species_Names,0))="No",INDEX(Species_Evo_Numbers,MATCH($N156,Species_Names,0))&lt;&gt;1),"N/A",$R156/MAX(IF(NOT(ISNA(MATCH(Combo_Species_Names,IF(Species_Availability="Yes",IF(Species_Evo_Numbers=1,Species_Names)),0))),Combo_Duel_Ability)))</f>
        <v>#VALUE!</v>
      </c>
      <c r="I156" s="23" t="e">
        <f t="array" ref="I156">IF(OR(INDEX(Species_Availability,MATCH($N156,Species_Names,0))="No",INDEX(Species_Evo_Numbers,MATCH($N156,Species_Names,0))&lt;&gt;1),"N/A",RANK($S156,IF(NOT(ISNA(MATCH(Combo_Species_Names,IF(Species_Availability="Yes",IF(Species_Evo_Numbers=1,Species_Names)),0))),Combo_Gym_Offense),0))</f>
        <v>#VALUE!</v>
      </c>
      <c r="J156" s="24" t="e">
        <f t="array" ref="J156">IF(OR(INDEX(Species_Availability,MATCH($N156,Species_Names,0))="No",INDEX(Species_Evo_Numbers,MATCH($N156,Species_Names,0))&lt;&gt;1),"N/A",$S156/MAX(IF(NOT(ISNA(MATCH(Combo_Species_Names,IF(Species_Availability="Yes",IF(Species_Evo_Numbers=1,Species_Names)),0))),Combo_Gym_Offense)))</f>
        <v>#VALUE!</v>
      </c>
      <c r="K156" s="23" t="e">
        <f t="array" ref="K156">IF(OR(INDEX(Species_Availability,MATCH($N156,Species_Names,0))="No",INDEX(Species_Evo_Numbers,MATCH($N156,Species_Names,0))&lt;&gt;1),"N/A",RANK($Y156,IF(NOT(ISNA(MATCH(Combo_Species_Names,IF(Species_Availability="Yes",IF(Species_Evo_Numbers=1,Species_Names)),0))),Combo_Gym_Defense),0))</f>
        <v>#VALUE!</v>
      </c>
      <c r="L156" s="24" t="e">
        <f t="array" ref="L156">IF(OR(INDEX(Species_Availability,MATCH($N156,Species_Names,0))="No",INDEX(Species_Evo_Numbers,MATCH($N156,Species_Names,0))&lt;&gt;1),"N/A",$Y156/MAX(IF(NOT(ISNA(MATCH(Combo_Species_Names,IF(Species_Availability="Yes",IF(Species_Evo_Numbers=1,Species_Names)),0))),Combo_Gym_Defense)))</f>
        <v>#VALUE!</v>
      </c>
      <c r="M156" s="28">
        <f t="array" ref="M156">INDEX(Species_Pdex_Numbers,MATCH($N156,Species_Names,0))</f>
        <v>142</v>
      </c>
      <c r="N156" s="30" t="s">
        <v>360</v>
      </c>
      <c r="O156" s="31" t="s">
        <v>59</v>
      </c>
      <c r="P156" s="31" t="s">
        <v>130</v>
      </c>
      <c r="Q156" s="17" t="e">
        <f t="shared" si="4"/>
        <v>#VALUE!</v>
      </c>
      <c r="R156" s="32" t="e">
        <f t="array" ref="R156">IF(OR(AND(COUNTBLANK(Combo_Opponent_Type_1)=1,COUNTBLANK(Combo_Opponent_Type_2)=0),AND(AND(COUNTBLANK(Combo_Opponent_Type_1)=0,COUNTBLANK(Combo_Opponent_Type_2)=0),Combo_Opponent_Type_1=Combo_Opponent_Type_2)),
"Check Types",($S156*INDEX(Species_Tankiness,MATCH($N156,Species_Names,0)))/225)</f>
        <v>#VALUE!</v>
      </c>
      <c r="S156" s="32" t="e">
        <f t="array" ref="S156">IF(OR(AND(COUNTBLANK(Combo_Opponent_Type_1)=1,COUNTBLANK(Combo_Opponent_Type_2)=0),AND(AND(COUNTBLANK(Combo_Opponent_Type_1)=0,COUNTBLANK(Combo_Opponent_Type_2)=0),Combo_Opponent_Type_1=Combo_Opponent_Type_2)),
"Check Types",(
IF($W156&gt;=((1-Game_Weave_Human_Error)*$X156),$W156,$X156)*INDEX(Species_Attack,MATCH($N156,Species_Names,0)))/11)</f>
        <v>#VALUE!</v>
      </c>
      <c r="T156" s="33" t="e">
        <f t="shared" si="5"/>
        <v>#VALUE!</v>
      </c>
      <c r="U156" s="33">
        <f t="array" ref="U1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156,Quick_Names,0))),Type_Species)),0),1)*IF(COUNTBLANK(Combo_Opponent_Type_2)=0,INDEX(Type_Damage_Multipliers,MATCH(Combo_Opponent_Type_2,IF(Type_Move=(INDEX(Quick_Type,MATCH($O156,Quick_Names,0))),Type_Species)),0),1)*(IF(OR(INDEX(Quick_Type,MATCH($O156,Quick_Names,0))=INDEX(Species_Type_1,MATCH($N156,Species_Names,0)),INDEX(Quick_Type,MATCH($O156,Quick_Names,0))=INDEX(Species_Type_2,MATCH($N156,Species_Names,0))),Game_STAB_Multiplier,1)))</f>
        <v>1</v>
      </c>
      <c r="V156" s="33">
        <f t="array" ref="V1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156,Charge_Names,0))),Type_Species)),0),1)*IF(COUNTBLANK(Combo_Opponent_Type_2)=0,INDEX(Type_Damage_Multipliers,MATCH(Combo_Opponent_Type_2,IF(Type_Move=(INDEX(Charge_Type,MATCH($P156,Charge_Names,0))),Type_Species)),0),1)*
IF(OR(INDEX(Charge_Type,MATCH($P156,Charge_Names,0))=INDEX(Species_Type_1,MATCH($N156,Species_Names,0)),INDEX(Charge_Type,MATCH($P156,Charge_Names,0))=INDEX(Species_Type_2,MATCH($N156,Species_Names,0))),Game_STAB_Multiplier,1))</f>
        <v>1</v>
      </c>
      <c r="W156" s="33" t="s">
        <v>453</v>
      </c>
      <c r="X156" s="33" t="s">
        <v>646</v>
      </c>
      <c r="Y156" s="32" t="e">
        <f t="array" ref="Y156">((($Z156)*
INDEX(Species_Attack,MATCH($N156,Species_Names,0))*
INDEX(Species_Tankiness,MATCH($N156,Species_Names,0)))/1000)</f>
        <v>#VALUE!</v>
      </c>
      <c r="Z156" s="33" t="s">
        <v>647</v>
      </c>
    </row>
    <row r="157" spans="1:26" ht="14.25" customHeight="1" x14ac:dyDescent="0.2">
      <c r="A157" s="86"/>
      <c r="B157" s="22" t="str">
        <f t="array" ref="B157">CONCATENATE(TEXT($M157,"000"),".",TEXT(INDEX(Quick_Number,MATCH($O157,Quick_Names,0)),"000"),".",TEXT(INDEX(Charge_Number,MATCH($P157,Charge_Names,0)),"000"))</f>
        <v>038.209.024</v>
      </c>
      <c r="C157" s="23" t="e">
        <f t="array" ref="C157">RANK($S157,IF(Combo_Species_Names=$N157,Combo_Gym_Offense),0)</f>
        <v>#VALUE!</v>
      </c>
      <c r="D157" s="24" t="e">
        <f t="array" ref="D157">$S157/MAX(IF(Combo_Species_Names=$N157,Combo_Gym_Offense))</f>
        <v>#VALUE!</v>
      </c>
      <c r="E157" s="23" t="e">
        <f t="array" ref="E157">RANK($Y157,IF(Combo_Species_Names=$N157,Combo_Gym_Defense),0)</f>
        <v>#VALUE!</v>
      </c>
      <c r="F157" s="25" t="e">
        <f t="array" ref="F157">$Y157/MAX(IF(Combo_Species_Names=$N157,Combo_Gym_Defense))</f>
        <v>#VALUE!</v>
      </c>
      <c r="G157" s="23" t="e">
        <f t="array" ref="G157">IF(OR(INDEX(Species_Availability,MATCH($N157,Species_Names,0))="No",INDEX(Species_Evo_Numbers,MATCH($N157,Species_Names,0))&lt;&gt;1),"N/A",RANK($R157,IF(NOT(ISNA(MATCH(Combo_Species_Names,IF(Species_Availability="Yes",IF(Species_Evo_Numbers=1,Species_Names)),0))),Combo_Duel_Ability),0))</f>
        <v>#VALUE!</v>
      </c>
      <c r="H157" s="24" t="e">
        <f t="array" ref="H157">IF(OR(INDEX(Species_Availability,MATCH($N157,Species_Names,0))="No",INDEX(Species_Evo_Numbers,MATCH($N157,Species_Names,0))&lt;&gt;1),"N/A",$R157/MAX(IF(NOT(ISNA(MATCH(Combo_Species_Names,IF(Species_Availability="Yes",IF(Species_Evo_Numbers=1,Species_Names)),0))),Combo_Duel_Ability)))</f>
        <v>#VALUE!</v>
      </c>
      <c r="I157" s="23" t="e">
        <f t="array" ref="I157">IF(OR(INDEX(Species_Availability,MATCH($N157,Species_Names,0))="No",INDEX(Species_Evo_Numbers,MATCH($N157,Species_Names,0))&lt;&gt;1),"N/A",RANK($S157,IF(NOT(ISNA(MATCH(Combo_Species_Names,IF(Species_Availability="Yes",IF(Species_Evo_Numbers=1,Species_Names)),0))),Combo_Gym_Offense),0))</f>
        <v>#VALUE!</v>
      </c>
      <c r="J157" s="24" t="e">
        <f t="array" ref="J157">IF(OR(INDEX(Species_Availability,MATCH($N157,Species_Names,0))="No",INDEX(Species_Evo_Numbers,MATCH($N157,Species_Names,0))&lt;&gt;1),"N/A",$S157/MAX(IF(NOT(ISNA(MATCH(Combo_Species_Names,IF(Species_Availability="Yes",IF(Species_Evo_Numbers=1,Species_Names)),0))),Combo_Gym_Offense)))</f>
        <v>#VALUE!</v>
      </c>
      <c r="K157" s="23" t="e">
        <f t="array" ref="K157">IF(OR(INDEX(Species_Availability,MATCH($N157,Species_Names,0))="No",INDEX(Species_Evo_Numbers,MATCH($N157,Species_Names,0))&lt;&gt;1),"N/A",RANK($Y157,IF(NOT(ISNA(MATCH(Combo_Species_Names,IF(Species_Availability="Yes",IF(Species_Evo_Numbers=1,Species_Names)),0))),Combo_Gym_Defense),0))</f>
        <v>#VALUE!</v>
      </c>
      <c r="L157" s="24" t="e">
        <f t="array" ref="L157">IF(OR(INDEX(Species_Availability,MATCH($N157,Species_Names,0))="No",INDEX(Species_Evo_Numbers,MATCH($N157,Species_Names,0))&lt;&gt;1),"N/A",$Y157/MAX(IF(NOT(ISNA(MATCH(Combo_Species_Names,IF(Species_Availability="Yes",IF(Species_Evo_Numbers=1,Species_Names)),0))),Combo_Gym_Defense)))</f>
        <v>#VALUE!</v>
      </c>
      <c r="M157" s="28">
        <f t="array" ref="M157">INDEX(Species_Pdex_Numbers,MATCH($N157,Species_Names,0))</f>
        <v>38</v>
      </c>
      <c r="N157" s="30" t="s">
        <v>167</v>
      </c>
      <c r="O157" s="31" t="s">
        <v>111</v>
      </c>
      <c r="P157" s="31" t="s">
        <v>200</v>
      </c>
      <c r="Q157" s="17" t="e">
        <f t="shared" si="4"/>
        <v>#VALUE!</v>
      </c>
      <c r="R157" s="32" t="e">
        <f t="array" ref="R157">IF(OR(AND(COUNTBLANK(Combo_Opponent_Type_1)=1,COUNTBLANK(Combo_Opponent_Type_2)=0),AND(AND(COUNTBLANK(Combo_Opponent_Type_1)=0,COUNTBLANK(Combo_Opponent_Type_2)=0),Combo_Opponent_Type_1=Combo_Opponent_Type_2)),
"Check Types",($S157*INDEX(Species_Tankiness,MATCH($N157,Species_Names,0)))/225)</f>
        <v>#VALUE!</v>
      </c>
      <c r="S157" s="32" t="e">
        <f t="array" ref="S157">IF(OR(AND(COUNTBLANK(Combo_Opponent_Type_1)=1,COUNTBLANK(Combo_Opponent_Type_2)=0),AND(AND(COUNTBLANK(Combo_Opponent_Type_1)=0,COUNTBLANK(Combo_Opponent_Type_2)=0),Combo_Opponent_Type_1=Combo_Opponent_Type_2)),
"Check Types",(
IF($W157&gt;=((1-Game_Weave_Human_Error)*$X157),$W157,$X157)*INDEX(Species_Attack,MATCH($N157,Species_Names,0)))/11)</f>
        <v>#VALUE!</v>
      </c>
      <c r="T157" s="33" t="e">
        <f t="shared" si="5"/>
        <v>#VALUE!</v>
      </c>
      <c r="U157" s="33">
        <f t="array" ref="U1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157,Quick_Names,0))),Type_Species)),0),1)*IF(COUNTBLANK(Combo_Opponent_Type_2)=0,INDEX(Type_Damage_Multipliers,MATCH(Combo_Opponent_Type_2,IF(Type_Move=(INDEX(Quick_Type,MATCH($O157,Quick_Names,0))),Type_Species)),0),1)*(IF(OR(INDEX(Quick_Type,MATCH($O157,Quick_Names,0))=INDEX(Species_Type_1,MATCH($N157,Species_Names,0)),INDEX(Quick_Type,MATCH($O157,Quick_Names,0))=INDEX(Species_Type_2,MATCH($N157,Species_Names,0))),Game_STAB_Multiplier,1)))</f>
        <v>1.25</v>
      </c>
      <c r="V157" s="33">
        <f t="array" ref="V1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157,Charge_Names,0))),Type_Species)),0),1)*IF(COUNTBLANK(Combo_Opponent_Type_2)=0,INDEX(Type_Damage_Multipliers,MATCH(Combo_Opponent_Type_2,IF(Type_Move=(INDEX(Charge_Type,MATCH($P157,Charge_Names,0))),Type_Species)),0),1)*
IF(OR(INDEX(Charge_Type,MATCH($P157,Charge_Names,0))=INDEX(Species_Type_1,MATCH($N157,Species_Names,0)),INDEX(Charge_Type,MATCH($P157,Charge_Names,0))=INDEX(Species_Type_2,MATCH($N157,Species_Names,0))),Game_STAB_Multiplier,1))</f>
        <v>1.25</v>
      </c>
      <c r="W157" s="33" t="s">
        <v>511</v>
      </c>
      <c r="X157" s="33" t="s">
        <v>560</v>
      </c>
      <c r="Y157" s="32" t="e">
        <f t="array" ref="Y157">((($Z157)*
INDEX(Species_Attack,MATCH($N157,Species_Names,0))*
INDEX(Species_Tankiness,MATCH($N157,Species_Names,0)))/1000)</f>
        <v>#VALUE!</v>
      </c>
      <c r="Z157" s="33" t="s">
        <v>561</v>
      </c>
    </row>
    <row r="158" spans="1:26" ht="14.25" customHeight="1" x14ac:dyDescent="0.2">
      <c r="A158" s="86"/>
      <c r="B158" s="22" t="str">
        <f t="array" ref="B158">CONCATENATE(TEXT($M158,"000"),".",TEXT(INDEX(Quick_Number,MATCH($O158,Quick_Names,0)),"000"),".",TEXT(INDEX(Charge_Number,MATCH($P158,Charge_Names,0)),"000"))</f>
        <v>087.218.057</v>
      </c>
      <c r="C158" s="23" t="e">
        <f t="array" ref="C158">RANK($S158,IF(Combo_Species_Names=$N158,Combo_Gym_Offense),0)</f>
        <v>#VALUE!</v>
      </c>
      <c r="D158" s="24" t="e">
        <f t="array" ref="D158">$S158/MAX(IF(Combo_Species_Names=$N158,Combo_Gym_Offense))</f>
        <v>#VALUE!</v>
      </c>
      <c r="E158" s="23" t="e">
        <f t="array" ref="E158">RANK($Y158,IF(Combo_Species_Names=$N158,Combo_Gym_Defense),0)</f>
        <v>#VALUE!</v>
      </c>
      <c r="F158" s="25" t="e">
        <f t="array" ref="F158">$Y158/MAX(IF(Combo_Species_Names=$N158,Combo_Gym_Defense))</f>
        <v>#VALUE!</v>
      </c>
      <c r="G158" s="23" t="e">
        <f t="array" ref="G158">IF(OR(INDEX(Species_Availability,MATCH($N158,Species_Names,0))="No",INDEX(Species_Evo_Numbers,MATCH($N158,Species_Names,0))&lt;&gt;1),"N/A",RANK($R158,IF(NOT(ISNA(MATCH(Combo_Species_Names,IF(Species_Availability="Yes",IF(Species_Evo_Numbers=1,Species_Names)),0))),Combo_Duel_Ability),0))</f>
        <v>#VALUE!</v>
      </c>
      <c r="H158" s="24" t="e">
        <f t="array" ref="H158">IF(OR(INDEX(Species_Availability,MATCH($N158,Species_Names,0))="No",INDEX(Species_Evo_Numbers,MATCH($N158,Species_Names,0))&lt;&gt;1),"N/A",$R158/MAX(IF(NOT(ISNA(MATCH(Combo_Species_Names,IF(Species_Availability="Yes",IF(Species_Evo_Numbers=1,Species_Names)),0))),Combo_Duel_Ability)))</f>
        <v>#VALUE!</v>
      </c>
      <c r="I158" s="23" t="e">
        <f t="array" ref="I158">IF(OR(INDEX(Species_Availability,MATCH($N158,Species_Names,0))="No",INDEX(Species_Evo_Numbers,MATCH($N158,Species_Names,0))&lt;&gt;1),"N/A",RANK($S158,IF(NOT(ISNA(MATCH(Combo_Species_Names,IF(Species_Availability="Yes",IF(Species_Evo_Numbers=1,Species_Names)),0))),Combo_Gym_Offense),0))</f>
        <v>#VALUE!</v>
      </c>
      <c r="J158" s="24" t="e">
        <f t="array" ref="J158">IF(OR(INDEX(Species_Availability,MATCH($N158,Species_Names,0))="No",INDEX(Species_Evo_Numbers,MATCH($N158,Species_Names,0))&lt;&gt;1),"N/A",$S158/MAX(IF(NOT(ISNA(MATCH(Combo_Species_Names,IF(Species_Availability="Yes",IF(Species_Evo_Numbers=1,Species_Names)),0))),Combo_Gym_Offense)))</f>
        <v>#VALUE!</v>
      </c>
      <c r="K158" s="23" t="e">
        <f t="array" ref="K158">IF(OR(INDEX(Species_Availability,MATCH($N158,Species_Names,0))="No",INDEX(Species_Evo_Numbers,MATCH($N158,Species_Names,0))&lt;&gt;1),"N/A",RANK($Y158,IF(NOT(ISNA(MATCH(Combo_Species_Names,IF(Species_Availability="Yes",IF(Species_Evo_Numbers=1,Species_Names)),0))),Combo_Gym_Defense),0))</f>
        <v>#VALUE!</v>
      </c>
      <c r="L158" s="24" t="e">
        <f t="array" ref="L158">IF(OR(INDEX(Species_Availability,MATCH($N158,Species_Names,0))="No",INDEX(Species_Evo_Numbers,MATCH($N158,Species_Names,0))&lt;&gt;1),"N/A",$Y158/MAX(IF(NOT(ISNA(MATCH(Combo_Species_Names,IF(Species_Availability="Yes",IF(Species_Evo_Numbers=1,Species_Names)),0))),Combo_Gym_Defense)))</f>
        <v>#VALUE!</v>
      </c>
      <c r="M158" s="28">
        <f t="array" ref="M158">INDEX(Species_Pdex_Numbers,MATCH($N158,Species_Names,0))</f>
        <v>87</v>
      </c>
      <c r="N158" s="30" t="s">
        <v>268</v>
      </c>
      <c r="O158" s="31" t="s">
        <v>87</v>
      </c>
      <c r="P158" s="31" t="s">
        <v>280</v>
      </c>
      <c r="Q158" s="17" t="e">
        <f t="shared" si="4"/>
        <v>#VALUE!</v>
      </c>
      <c r="R158" s="32" t="e">
        <f t="array" ref="R158">IF(OR(AND(COUNTBLANK(Combo_Opponent_Type_1)=1,COUNTBLANK(Combo_Opponent_Type_2)=0),AND(AND(COUNTBLANK(Combo_Opponent_Type_1)=0,COUNTBLANK(Combo_Opponent_Type_2)=0),Combo_Opponent_Type_1=Combo_Opponent_Type_2)),
"Check Types",($S158*INDEX(Species_Tankiness,MATCH($N158,Species_Names,0)))/225)</f>
        <v>#VALUE!</v>
      </c>
      <c r="S158" s="32" t="e">
        <f t="array" ref="S158">IF(OR(AND(COUNTBLANK(Combo_Opponent_Type_1)=1,COUNTBLANK(Combo_Opponent_Type_2)=0),AND(AND(COUNTBLANK(Combo_Opponent_Type_1)=0,COUNTBLANK(Combo_Opponent_Type_2)=0),Combo_Opponent_Type_1=Combo_Opponent_Type_2)),
"Check Types",(
IF($W158&gt;=((1-Game_Weave_Human_Error)*$X158),$W158,$X158)*INDEX(Species_Attack,MATCH($N158,Species_Names,0)))/11)</f>
        <v>#VALUE!</v>
      </c>
      <c r="T158" s="33" t="e">
        <f t="shared" si="5"/>
        <v>#VALUE!</v>
      </c>
      <c r="U158" s="33">
        <f t="array" ref="U1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158,Quick_Names,0))),Type_Species)),0),1)*IF(COUNTBLANK(Combo_Opponent_Type_2)=0,INDEX(Type_Damage_Multipliers,MATCH(Combo_Opponent_Type_2,IF(Type_Move=(INDEX(Quick_Type,MATCH($O158,Quick_Names,0))),Type_Species)),0),1)*(IF(OR(INDEX(Quick_Type,MATCH($O158,Quick_Names,0))=INDEX(Species_Type_1,MATCH($N158,Species_Names,0)),INDEX(Quick_Type,MATCH($O158,Quick_Names,0))=INDEX(Species_Type_2,MATCH($N158,Species_Names,0))),Game_STAB_Multiplier,1)))</f>
        <v>1.25</v>
      </c>
      <c r="V158" s="33">
        <f t="array" ref="V1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158,Charge_Names,0))),Type_Species)),0),1)*IF(COUNTBLANK(Combo_Opponent_Type_2)=0,INDEX(Type_Damage_Multipliers,MATCH(Combo_Opponent_Type_2,IF(Type_Move=(INDEX(Charge_Type,MATCH($P158,Charge_Names,0))),Type_Species)),0),1)*
IF(OR(INDEX(Charge_Type,MATCH($P158,Charge_Names,0))=INDEX(Species_Type_1,MATCH($N158,Species_Names,0)),INDEX(Charge_Type,MATCH($P158,Charge_Names,0))=INDEX(Species_Type_2,MATCH($N158,Species_Names,0))),Game_STAB_Multiplier,1))</f>
        <v>1.25</v>
      </c>
      <c r="W158" s="33" t="s">
        <v>422</v>
      </c>
      <c r="X158" s="33" t="s">
        <v>648</v>
      </c>
      <c r="Y158" s="32" t="e">
        <f t="array" ref="Y158">((($Z158)*
INDEX(Species_Attack,MATCH($N158,Species_Names,0))*
INDEX(Species_Tankiness,MATCH($N158,Species_Names,0)))/1000)</f>
        <v>#VALUE!</v>
      </c>
      <c r="Z158" s="33" t="s">
        <v>649</v>
      </c>
    </row>
    <row r="159" spans="1:26" ht="14.25" customHeight="1" x14ac:dyDescent="0.2">
      <c r="A159" s="86"/>
      <c r="B159" s="22" t="str">
        <f t="array" ref="B159">CONCATENATE(TEXT($M159,"000"),".",TEXT(INDEX(Quick_Number,MATCH($O159,Quick_Names,0)),"000"),".",TEXT(INDEX(Charge_Number,MATCH($P159,Charge_Names,0)),"000"))</f>
        <v>087.218.111</v>
      </c>
      <c r="C159" s="23" t="e">
        <f t="array" ref="C159">RANK($S159,IF(Combo_Species_Names=$N159,Combo_Gym_Offense),0)</f>
        <v>#VALUE!</v>
      </c>
      <c r="D159" s="24" t="e">
        <f t="array" ref="D159">$S159/MAX(IF(Combo_Species_Names=$N159,Combo_Gym_Offense))</f>
        <v>#VALUE!</v>
      </c>
      <c r="E159" s="23" t="e">
        <f t="array" ref="E159">RANK($Y159,IF(Combo_Species_Names=$N159,Combo_Gym_Defense),0)</f>
        <v>#VALUE!</v>
      </c>
      <c r="F159" s="25" t="e">
        <f t="array" ref="F159">$Y159/MAX(IF(Combo_Species_Names=$N159,Combo_Gym_Defense))</f>
        <v>#VALUE!</v>
      </c>
      <c r="G159" s="23" t="e">
        <f t="array" ref="G159">IF(OR(INDEX(Species_Availability,MATCH($N159,Species_Names,0))="No",INDEX(Species_Evo_Numbers,MATCH($N159,Species_Names,0))&lt;&gt;1),"N/A",RANK($R159,IF(NOT(ISNA(MATCH(Combo_Species_Names,IF(Species_Availability="Yes",IF(Species_Evo_Numbers=1,Species_Names)),0))),Combo_Duel_Ability),0))</f>
        <v>#VALUE!</v>
      </c>
      <c r="H159" s="24" t="e">
        <f t="array" ref="H159">IF(OR(INDEX(Species_Availability,MATCH($N159,Species_Names,0))="No",INDEX(Species_Evo_Numbers,MATCH($N159,Species_Names,0))&lt;&gt;1),"N/A",$R159/MAX(IF(NOT(ISNA(MATCH(Combo_Species_Names,IF(Species_Availability="Yes",IF(Species_Evo_Numbers=1,Species_Names)),0))),Combo_Duel_Ability)))</f>
        <v>#VALUE!</v>
      </c>
      <c r="I159" s="23" t="e">
        <f t="array" ref="I159">IF(OR(INDEX(Species_Availability,MATCH($N159,Species_Names,0))="No",INDEX(Species_Evo_Numbers,MATCH($N159,Species_Names,0))&lt;&gt;1),"N/A",RANK($S159,IF(NOT(ISNA(MATCH(Combo_Species_Names,IF(Species_Availability="Yes",IF(Species_Evo_Numbers=1,Species_Names)),0))),Combo_Gym_Offense),0))</f>
        <v>#VALUE!</v>
      </c>
      <c r="J159" s="24" t="e">
        <f t="array" ref="J159">IF(OR(INDEX(Species_Availability,MATCH($N159,Species_Names,0))="No",INDEX(Species_Evo_Numbers,MATCH($N159,Species_Names,0))&lt;&gt;1),"N/A",$S159/MAX(IF(NOT(ISNA(MATCH(Combo_Species_Names,IF(Species_Availability="Yes",IF(Species_Evo_Numbers=1,Species_Names)),0))),Combo_Gym_Offense)))</f>
        <v>#VALUE!</v>
      </c>
      <c r="K159" s="23" t="e">
        <f t="array" ref="K159">IF(OR(INDEX(Species_Availability,MATCH($N159,Species_Names,0))="No",INDEX(Species_Evo_Numbers,MATCH($N159,Species_Names,0))&lt;&gt;1),"N/A",RANK($Y159,IF(NOT(ISNA(MATCH(Combo_Species_Names,IF(Species_Availability="Yes",IF(Species_Evo_Numbers=1,Species_Names)),0))),Combo_Gym_Defense),0))</f>
        <v>#VALUE!</v>
      </c>
      <c r="L159" s="24" t="e">
        <f t="array" ref="L159">IF(OR(INDEX(Species_Availability,MATCH($N159,Species_Names,0))="No",INDEX(Species_Evo_Numbers,MATCH($N159,Species_Names,0))&lt;&gt;1),"N/A",$Y159/MAX(IF(NOT(ISNA(MATCH(Combo_Species_Names,IF(Species_Availability="Yes",IF(Species_Evo_Numbers=1,Species_Names)),0))),Combo_Gym_Defense)))</f>
        <v>#VALUE!</v>
      </c>
      <c r="M159" s="28">
        <f t="array" ref="M159">INDEX(Species_Pdex_Numbers,MATCH($N159,Species_Names,0))</f>
        <v>87</v>
      </c>
      <c r="N159" s="30" t="s">
        <v>268</v>
      </c>
      <c r="O159" s="31" t="s">
        <v>87</v>
      </c>
      <c r="P159" s="31" t="s">
        <v>318</v>
      </c>
      <c r="Q159" s="17" t="e">
        <f t="shared" si="4"/>
        <v>#VALUE!</v>
      </c>
      <c r="R159" s="32" t="e">
        <f t="array" ref="R159">IF(OR(AND(COUNTBLANK(Combo_Opponent_Type_1)=1,COUNTBLANK(Combo_Opponent_Type_2)=0),AND(AND(COUNTBLANK(Combo_Opponent_Type_1)=0,COUNTBLANK(Combo_Opponent_Type_2)=0),Combo_Opponent_Type_1=Combo_Opponent_Type_2)),
"Check Types",($S159*INDEX(Species_Tankiness,MATCH($N159,Species_Names,0)))/225)</f>
        <v>#VALUE!</v>
      </c>
      <c r="S159" s="32" t="e">
        <f t="array" ref="S159">IF(OR(AND(COUNTBLANK(Combo_Opponent_Type_1)=1,COUNTBLANK(Combo_Opponent_Type_2)=0),AND(AND(COUNTBLANK(Combo_Opponent_Type_1)=0,COUNTBLANK(Combo_Opponent_Type_2)=0),Combo_Opponent_Type_1=Combo_Opponent_Type_2)),
"Check Types",(
IF($W159&gt;=((1-Game_Weave_Human_Error)*$X159),$W159,$X159)*INDEX(Species_Attack,MATCH($N159,Species_Names,0)))/11)</f>
        <v>#VALUE!</v>
      </c>
      <c r="T159" s="33" t="e">
        <f t="shared" si="5"/>
        <v>#VALUE!</v>
      </c>
      <c r="U159" s="33">
        <f t="array" ref="U1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159,Quick_Names,0))),Type_Species)),0),1)*IF(COUNTBLANK(Combo_Opponent_Type_2)=0,INDEX(Type_Damage_Multipliers,MATCH(Combo_Opponent_Type_2,IF(Type_Move=(INDEX(Quick_Type,MATCH($O159,Quick_Names,0))),Type_Species)),0),1)*(IF(OR(INDEX(Quick_Type,MATCH($O159,Quick_Names,0))=INDEX(Species_Type_1,MATCH($N159,Species_Names,0)),INDEX(Quick_Type,MATCH($O159,Quick_Names,0))=INDEX(Species_Type_2,MATCH($N159,Species_Names,0))),Game_STAB_Multiplier,1)))</f>
        <v>1.25</v>
      </c>
      <c r="V159" s="33">
        <f t="array" ref="V1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159,Charge_Names,0))),Type_Species)),0),1)*IF(COUNTBLANK(Combo_Opponent_Type_2)=0,INDEX(Type_Damage_Multipliers,MATCH(Combo_Opponent_Type_2,IF(Type_Move=(INDEX(Charge_Type,MATCH($P159,Charge_Names,0))),Type_Species)),0),1)*
IF(OR(INDEX(Charge_Type,MATCH($P159,Charge_Names,0))=INDEX(Species_Type_1,MATCH($N159,Species_Names,0)),INDEX(Charge_Type,MATCH($P159,Charge_Names,0))=INDEX(Species_Type_2,MATCH($N159,Species_Names,0))),Game_STAB_Multiplier,1))</f>
        <v>1.25</v>
      </c>
      <c r="W159" s="33" t="s">
        <v>422</v>
      </c>
      <c r="X159" s="33" t="s">
        <v>409</v>
      </c>
      <c r="Y159" s="32" t="e">
        <f t="array" ref="Y159">((($Z159)*
INDEX(Species_Attack,MATCH($N159,Species_Names,0))*
INDEX(Species_Tankiness,MATCH($N159,Species_Names,0)))/1000)</f>
        <v>#VALUE!</v>
      </c>
      <c r="Z159" s="33" t="s">
        <v>531</v>
      </c>
    </row>
    <row r="160" spans="1:26" ht="14.25" customHeight="1" x14ac:dyDescent="0.2">
      <c r="A160" s="86"/>
      <c r="B160" s="22" t="str">
        <f t="array" ref="B160">CONCATENATE(TEXT($M160,"000"),".",TEXT(INDEX(Quick_Number,MATCH($O160,Quick_Names,0)),"000"),".",TEXT(INDEX(Charge_Number,MATCH($P160,Charge_Names,0)),"000"))</f>
        <v>038.238.024</v>
      </c>
      <c r="C160" s="23" t="e">
        <f t="array" ref="C160">RANK($S160,IF(Combo_Species_Names=$N160,Combo_Gym_Offense),0)</f>
        <v>#VALUE!</v>
      </c>
      <c r="D160" s="24" t="e">
        <f t="array" ref="D160">$S160/MAX(IF(Combo_Species_Names=$N160,Combo_Gym_Offense))</f>
        <v>#VALUE!</v>
      </c>
      <c r="E160" s="23" t="e">
        <f t="array" ref="E160">RANK($Y160,IF(Combo_Species_Names=$N160,Combo_Gym_Defense),0)</f>
        <v>#VALUE!</v>
      </c>
      <c r="F160" s="25" t="e">
        <f t="array" ref="F160">$Y160/MAX(IF(Combo_Species_Names=$N160,Combo_Gym_Defense))</f>
        <v>#VALUE!</v>
      </c>
      <c r="G160" s="23" t="e">
        <f t="array" ref="G160">IF(OR(INDEX(Species_Availability,MATCH($N160,Species_Names,0))="No",INDEX(Species_Evo_Numbers,MATCH($N160,Species_Names,0))&lt;&gt;1),"N/A",RANK($R160,IF(NOT(ISNA(MATCH(Combo_Species_Names,IF(Species_Availability="Yes",IF(Species_Evo_Numbers=1,Species_Names)),0))),Combo_Duel_Ability),0))</f>
        <v>#VALUE!</v>
      </c>
      <c r="H160" s="24" t="e">
        <f t="array" ref="H160">IF(OR(INDEX(Species_Availability,MATCH($N160,Species_Names,0))="No",INDEX(Species_Evo_Numbers,MATCH($N160,Species_Names,0))&lt;&gt;1),"N/A",$R160/MAX(IF(NOT(ISNA(MATCH(Combo_Species_Names,IF(Species_Availability="Yes",IF(Species_Evo_Numbers=1,Species_Names)),0))),Combo_Duel_Ability)))</f>
        <v>#VALUE!</v>
      </c>
      <c r="I160" s="23" t="e">
        <f t="array" ref="I160">IF(OR(INDEX(Species_Availability,MATCH($N160,Species_Names,0))="No",INDEX(Species_Evo_Numbers,MATCH($N160,Species_Names,0))&lt;&gt;1),"N/A",RANK($S160,IF(NOT(ISNA(MATCH(Combo_Species_Names,IF(Species_Availability="Yes",IF(Species_Evo_Numbers=1,Species_Names)),0))),Combo_Gym_Offense),0))</f>
        <v>#VALUE!</v>
      </c>
      <c r="J160" s="24" t="e">
        <f t="array" ref="J160">IF(OR(INDEX(Species_Availability,MATCH($N160,Species_Names,0))="No",INDEX(Species_Evo_Numbers,MATCH($N160,Species_Names,0))&lt;&gt;1),"N/A",$S160/MAX(IF(NOT(ISNA(MATCH(Combo_Species_Names,IF(Species_Availability="Yes",IF(Species_Evo_Numbers=1,Species_Names)),0))),Combo_Gym_Offense)))</f>
        <v>#VALUE!</v>
      </c>
      <c r="K160" s="23" t="e">
        <f t="array" ref="K160">IF(OR(INDEX(Species_Availability,MATCH($N160,Species_Names,0))="No",INDEX(Species_Evo_Numbers,MATCH($N160,Species_Names,0))&lt;&gt;1),"N/A",RANK($Y160,IF(NOT(ISNA(MATCH(Combo_Species_Names,IF(Species_Availability="Yes",IF(Species_Evo_Numbers=1,Species_Names)),0))),Combo_Gym_Defense),0))</f>
        <v>#VALUE!</v>
      </c>
      <c r="L160" s="24" t="e">
        <f t="array" ref="L160">IF(OR(INDEX(Species_Availability,MATCH($N160,Species_Names,0))="No",INDEX(Species_Evo_Numbers,MATCH($N160,Species_Names,0))&lt;&gt;1),"N/A",$Y160/MAX(IF(NOT(ISNA(MATCH(Combo_Species_Names,IF(Species_Availability="Yes",IF(Species_Evo_Numbers=1,Species_Names)),0))),Combo_Gym_Defense)))</f>
        <v>#VALUE!</v>
      </c>
      <c r="M160" s="28">
        <f t="array" ref="M160">INDEX(Species_Pdex_Numbers,MATCH($N160,Species_Names,0))</f>
        <v>38</v>
      </c>
      <c r="N160" s="30" t="s">
        <v>167</v>
      </c>
      <c r="O160" s="31" t="s">
        <v>76</v>
      </c>
      <c r="P160" s="31" t="s">
        <v>200</v>
      </c>
      <c r="Q160" s="17" t="e">
        <f t="shared" si="4"/>
        <v>#VALUE!</v>
      </c>
      <c r="R160" s="32" t="e">
        <f t="array" ref="R160">IF(OR(AND(COUNTBLANK(Combo_Opponent_Type_1)=1,COUNTBLANK(Combo_Opponent_Type_2)=0),AND(AND(COUNTBLANK(Combo_Opponent_Type_1)=0,COUNTBLANK(Combo_Opponent_Type_2)=0),Combo_Opponent_Type_1=Combo_Opponent_Type_2)),
"Check Types",($S160*INDEX(Species_Tankiness,MATCH($N160,Species_Names,0)))/225)</f>
        <v>#VALUE!</v>
      </c>
      <c r="S160" s="32" t="e">
        <f t="array" ref="S160">IF(OR(AND(COUNTBLANK(Combo_Opponent_Type_1)=1,COUNTBLANK(Combo_Opponent_Type_2)=0),AND(AND(COUNTBLANK(Combo_Opponent_Type_1)=0,COUNTBLANK(Combo_Opponent_Type_2)=0),Combo_Opponent_Type_1=Combo_Opponent_Type_2)),
"Check Types",(
IF($W160&gt;=((1-Game_Weave_Human_Error)*$X160),$W160,$X160)*INDEX(Species_Attack,MATCH($N160,Species_Names,0)))/11)</f>
        <v>#VALUE!</v>
      </c>
      <c r="T160" s="33" t="e">
        <f t="shared" si="5"/>
        <v>#VALUE!</v>
      </c>
      <c r="U160" s="33">
        <f t="array" ref="U1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160,Quick_Names,0))),Type_Species)),0),1)*IF(COUNTBLANK(Combo_Opponent_Type_2)=0,INDEX(Type_Damage_Multipliers,MATCH(Combo_Opponent_Type_2,IF(Type_Move=(INDEX(Quick_Type,MATCH($O160,Quick_Names,0))),Type_Species)),0),1)*(IF(OR(INDEX(Quick_Type,MATCH($O160,Quick_Names,0))=INDEX(Species_Type_1,MATCH($N160,Species_Names,0)),INDEX(Quick_Type,MATCH($O160,Quick_Names,0))=INDEX(Species_Type_2,MATCH($N160,Species_Names,0))),Game_STAB_Multiplier,1)))</f>
        <v>1</v>
      </c>
      <c r="V160" s="33">
        <f t="array" ref="V1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160,Charge_Names,0))),Type_Species)),0),1)*IF(COUNTBLANK(Combo_Opponent_Type_2)=0,INDEX(Type_Damage_Multipliers,MATCH(Combo_Opponent_Type_2,IF(Type_Move=(INDEX(Charge_Type,MATCH($P160,Charge_Names,0))),Type_Species)),0),1)*
IF(OR(INDEX(Charge_Type,MATCH($P160,Charge_Names,0))=INDEX(Species_Type_1,MATCH($N160,Species_Names,0)),INDEX(Charge_Type,MATCH($P160,Charge_Names,0))=INDEX(Species_Type_2,MATCH($N160,Species_Names,0))),Game_STAB_Multiplier,1))</f>
        <v>1.25</v>
      </c>
      <c r="W160" s="33" t="s">
        <v>589</v>
      </c>
      <c r="X160" s="33" t="s">
        <v>642</v>
      </c>
      <c r="Y160" s="32" t="e">
        <f t="array" ref="Y160">((($Z160)*
INDEX(Species_Attack,MATCH($N160,Species_Names,0))*
INDEX(Species_Tankiness,MATCH($N160,Species_Names,0)))/1000)</f>
        <v>#VALUE!</v>
      </c>
      <c r="Z160" s="33" t="s">
        <v>643</v>
      </c>
    </row>
    <row r="161" spans="1:26" ht="14.25" customHeight="1" x14ac:dyDescent="0.2">
      <c r="A161" s="86"/>
      <c r="B161" s="22" t="str">
        <f t="array" ref="B161">CONCATENATE(TEXT($M161,"000"),".",TEXT(INDEX(Quick_Number,MATCH($O161,Quick_Names,0)),"000"),".",TEXT(INDEX(Charge_Number,MATCH($P161,Charge_Names,0)),"000"))</f>
        <v>038.209.042</v>
      </c>
      <c r="C161" s="23" t="e">
        <f t="array" ref="C161">RANK($S161,IF(Combo_Species_Names=$N161,Combo_Gym_Offense),0)</f>
        <v>#VALUE!</v>
      </c>
      <c r="D161" s="24" t="e">
        <f t="array" ref="D161">$S161/MAX(IF(Combo_Species_Names=$N161,Combo_Gym_Offense))</f>
        <v>#VALUE!</v>
      </c>
      <c r="E161" s="23" t="e">
        <f t="array" ref="E161">RANK($Y161,IF(Combo_Species_Names=$N161,Combo_Gym_Defense),0)</f>
        <v>#VALUE!</v>
      </c>
      <c r="F161" s="25" t="e">
        <f t="array" ref="F161">$Y161/MAX(IF(Combo_Species_Names=$N161,Combo_Gym_Defense))</f>
        <v>#VALUE!</v>
      </c>
      <c r="G161" s="23" t="e">
        <f t="array" ref="G161">IF(OR(INDEX(Species_Availability,MATCH($N161,Species_Names,0))="No",INDEX(Species_Evo_Numbers,MATCH($N161,Species_Names,0))&lt;&gt;1),"N/A",RANK($R161,IF(NOT(ISNA(MATCH(Combo_Species_Names,IF(Species_Availability="Yes",IF(Species_Evo_Numbers=1,Species_Names)),0))),Combo_Duel_Ability),0))</f>
        <v>#VALUE!</v>
      </c>
      <c r="H161" s="24" t="e">
        <f t="array" ref="H161">IF(OR(INDEX(Species_Availability,MATCH($N161,Species_Names,0))="No",INDEX(Species_Evo_Numbers,MATCH($N161,Species_Names,0))&lt;&gt;1),"N/A",$R161/MAX(IF(NOT(ISNA(MATCH(Combo_Species_Names,IF(Species_Availability="Yes",IF(Species_Evo_Numbers=1,Species_Names)),0))),Combo_Duel_Ability)))</f>
        <v>#VALUE!</v>
      </c>
      <c r="I161" s="23" t="e">
        <f t="array" ref="I161">IF(OR(INDEX(Species_Availability,MATCH($N161,Species_Names,0))="No",INDEX(Species_Evo_Numbers,MATCH($N161,Species_Names,0))&lt;&gt;1),"N/A",RANK($S161,IF(NOT(ISNA(MATCH(Combo_Species_Names,IF(Species_Availability="Yes",IF(Species_Evo_Numbers=1,Species_Names)),0))),Combo_Gym_Offense),0))</f>
        <v>#VALUE!</v>
      </c>
      <c r="J161" s="24" t="e">
        <f t="array" ref="J161">IF(OR(INDEX(Species_Availability,MATCH($N161,Species_Names,0))="No",INDEX(Species_Evo_Numbers,MATCH($N161,Species_Names,0))&lt;&gt;1),"N/A",$S161/MAX(IF(NOT(ISNA(MATCH(Combo_Species_Names,IF(Species_Availability="Yes",IF(Species_Evo_Numbers=1,Species_Names)),0))),Combo_Gym_Offense)))</f>
        <v>#VALUE!</v>
      </c>
      <c r="K161" s="23" t="e">
        <f t="array" ref="K161">IF(OR(INDEX(Species_Availability,MATCH($N161,Species_Names,0))="No",INDEX(Species_Evo_Numbers,MATCH($N161,Species_Names,0))&lt;&gt;1),"N/A",RANK($Y161,IF(NOT(ISNA(MATCH(Combo_Species_Names,IF(Species_Availability="Yes",IF(Species_Evo_Numbers=1,Species_Names)),0))),Combo_Gym_Defense),0))</f>
        <v>#VALUE!</v>
      </c>
      <c r="L161" s="24" t="e">
        <f t="array" ref="L161">IF(OR(INDEX(Species_Availability,MATCH($N161,Species_Names,0))="No",INDEX(Species_Evo_Numbers,MATCH($N161,Species_Names,0))&lt;&gt;1),"N/A",$Y161/MAX(IF(NOT(ISNA(MATCH(Combo_Species_Names,IF(Species_Availability="Yes",IF(Species_Evo_Numbers=1,Species_Names)),0))),Combo_Gym_Defense)))</f>
        <v>#VALUE!</v>
      </c>
      <c r="M161" s="28">
        <f t="array" ref="M161">INDEX(Species_Pdex_Numbers,MATCH($N161,Species_Names,0))</f>
        <v>38</v>
      </c>
      <c r="N161" s="30" t="s">
        <v>167</v>
      </c>
      <c r="O161" s="31" t="s">
        <v>111</v>
      </c>
      <c r="P161" s="31" t="s">
        <v>183</v>
      </c>
      <c r="Q161" s="17" t="e">
        <f t="shared" si="4"/>
        <v>#VALUE!</v>
      </c>
      <c r="R161" s="32" t="e">
        <f t="array" ref="R161">IF(OR(AND(COUNTBLANK(Combo_Opponent_Type_1)=1,COUNTBLANK(Combo_Opponent_Type_2)=0),AND(AND(COUNTBLANK(Combo_Opponent_Type_1)=0,COUNTBLANK(Combo_Opponent_Type_2)=0),Combo_Opponent_Type_1=Combo_Opponent_Type_2)),
"Check Types",($S161*INDEX(Species_Tankiness,MATCH($N161,Species_Names,0)))/225)</f>
        <v>#VALUE!</v>
      </c>
      <c r="S161" s="32" t="e">
        <f t="array" ref="S161">IF(OR(AND(COUNTBLANK(Combo_Opponent_Type_1)=1,COUNTBLANK(Combo_Opponent_Type_2)=0),AND(AND(COUNTBLANK(Combo_Opponent_Type_1)=0,COUNTBLANK(Combo_Opponent_Type_2)=0),Combo_Opponent_Type_1=Combo_Opponent_Type_2)),
"Check Types",(
IF($W161&gt;=((1-Game_Weave_Human_Error)*$X161),$W161,$X161)*INDEX(Species_Attack,MATCH($N161,Species_Names,0)))/11)</f>
        <v>#VALUE!</v>
      </c>
      <c r="T161" s="33" t="e">
        <f t="shared" si="5"/>
        <v>#VALUE!</v>
      </c>
      <c r="U161" s="33">
        <f t="array" ref="U1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161,Quick_Names,0))),Type_Species)),0),1)*IF(COUNTBLANK(Combo_Opponent_Type_2)=0,INDEX(Type_Damage_Multipliers,MATCH(Combo_Opponent_Type_2,IF(Type_Move=(INDEX(Quick_Type,MATCH($O161,Quick_Names,0))),Type_Species)),0),1)*(IF(OR(INDEX(Quick_Type,MATCH($O161,Quick_Names,0))=INDEX(Species_Type_1,MATCH($N161,Species_Names,0)),INDEX(Quick_Type,MATCH($O161,Quick_Names,0))=INDEX(Species_Type_2,MATCH($N161,Species_Names,0))),Game_STAB_Multiplier,1)))</f>
        <v>1.25</v>
      </c>
      <c r="V161" s="33">
        <f t="array" ref="V1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161,Charge_Names,0))),Type_Species)),0),1)*IF(COUNTBLANK(Combo_Opponent_Type_2)=0,INDEX(Type_Damage_Multipliers,MATCH(Combo_Opponent_Type_2,IF(Type_Move=(INDEX(Charge_Type,MATCH($P161,Charge_Names,0))),Type_Species)),0),1)*
IF(OR(INDEX(Charge_Type,MATCH($P161,Charge_Names,0))=INDEX(Species_Type_1,MATCH($N161,Species_Names,0)),INDEX(Charge_Type,MATCH($P161,Charge_Names,0))=INDEX(Species_Type_2,MATCH($N161,Species_Names,0))),Game_STAB_Multiplier,1))</f>
        <v>1.25</v>
      </c>
      <c r="W161" s="33" t="s">
        <v>511</v>
      </c>
      <c r="X161" s="33" t="s">
        <v>617</v>
      </c>
      <c r="Y161" s="32" t="e">
        <f t="array" ref="Y161">((($Z161)*
INDEX(Species_Attack,MATCH($N161,Species_Names,0))*
INDEX(Species_Tankiness,MATCH($N161,Species_Names,0)))/1000)</f>
        <v>#VALUE!</v>
      </c>
      <c r="Z161" s="33" t="s">
        <v>618</v>
      </c>
    </row>
    <row r="162" spans="1:26" ht="14.25" customHeight="1" x14ac:dyDescent="0.2">
      <c r="A162" s="86"/>
      <c r="B162" s="22" t="str">
        <f t="array" ref="B162">CONCATENATE(TEXT($M162,"000"),".",TEXT(INDEX(Quick_Number,MATCH($O162,Quick_Names,0)),"000"),".",TEXT(INDEX(Charge_Number,MATCH($P162,Charge_Names,0)),"000"))</f>
        <v>097.235.060</v>
      </c>
      <c r="C162" s="23" t="e">
        <f t="array" ref="C162">RANK($S162,IF(Combo_Species_Names=$N162,Combo_Gym_Offense),0)</f>
        <v>#VALUE!</v>
      </c>
      <c r="D162" s="24" t="e">
        <f t="array" ref="D162">$S162/MAX(IF(Combo_Species_Names=$N162,Combo_Gym_Offense))</f>
        <v>#VALUE!</v>
      </c>
      <c r="E162" s="23" t="e">
        <f t="array" ref="E162">RANK($Y162,IF(Combo_Species_Names=$N162,Combo_Gym_Defense),0)</f>
        <v>#VALUE!</v>
      </c>
      <c r="F162" s="25" t="e">
        <f t="array" ref="F162">$Y162/MAX(IF(Combo_Species_Names=$N162,Combo_Gym_Defense))</f>
        <v>#VALUE!</v>
      </c>
      <c r="G162" s="23" t="e">
        <f t="array" ref="G162">IF(OR(INDEX(Species_Availability,MATCH($N162,Species_Names,0))="No",INDEX(Species_Evo_Numbers,MATCH($N162,Species_Names,0))&lt;&gt;1),"N/A",RANK($R162,IF(NOT(ISNA(MATCH(Combo_Species_Names,IF(Species_Availability="Yes",IF(Species_Evo_Numbers=1,Species_Names)),0))),Combo_Duel_Ability),0))</f>
        <v>#VALUE!</v>
      </c>
      <c r="H162" s="24" t="e">
        <f t="array" ref="H162">IF(OR(INDEX(Species_Availability,MATCH($N162,Species_Names,0))="No",INDEX(Species_Evo_Numbers,MATCH($N162,Species_Names,0))&lt;&gt;1),"N/A",$R162/MAX(IF(NOT(ISNA(MATCH(Combo_Species_Names,IF(Species_Availability="Yes",IF(Species_Evo_Numbers=1,Species_Names)),0))),Combo_Duel_Ability)))</f>
        <v>#VALUE!</v>
      </c>
      <c r="I162" s="23" t="e">
        <f t="array" ref="I162">IF(OR(INDEX(Species_Availability,MATCH($N162,Species_Names,0))="No",INDEX(Species_Evo_Numbers,MATCH($N162,Species_Names,0))&lt;&gt;1),"N/A",RANK($S162,IF(NOT(ISNA(MATCH(Combo_Species_Names,IF(Species_Availability="Yes",IF(Species_Evo_Numbers=1,Species_Names)),0))),Combo_Gym_Offense),0))</f>
        <v>#VALUE!</v>
      </c>
      <c r="J162" s="24" t="e">
        <f t="array" ref="J162">IF(OR(INDEX(Species_Availability,MATCH($N162,Species_Names,0))="No",INDEX(Species_Evo_Numbers,MATCH($N162,Species_Names,0))&lt;&gt;1),"N/A",$S162/MAX(IF(NOT(ISNA(MATCH(Combo_Species_Names,IF(Species_Availability="Yes",IF(Species_Evo_Numbers=1,Species_Names)),0))),Combo_Gym_Offense)))</f>
        <v>#VALUE!</v>
      </c>
      <c r="K162" s="23" t="e">
        <f t="array" ref="K162">IF(OR(INDEX(Species_Availability,MATCH($N162,Species_Names,0))="No",INDEX(Species_Evo_Numbers,MATCH($N162,Species_Names,0))&lt;&gt;1),"N/A",RANK($Y162,IF(NOT(ISNA(MATCH(Combo_Species_Names,IF(Species_Availability="Yes",IF(Species_Evo_Numbers=1,Species_Names)),0))),Combo_Gym_Defense),0))</f>
        <v>#VALUE!</v>
      </c>
      <c r="L162" s="24" t="e">
        <f t="array" ref="L162">IF(OR(INDEX(Species_Availability,MATCH($N162,Species_Names,0))="No",INDEX(Species_Evo_Numbers,MATCH($N162,Species_Names,0))&lt;&gt;1),"N/A",$Y162/MAX(IF(NOT(ISNA(MATCH(Combo_Species_Names,IF(Species_Availability="Yes",IF(Species_Evo_Numbers=1,Species_Names)),0))),Combo_Gym_Defense)))</f>
        <v>#VALUE!</v>
      </c>
      <c r="M162" s="28">
        <f t="array" ref="M162">INDEX(Species_Pdex_Numbers,MATCH($N162,Species_Names,0))</f>
        <v>97</v>
      </c>
      <c r="N162" s="30" t="s">
        <v>293</v>
      </c>
      <c r="O162" s="31" t="s">
        <v>108</v>
      </c>
      <c r="P162" s="31" t="s">
        <v>232</v>
      </c>
      <c r="Q162" s="17" t="e">
        <f t="shared" si="4"/>
        <v>#VALUE!</v>
      </c>
      <c r="R162" s="32" t="e">
        <f t="array" ref="R162">IF(OR(AND(COUNTBLANK(Combo_Opponent_Type_1)=1,COUNTBLANK(Combo_Opponent_Type_2)=0),AND(AND(COUNTBLANK(Combo_Opponent_Type_1)=0,COUNTBLANK(Combo_Opponent_Type_2)=0),Combo_Opponent_Type_1=Combo_Opponent_Type_2)),
"Check Types",($S162*INDEX(Species_Tankiness,MATCH($N162,Species_Names,0)))/225)</f>
        <v>#VALUE!</v>
      </c>
      <c r="S162" s="32" t="e">
        <f t="array" ref="S162">IF(OR(AND(COUNTBLANK(Combo_Opponent_Type_1)=1,COUNTBLANK(Combo_Opponent_Type_2)=0),AND(AND(COUNTBLANK(Combo_Opponent_Type_1)=0,COUNTBLANK(Combo_Opponent_Type_2)=0),Combo_Opponent_Type_1=Combo_Opponent_Type_2)),
"Check Types",(
IF($W162&gt;=((1-Game_Weave_Human_Error)*$X162),$W162,$X162)*INDEX(Species_Attack,MATCH($N162,Species_Names,0)))/11)</f>
        <v>#VALUE!</v>
      </c>
      <c r="T162" s="33" t="e">
        <f t="shared" si="5"/>
        <v>#VALUE!</v>
      </c>
      <c r="U162" s="33">
        <f t="array" ref="U1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162,Quick_Names,0))),Type_Species)),0),1)*IF(COUNTBLANK(Combo_Opponent_Type_2)=0,INDEX(Type_Damage_Multipliers,MATCH(Combo_Opponent_Type_2,IF(Type_Move=(INDEX(Quick_Type,MATCH($O162,Quick_Names,0))),Type_Species)),0),1)*(IF(OR(INDEX(Quick_Type,MATCH($O162,Quick_Names,0))=INDEX(Species_Type_1,MATCH($N162,Species_Names,0)),INDEX(Quick_Type,MATCH($O162,Quick_Names,0))=INDEX(Species_Type_2,MATCH($N162,Species_Names,0))),Game_STAB_Multiplier,1)))</f>
        <v>1.25</v>
      </c>
      <c r="V162" s="33">
        <f t="array" ref="V1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162,Charge_Names,0))),Type_Species)),0),1)*IF(COUNTBLANK(Combo_Opponent_Type_2)=0,INDEX(Type_Damage_Multipliers,MATCH(Combo_Opponent_Type_2,IF(Type_Move=(INDEX(Charge_Type,MATCH($P162,Charge_Names,0))),Type_Species)),0),1)*
IF(OR(INDEX(Charge_Type,MATCH($P162,Charge_Names,0))=INDEX(Species_Type_1,MATCH($N162,Species_Names,0)),INDEX(Charge_Type,MATCH($P162,Charge_Names,0))=INDEX(Species_Type_2,MATCH($N162,Species_Names,0))),Game_STAB_Multiplier,1))</f>
        <v>1.25</v>
      </c>
      <c r="W162" s="33" t="s">
        <v>467</v>
      </c>
      <c r="X162" s="33" t="s">
        <v>650</v>
      </c>
      <c r="Y162" s="32" t="e">
        <f t="array" ref="Y162">((($Z162)*
INDEX(Species_Attack,MATCH($N162,Species_Names,0))*
INDEX(Species_Tankiness,MATCH($N162,Species_Names,0)))/1000)</f>
        <v>#VALUE!</v>
      </c>
      <c r="Z162" s="33" t="s">
        <v>651</v>
      </c>
    </row>
    <row r="163" spans="1:26" ht="14.25" customHeight="1" x14ac:dyDescent="0.2">
      <c r="A163" s="86"/>
      <c r="B163" s="22" t="str">
        <f t="array" ref="B163">CONCATENATE(TEXT($M163,"000"),".",TEXT(INDEX(Quick_Number,MATCH($O163,Quick_Names,0)),"000"),".",TEXT(INDEX(Charge_Number,MATCH($P163,Charge_Names,0)),"000"))</f>
        <v>068.208.054</v>
      </c>
      <c r="C163" s="23" t="e">
        <f t="array" ref="C163">RANK($S163,IF(Combo_Species_Names=$N163,Combo_Gym_Offense),0)</f>
        <v>#VALUE!</v>
      </c>
      <c r="D163" s="24" t="e">
        <f t="array" ref="D163">$S163/MAX(IF(Combo_Species_Names=$N163,Combo_Gym_Offense))</f>
        <v>#VALUE!</v>
      </c>
      <c r="E163" s="23" t="e">
        <f t="array" ref="E163">RANK($Y163,IF(Combo_Species_Names=$N163,Combo_Gym_Defense),0)</f>
        <v>#VALUE!</v>
      </c>
      <c r="F163" s="25" t="e">
        <f t="array" ref="F163">$Y163/MAX(IF(Combo_Species_Names=$N163,Combo_Gym_Defense))</f>
        <v>#VALUE!</v>
      </c>
      <c r="G163" s="23" t="e">
        <f t="array" ref="G163">IF(OR(INDEX(Species_Availability,MATCH($N163,Species_Names,0))="No",INDEX(Species_Evo_Numbers,MATCH($N163,Species_Names,0))&lt;&gt;1),"N/A",RANK($R163,IF(NOT(ISNA(MATCH(Combo_Species_Names,IF(Species_Availability="Yes",IF(Species_Evo_Numbers=1,Species_Names)),0))),Combo_Duel_Ability),0))</f>
        <v>#VALUE!</v>
      </c>
      <c r="H163" s="24" t="e">
        <f t="array" ref="H163">IF(OR(INDEX(Species_Availability,MATCH($N163,Species_Names,0))="No",INDEX(Species_Evo_Numbers,MATCH($N163,Species_Names,0))&lt;&gt;1),"N/A",$R163/MAX(IF(NOT(ISNA(MATCH(Combo_Species_Names,IF(Species_Availability="Yes",IF(Species_Evo_Numbers=1,Species_Names)),0))),Combo_Duel_Ability)))</f>
        <v>#VALUE!</v>
      </c>
      <c r="I163" s="23" t="e">
        <f t="array" ref="I163">IF(OR(INDEX(Species_Availability,MATCH($N163,Species_Names,0))="No",INDEX(Species_Evo_Numbers,MATCH($N163,Species_Names,0))&lt;&gt;1),"N/A",RANK($S163,IF(NOT(ISNA(MATCH(Combo_Species_Names,IF(Species_Availability="Yes",IF(Species_Evo_Numbers=1,Species_Names)),0))),Combo_Gym_Offense),0))</f>
        <v>#VALUE!</v>
      </c>
      <c r="J163" s="24" t="e">
        <f t="array" ref="J163">IF(OR(INDEX(Species_Availability,MATCH($N163,Species_Names,0))="No",INDEX(Species_Evo_Numbers,MATCH($N163,Species_Names,0))&lt;&gt;1),"N/A",$S163/MAX(IF(NOT(ISNA(MATCH(Combo_Species_Names,IF(Species_Availability="Yes",IF(Species_Evo_Numbers=1,Species_Names)),0))),Combo_Gym_Offense)))</f>
        <v>#VALUE!</v>
      </c>
      <c r="K163" s="23" t="e">
        <f t="array" ref="K163">IF(OR(INDEX(Species_Availability,MATCH($N163,Species_Names,0))="No",INDEX(Species_Evo_Numbers,MATCH($N163,Species_Names,0))&lt;&gt;1),"N/A",RANK($Y163,IF(NOT(ISNA(MATCH(Combo_Species_Names,IF(Species_Availability="Yes",IF(Species_Evo_Numbers=1,Species_Names)),0))),Combo_Gym_Defense),0))</f>
        <v>#VALUE!</v>
      </c>
      <c r="L163" s="24" t="e">
        <f t="array" ref="L163">IF(OR(INDEX(Species_Availability,MATCH($N163,Species_Names,0))="No",INDEX(Species_Evo_Numbers,MATCH($N163,Species_Names,0))&lt;&gt;1),"N/A",$Y163/MAX(IF(NOT(ISNA(MATCH(Combo_Species_Names,IF(Species_Availability="Yes",IF(Species_Evo_Numbers=1,Species_Names)),0))),Combo_Gym_Defense)))</f>
        <v>#VALUE!</v>
      </c>
      <c r="M163" s="28">
        <f t="array" ref="M163">INDEX(Species_Pdex_Numbers,MATCH($N163,Species_Names,0))</f>
        <v>68</v>
      </c>
      <c r="N163" s="30" t="s">
        <v>227</v>
      </c>
      <c r="O163" s="31" t="s">
        <v>122</v>
      </c>
      <c r="P163" s="31" t="s">
        <v>243</v>
      </c>
      <c r="Q163" s="17" t="e">
        <f t="shared" si="4"/>
        <v>#VALUE!</v>
      </c>
      <c r="R163" s="32" t="e">
        <f t="array" ref="R163">IF(OR(AND(COUNTBLANK(Combo_Opponent_Type_1)=1,COUNTBLANK(Combo_Opponent_Type_2)=0),AND(AND(COUNTBLANK(Combo_Opponent_Type_1)=0,COUNTBLANK(Combo_Opponent_Type_2)=0),Combo_Opponent_Type_1=Combo_Opponent_Type_2)),
"Check Types",($S163*INDEX(Species_Tankiness,MATCH($N163,Species_Names,0)))/225)</f>
        <v>#VALUE!</v>
      </c>
      <c r="S163" s="32" t="e">
        <f t="array" ref="S163">IF(OR(AND(COUNTBLANK(Combo_Opponent_Type_1)=1,COUNTBLANK(Combo_Opponent_Type_2)=0),AND(AND(COUNTBLANK(Combo_Opponent_Type_1)=0,COUNTBLANK(Combo_Opponent_Type_2)=0),Combo_Opponent_Type_1=Combo_Opponent_Type_2)),
"Check Types",(
IF($W163&gt;=((1-Game_Weave_Human_Error)*$X163),$W163,$X163)*INDEX(Species_Attack,MATCH($N163,Species_Names,0)))/11)</f>
        <v>#VALUE!</v>
      </c>
      <c r="T163" s="33" t="e">
        <f t="shared" si="5"/>
        <v>#VALUE!</v>
      </c>
      <c r="U163" s="33">
        <f t="array" ref="U1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163,Quick_Names,0))),Type_Species)),0),1)*IF(COUNTBLANK(Combo_Opponent_Type_2)=0,INDEX(Type_Damage_Multipliers,MATCH(Combo_Opponent_Type_2,IF(Type_Move=(INDEX(Quick_Type,MATCH($O163,Quick_Names,0))),Type_Species)),0),1)*(IF(OR(INDEX(Quick_Type,MATCH($O163,Quick_Names,0))=INDEX(Species_Type_1,MATCH($N163,Species_Names,0)),INDEX(Quick_Type,MATCH($O163,Quick_Names,0))=INDEX(Species_Type_2,MATCH($N163,Species_Names,0))),Game_STAB_Multiplier,1)))</f>
        <v>1.25</v>
      </c>
      <c r="V163" s="33">
        <f t="array" ref="V1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163,Charge_Names,0))),Type_Species)),0),1)*IF(COUNTBLANK(Combo_Opponent_Type_2)=0,INDEX(Type_Damage_Multipliers,MATCH(Combo_Opponent_Type_2,IF(Type_Move=(INDEX(Charge_Type,MATCH($P163,Charge_Names,0))),Type_Species)),0),1)*
IF(OR(INDEX(Charge_Type,MATCH($P163,Charge_Names,0))=INDEX(Species_Type_1,MATCH($N163,Species_Names,0)),INDEX(Charge_Type,MATCH($P163,Charge_Names,0))=INDEX(Species_Type_2,MATCH($N163,Species_Names,0))),Game_STAB_Multiplier,1))</f>
        <v>1.25</v>
      </c>
      <c r="W163" s="33" t="s">
        <v>564</v>
      </c>
      <c r="X163" s="33" t="s">
        <v>652</v>
      </c>
      <c r="Y163" s="32" t="e">
        <f t="array" ref="Y163">((($Z163)*
INDEX(Species_Attack,MATCH($N163,Species_Names,0))*
INDEX(Species_Tankiness,MATCH($N163,Species_Names,0)))/1000)</f>
        <v>#VALUE!</v>
      </c>
      <c r="Z163" s="33" t="s">
        <v>653</v>
      </c>
    </row>
    <row r="164" spans="1:26" ht="14.25" customHeight="1" x14ac:dyDescent="0.2">
      <c r="A164" s="86"/>
      <c r="B164" s="22" t="str">
        <f t="array" ref="B164">CONCATENATE(TEXT($M164,"000"),".",TEXT(INDEX(Quick_Number,MATCH($O164,Quick_Names,0)),"000"),".",TEXT(INDEX(Charge_Number,MATCH($P164,Charge_Names,0)),"000"))</f>
        <v>112.241.022</v>
      </c>
      <c r="C164" s="23" t="e">
        <f t="array" ref="C164">RANK($S164,IF(Combo_Species_Names=$N164,Combo_Gym_Offense),0)</f>
        <v>#VALUE!</v>
      </c>
      <c r="D164" s="24" t="e">
        <f t="array" ref="D164">$S164/MAX(IF(Combo_Species_Names=$N164,Combo_Gym_Offense))</f>
        <v>#VALUE!</v>
      </c>
      <c r="E164" s="23" t="e">
        <f t="array" ref="E164">RANK($Y164,IF(Combo_Species_Names=$N164,Combo_Gym_Defense),0)</f>
        <v>#VALUE!</v>
      </c>
      <c r="F164" s="25" t="e">
        <f t="array" ref="F164">$Y164/MAX(IF(Combo_Species_Names=$N164,Combo_Gym_Defense))</f>
        <v>#VALUE!</v>
      </c>
      <c r="G164" s="23" t="e">
        <f t="array" ref="G164">IF(OR(INDEX(Species_Availability,MATCH($N164,Species_Names,0))="No",INDEX(Species_Evo_Numbers,MATCH($N164,Species_Names,0))&lt;&gt;1),"N/A",RANK($R164,IF(NOT(ISNA(MATCH(Combo_Species_Names,IF(Species_Availability="Yes",IF(Species_Evo_Numbers=1,Species_Names)),0))),Combo_Duel_Ability),0))</f>
        <v>#VALUE!</v>
      </c>
      <c r="H164" s="24" t="e">
        <f t="array" ref="H164">IF(OR(INDEX(Species_Availability,MATCH($N164,Species_Names,0))="No",INDEX(Species_Evo_Numbers,MATCH($N164,Species_Names,0))&lt;&gt;1),"N/A",$R164/MAX(IF(NOT(ISNA(MATCH(Combo_Species_Names,IF(Species_Availability="Yes",IF(Species_Evo_Numbers=1,Species_Names)),0))),Combo_Duel_Ability)))</f>
        <v>#VALUE!</v>
      </c>
      <c r="I164" s="23" t="e">
        <f t="array" ref="I164">IF(OR(INDEX(Species_Availability,MATCH($N164,Species_Names,0))="No",INDEX(Species_Evo_Numbers,MATCH($N164,Species_Names,0))&lt;&gt;1),"N/A",RANK($S164,IF(NOT(ISNA(MATCH(Combo_Species_Names,IF(Species_Availability="Yes",IF(Species_Evo_Numbers=1,Species_Names)),0))),Combo_Gym_Offense),0))</f>
        <v>#VALUE!</v>
      </c>
      <c r="J164" s="24" t="e">
        <f t="array" ref="J164">IF(OR(INDEX(Species_Availability,MATCH($N164,Species_Names,0))="No",INDEX(Species_Evo_Numbers,MATCH($N164,Species_Names,0))&lt;&gt;1),"N/A",$S164/MAX(IF(NOT(ISNA(MATCH(Combo_Species_Names,IF(Species_Availability="Yes",IF(Species_Evo_Numbers=1,Species_Names)),0))),Combo_Gym_Offense)))</f>
        <v>#VALUE!</v>
      </c>
      <c r="K164" s="23" t="e">
        <f t="array" ref="K164">IF(OR(INDEX(Species_Availability,MATCH($N164,Species_Names,0))="No",INDEX(Species_Evo_Numbers,MATCH($N164,Species_Names,0))&lt;&gt;1),"N/A",RANK($Y164,IF(NOT(ISNA(MATCH(Combo_Species_Names,IF(Species_Availability="Yes",IF(Species_Evo_Numbers=1,Species_Names)),0))),Combo_Gym_Defense),0))</f>
        <v>#VALUE!</v>
      </c>
      <c r="L164" s="24" t="e">
        <f t="array" ref="L164">IF(OR(INDEX(Species_Availability,MATCH($N164,Species_Names,0))="No",INDEX(Species_Evo_Numbers,MATCH($N164,Species_Names,0))&lt;&gt;1),"N/A",$Y164/MAX(IF(NOT(ISNA(MATCH(Combo_Species_Names,IF(Species_Availability="Yes",IF(Species_Evo_Numbers=1,Species_Names)),0))),Combo_Gym_Defense)))</f>
        <v>#VALUE!</v>
      </c>
      <c r="M164" s="28">
        <f t="array" ref="M164">INDEX(Species_Pdex_Numbers,MATCH($N164,Species_Names,0))</f>
        <v>112</v>
      </c>
      <c r="N164" s="30" t="s">
        <v>325</v>
      </c>
      <c r="O164" s="31" t="s">
        <v>97</v>
      </c>
      <c r="P164" s="31" t="s">
        <v>159</v>
      </c>
      <c r="Q164" s="17" t="e">
        <f t="shared" si="4"/>
        <v>#VALUE!</v>
      </c>
      <c r="R164" s="32" t="e">
        <f t="array" ref="R164">IF(OR(AND(COUNTBLANK(Combo_Opponent_Type_1)=1,COUNTBLANK(Combo_Opponent_Type_2)=0),AND(AND(COUNTBLANK(Combo_Opponent_Type_1)=0,COUNTBLANK(Combo_Opponent_Type_2)=0),Combo_Opponent_Type_1=Combo_Opponent_Type_2)),
"Check Types",($S164*INDEX(Species_Tankiness,MATCH($N164,Species_Names,0)))/225)</f>
        <v>#VALUE!</v>
      </c>
      <c r="S164" s="32" t="e">
        <f t="array" ref="S164">IF(OR(AND(COUNTBLANK(Combo_Opponent_Type_1)=1,COUNTBLANK(Combo_Opponent_Type_2)=0),AND(AND(COUNTBLANK(Combo_Opponent_Type_1)=0,COUNTBLANK(Combo_Opponent_Type_2)=0),Combo_Opponent_Type_1=Combo_Opponent_Type_2)),
"Check Types",(
IF($W164&gt;=((1-Game_Weave_Human_Error)*$X164),$W164,$X164)*INDEX(Species_Attack,MATCH($N164,Species_Names,0)))/11)</f>
        <v>#VALUE!</v>
      </c>
      <c r="T164" s="33" t="e">
        <f t="shared" si="5"/>
        <v>#VALUE!</v>
      </c>
      <c r="U164" s="33">
        <f t="array" ref="U1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164,Quick_Names,0))),Type_Species)),0),1)*IF(COUNTBLANK(Combo_Opponent_Type_2)=0,INDEX(Type_Damage_Multipliers,MATCH(Combo_Opponent_Type_2,IF(Type_Move=(INDEX(Quick_Type,MATCH($O164,Quick_Names,0))),Type_Species)),0),1)*(IF(OR(INDEX(Quick_Type,MATCH($O164,Quick_Names,0))=INDEX(Species_Type_1,MATCH($N164,Species_Names,0)),INDEX(Quick_Type,MATCH($O164,Quick_Names,0))=INDEX(Species_Type_2,MATCH($N164,Species_Names,0))),Game_STAB_Multiplier,1)))</f>
        <v>1</v>
      </c>
      <c r="V164" s="33">
        <f t="array" ref="V1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164,Charge_Names,0))),Type_Species)),0),1)*IF(COUNTBLANK(Combo_Opponent_Type_2)=0,INDEX(Type_Damage_Multipliers,MATCH(Combo_Opponent_Type_2,IF(Type_Move=(INDEX(Charge_Type,MATCH($P164,Charge_Names,0))),Type_Species)),0),1)*
IF(OR(INDEX(Charge_Type,MATCH($P164,Charge_Names,0))=INDEX(Species_Type_1,MATCH($N164,Species_Names,0)),INDEX(Charge_Type,MATCH($P164,Charge_Names,0))=INDEX(Species_Type_2,MATCH($N164,Species_Names,0))),Game_STAB_Multiplier,1))</f>
        <v>1</v>
      </c>
      <c r="W164" s="33" t="s">
        <v>577</v>
      </c>
      <c r="X164" s="33" t="s">
        <v>588</v>
      </c>
      <c r="Y164" s="32" t="e">
        <f t="array" ref="Y164">((($Z164)*
INDEX(Species_Attack,MATCH($N164,Species_Names,0))*
INDEX(Species_Tankiness,MATCH($N164,Species_Names,0)))/1000)</f>
        <v>#VALUE!</v>
      </c>
      <c r="Z164" s="33" t="s">
        <v>654</v>
      </c>
    </row>
    <row r="165" spans="1:26" ht="14.25" customHeight="1" x14ac:dyDescent="0.2">
      <c r="A165" s="86"/>
      <c r="B165" s="22" t="str">
        <f t="array" ref="B165">CONCATENATE(TEXT($M165,"000"),".",TEXT(INDEX(Quick_Number,MATCH($O165,Quick_Names,0)),"000"),".",TEXT(INDEX(Charge_Number,MATCH($P165,Charge_Names,0)),"000"))</f>
        <v>038.238.042</v>
      </c>
      <c r="C165" s="23" t="e">
        <f t="array" ref="C165">RANK($S165,IF(Combo_Species_Names=$N165,Combo_Gym_Offense),0)</f>
        <v>#VALUE!</v>
      </c>
      <c r="D165" s="24" t="e">
        <f t="array" ref="D165">$S165/MAX(IF(Combo_Species_Names=$N165,Combo_Gym_Offense))</f>
        <v>#VALUE!</v>
      </c>
      <c r="E165" s="23" t="e">
        <f t="array" ref="E165">RANK($Y165,IF(Combo_Species_Names=$N165,Combo_Gym_Defense),0)</f>
        <v>#VALUE!</v>
      </c>
      <c r="F165" s="25" t="e">
        <f t="array" ref="F165">$Y165/MAX(IF(Combo_Species_Names=$N165,Combo_Gym_Defense))</f>
        <v>#VALUE!</v>
      </c>
      <c r="G165" s="23" t="e">
        <f t="array" ref="G165">IF(OR(INDEX(Species_Availability,MATCH($N165,Species_Names,0))="No",INDEX(Species_Evo_Numbers,MATCH($N165,Species_Names,0))&lt;&gt;1),"N/A",RANK($R165,IF(NOT(ISNA(MATCH(Combo_Species_Names,IF(Species_Availability="Yes",IF(Species_Evo_Numbers=1,Species_Names)),0))),Combo_Duel_Ability),0))</f>
        <v>#VALUE!</v>
      </c>
      <c r="H165" s="24" t="e">
        <f t="array" ref="H165">IF(OR(INDEX(Species_Availability,MATCH($N165,Species_Names,0))="No",INDEX(Species_Evo_Numbers,MATCH($N165,Species_Names,0))&lt;&gt;1),"N/A",$R165/MAX(IF(NOT(ISNA(MATCH(Combo_Species_Names,IF(Species_Availability="Yes",IF(Species_Evo_Numbers=1,Species_Names)),0))),Combo_Duel_Ability)))</f>
        <v>#VALUE!</v>
      </c>
      <c r="I165" s="23" t="e">
        <f t="array" ref="I165">IF(OR(INDEX(Species_Availability,MATCH($N165,Species_Names,0))="No",INDEX(Species_Evo_Numbers,MATCH($N165,Species_Names,0))&lt;&gt;1),"N/A",RANK($S165,IF(NOT(ISNA(MATCH(Combo_Species_Names,IF(Species_Availability="Yes",IF(Species_Evo_Numbers=1,Species_Names)),0))),Combo_Gym_Offense),0))</f>
        <v>#VALUE!</v>
      </c>
      <c r="J165" s="24" t="e">
        <f t="array" ref="J165">IF(OR(INDEX(Species_Availability,MATCH($N165,Species_Names,0))="No",INDEX(Species_Evo_Numbers,MATCH($N165,Species_Names,0))&lt;&gt;1),"N/A",$S165/MAX(IF(NOT(ISNA(MATCH(Combo_Species_Names,IF(Species_Availability="Yes",IF(Species_Evo_Numbers=1,Species_Names)),0))),Combo_Gym_Offense)))</f>
        <v>#VALUE!</v>
      </c>
      <c r="K165" s="23" t="e">
        <f t="array" ref="K165">IF(OR(INDEX(Species_Availability,MATCH($N165,Species_Names,0))="No",INDEX(Species_Evo_Numbers,MATCH($N165,Species_Names,0))&lt;&gt;1),"N/A",RANK($Y165,IF(NOT(ISNA(MATCH(Combo_Species_Names,IF(Species_Availability="Yes",IF(Species_Evo_Numbers=1,Species_Names)),0))),Combo_Gym_Defense),0))</f>
        <v>#VALUE!</v>
      </c>
      <c r="L165" s="24" t="e">
        <f t="array" ref="L165">IF(OR(INDEX(Species_Availability,MATCH($N165,Species_Names,0))="No",INDEX(Species_Evo_Numbers,MATCH($N165,Species_Names,0))&lt;&gt;1),"N/A",$Y165/MAX(IF(NOT(ISNA(MATCH(Combo_Species_Names,IF(Species_Availability="Yes",IF(Species_Evo_Numbers=1,Species_Names)),0))),Combo_Gym_Defense)))</f>
        <v>#VALUE!</v>
      </c>
      <c r="M165" s="28">
        <f t="array" ref="M165">INDEX(Species_Pdex_Numbers,MATCH($N165,Species_Names,0))</f>
        <v>38</v>
      </c>
      <c r="N165" s="30" t="s">
        <v>167</v>
      </c>
      <c r="O165" s="31" t="s">
        <v>76</v>
      </c>
      <c r="P165" s="31" t="s">
        <v>183</v>
      </c>
      <c r="Q165" s="17" t="e">
        <f t="shared" si="4"/>
        <v>#VALUE!</v>
      </c>
      <c r="R165" s="32" t="e">
        <f t="array" ref="R165">IF(OR(AND(COUNTBLANK(Combo_Opponent_Type_1)=1,COUNTBLANK(Combo_Opponent_Type_2)=0),AND(AND(COUNTBLANK(Combo_Opponent_Type_1)=0,COUNTBLANK(Combo_Opponent_Type_2)=0),Combo_Opponent_Type_1=Combo_Opponent_Type_2)),
"Check Types",($S165*INDEX(Species_Tankiness,MATCH($N165,Species_Names,0)))/225)</f>
        <v>#VALUE!</v>
      </c>
      <c r="S165" s="32" t="e">
        <f t="array" ref="S165">IF(OR(AND(COUNTBLANK(Combo_Opponent_Type_1)=1,COUNTBLANK(Combo_Opponent_Type_2)=0),AND(AND(COUNTBLANK(Combo_Opponent_Type_1)=0,COUNTBLANK(Combo_Opponent_Type_2)=0),Combo_Opponent_Type_1=Combo_Opponent_Type_2)),
"Check Types",(
IF($W165&gt;=((1-Game_Weave_Human_Error)*$X165),$W165,$X165)*INDEX(Species_Attack,MATCH($N165,Species_Names,0)))/11)</f>
        <v>#VALUE!</v>
      </c>
      <c r="T165" s="33" t="e">
        <f t="shared" si="5"/>
        <v>#VALUE!</v>
      </c>
      <c r="U165" s="33">
        <f t="array" ref="U1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165,Quick_Names,0))),Type_Species)),0),1)*IF(COUNTBLANK(Combo_Opponent_Type_2)=0,INDEX(Type_Damage_Multipliers,MATCH(Combo_Opponent_Type_2,IF(Type_Move=(INDEX(Quick_Type,MATCH($O165,Quick_Names,0))),Type_Species)),0),1)*(IF(OR(INDEX(Quick_Type,MATCH($O165,Quick_Names,0))=INDEX(Species_Type_1,MATCH($N165,Species_Names,0)),INDEX(Quick_Type,MATCH($O165,Quick_Names,0))=INDEX(Species_Type_2,MATCH($N165,Species_Names,0))),Game_STAB_Multiplier,1)))</f>
        <v>1</v>
      </c>
      <c r="V165" s="33">
        <f t="array" ref="V1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165,Charge_Names,0))),Type_Species)),0),1)*IF(COUNTBLANK(Combo_Opponent_Type_2)=0,INDEX(Type_Damage_Multipliers,MATCH(Combo_Opponent_Type_2,IF(Type_Move=(INDEX(Charge_Type,MATCH($P165,Charge_Names,0))),Type_Species)),0),1)*
IF(OR(INDEX(Charge_Type,MATCH($P165,Charge_Names,0))=INDEX(Species_Type_1,MATCH($N165,Species_Names,0)),INDEX(Charge_Type,MATCH($P165,Charge_Names,0))=INDEX(Species_Type_2,MATCH($N165,Species_Names,0))),Game_STAB_Multiplier,1))</f>
        <v>1.25</v>
      </c>
      <c r="W165" s="33" t="s">
        <v>589</v>
      </c>
      <c r="X165" s="33" t="s">
        <v>655</v>
      </c>
      <c r="Y165" s="32" t="e">
        <f t="array" ref="Y165">((($Z165)*
INDEX(Species_Attack,MATCH($N165,Species_Names,0))*
INDEX(Species_Tankiness,MATCH($N165,Species_Names,0)))/1000)</f>
        <v>#VALUE!</v>
      </c>
      <c r="Z165" s="33" t="s">
        <v>438</v>
      </c>
    </row>
    <row r="166" spans="1:26" ht="14.25" customHeight="1" x14ac:dyDescent="0.2">
      <c r="A166" s="86"/>
      <c r="B166" s="22" t="str">
        <f t="array" ref="B166">CONCATENATE(TEXT($M166,"000"),".",TEXT(INDEX(Quick_Number,MATCH($O166,Quick_Names,0)),"000"),".",TEXT(INDEX(Charge_Number,MATCH($P166,Charge_Names,0)),"000"))</f>
        <v>034.200.091</v>
      </c>
      <c r="C166" s="23" t="e">
        <f t="array" ref="C166">RANK($S166,IF(Combo_Species_Names=$N166,Combo_Gym_Offense),0)</f>
        <v>#VALUE!</v>
      </c>
      <c r="D166" s="24" t="e">
        <f t="array" ref="D166">$S166/MAX(IF(Combo_Species_Names=$N166,Combo_Gym_Offense))</f>
        <v>#VALUE!</v>
      </c>
      <c r="E166" s="23" t="e">
        <f t="array" ref="E166">RANK($Y166,IF(Combo_Species_Names=$N166,Combo_Gym_Defense),0)</f>
        <v>#VALUE!</v>
      </c>
      <c r="F166" s="25" t="e">
        <f t="array" ref="F166">$Y166/MAX(IF(Combo_Species_Names=$N166,Combo_Gym_Defense))</f>
        <v>#VALUE!</v>
      </c>
      <c r="G166" s="23" t="e">
        <f t="array" ref="G166">IF(OR(INDEX(Species_Availability,MATCH($N166,Species_Names,0))="No",INDEX(Species_Evo_Numbers,MATCH($N166,Species_Names,0))&lt;&gt;1),"N/A",RANK($R166,IF(NOT(ISNA(MATCH(Combo_Species_Names,IF(Species_Availability="Yes",IF(Species_Evo_Numbers=1,Species_Names)),0))),Combo_Duel_Ability),0))</f>
        <v>#VALUE!</v>
      </c>
      <c r="H166" s="24" t="e">
        <f t="array" ref="H166">IF(OR(INDEX(Species_Availability,MATCH($N166,Species_Names,0))="No",INDEX(Species_Evo_Numbers,MATCH($N166,Species_Names,0))&lt;&gt;1),"N/A",$R166/MAX(IF(NOT(ISNA(MATCH(Combo_Species_Names,IF(Species_Availability="Yes",IF(Species_Evo_Numbers=1,Species_Names)),0))),Combo_Duel_Ability)))</f>
        <v>#VALUE!</v>
      </c>
      <c r="I166" s="23" t="e">
        <f t="array" ref="I166">IF(OR(INDEX(Species_Availability,MATCH($N166,Species_Names,0))="No",INDEX(Species_Evo_Numbers,MATCH($N166,Species_Names,0))&lt;&gt;1),"N/A",RANK($S166,IF(NOT(ISNA(MATCH(Combo_Species_Names,IF(Species_Availability="Yes",IF(Species_Evo_Numbers=1,Species_Names)),0))),Combo_Gym_Offense),0))</f>
        <v>#VALUE!</v>
      </c>
      <c r="J166" s="24" t="e">
        <f t="array" ref="J166">IF(OR(INDEX(Species_Availability,MATCH($N166,Species_Names,0))="No",INDEX(Species_Evo_Numbers,MATCH($N166,Species_Names,0))&lt;&gt;1),"N/A",$S166/MAX(IF(NOT(ISNA(MATCH(Combo_Species_Names,IF(Species_Availability="Yes",IF(Species_Evo_Numbers=1,Species_Names)),0))),Combo_Gym_Offense)))</f>
        <v>#VALUE!</v>
      </c>
      <c r="K166" s="23" t="e">
        <f t="array" ref="K166">IF(OR(INDEX(Species_Availability,MATCH($N166,Species_Names,0))="No",INDEX(Species_Evo_Numbers,MATCH($N166,Species_Names,0))&lt;&gt;1),"N/A",RANK($Y166,IF(NOT(ISNA(MATCH(Combo_Species_Names,IF(Species_Availability="Yes",IF(Species_Evo_Numbers=1,Species_Names)),0))),Combo_Gym_Defense),0))</f>
        <v>#VALUE!</v>
      </c>
      <c r="L166" s="24" t="e">
        <f t="array" ref="L166">IF(OR(INDEX(Species_Availability,MATCH($N166,Species_Names,0))="No",INDEX(Species_Evo_Numbers,MATCH($N166,Species_Names,0))&lt;&gt;1),"N/A",$Y166/MAX(IF(NOT(ISNA(MATCH(Combo_Species_Names,IF(Species_Availability="Yes",IF(Species_Evo_Numbers=1,Species_Names)),0))),Combo_Gym_Defense)))</f>
        <v>#VALUE!</v>
      </c>
      <c r="M166" s="28">
        <f t="array" ref="M166">INDEX(Species_Pdex_Numbers,MATCH($N166,Species_Names,0))</f>
        <v>34</v>
      </c>
      <c r="N166" s="30" t="s">
        <v>158</v>
      </c>
      <c r="O166" s="31" t="s">
        <v>121</v>
      </c>
      <c r="P166" s="31" t="s">
        <v>186</v>
      </c>
      <c r="Q166" s="17" t="e">
        <f t="shared" si="4"/>
        <v>#VALUE!</v>
      </c>
      <c r="R166" s="32" t="e">
        <f t="array" ref="R166">IF(OR(AND(COUNTBLANK(Combo_Opponent_Type_1)=1,COUNTBLANK(Combo_Opponent_Type_2)=0),AND(AND(COUNTBLANK(Combo_Opponent_Type_1)=0,COUNTBLANK(Combo_Opponent_Type_2)=0),Combo_Opponent_Type_1=Combo_Opponent_Type_2)),
"Check Types",($S166*INDEX(Species_Tankiness,MATCH($N166,Species_Names,0)))/225)</f>
        <v>#VALUE!</v>
      </c>
      <c r="S166" s="32" t="e">
        <f t="array" ref="S166">IF(OR(AND(COUNTBLANK(Combo_Opponent_Type_1)=1,COUNTBLANK(Combo_Opponent_Type_2)=0),AND(AND(COUNTBLANK(Combo_Opponent_Type_1)=0,COUNTBLANK(Combo_Opponent_Type_2)=0),Combo_Opponent_Type_1=Combo_Opponent_Type_2)),
"Check Types",(
IF($W166&gt;=((1-Game_Weave_Human_Error)*$X166),$W166,$X166)*INDEX(Species_Attack,MATCH($N166,Species_Names,0)))/11)</f>
        <v>#VALUE!</v>
      </c>
      <c r="T166" s="33" t="e">
        <f t="shared" si="5"/>
        <v>#VALUE!</v>
      </c>
      <c r="U166" s="33">
        <f t="array" ref="U1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166,Quick_Names,0))),Type_Species)),0),1)*IF(COUNTBLANK(Combo_Opponent_Type_2)=0,INDEX(Type_Damage_Multipliers,MATCH(Combo_Opponent_Type_2,IF(Type_Move=(INDEX(Quick_Type,MATCH($O166,Quick_Names,0))),Type_Species)),0),1)*(IF(OR(INDEX(Quick_Type,MATCH($O166,Quick_Names,0))=INDEX(Species_Type_1,MATCH($N166,Species_Names,0)),INDEX(Quick_Type,MATCH($O166,Quick_Names,0))=INDEX(Species_Type_2,MATCH($N166,Species_Names,0))),Game_STAB_Multiplier,1)))</f>
        <v>1</v>
      </c>
      <c r="V166" s="33">
        <f t="array" ref="V1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166,Charge_Names,0))),Type_Species)),0),1)*IF(COUNTBLANK(Combo_Opponent_Type_2)=0,INDEX(Type_Damage_Multipliers,MATCH(Combo_Opponent_Type_2,IF(Type_Move=(INDEX(Charge_Type,MATCH($P166,Charge_Names,0))),Type_Species)),0),1)*
IF(OR(INDEX(Charge_Type,MATCH($P166,Charge_Names,0))=INDEX(Species_Type_1,MATCH($N166,Species_Names,0)),INDEX(Charge_Type,MATCH($P166,Charge_Names,0))=INDEX(Species_Type_2,MATCH($N166,Species_Names,0))),Game_STAB_Multiplier,1))</f>
        <v>1.25</v>
      </c>
      <c r="W166" s="33" t="s">
        <v>600</v>
      </c>
      <c r="X166" s="33" t="s">
        <v>656</v>
      </c>
      <c r="Y166" s="32" t="e">
        <f t="array" ref="Y166">((($Z166)*
INDEX(Species_Attack,MATCH($N166,Species_Names,0))*
INDEX(Species_Tankiness,MATCH($N166,Species_Names,0)))/1000)</f>
        <v>#VALUE!</v>
      </c>
      <c r="Z166" s="33" t="s">
        <v>657</v>
      </c>
    </row>
    <row r="167" spans="1:26" ht="14.25" customHeight="1" x14ac:dyDescent="0.2">
      <c r="A167" s="86"/>
      <c r="B167" s="22" t="str">
        <f t="array" ref="B167">CONCATENATE(TEXT($M167,"000"),".",TEXT(INDEX(Quick_Number,MATCH($O167,Quick_Names,0)),"000"),".",TEXT(INDEX(Charge_Number,MATCH($P167,Charge_Names,0)),"000"))</f>
        <v>110.221.090</v>
      </c>
      <c r="C167" s="23" t="e">
        <f t="array" ref="C167">RANK($S167,IF(Combo_Species_Names=$N167,Combo_Gym_Offense),0)</f>
        <v>#VALUE!</v>
      </c>
      <c r="D167" s="24" t="e">
        <f t="array" ref="D167">$S167/MAX(IF(Combo_Species_Names=$N167,Combo_Gym_Offense))</f>
        <v>#VALUE!</v>
      </c>
      <c r="E167" s="23" t="e">
        <f t="array" ref="E167">RANK($Y167,IF(Combo_Species_Names=$N167,Combo_Gym_Defense),0)</f>
        <v>#VALUE!</v>
      </c>
      <c r="F167" s="25" t="e">
        <f t="array" ref="F167">$Y167/MAX(IF(Combo_Species_Names=$N167,Combo_Gym_Defense))</f>
        <v>#VALUE!</v>
      </c>
      <c r="G167" s="23" t="e">
        <f t="array" ref="G167">IF(OR(INDEX(Species_Availability,MATCH($N167,Species_Names,0))="No",INDEX(Species_Evo_Numbers,MATCH($N167,Species_Names,0))&lt;&gt;1),"N/A",RANK($R167,IF(NOT(ISNA(MATCH(Combo_Species_Names,IF(Species_Availability="Yes",IF(Species_Evo_Numbers=1,Species_Names)),0))),Combo_Duel_Ability),0))</f>
        <v>#VALUE!</v>
      </c>
      <c r="H167" s="24" t="e">
        <f t="array" ref="H167">IF(OR(INDEX(Species_Availability,MATCH($N167,Species_Names,0))="No",INDEX(Species_Evo_Numbers,MATCH($N167,Species_Names,0))&lt;&gt;1),"N/A",$R167/MAX(IF(NOT(ISNA(MATCH(Combo_Species_Names,IF(Species_Availability="Yes",IF(Species_Evo_Numbers=1,Species_Names)),0))),Combo_Duel_Ability)))</f>
        <v>#VALUE!</v>
      </c>
      <c r="I167" s="23" t="e">
        <f t="array" ref="I167">IF(OR(INDEX(Species_Availability,MATCH($N167,Species_Names,0))="No",INDEX(Species_Evo_Numbers,MATCH($N167,Species_Names,0))&lt;&gt;1),"N/A",RANK($S167,IF(NOT(ISNA(MATCH(Combo_Species_Names,IF(Species_Availability="Yes",IF(Species_Evo_Numbers=1,Species_Names)),0))),Combo_Gym_Offense),0))</f>
        <v>#VALUE!</v>
      </c>
      <c r="J167" s="24" t="e">
        <f t="array" ref="J167">IF(OR(INDEX(Species_Availability,MATCH($N167,Species_Names,0))="No",INDEX(Species_Evo_Numbers,MATCH($N167,Species_Names,0))&lt;&gt;1),"N/A",$S167/MAX(IF(NOT(ISNA(MATCH(Combo_Species_Names,IF(Species_Availability="Yes",IF(Species_Evo_Numbers=1,Species_Names)),0))),Combo_Gym_Offense)))</f>
        <v>#VALUE!</v>
      </c>
      <c r="K167" s="23" t="e">
        <f t="array" ref="K167">IF(OR(INDEX(Species_Availability,MATCH($N167,Species_Names,0))="No",INDEX(Species_Evo_Numbers,MATCH($N167,Species_Names,0))&lt;&gt;1),"N/A",RANK($Y167,IF(NOT(ISNA(MATCH(Combo_Species_Names,IF(Species_Availability="Yes",IF(Species_Evo_Numbers=1,Species_Names)),0))),Combo_Gym_Defense),0))</f>
        <v>#VALUE!</v>
      </c>
      <c r="L167" s="24" t="e">
        <f t="array" ref="L167">IF(OR(INDEX(Species_Availability,MATCH($N167,Species_Names,0))="No",INDEX(Species_Evo_Numbers,MATCH($N167,Species_Names,0))&lt;&gt;1),"N/A",$Y167/MAX(IF(NOT(ISNA(MATCH(Combo_Species_Names,IF(Species_Availability="Yes",IF(Species_Evo_Numbers=1,Species_Names)),0))),Combo_Gym_Defense)))</f>
        <v>#VALUE!</v>
      </c>
      <c r="M167" s="28">
        <f t="array" ref="M167">INDEX(Species_Pdex_Numbers,MATCH($N167,Species_Names,0))</f>
        <v>110</v>
      </c>
      <c r="N167" s="30" t="s">
        <v>323</v>
      </c>
      <c r="O167" s="31" t="s">
        <v>91</v>
      </c>
      <c r="P167" s="31" t="s">
        <v>180</v>
      </c>
      <c r="Q167" s="17" t="e">
        <f t="shared" si="4"/>
        <v>#VALUE!</v>
      </c>
      <c r="R167" s="32" t="e">
        <f t="array" ref="R167">IF(OR(AND(COUNTBLANK(Combo_Opponent_Type_1)=1,COUNTBLANK(Combo_Opponent_Type_2)=0),AND(AND(COUNTBLANK(Combo_Opponent_Type_1)=0,COUNTBLANK(Combo_Opponent_Type_2)=0),Combo_Opponent_Type_1=Combo_Opponent_Type_2)),
"Check Types",($S167*INDEX(Species_Tankiness,MATCH($N167,Species_Names,0)))/225)</f>
        <v>#VALUE!</v>
      </c>
      <c r="S167" s="32" t="e">
        <f t="array" ref="S167">IF(OR(AND(COUNTBLANK(Combo_Opponent_Type_1)=1,COUNTBLANK(Combo_Opponent_Type_2)=0),AND(AND(COUNTBLANK(Combo_Opponent_Type_1)=0,COUNTBLANK(Combo_Opponent_Type_2)=0),Combo_Opponent_Type_1=Combo_Opponent_Type_2)),
"Check Types",(
IF($W167&gt;=((1-Game_Weave_Human_Error)*$X167),$W167,$X167)*INDEX(Species_Attack,MATCH($N167,Species_Names,0)))/11)</f>
        <v>#VALUE!</v>
      </c>
      <c r="T167" s="33" t="e">
        <f t="shared" si="5"/>
        <v>#VALUE!</v>
      </c>
      <c r="U167" s="33">
        <f t="array" ref="U1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167,Quick_Names,0))),Type_Species)),0),1)*IF(COUNTBLANK(Combo_Opponent_Type_2)=0,INDEX(Type_Damage_Multipliers,MATCH(Combo_Opponent_Type_2,IF(Type_Move=(INDEX(Quick_Type,MATCH($O167,Quick_Names,0))),Type_Species)),0),1)*(IF(OR(INDEX(Quick_Type,MATCH($O167,Quick_Names,0))=INDEX(Species_Type_1,MATCH($N167,Species_Names,0)),INDEX(Quick_Type,MATCH($O167,Quick_Names,0))=INDEX(Species_Type_2,MATCH($N167,Species_Names,0))),Game_STAB_Multiplier,1)))</f>
        <v>1</v>
      </c>
      <c r="V167" s="33">
        <f t="array" ref="V1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167,Charge_Names,0))),Type_Species)),0),1)*IF(COUNTBLANK(Combo_Opponent_Type_2)=0,INDEX(Type_Damage_Multipliers,MATCH(Combo_Opponent_Type_2,IF(Type_Move=(INDEX(Charge_Type,MATCH($P167,Charge_Names,0))),Type_Species)),0),1)*
IF(OR(INDEX(Charge_Type,MATCH($P167,Charge_Names,0))=INDEX(Species_Type_1,MATCH($N167,Species_Names,0)),INDEX(Charge_Type,MATCH($P167,Charge_Names,0))=INDEX(Species_Type_2,MATCH($N167,Species_Names,0))),Game_STAB_Multiplier,1))</f>
        <v>1.25</v>
      </c>
      <c r="W167" s="33" t="s">
        <v>658</v>
      </c>
      <c r="X167" s="33" t="s">
        <v>659</v>
      </c>
      <c r="Y167" s="32" t="e">
        <f t="array" ref="Y167">((($Z167)*
INDEX(Species_Attack,MATCH($N167,Species_Names,0))*
INDEX(Species_Tankiness,MATCH($N167,Species_Names,0)))/1000)</f>
        <v>#VALUE!</v>
      </c>
      <c r="Z167" s="33" t="s">
        <v>643</v>
      </c>
    </row>
    <row r="168" spans="1:26" ht="14.25" customHeight="1" x14ac:dyDescent="0.2">
      <c r="A168" s="86"/>
      <c r="B168" s="22" t="str">
        <f t="array" ref="B168">CONCATENATE(TEXT($M168,"000"),".",TEXT(INDEX(Quick_Number,MATCH($O168,Quick_Names,0)),"000"),".",TEXT(INDEX(Charge_Number,MATCH($P168,Charge_Names,0)),"000"))</f>
        <v>115.233.031</v>
      </c>
      <c r="C168" s="23" t="e">
        <f t="array" ref="C168">RANK($S168,IF(Combo_Species_Names=$N168,Combo_Gym_Offense),0)</f>
        <v>#VALUE!</v>
      </c>
      <c r="D168" s="24" t="e">
        <f t="array" ref="D168">$S168/MAX(IF(Combo_Species_Names=$N168,Combo_Gym_Offense))</f>
        <v>#VALUE!</v>
      </c>
      <c r="E168" s="23" t="e">
        <f t="array" ref="E168">RANK($Y168,IF(Combo_Species_Names=$N168,Combo_Gym_Defense),0)</f>
        <v>#VALUE!</v>
      </c>
      <c r="F168" s="25" t="e">
        <f t="array" ref="F168">$Y168/MAX(IF(Combo_Species_Names=$N168,Combo_Gym_Defense))</f>
        <v>#VALUE!</v>
      </c>
      <c r="G168" s="23" t="e">
        <f t="array" ref="G168">IF(OR(INDEX(Species_Availability,MATCH($N168,Species_Names,0))="No",INDEX(Species_Evo_Numbers,MATCH($N168,Species_Names,0))&lt;&gt;1),"N/A",RANK($R168,IF(NOT(ISNA(MATCH(Combo_Species_Names,IF(Species_Availability="Yes",IF(Species_Evo_Numbers=1,Species_Names)),0))),Combo_Duel_Ability),0))</f>
        <v>#VALUE!</v>
      </c>
      <c r="H168" s="24" t="e">
        <f t="array" ref="H168">IF(OR(INDEX(Species_Availability,MATCH($N168,Species_Names,0))="No",INDEX(Species_Evo_Numbers,MATCH($N168,Species_Names,0))&lt;&gt;1),"N/A",$R168/MAX(IF(NOT(ISNA(MATCH(Combo_Species_Names,IF(Species_Availability="Yes",IF(Species_Evo_Numbers=1,Species_Names)),0))),Combo_Duel_Ability)))</f>
        <v>#VALUE!</v>
      </c>
      <c r="I168" s="23" t="e">
        <f t="array" ref="I168">IF(OR(INDEX(Species_Availability,MATCH($N168,Species_Names,0))="No",INDEX(Species_Evo_Numbers,MATCH($N168,Species_Names,0))&lt;&gt;1),"N/A",RANK($S168,IF(NOT(ISNA(MATCH(Combo_Species_Names,IF(Species_Availability="Yes",IF(Species_Evo_Numbers=1,Species_Names)),0))),Combo_Gym_Offense),0))</f>
        <v>#VALUE!</v>
      </c>
      <c r="J168" s="24" t="e">
        <f t="array" ref="J168">IF(OR(INDEX(Species_Availability,MATCH($N168,Species_Names,0))="No",INDEX(Species_Evo_Numbers,MATCH($N168,Species_Names,0))&lt;&gt;1),"N/A",$S168/MAX(IF(NOT(ISNA(MATCH(Combo_Species_Names,IF(Species_Availability="Yes",IF(Species_Evo_Numbers=1,Species_Names)),0))),Combo_Gym_Offense)))</f>
        <v>#VALUE!</v>
      </c>
      <c r="K168" s="23" t="e">
        <f t="array" ref="K168">IF(OR(INDEX(Species_Availability,MATCH($N168,Species_Names,0))="No",INDEX(Species_Evo_Numbers,MATCH($N168,Species_Names,0))&lt;&gt;1),"N/A",RANK($Y168,IF(NOT(ISNA(MATCH(Combo_Species_Names,IF(Species_Availability="Yes",IF(Species_Evo_Numbers=1,Species_Names)),0))),Combo_Gym_Defense),0))</f>
        <v>#VALUE!</v>
      </c>
      <c r="L168" s="24" t="e">
        <f t="array" ref="L168">IF(OR(INDEX(Species_Availability,MATCH($N168,Species_Names,0))="No",INDEX(Species_Evo_Numbers,MATCH($N168,Species_Names,0))&lt;&gt;1),"N/A",$Y168/MAX(IF(NOT(ISNA(MATCH(Combo_Species_Names,IF(Species_Availability="Yes",IF(Species_Evo_Numbers=1,Species_Names)),0))),Combo_Gym_Defense)))</f>
        <v>#VALUE!</v>
      </c>
      <c r="M168" s="28">
        <f t="array" ref="M168">INDEX(Species_Pdex_Numbers,MATCH($N168,Species_Names,0))</f>
        <v>115</v>
      </c>
      <c r="N168" s="30" t="s">
        <v>328</v>
      </c>
      <c r="O168" s="31" t="s">
        <v>84</v>
      </c>
      <c r="P168" s="31" t="s">
        <v>169</v>
      </c>
      <c r="Q168" s="17" t="e">
        <f t="shared" si="4"/>
        <v>#VALUE!</v>
      </c>
      <c r="R168" s="32" t="e">
        <f t="array" ref="R168">IF(OR(AND(COUNTBLANK(Combo_Opponent_Type_1)=1,COUNTBLANK(Combo_Opponent_Type_2)=0),AND(AND(COUNTBLANK(Combo_Opponent_Type_1)=0,COUNTBLANK(Combo_Opponent_Type_2)=0),Combo_Opponent_Type_1=Combo_Opponent_Type_2)),
"Check Types",($S168*INDEX(Species_Tankiness,MATCH($N168,Species_Names,0)))/225)</f>
        <v>#VALUE!</v>
      </c>
      <c r="S168" s="32" t="e">
        <f t="array" ref="S168">IF(OR(AND(COUNTBLANK(Combo_Opponent_Type_1)=1,COUNTBLANK(Combo_Opponent_Type_2)=0),AND(AND(COUNTBLANK(Combo_Opponent_Type_1)=0,COUNTBLANK(Combo_Opponent_Type_2)=0),Combo_Opponent_Type_1=Combo_Opponent_Type_2)),
"Check Types",(
IF($W168&gt;=((1-Game_Weave_Human_Error)*$X168),$W168,$X168)*INDEX(Species_Attack,MATCH($N168,Species_Names,0)))/11)</f>
        <v>#VALUE!</v>
      </c>
      <c r="T168" s="33" t="e">
        <f t="shared" si="5"/>
        <v>#VALUE!</v>
      </c>
      <c r="U168" s="33">
        <f t="array" ref="U1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168,Quick_Names,0))),Type_Species)),0),1)*IF(COUNTBLANK(Combo_Opponent_Type_2)=0,INDEX(Type_Damage_Multipliers,MATCH(Combo_Opponent_Type_2,IF(Type_Move=(INDEX(Quick_Type,MATCH($O168,Quick_Names,0))),Type_Species)),0),1)*(IF(OR(INDEX(Quick_Type,MATCH($O168,Quick_Names,0))=INDEX(Species_Type_1,MATCH($N168,Species_Names,0)),INDEX(Quick_Type,MATCH($O168,Quick_Names,0))=INDEX(Species_Type_2,MATCH($N168,Species_Names,0))),Game_STAB_Multiplier,1)))</f>
        <v>1</v>
      </c>
      <c r="V168" s="33">
        <f t="array" ref="V1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168,Charge_Names,0))),Type_Species)),0),1)*IF(COUNTBLANK(Combo_Opponent_Type_2)=0,INDEX(Type_Damage_Multipliers,MATCH(Combo_Opponent_Type_2,IF(Type_Move=(INDEX(Charge_Type,MATCH($P168,Charge_Names,0))),Type_Species)),0),1)*
IF(OR(INDEX(Charge_Type,MATCH($P168,Charge_Names,0))=INDEX(Species_Type_1,MATCH($N168,Species_Names,0)),INDEX(Charge_Type,MATCH($P168,Charge_Names,0))=INDEX(Species_Type_2,MATCH($N168,Species_Names,0))),Game_STAB_Multiplier,1))</f>
        <v>1</v>
      </c>
      <c r="W168" s="33" t="s">
        <v>660</v>
      </c>
      <c r="X168" s="33" t="s">
        <v>661</v>
      </c>
      <c r="Y168" s="32" t="e">
        <f t="array" ref="Y168">((($Z168)*
INDEX(Species_Attack,MATCH($N168,Species_Names,0))*
INDEX(Species_Tankiness,MATCH($N168,Species_Names,0)))/1000)</f>
        <v>#VALUE!</v>
      </c>
      <c r="Z168" s="33" t="s">
        <v>662</v>
      </c>
    </row>
    <row r="169" spans="1:26" ht="14.25" customHeight="1" x14ac:dyDescent="0.2">
      <c r="A169" s="86"/>
      <c r="B169" s="22" t="str">
        <f t="array" ref="B169">CONCATENATE(TEXT($M169,"000"),".",TEXT(INDEX(Quick_Number,MATCH($O169,Quick_Names,0)),"000"),".",TEXT(INDEX(Charge_Number,MATCH($P169,Charge_Names,0)),"000"))</f>
        <v>087.217.057</v>
      </c>
      <c r="C169" s="23" t="e">
        <f t="array" ref="C169">RANK($S169,IF(Combo_Species_Names=$N169,Combo_Gym_Offense),0)</f>
        <v>#VALUE!</v>
      </c>
      <c r="D169" s="24" t="e">
        <f t="array" ref="D169">$S169/MAX(IF(Combo_Species_Names=$N169,Combo_Gym_Offense))</f>
        <v>#VALUE!</v>
      </c>
      <c r="E169" s="23" t="e">
        <f t="array" ref="E169">RANK($Y169,IF(Combo_Species_Names=$N169,Combo_Gym_Defense),0)</f>
        <v>#VALUE!</v>
      </c>
      <c r="F169" s="25" t="e">
        <f t="array" ref="F169">$Y169/MAX(IF(Combo_Species_Names=$N169,Combo_Gym_Defense))</f>
        <v>#VALUE!</v>
      </c>
      <c r="G169" s="23" t="e">
        <f t="array" ref="G169">IF(OR(INDEX(Species_Availability,MATCH($N169,Species_Names,0))="No",INDEX(Species_Evo_Numbers,MATCH($N169,Species_Names,0))&lt;&gt;1),"N/A",RANK($R169,IF(NOT(ISNA(MATCH(Combo_Species_Names,IF(Species_Availability="Yes",IF(Species_Evo_Numbers=1,Species_Names)),0))),Combo_Duel_Ability),0))</f>
        <v>#VALUE!</v>
      </c>
      <c r="H169" s="24" t="e">
        <f t="array" ref="H169">IF(OR(INDEX(Species_Availability,MATCH($N169,Species_Names,0))="No",INDEX(Species_Evo_Numbers,MATCH($N169,Species_Names,0))&lt;&gt;1),"N/A",$R169/MAX(IF(NOT(ISNA(MATCH(Combo_Species_Names,IF(Species_Availability="Yes",IF(Species_Evo_Numbers=1,Species_Names)),0))),Combo_Duel_Ability)))</f>
        <v>#VALUE!</v>
      </c>
      <c r="I169" s="23" t="e">
        <f t="array" ref="I169">IF(OR(INDEX(Species_Availability,MATCH($N169,Species_Names,0))="No",INDEX(Species_Evo_Numbers,MATCH($N169,Species_Names,0))&lt;&gt;1),"N/A",RANK($S169,IF(NOT(ISNA(MATCH(Combo_Species_Names,IF(Species_Availability="Yes",IF(Species_Evo_Numbers=1,Species_Names)),0))),Combo_Gym_Offense),0))</f>
        <v>#VALUE!</v>
      </c>
      <c r="J169" s="24" t="e">
        <f t="array" ref="J169">IF(OR(INDEX(Species_Availability,MATCH($N169,Species_Names,0))="No",INDEX(Species_Evo_Numbers,MATCH($N169,Species_Names,0))&lt;&gt;1),"N/A",$S169/MAX(IF(NOT(ISNA(MATCH(Combo_Species_Names,IF(Species_Availability="Yes",IF(Species_Evo_Numbers=1,Species_Names)),0))),Combo_Gym_Offense)))</f>
        <v>#VALUE!</v>
      </c>
      <c r="K169" s="23" t="e">
        <f t="array" ref="K169">IF(OR(INDEX(Species_Availability,MATCH($N169,Species_Names,0))="No",INDEX(Species_Evo_Numbers,MATCH($N169,Species_Names,0))&lt;&gt;1),"N/A",RANK($Y169,IF(NOT(ISNA(MATCH(Combo_Species_Names,IF(Species_Availability="Yes",IF(Species_Evo_Numbers=1,Species_Names)),0))),Combo_Gym_Defense),0))</f>
        <v>#VALUE!</v>
      </c>
      <c r="L169" s="24" t="e">
        <f t="array" ref="L169">IF(OR(INDEX(Species_Availability,MATCH($N169,Species_Names,0))="No",INDEX(Species_Evo_Numbers,MATCH($N169,Species_Names,0))&lt;&gt;1),"N/A",$Y169/MAX(IF(NOT(ISNA(MATCH(Combo_Species_Names,IF(Species_Availability="Yes",IF(Species_Evo_Numbers=1,Species_Names)),0))),Combo_Gym_Defense)))</f>
        <v>#VALUE!</v>
      </c>
      <c r="M169" s="28">
        <f t="array" ref="M169">INDEX(Species_Pdex_Numbers,MATCH($N169,Species_Names,0))</f>
        <v>87</v>
      </c>
      <c r="N169" s="30" t="s">
        <v>268</v>
      </c>
      <c r="O169" s="31" t="s">
        <v>95</v>
      </c>
      <c r="P169" s="31" t="s">
        <v>280</v>
      </c>
      <c r="Q169" s="17" t="e">
        <f t="shared" si="4"/>
        <v>#VALUE!</v>
      </c>
      <c r="R169" s="32" t="e">
        <f t="array" ref="R169">IF(OR(AND(COUNTBLANK(Combo_Opponent_Type_1)=1,COUNTBLANK(Combo_Opponent_Type_2)=0),AND(AND(COUNTBLANK(Combo_Opponent_Type_1)=0,COUNTBLANK(Combo_Opponent_Type_2)=0),Combo_Opponent_Type_1=Combo_Opponent_Type_2)),
"Check Types",($S169*INDEX(Species_Tankiness,MATCH($N169,Species_Names,0)))/225)</f>
        <v>#VALUE!</v>
      </c>
      <c r="S169" s="32" t="e">
        <f t="array" ref="S169">IF(OR(AND(COUNTBLANK(Combo_Opponent_Type_1)=1,COUNTBLANK(Combo_Opponent_Type_2)=0),AND(AND(COUNTBLANK(Combo_Opponent_Type_1)=0,COUNTBLANK(Combo_Opponent_Type_2)=0),Combo_Opponent_Type_1=Combo_Opponent_Type_2)),
"Check Types",(
IF($W169&gt;=((1-Game_Weave_Human_Error)*$X169),$W169,$X169)*INDEX(Species_Attack,MATCH($N169,Species_Names,0)))/11)</f>
        <v>#VALUE!</v>
      </c>
      <c r="T169" s="33" t="e">
        <f t="shared" si="5"/>
        <v>#VALUE!</v>
      </c>
      <c r="U169" s="33">
        <f t="array" ref="U1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169,Quick_Names,0))),Type_Species)),0),1)*IF(COUNTBLANK(Combo_Opponent_Type_2)=0,INDEX(Type_Damage_Multipliers,MATCH(Combo_Opponent_Type_2,IF(Type_Move=(INDEX(Quick_Type,MATCH($O169,Quick_Names,0))),Type_Species)),0),1)*(IF(OR(INDEX(Quick_Type,MATCH($O169,Quick_Names,0))=INDEX(Species_Type_1,MATCH($N169,Species_Names,0)),INDEX(Quick_Type,MATCH($O169,Quick_Names,0))=INDEX(Species_Type_2,MATCH($N169,Species_Names,0))),Game_STAB_Multiplier,1)))</f>
        <v>1.25</v>
      </c>
      <c r="V169" s="33">
        <f t="array" ref="V1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169,Charge_Names,0))),Type_Species)),0),1)*IF(COUNTBLANK(Combo_Opponent_Type_2)=0,INDEX(Type_Damage_Multipliers,MATCH(Combo_Opponent_Type_2,IF(Type_Move=(INDEX(Charge_Type,MATCH($P169,Charge_Names,0))),Type_Species)),0),1)*
IF(OR(INDEX(Charge_Type,MATCH($P169,Charge_Names,0))=INDEX(Species_Type_1,MATCH($N169,Species_Names,0)),INDEX(Charge_Type,MATCH($P169,Charge_Names,0))=INDEX(Species_Type_2,MATCH($N169,Species_Names,0))),Game_STAB_Multiplier,1))</f>
        <v>1.25</v>
      </c>
      <c r="W169" s="33" t="s">
        <v>427</v>
      </c>
      <c r="X169" s="33" t="s">
        <v>663</v>
      </c>
      <c r="Y169" s="32" t="e">
        <f t="array" ref="Y169">((($Z169)*
INDEX(Species_Attack,MATCH($N169,Species_Names,0))*
INDEX(Species_Tankiness,MATCH($N169,Species_Names,0)))/1000)</f>
        <v>#VALUE!</v>
      </c>
      <c r="Z169" s="33" t="s">
        <v>664</v>
      </c>
    </row>
    <row r="170" spans="1:26" ht="14.25" customHeight="1" x14ac:dyDescent="0.2">
      <c r="A170" s="86"/>
      <c r="B170" s="22" t="str">
        <f t="array" ref="B170">CONCATENATE(TEXT($M170,"000"),".",TEXT(INDEX(Quick_Number,MATCH($O170,Quick_Names,0)),"000"),".",TEXT(INDEX(Charge_Number,MATCH($P170,Charge_Names,0)),"000"))</f>
        <v>087.217.111</v>
      </c>
      <c r="C170" s="23" t="e">
        <f t="array" ref="C170">RANK($S170,IF(Combo_Species_Names=$N170,Combo_Gym_Offense),0)</f>
        <v>#VALUE!</v>
      </c>
      <c r="D170" s="24" t="e">
        <f t="array" ref="D170">$S170/MAX(IF(Combo_Species_Names=$N170,Combo_Gym_Offense))</f>
        <v>#VALUE!</v>
      </c>
      <c r="E170" s="23" t="e">
        <f t="array" ref="E170">RANK($Y170,IF(Combo_Species_Names=$N170,Combo_Gym_Defense),0)</f>
        <v>#VALUE!</v>
      </c>
      <c r="F170" s="25" t="e">
        <f t="array" ref="F170">$Y170/MAX(IF(Combo_Species_Names=$N170,Combo_Gym_Defense))</f>
        <v>#VALUE!</v>
      </c>
      <c r="G170" s="23" t="e">
        <f t="array" ref="G170">IF(OR(INDEX(Species_Availability,MATCH($N170,Species_Names,0))="No",INDEX(Species_Evo_Numbers,MATCH($N170,Species_Names,0))&lt;&gt;1),"N/A",RANK($R170,IF(NOT(ISNA(MATCH(Combo_Species_Names,IF(Species_Availability="Yes",IF(Species_Evo_Numbers=1,Species_Names)),0))),Combo_Duel_Ability),0))</f>
        <v>#VALUE!</v>
      </c>
      <c r="H170" s="24" t="e">
        <f t="array" ref="H170">IF(OR(INDEX(Species_Availability,MATCH($N170,Species_Names,0))="No",INDEX(Species_Evo_Numbers,MATCH($N170,Species_Names,0))&lt;&gt;1),"N/A",$R170/MAX(IF(NOT(ISNA(MATCH(Combo_Species_Names,IF(Species_Availability="Yes",IF(Species_Evo_Numbers=1,Species_Names)),0))),Combo_Duel_Ability)))</f>
        <v>#VALUE!</v>
      </c>
      <c r="I170" s="23" t="e">
        <f t="array" ref="I170">IF(OR(INDEX(Species_Availability,MATCH($N170,Species_Names,0))="No",INDEX(Species_Evo_Numbers,MATCH($N170,Species_Names,0))&lt;&gt;1),"N/A",RANK($S170,IF(NOT(ISNA(MATCH(Combo_Species_Names,IF(Species_Availability="Yes",IF(Species_Evo_Numbers=1,Species_Names)),0))),Combo_Gym_Offense),0))</f>
        <v>#VALUE!</v>
      </c>
      <c r="J170" s="24" t="e">
        <f t="array" ref="J170">IF(OR(INDEX(Species_Availability,MATCH($N170,Species_Names,0))="No",INDEX(Species_Evo_Numbers,MATCH($N170,Species_Names,0))&lt;&gt;1),"N/A",$S170/MAX(IF(NOT(ISNA(MATCH(Combo_Species_Names,IF(Species_Availability="Yes",IF(Species_Evo_Numbers=1,Species_Names)),0))),Combo_Gym_Offense)))</f>
        <v>#VALUE!</v>
      </c>
      <c r="K170" s="23" t="e">
        <f t="array" ref="K170">IF(OR(INDEX(Species_Availability,MATCH($N170,Species_Names,0))="No",INDEX(Species_Evo_Numbers,MATCH($N170,Species_Names,0))&lt;&gt;1),"N/A",RANK($Y170,IF(NOT(ISNA(MATCH(Combo_Species_Names,IF(Species_Availability="Yes",IF(Species_Evo_Numbers=1,Species_Names)),0))),Combo_Gym_Defense),0))</f>
        <v>#VALUE!</v>
      </c>
      <c r="L170" s="24" t="e">
        <f t="array" ref="L170">IF(OR(INDEX(Species_Availability,MATCH($N170,Species_Names,0))="No",INDEX(Species_Evo_Numbers,MATCH($N170,Species_Names,0))&lt;&gt;1),"N/A",$Y170/MAX(IF(NOT(ISNA(MATCH(Combo_Species_Names,IF(Species_Availability="Yes",IF(Species_Evo_Numbers=1,Species_Names)),0))),Combo_Gym_Defense)))</f>
        <v>#VALUE!</v>
      </c>
      <c r="M170" s="28">
        <f t="array" ref="M170">INDEX(Species_Pdex_Numbers,MATCH($N170,Species_Names,0))</f>
        <v>87</v>
      </c>
      <c r="N170" s="30" t="s">
        <v>268</v>
      </c>
      <c r="O170" s="31" t="s">
        <v>95</v>
      </c>
      <c r="P170" s="31" t="s">
        <v>318</v>
      </c>
      <c r="Q170" s="17" t="e">
        <f t="shared" si="4"/>
        <v>#VALUE!</v>
      </c>
      <c r="R170" s="32" t="e">
        <f t="array" ref="R170">IF(OR(AND(COUNTBLANK(Combo_Opponent_Type_1)=1,COUNTBLANK(Combo_Opponent_Type_2)=0),AND(AND(COUNTBLANK(Combo_Opponent_Type_1)=0,COUNTBLANK(Combo_Opponent_Type_2)=0),Combo_Opponent_Type_1=Combo_Opponent_Type_2)),
"Check Types",($S170*INDEX(Species_Tankiness,MATCH($N170,Species_Names,0)))/225)</f>
        <v>#VALUE!</v>
      </c>
      <c r="S170" s="32" t="e">
        <f t="array" ref="S170">IF(OR(AND(COUNTBLANK(Combo_Opponent_Type_1)=1,COUNTBLANK(Combo_Opponent_Type_2)=0),AND(AND(COUNTBLANK(Combo_Opponent_Type_1)=0,COUNTBLANK(Combo_Opponent_Type_2)=0),Combo_Opponent_Type_1=Combo_Opponent_Type_2)),
"Check Types",(
IF($W170&gt;=((1-Game_Weave_Human_Error)*$X170),$W170,$X170)*INDEX(Species_Attack,MATCH($N170,Species_Names,0)))/11)</f>
        <v>#VALUE!</v>
      </c>
      <c r="T170" s="33" t="e">
        <f t="shared" si="5"/>
        <v>#VALUE!</v>
      </c>
      <c r="U170" s="33">
        <f t="array" ref="U1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170,Quick_Names,0))),Type_Species)),0),1)*IF(COUNTBLANK(Combo_Opponent_Type_2)=0,INDEX(Type_Damage_Multipliers,MATCH(Combo_Opponent_Type_2,IF(Type_Move=(INDEX(Quick_Type,MATCH($O170,Quick_Names,0))),Type_Species)),0),1)*(IF(OR(INDEX(Quick_Type,MATCH($O170,Quick_Names,0))=INDEX(Species_Type_1,MATCH($N170,Species_Names,0)),INDEX(Quick_Type,MATCH($O170,Quick_Names,0))=INDEX(Species_Type_2,MATCH($N170,Species_Names,0))),Game_STAB_Multiplier,1)))</f>
        <v>1.25</v>
      </c>
      <c r="V170" s="33">
        <f t="array" ref="V1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170,Charge_Names,0))),Type_Species)),0),1)*IF(COUNTBLANK(Combo_Opponent_Type_2)=0,INDEX(Type_Damage_Multipliers,MATCH(Combo_Opponent_Type_2,IF(Type_Move=(INDEX(Charge_Type,MATCH($P170,Charge_Names,0))),Type_Species)),0),1)*
IF(OR(INDEX(Charge_Type,MATCH($P170,Charge_Names,0))=INDEX(Species_Type_1,MATCH($N170,Species_Names,0)),INDEX(Charge_Type,MATCH($P170,Charge_Names,0))=INDEX(Species_Type_2,MATCH($N170,Species_Names,0))),Game_STAB_Multiplier,1))</f>
        <v>1.25</v>
      </c>
      <c r="W170" s="33" t="s">
        <v>427</v>
      </c>
      <c r="X170" s="33" t="s">
        <v>665</v>
      </c>
      <c r="Y170" s="32" t="e">
        <f t="array" ref="Y170">((($Z170)*
INDEX(Species_Attack,MATCH($N170,Species_Names,0))*
INDEX(Species_Tankiness,MATCH($N170,Species_Names,0)))/1000)</f>
        <v>#VALUE!</v>
      </c>
      <c r="Z170" s="33" t="s">
        <v>666</v>
      </c>
    </row>
    <row r="171" spans="1:26" ht="14.25" customHeight="1" x14ac:dyDescent="0.2">
      <c r="A171" s="86"/>
      <c r="B171" s="22" t="str">
        <f t="array" ref="B171">CONCATENATE(TEXT($M171,"000"),".",TEXT(INDEX(Quick_Number,MATCH($O171,Quick_Names,0)),"000"),".",TEXT(INDEX(Charge_Number,MATCH($P171,Charge_Names,0)),"000"))</f>
        <v>078.209.103</v>
      </c>
      <c r="C171" s="23" t="e">
        <f t="array" ref="C171">RANK($S171,IF(Combo_Species_Names=$N171,Combo_Gym_Offense),0)</f>
        <v>#VALUE!</v>
      </c>
      <c r="D171" s="24" t="e">
        <f t="array" ref="D171">$S171/MAX(IF(Combo_Species_Names=$N171,Combo_Gym_Offense))</f>
        <v>#VALUE!</v>
      </c>
      <c r="E171" s="23" t="e">
        <f t="array" ref="E171">RANK($Y171,IF(Combo_Species_Names=$N171,Combo_Gym_Defense),0)</f>
        <v>#VALUE!</v>
      </c>
      <c r="F171" s="25" t="e">
        <f t="array" ref="F171">$Y171/MAX(IF(Combo_Species_Names=$N171,Combo_Gym_Defense))</f>
        <v>#VALUE!</v>
      </c>
      <c r="G171" s="23" t="e">
        <f t="array" ref="G171">IF(OR(INDEX(Species_Availability,MATCH($N171,Species_Names,0))="No",INDEX(Species_Evo_Numbers,MATCH($N171,Species_Names,0))&lt;&gt;1),"N/A",RANK($R171,IF(NOT(ISNA(MATCH(Combo_Species_Names,IF(Species_Availability="Yes",IF(Species_Evo_Numbers=1,Species_Names)),0))),Combo_Duel_Ability),0))</f>
        <v>#VALUE!</v>
      </c>
      <c r="H171" s="24" t="e">
        <f t="array" ref="H171">IF(OR(INDEX(Species_Availability,MATCH($N171,Species_Names,0))="No",INDEX(Species_Evo_Numbers,MATCH($N171,Species_Names,0))&lt;&gt;1),"N/A",$R171/MAX(IF(NOT(ISNA(MATCH(Combo_Species_Names,IF(Species_Availability="Yes",IF(Species_Evo_Numbers=1,Species_Names)),0))),Combo_Duel_Ability)))</f>
        <v>#VALUE!</v>
      </c>
      <c r="I171" s="23" t="e">
        <f t="array" ref="I171">IF(OR(INDEX(Species_Availability,MATCH($N171,Species_Names,0))="No",INDEX(Species_Evo_Numbers,MATCH($N171,Species_Names,0))&lt;&gt;1),"N/A",RANK($S171,IF(NOT(ISNA(MATCH(Combo_Species_Names,IF(Species_Availability="Yes",IF(Species_Evo_Numbers=1,Species_Names)),0))),Combo_Gym_Offense),0))</f>
        <v>#VALUE!</v>
      </c>
      <c r="J171" s="24" t="e">
        <f t="array" ref="J171">IF(OR(INDEX(Species_Availability,MATCH($N171,Species_Names,0))="No",INDEX(Species_Evo_Numbers,MATCH($N171,Species_Names,0))&lt;&gt;1),"N/A",$S171/MAX(IF(NOT(ISNA(MATCH(Combo_Species_Names,IF(Species_Availability="Yes",IF(Species_Evo_Numbers=1,Species_Names)),0))),Combo_Gym_Offense)))</f>
        <v>#VALUE!</v>
      </c>
      <c r="K171" s="23" t="e">
        <f t="array" ref="K171">IF(OR(INDEX(Species_Availability,MATCH($N171,Species_Names,0))="No",INDEX(Species_Evo_Numbers,MATCH($N171,Species_Names,0))&lt;&gt;1),"N/A",RANK($Y171,IF(NOT(ISNA(MATCH(Combo_Species_Names,IF(Species_Availability="Yes",IF(Species_Evo_Numbers=1,Species_Names)),0))),Combo_Gym_Defense),0))</f>
        <v>#VALUE!</v>
      </c>
      <c r="L171" s="24" t="e">
        <f t="array" ref="L171">IF(OR(INDEX(Species_Availability,MATCH($N171,Species_Names,0))="No",INDEX(Species_Evo_Numbers,MATCH($N171,Species_Names,0))&lt;&gt;1),"N/A",$Y171/MAX(IF(NOT(ISNA(MATCH(Combo_Species_Names,IF(Species_Availability="Yes",IF(Species_Evo_Numbers=1,Species_Names)),0))),Combo_Gym_Defense)))</f>
        <v>#VALUE!</v>
      </c>
      <c r="M171" s="28">
        <f t="array" ref="M171">INDEX(Species_Pdex_Numbers,MATCH($N171,Species_Names,0))</f>
        <v>78</v>
      </c>
      <c r="N171" s="30" t="s">
        <v>248</v>
      </c>
      <c r="O171" s="31" t="s">
        <v>111</v>
      </c>
      <c r="P171" s="31" t="s">
        <v>163</v>
      </c>
      <c r="Q171" s="17" t="e">
        <f t="shared" si="4"/>
        <v>#VALUE!</v>
      </c>
      <c r="R171" s="32" t="e">
        <f t="array" ref="R171">IF(OR(AND(COUNTBLANK(Combo_Opponent_Type_1)=1,COUNTBLANK(Combo_Opponent_Type_2)=0),AND(AND(COUNTBLANK(Combo_Opponent_Type_1)=0,COUNTBLANK(Combo_Opponent_Type_2)=0),Combo_Opponent_Type_1=Combo_Opponent_Type_2)),
"Check Types",($S171*INDEX(Species_Tankiness,MATCH($N171,Species_Names,0)))/225)</f>
        <v>#VALUE!</v>
      </c>
      <c r="S171" s="32" t="e">
        <f t="array" ref="S171">IF(OR(AND(COUNTBLANK(Combo_Opponent_Type_1)=1,COUNTBLANK(Combo_Opponent_Type_2)=0),AND(AND(COUNTBLANK(Combo_Opponent_Type_1)=0,COUNTBLANK(Combo_Opponent_Type_2)=0),Combo_Opponent_Type_1=Combo_Opponent_Type_2)),
"Check Types",(
IF($W171&gt;=((1-Game_Weave_Human_Error)*$X171),$W171,$X171)*INDEX(Species_Attack,MATCH($N171,Species_Names,0)))/11)</f>
        <v>#VALUE!</v>
      </c>
      <c r="T171" s="33" t="e">
        <f t="shared" si="5"/>
        <v>#VALUE!</v>
      </c>
      <c r="U171" s="33">
        <f t="array" ref="U1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171,Quick_Names,0))),Type_Species)),0),1)*IF(COUNTBLANK(Combo_Opponent_Type_2)=0,INDEX(Type_Damage_Multipliers,MATCH(Combo_Opponent_Type_2,IF(Type_Move=(INDEX(Quick_Type,MATCH($O171,Quick_Names,0))),Type_Species)),0),1)*(IF(OR(INDEX(Quick_Type,MATCH($O171,Quick_Names,0))=INDEX(Species_Type_1,MATCH($N171,Species_Names,0)),INDEX(Quick_Type,MATCH($O171,Quick_Names,0))=INDEX(Species_Type_2,MATCH($N171,Species_Names,0))),Game_STAB_Multiplier,1)))</f>
        <v>1.25</v>
      </c>
      <c r="V171" s="33">
        <f t="array" ref="V1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171,Charge_Names,0))),Type_Species)),0),1)*IF(COUNTBLANK(Combo_Opponent_Type_2)=0,INDEX(Type_Damage_Multipliers,MATCH(Combo_Opponent_Type_2,IF(Type_Move=(INDEX(Charge_Type,MATCH($P171,Charge_Names,0))),Type_Species)),0),1)*
IF(OR(INDEX(Charge_Type,MATCH($P171,Charge_Names,0))=INDEX(Species_Type_1,MATCH($N171,Species_Names,0)),INDEX(Charge_Type,MATCH($P171,Charge_Names,0))=INDEX(Species_Type_2,MATCH($N171,Species_Names,0))),Game_STAB_Multiplier,1))</f>
        <v>1.25</v>
      </c>
      <c r="W171" s="33" t="s">
        <v>511</v>
      </c>
      <c r="X171" s="33" t="s">
        <v>508</v>
      </c>
      <c r="Y171" s="32" t="e">
        <f t="array" ref="Y171">((($Z171)*
INDEX(Species_Attack,MATCH($N171,Species_Names,0))*
INDEX(Species_Tankiness,MATCH($N171,Species_Names,0)))/1000)</f>
        <v>#VALUE!</v>
      </c>
      <c r="Z171" s="33" t="s">
        <v>543</v>
      </c>
    </row>
    <row r="172" spans="1:26" ht="14.25" customHeight="1" x14ac:dyDescent="0.2">
      <c r="A172" s="86"/>
      <c r="B172" s="22" t="str">
        <f t="array" ref="B172">CONCATENATE(TEXT($M172,"000"),".",TEXT(INDEX(Quick_Number,MATCH($O172,Quick_Names,0)),"000"),".",TEXT(INDEX(Charge_Number,MATCH($P172,Charge_Names,0)),"000"))</f>
        <v>126.209.103</v>
      </c>
      <c r="C172" s="23" t="e">
        <f t="array" ref="C172">RANK($S172,IF(Combo_Species_Names=$N172,Combo_Gym_Offense),0)</f>
        <v>#VALUE!</v>
      </c>
      <c r="D172" s="24" t="e">
        <f t="array" ref="D172">$S172/MAX(IF(Combo_Species_Names=$N172,Combo_Gym_Offense))</f>
        <v>#VALUE!</v>
      </c>
      <c r="E172" s="23" t="e">
        <f t="array" ref="E172">RANK($Y172,IF(Combo_Species_Names=$N172,Combo_Gym_Defense),0)</f>
        <v>#VALUE!</v>
      </c>
      <c r="F172" s="25" t="e">
        <f t="array" ref="F172">$Y172/MAX(IF(Combo_Species_Names=$N172,Combo_Gym_Defense))</f>
        <v>#VALUE!</v>
      </c>
      <c r="G172" s="23" t="e">
        <f t="array" ref="G172">IF(OR(INDEX(Species_Availability,MATCH($N172,Species_Names,0))="No",INDEX(Species_Evo_Numbers,MATCH($N172,Species_Names,0))&lt;&gt;1),"N/A",RANK($R172,IF(NOT(ISNA(MATCH(Combo_Species_Names,IF(Species_Availability="Yes",IF(Species_Evo_Numbers=1,Species_Names)),0))),Combo_Duel_Ability),0))</f>
        <v>#VALUE!</v>
      </c>
      <c r="H172" s="24" t="e">
        <f t="array" ref="H172">IF(OR(INDEX(Species_Availability,MATCH($N172,Species_Names,0))="No",INDEX(Species_Evo_Numbers,MATCH($N172,Species_Names,0))&lt;&gt;1),"N/A",$R172/MAX(IF(NOT(ISNA(MATCH(Combo_Species_Names,IF(Species_Availability="Yes",IF(Species_Evo_Numbers=1,Species_Names)),0))),Combo_Duel_Ability)))</f>
        <v>#VALUE!</v>
      </c>
      <c r="I172" s="23" t="e">
        <f t="array" ref="I172">IF(OR(INDEX(Species_Availability,MATCH($N172,Species_Names,0))="No",INDEX(Species_Evo_Numbers,MATCH($N172,Species_Names,0))&lt;&gt;1),"N/A",RANK($S172,IF(NOT(ISNA(MATCH(Combo_Species_Names,IF(Species_Availability="Yes",IF(Species_Evo_Numbers=1,Species_Names)),0))),Combo_Gym_Offense),0))</f>
        <v>#VALUE!</v>
      </c>
      <c r="J172" s="24" t="e">
        <f t="array" ref="J172">IF(OR(INDEX(Species_Availability,MATCH($N172,Species_Names,0))="No",INDEX(Species_Evo_Numbers,MATCH($N172,Species_Names,0))&lt;&gt;1),"N/A",$S172/MAX(IF(NOT(ISNA(MATCH(Combo_Species_Names,IF(Species_Availability="Yes",IF(Species_Evo_Numbers=1,Species_Names)),0))),Combo_Gym_Offense)))</f>
        <v>#VALUE!</v>
      </c>
      <c r="K172" s="23" t="e">
        <f t="array" ref="K172">IF(OR(INDEX(Species_Availability,MATCH($N172,Species_Names,0))="No",INDEX(Species_Evo_Numbers,MATCH($N172,Species_Names,0))&lt;&gt;1),"N/A",RANK($Y172,IF(NOT(ISNA(MATCH(Combo_Species_Names,IF(Species_Availability="Yes",IF(Species_Evo_Numbers=1,Species_Names)),0))),Combo_Gym_Defense),0))</f>
        <v>#VALUE!</v>
      </c>
      <c r="L172" s="24" t="e">
        <f t="array" ref="L172">IF(OR(INDEX(Species_Availability,MATCH($N172,Species_Names,0))="No",INDEX(Species_Evo_Numbers,MATCH($N172,Species_Names,0))&lt;&gt;1),"N/A",$Y172/MAX(IF(NOT(ISNA(MATCH(Combo_Species_Names,IF(Species_Availability="Yes",IF(Species_Evo_Numbers=1,Species_Names)),0))),Combo_Gym_Defense)))</f>
        <v>#VALUE!</v>
      </c>
      <c r="M172" s="28">
        <f t="array" ref="M172">INDEX(Species_Pdex_Numbers,MATCH($N172,Species_Names,0))</f>
        <v>126</v>
      </c>
      <c r="N172" s="30" t="s">
        <v>343</v>
      </c>
      <c r="O172" s="31" t="s">
        <v>111</v>
      </c>
      <c r="P172" s="31" t="s">
        <v>163</v>
      </c>
      <c r="Q172" s="17" t="e">
        <f t="shared" si="4"/>
        <v>#VALUE!</v>
      </c>
      <c r="R172" s="32" t="e">
        <f t="array" ref="R172">IF(OR(AND(COUNTBLANK(Combo_Opponent_Type_1)=1,COUNTBLANK(Combo_Opponent_Type_2)=0),AND(AND(COUNTBLANK(Combo_Opponent_Type_1)=0,COUNTBLANK(Combo_Opponent_Type_2)=0),Combo_Opponent_Type_1=Combo_Opponent_Type_2)),
"Check Types",($S172*INDEX(Species_Tankiness,MATCH($N172,Species_Names,0)))/225)</f>
        <v>#VALUE!</v>
      </c>
      <c r="S172" s="32" t="e">
        <f t="array" ref="S172">IF(OR(AND(COUNTBLANK(Combo_Opponent_Type_1)=1,COUNTBLANK(Combo_Opponent_Type_2)=0),AND(AND(COUNTBLANK(Combo_Opponent_Type_1)=0,COUNTBLANK(Combo_Opponent_Type_2)=0),Combo_Opponent_Type_1=Combo_Opponent_Type_2)),
"Check Types",(
IF($W172&gt;=((1-Game_Weave_Human_Error)*$X172),$W172,$X172)*INDEX(Species_Attack,MATCH($N172,Species_Names,0)))/11)</f>
        <v>#VALUE!</v>
      </c>
      <c r="T172" s="33" t="e">
        <f t="shared" si="5"/>
        <v>#VALUE!</v>
      </c>
      <c r="U172" s="33">
        <f t="array" ref="U1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172,Quick_Names,0))),Type_Species)),0),1)*IF(COUNTBLANK(Combo_Opponent_Type_2)=0,INDEX(Type_Damage_Multipliers,MATCH(Combo_Opponent_Type_2,IF(Type_Move=(INDEX(Quick_Type,MATCH($O172,Quick_Names,0))),Type_Species)),0),1)*(IF(OR(INDEX(Quick_Type,MATCH($O172,Quick_Names,0))=INDEX(Species_Type_1,MATCH($N172,Species_Names,0)),INDEX(Quick_Type,MATCH($O172,Quick_Names,0))=INDEX(Species_Type_2,MATCH($N172,Species_Names,0))),Game_STAB_Multiplier,1)))</f>
        <v>1.25</v>
      </c>
      <c r="V172" s="33">
        <f t="array" ref="V1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172,Charge_Names,0))),Type_Species)),0),1)*IF(COUNTBLANK(Combo_Opponent_Type_2)=0,INDEX(Type_Damage_Multipliers,MATCH(Combo_Opponent_Type_2,IF(Type_Move=(INDEX(Charge_Type,MATCH($P172,Charge_Names,0))),Type_Species)),0),1)*
IF(OR(INDEX(Charge_Type,MATCH($P172,Charge_Names,0))=INDEX(Species_Type_1,MATCH($N172,Species_Names,0)),INDEX(Charge_Type,MATCH($P172,Charge_Names,0))=INDEX(Species_Type_2,MATCH($N172,Species_Names,0))),Game_STAB_Multiplier,1))</f>
        <v>1.25</v>
      </c>
      <c r="W172" s="33" t="s">
        <v>511</v>
      </c>
      <c r="X172" s="33" t="s">
        <v>508</v>
      </c>
      <c r="Y172" s="32" t="e">
        <f t="array" ref="Y172">((($Z172)*
INDEX(Species_Attack,MATCH($N172,Species_Names,0))*
INDEX(Species_Tankiness,MATCH($N172,Species_Names,0)))/1000)</f>
        <v>#VALUE!</v>
      </c>
      <c r="Z172" s="33" t="s">
        <v>543</v>
      </c>
    </row>
    <row r="173" spans="1:26" ht="14.25" customHeight="1" x14ac:dyDescent="0.2">
      <c r="A173" s="86"/>
      <c r="B173" s="22" t="str">
        <f t="array" ref="B173">CONCATENATE(TEXT($M173,"000"),".",TEXT(INDEX(Quick_Number,MATCH($O173,Quick_Names,0)),"000"),".",TEXT(INDEX(Charge_Number,MATCH($P173,Charge_Names,0)),"000"))</f>
        <v>062.216.033</v>
      </c>
      <c r="C173" s="23" t="e">
        <f t="array" ref="C173">RANK($S173,IF(Combo_Species_Names=$N173,Combo_Gym_Offense),0)</f>
        <v>#VALUE!</v>
      </c>
      <c r="D173" s="24" t="e">
        <f t="array" ref="D173">$S173/MAX(IF(Combo_Species_Names=$N173,Combo_Gym_Offense))</f>
        <v>#VALUE!</v>
      </c>
      <c r="E173" s="23" t="e">
        <f t="array" ref="E173">RANK($Y173,IF(Combo_Species_Names=$N173,Combo_Gym_Defense),0)</f>
        <v>#VALUE!</v>
      </c>
      <c r="F173" s="25" t="e">
        <f t="array" ref="F173">$Y173/MAX(IF(Combo_Species_Names=$N173,Combo_Gym_Defense))</f>
        <v>#VALUE!</v>
      </c>
      <c r="G173" s="23" t="e">
        <f t="array" ref="G173">IF(OR(INDEX(Species_Availability,MATCH($N173,Species_Names,0))="No",INDEX(Species_Evo_Numbers,MATCH($N173,Species_Names,0))&lt;&gt;1),"N/A",RANK($R173,IF(NOT(ISNA(MATCH(Combo_Species_Names,IF(Species_Availability="Yes",IF(Species_Evo_Numbers=1,Species_Names)),0))),Combo_Duel_Ability),0))</f>
        <v>#VALUE!</v>
      </c>
      <c r="H173" s="24" t="e">
        <f t="array" ref="H173">IF(OR(INDEX(Species_Availability,MATCH($N173,Species_Names,0))="No",INDEX(Species_Evo_Numbers,MATCH($N173,Species_Names,0))&lt;&gt;1),"N/A",$R173/MAX(IF(NOT(ISNA(MATCH(Combo_Species_Names,IF(Species_Availability="Yes",IF(Species_Evo_Numbers=1,Species_Names)),0))),Combo_Duel_Ability)))</f>
        <v>#VALUE!</v>
      </c>
      <c r="I173" s="23" t="e">
        <f t="array" ref="I173">IF(OR(INDEX(Species_Availability,MATCH($N173,Species_Names,0))="No",INDEX(Species_Evo_Numbers,MATCH($N173,Species_Names,0))&lt;&gt;1),"N/A",RANK($S173,IF(NOT(ISNA(MATCH(Combo_Species_Names,IF(Species_Availability="Yes",IF(Species_Evo_Numbers=1,Species_Names)),0))),Combo_Gym_Offense),0))</f>
        <v>#VALUE!</v>
      </c>
      <c r="J173" s="24" t="e">
        <f t="array" ref="J173">IF(OR(INDEX(Species_Availability,MATCH($N173,Species_Names,0))="No",INDEX(Species_Evo_Numbers,MATCH($N173,Species_Names,0))&lt;&gt;1),"N/A",$S173/MAX(IF(NOT(ISNA(MATCH(Combo_Species_Names,IF(Species_Availability="Yes",IF(Species_Evo_Numbers=1,Species_Names)),0))),Combo_Gym_Offense)))</f>
        <v>#VALUE!</v>
      </c>
      <c r="K173" s="23" t="e">
        <f t="array" ref="K173">IF(OR(INDEX(Species_Availability,MATCH($N173,Species_Names,0))="No",INDEX(Species_Evo_Numbers,MATCH($N173,Species_Names,0))&lt;&gt;1),"N/A",RANK($Y173,IF(NOT(ISNA(MATCH(Combo_Species_Names,IF(Species_Availability="Yes",IF(Species_Evo_Numbers=1,Species_Names)),0))),Combo_Gym_Defense),0))</f>
        <v>#VALUE!</v>
      </c>
      <c r="L173" s="24" t="e">
        <f t="array" ref="L173">IF(OR(INDEX(Species_Availability,MATCH($N173,Species_Names,0))="No",INDEX(Species_Evo_Numbers,MATCH($N173,Species_Names,0))&lt;&gt;1),"N/A",$Y173/MAX(IF(NOT(ISNA(MATCH(Combo_Species_Names,IF(Species_Availability="Yes",IF(Species_Evo_Numbers=1,Species_Names)),0))),Combo_Gym_Defense)))</f>
        <v>#VALUE!</v>
      </c>
      <c r="M173" s="28">
        <f t="array" ref="M173">INDEX(Species_Pdex_Numbers,MATCH($N173,Species_Names,0))</f>
        <v>62</v>
      </c>
      <c r="N173" s="30" t="s">
        <v>215</v>
      </c>
      <c r="O173" s="31" t="s">
        <v>89</v>
      </c>
      <c r="P173" s="31" t="s">
        <v>260</v>
      </c>
      <c r="Q173" s="17" t="e">
        <f t="shared" si="4"/>
        <v>#VALUE!</v>
      </c>
      <c r="R173" s="32" t="e">
        <f t="array" ref="R173">IF(OR(AND(COUNTBLANK(Combo_Opponent_Type_1)=1,COUNTBLANK(Combo_Opponent_Type_2)=0),AND(AND(COUNTBLANK(Combo_Opponent_Type_1)=0,COUNTBLANK(Combo_Opponent_Type_2)=0),Combo_Opponent_Type_1=Combo_Opponent_Type_2)),
"Check Types",($S173*INDEX(Species_Tankiness,MATCH($N173,Species_Names,0)))/225)</f>
        <v>#VALUE!</v>
      </c>
      <c r="S173" s="32" t="e">
        <f t="array" ref="S173">IF(OR(AND(COUNTBLANK(Combo_Opponent_Type_1)=1,COUNTBLANK(Combo_Opponent_Type_2)=0),AND(AND(COUNTBLANK(Combo_Opponent_Type_1)=0,COUNTBLANK(Combo_Opponent_Type_2)=0),Combo_Opponent_Type_1=Combo_Opponent_Type_2)),
"Check Types",(
IF($W173&gt;=((1-Game_Weave_Human_Error)*$X173),$W173,$X173)*INDEX(Species_Attack,MATCH($N173,Species_Names,0)))/11)</f>
        <v>#VALUE!</v>
      </c>
      <c r="T173" s="33" t="e">
        <f t="shared" si="5"/>
        <v>#VALUE!</v>
      </c>
      <c r="U173" s="33">
        <f t="array" ref="U1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173,Quick_Names,0))),Type_Species)),0),1)*IF(COUNTBLANK(Combo_Opponent_Type_2)=0,INDEX(Type_Damage_Multipliers,MATCH(Combo_Opponent_Type_2,IF(Type_Move=(INDEX(Quick_Type,MATCH($O173,Quick_Names,0))),Type_Species)),0),1)*(IF(OR(INDEX(Quick_Type,MATCH($O173,Quick_Names,0))=INDEX(Species_Type_1,MATCH($N173,Species_Names,0)),INDEX(Quick_Type,MATCH($O173,Quick_Names,0))=INDEX(Species_Type_2,MATCH($N173,Species_Names,0))),Game_STAB_Multiplier,1)))</f>
        <v>1</v>
      </c>
      <c r="V173" s="33">
        <f t="array" ref="V1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173,Charge_Names,0))),Type_Species)),0),1)*IF(COUNTBLANK(Combo_Opponent_Type_2)=0,INDEX(Type_Damage_Multipliers,MATCH(Combo_Opponent_Type_2,IF(Type_Move=(INDEX(Charge_Type,MATCH($P173,Charge_Names,0))),Type_Species)),0),1)*
IF(OR(INDEX(Charge_Type,MATCH($P173,Charge_Names,0))=INDEX(Species_Type_1,MATCH($N173,Species_Names,0)),INDEX(Charge_Type,MATCH($P173,Charge_Names,0))=INDEX(Species_Type_2,MATCH($N173,Species_Names,0))),Game_STAB_Multiplier,1))</f>
        <v>1</v>
      </c>
      <c r="W173" s="33" t="s">
        <v>518</v>
      </c>
      <c r="X173" s="33" t="s">
        <v>667</v>
      </c>
      <c r="Y173" s="32" t="e">
        <f t="array" ref="Y173">((($Z173)*
INDEX(Species_Attack,MATCH($N173,Species_Names,0))*
INDEX(Species_Tankiness,MATCH($N173,Species_Names,0)))/1000)</f>
        <v>#VALUE!</v>
      </c>
      <c r="Z173" s="33" t="s">
        <v>668</v>
      </c>
    </row>
    <row r="174" spans="1:26" ht="14.25" customHeight="1" x14ac:dyDescent="0.2">
      <c r="A174" s="86"/>
      <c r="B174" s="22" t="str">
        <f t="array" ref="B174">CONCATENATE(TEXT($M174,"000"),".",TEXT(INDEX(Quick_Number,MATCH($O174,Quick_Names,0)),"000"),".",TEXT(INDEX(Charge_Number,MATCH($P174,Charge_Names,0)),"000"))</f>
        <v>141.200.032</v>
      </c>
      <c r="C174" s="23" t="e">
        <f t="array" ref="C174">RANK($S174,IF(Combo_Species_Names=$N174,Combo_Gym_Offense),0)</f>
        <v>#VALUE!</v>
      </c>
      <c r="D174" s="24" t="e">
        <f t="array" ref="D174">$S174/MAX(IF(Combo_Species_Names=$N174,Combo_Gym_Offense))</f>
        <v>#VALUE!</v>
      </c>
      <c r="E174" s="23" t="e">
        <f t="array" ref="E174">RANK($Y174,IF(Combo_Species_Names=$N174,Combo_Gym_Defense),0)</f>
        <v>#VALUE!</v>
      </c>
      <c r="F174" s="25" t="e">
        <f t="array" ref="F174">$Y174/MAX(IF(Combo_Species_Names=$N174,Combo_Gym_Defense))</f>
        <v>#VALUE!</v>
      </c>
      <c r="G174" s="23" t="e">
        <f t="array" ref="G174">IF(OR(INDEX(Species_Availability,MATCH($N174,Species_Names,0))="No",INDEX(Species_Evo_Numbers,MATCH($N174,Species_Names,0))&lt;&gt;1),"N/A",RANK($R174,IF(NOT(ISNA(MATCH(Combo_Species_Names,IF(Species_Availability="Yes",IF(Species_Evo_Numbers=1,Species_Names)),0))),Combo_Duel_Ability),0))</f>
        <v>#VALUE!</v>
      </c>
      <c r="H174" s="24" t="e">
        <f t="array" ref="H174">IF(OR(INDEX(Species_Availability,MATCH($N174,Species_Names,0))="No",INDEX(Species_Evo_Numbers,MATCH($N174,Species_Names,0))&lt;&gt;1),"N/A",$R174/MAX(IF(NOT(ISNA(MATCH(Combo_Species_Names,IF(Species_Availability="Yes",IF(Species_Evo_Numbers=1,Species_Names)),0))),Combo_Duel_Ability)))</f>
        <v>#VALUE!</v>
      </c>
      <c r="I174" s="23" t="e">
        <f t="array" ref="I174">IF(OR(INDEX(Species_Availability,MATCH($N174,Species_Names,0))="No",INDEX(Species_Evo_Numbers,MATCH($N174,Species_Names,0))&lt;&gt;1),"N/A",RANK($S174,IF(NOT(ISNA(MATCH(Combo_Species_Names,IF(Species_Availability="Yes",IF(Species_Evo_Numbers=1,Species_Names)),0))),Combo_Gym_Offense),0))</f>
        <v>#VALUE!</v>
      </c>
      <c r="J174" s="24" t="e">
        <f t="array" ref="J174">IF(OR(INDEX(Species_Availability,MATCH($N174,Species_Names,0))="No",INDEX(Species_Evo_Numbers,MATCH($N174,Species_Names,0))&lt;&gt;1),"N/A",$S174/MAX(IF(NOT(ISNA(MATCH(Combo_Species_Names,IF(Species_Availability="Yes",IF(Species_Evo_Numbers=1,Species_Names)),0))),Combo_Gym_Offense)))</f>
        <v>#VALUE!</v>
      </c>
      <c r="K174" s="23" t="e">
        <f t="array" ref="K174">IF(OR(INDEX(Species_Availability,MATCH($N174,Species_Names,0))="No",INDEX(Species_Evo_Numbers,MATCH($N174,Species_Names,0))&lt;&gt;1),"N/A",RANK($Y174,IF(NOT(ISNA(MATCH(Combo_Species_Names,IF(Species_Availability="Yes",IF(Species_Evo_Numbers=1,Species_Names)),0))),Combo_Gym_Defense),0))</f>
        <v>#VALUE!</v>
      </c>
      <c r="L174" s="24" t="e">
        <f t="array" ref="L174">IF(OR(INDEX(Species_Availability,MATCH($N174,Species_Names,0))="No",INDEX(Species_Evo_Numbers,MATCH($N174,Species_Names,0))&lt;&gt;1),"N/A",$Y174/MAX(IF(NOT(ISNA(MATCH(Combo_Species_Names,IF(Species_Availability="Yes",IF(Species_Evo_Numbers=1,Species_Names)),0))),Combo_Gym_Defense)))</f>
        <v>#VALUE!</v>
      </c>
      <c r="M174" s="28">
        <f t="array" ref="M174">INDEX(Species_Pdex_Numbers,MATCH($N174,Species_Names,0))</f>
        <v>141</v>
      </c>
      <c r="N174" s="30" t="s">
        <v>359</v>
      </c>
      <c r="O174" s="31" t="s">
        <v>121</v>
      </c>
      <c r="P174" s="31" t="s">
        <v>149</v>
      </c>
      <c r="Q174" s="17" t="e">
        <f t="shared" si="4"/>
        <v>#VALUE!</v>
      </c>
      <c r="R174" s="32" t="e">
        <f t="array" ref="R174">IF(OR(AND(COUNTBLANK(Combo_Opponent_Type_1)=1,COUNTBLANK(Combo_Opponent_Type_2)=0),AND(AND(COUNTBLANK(Combo_Opponent_Type_1)=0,COUNTBLANK(Combo_Opponent_Type_2)=0),Combo_Opponent_Type_1=Combo_Opponent_Type_2)),
"Check Types",($S174*INDEX(Species_Tankiness,MATCH($N174,Species_Names,0)))/225)</f>
        <v>#VALUE!</v>
      </c>
      <c r="S174" s="32" t="e">
        <f t="array" ref="S174">IF(OR(AND(COUNTBLANK(Combo_Opponent_Type_1)=1,COUNTBLANK(Combo_Opponent_Type_2)=0),AND(AND(COUNTBLANK(Combo_Opponent_Type_1)=0,COUNTBLANK(Combo_Opponent_Type_2)=0),Combo_Opponent_Type_1=Combo_Opponent_Type_2)),
"Check Types",(
IF($W174&gt;=((1-Game_Weave_Human_Error)*$X174),$W174,$X174)*INDEX(Species_Attack,MATCH($N174,Species_Names,0)))/11)</f>
        <v>#VALUE!</v>
      </c>
      <c r="T174" s="33" t="e">
        <f t="shared" si="5"/>
        <v>#VALUE!</v>
      </c>
      <c r="U174" s="33">
        <f t="array" ref="U1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174,Quick_Names,0))),Type_Species)),0),1)*IF(COUNTBLANK(Combo_Opponent_Type_2)=0,INDEX(Type_Damage_Multipliers,MATCH(Combo_Opponent_Type_2,IF(Type_Move=(INDEX(Quick_Type,MATCH($O174,Quick_Names,0))),Type_Species)),0),1)*(IF(OR(INDEX(Quick_Type,MATCH($O174,Quick_Names,0))=INDEX(Species_Type_1,MATCH($N174,Species_Names,0)),INDEX(Quick_Type,MATCH($O174,Quick_Names,0))=INDEX(Species_Type_2,MATCH($N174,Species_Names,0))),Game_STAB_Multiplier,1)))</f>
        <v>1</v>
      </c>
      <c r="V174" s="33">
        <f t="array" ref="V1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174,Charge_Names,0))),Type_Species)),0),1)*IF(COUNTBLANK(Combo_Opponent_Type_2)=0,INDEX(Type_Damage_Multipliers,MATCH(Combo_Opponent_Type_2,IF(Type_Move=(INDEX(Charge_Type,MATCH($P174,Charge_Names,0))),Type_Species)),0),1)*
IF(OR(INDEX(Charge_Type,MATCH($P174,Charge_Names,0))=INDEX(Species_Type_1,MATCH($N174,Species_Names,0)),INDEX(Charge_Type,MATCH($P174,Charge_Names,0))=INDEX(Species_Type_2,MATCH($N174,Species_Names,0))),Game_STAB_Multiplier,1))</f>
        <v>1.25</v>
      </c>
      <c r="W174" s="33" t="s">
        <v>600</v>
      </c>
      <c r="X174" s="33" t="s">
        <v>562</v>
      </c>
      <c r="Y174" s="32" t="e">
        <f t="array" ref="Y174">((($Z174)*
INDEX(Species_Attack,MATCH($N174,Species_Names,0))*
INDEX(Species_Tankiness,MATCH($N174,Species_Names,0)))/1000)</f>
        <v>#VALUE!</v>
      </c>
      <c r="Z174" s="33" t="s">
        <v>669</v>
      </c>
    </row>
    <row r="175" spans="1:26" ht="14.25" customHeight="1" x14ac:dyDescent="0.2">
      <c r="A175" s="86"/>
      <c r="B175" s="22" t="str">
        <f t="array" ref="B175">CONCATENATE(TEXT($M175,"000"),".",TEXT(INDEX(Quick_Number,MATCH($O175,Quick_Names,0)),"000"),".",TEXT(INDEX(Charge_Number,MATCH($P175,Charge_Names,0)),"000"))</f>
        <v>028.216.031</v>
      </c>
      <c r="C175" s="23" t="e">
        <f t="array" ref="C175">RANK($S175,IF(Combo_Species_Names=$N175,Combo_Gym_Offense),0)</f>
        <v>#VALUE!</v>
      </c>
      <c r="D175" s="24" t="e">
        <f t="array" ref="D175">$S175/MAX(IF(Combo_Species_Names=$N175,Combo_Gym_Offense))</f>
        <v>#VALUE!</v>
      </c>
      <c r="E175" s="23" t="e">
        <f t="array" ref="E175">RANK($Y175,IF(Combo_Species_Names=$N175,Combo_Gym_Defense),0)</f>
        <v>#VALUE!</v>
      </c>
      <c r="F175" s="25" t="e">
        <f t="array" ref="F175">$Y175/MAX(IF(Combo_Species_Names=$N175,Combo_Gym_Defense))</f>
        <v>#VALUE!</v>
      </c>
      <c r="G175" s="23" t="e">
        <f t="array" ref="G175">IF(OR(INDEX(Species_Availability,MATCH($N175,Species_Names,0))="No",INDEX(Species_Evo_Numbers,MATCH($N175,Species_Names,0))&lt;&gt;1),"N/A",RANK($R175,IF(NOT(ISNA(MATCH(Combo_Species_Names,IF(Species_Availability="Yes",IF(Species_Evo_Numbers=1,Species_Names)),0))),Combo_Duel_Ability),0))</f>
        <v>#VALUE!</v>
      </c>
      <c r="H175" s="24" t="e">
        <f t="array" ref="H175">IF(OR(INDEX(Species_Availability,MATCH($N175,Species_Names,0))="No",INDEX(Species_Evo_Numbers,MATCH($N175,Species_Names,0))&lt;&gt;1),"N/A",$R175/MAX(IF(NOT(ISNA(MATCH(Combo_Species_Names,IF(Species_Availability="Yes",IF(Species_Evo_Numbers=1,Species_Names)),0))),Combo_Duel_Ability)))</f>
        <v>#VALUE!</v>
      </c>
      <c r="I175" s="23" t="e">
        <f t="array" ref="I175">IF(OR(INDEX(Species_Availability,MATCH($N175,Species_Names,0))="No",INDEX(Species_Evo_Numbers,MATCH($N175,Species_Names,0))&lt;&gt;1),"N/A",RANK($S175,IF(NOT(ISNA(MATCH(Combo_Species_Names,IF(Species_Availability="Yes",IF(Species_Evo_Numbers=1,Species_Names)),0))),Combo_Gym_Offense),0))</f>
        <v>#VALUE!</v>
      </c>
      <c r="J175" s="24" t="e">
        <f t="array" ref="J175">IF(OR(INDEX(Species_Availability,MATCH($N175,Species_Names,0))="No",INDEX(Species_Evo_Numbers,MATCH($N175,Species_Names,0))&lt;&gt;1),"N/A",$S175/MAX(IF(NOT(ISNA(MATCH(Combo_Species_Names,IF(Species_Availability="Yes",IF(Species_Evo_Numbers=1,Species_Names)),0))),Combo_Gym_Offense)))</f>
        <v>#VALUE!</v>
      </c>
      <c r="K175" s="23" t="e">
        <f t="array" ref="K175">IF(OR(INDEX(Species_Availability,MATCH($N175,Species_Names,0))="No",INDEX(Species_Evo_Numbers,MATCH($N175,Species_Names,0))&lt;&gt;1),"N/A",RANK($Y175,IF(NOT(ISNA(MATCH(Combo_Species_Names,IF(Species_Availability="Yes",IF(Species_Evo_Numbers=1,Species_Names)),0))),Combo_Gym_Defense),0))</f>
        <v>#VALUE!</v>
      </c>
      <c r="L175" s="24" t="e">
        <f t="array" ref="L175">IF(OR(INDEX(Species_Availability,MATCH($N175,Species_Names,0))="No",INDEX(Species_Evo_Numbers,MATCH($N175,Species_Names,0))&lt;&gt;1),"N/A",$Y175/MAX(IF(NOT(ISNA(MATCH(Combo_Species_Names,IF(Species_Availability="Yes",IF(Species_Evo_Numbers=1,Species_Names)),0))),Combo_Gym_Defense)))</f>
        <v>#VALUE!</v>
      </c>
      <c r="M175" s="28">
        <f t="array" ref="M175">INDEX(Species_Pdex_Numbers,MATCH($N175,Species_Names,0))</f>
        <v>28</v>
      </c>
      <c r="N175" s="30" t="s">
        <v>147</v>
      </c>
      <c r="O175" s="31" t="s">
        <v>89</v>
      </c>
      <c r="P175" s="31" t="s">
        <v>169</v>
      </c>
      <c r="Q175" s="17" t="e">
        <f t="shared" si="4"/>
        <v>#VALUE!</v>
      </c>
      <c r="R175" s="32" t="e">
        <f t="array" ref="R175">IF(OR(AND(COUNTBLANK(Combo_Opponent_Type_1)=1,COUNTBLANK(Combo_Opponent_Type_2)=0),AND(AND(COUNTBLANK(Combo_Opponent_Type_1)=0,COUNTBLANK(Combo_Opponent_Type_2)=0),Combo_Opponent_Type_1=Combo_Opponent_Type_2)),
"Check Types",($S175*INDEX(Species_Tankiness,MATCH($N175,Species_Names,0)))/225)</f>
        <v>#VALUE!</v>
      </c>
      <c r="S175" s="32" t="e">
        <f t="array" ref="S175">IF(OR(AND(COUNTBLANK(Combo_Opponent_Type_1)=1,COUNTBLANK(Combo_Opponent_Type_2)=0),AND(AND(COUNTBLANK(Combo_Opponent_Type_1)=0,COUNTBLANK(Combo_Opponent_Type_2)=0),Combo_Opponent_Type_1=Combo_Opponent_Type_2)),
"Check Types",(
IF($W175&gt;=((1-Game_Weave_Human_Error)*$X175),$W175,$X175)*INDEX(Species_Attack,MATCH($N175,Species_Names,0)))/11)</f>
        <v>#VALUE!</v>
      </c>
      <c r="T175" s="33" t="e">
        <f t="shared" si="5"/>
        <v>#VALUE!</v>
      </c>
      <c r="U175" s="33">
        <f t="array" ref="U1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175,Quick_Names,0))),Type_Species)),0),1)*IF(COUNTBLANK(Combo_Opponent_Type_2)=0,INDEX(Type_Damage_Multipliers,MATCH(Combo_Opponent_Type_2,IF(Type_Move=(INDEX(Quick_Type,MATCH($O175,Quick_Names,0))),Type_Species)),0),1)*(IF(OR(INDEX(Quick_Type,MATCH($O175,Quick_Names,0))=INDEX(Species_Type_1,MATCH($N175,Species_Names,0)),INDEX(Quick_Type,MATCH($O175,Quick_Names,0))=INDEX(Species_Type_2,MATCH($N175,Species_Names,0))),Game_STAB_Multiplier,1)))</f>
        <v>1.25</v>
      </c>
      <c r="V175" s="33">
        <f t="array" ref="V1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175,Charge_Names,0))),Type_Species)),0),1)*IF(COUNTBLANK(Combo_Opponent_Type_2)=0,INDEX(Type_Damage_Multipliers,MATCH(Combo_Opponent_Type_2,IF(Type_Move=(INDEX(Charge_Type,MATCH($P175,Charge_Names,0))),Type_Species)),0),1)*
IF(OR(INDEX(Charge_Type,MATCH($P175,Charge_Names,0))=INDEX(Species_Type_1,MATCH($N175,Species_Names,0)),INDEX(Charge_Type,MATCH($P175,Charge_Names,0))=INDEX(Species_Type_2,MATCH($N175,Species_Names,0))),Game_STAB_Multiplier,1))</f>
        <v>1.25</v>
      </c>
      <c r="W175" s="33" t="s">
        <v>496</v>
      </c>
      <c r="X175" s="33" t="s">
        <v>530</v>
      </c>
      <c r="Y175" s="32" t="e">
        <f t="array" ref="Y175">((($Z175)*
INDEX(Species_Attack,MATCH($N175,Species_Names,0))*
INDEX(Species_Tankiness,MATCH($N175,Species_Names,0)))/1000)</f>
        <v>#VALUE!</v>
      </c>
      <c r="Z175" s="33" t="s">
        <v>531</v>
      </c>
    </row>
    <row r="176" spans="1:26" ht="14.25" customHeight="1" x14ac:dyDescent="0.2">
      <c r="A176" s="86"/>
      <c r="B176" s="22" t="str">
        <f t="array" ref="B176">CONCATENATE(TEXT($M176,"000"),".",TEXT(INDEX(Quick_Number,MATCH($O176,Quick_Names,0)),"000"),".",TEXT(INDEX(Charge_Number,MATCH($P176,Charge_Names,0)),"000"))</f>
        <v>018.210.121</v>
      </c>
      <c r="C176" s="23" t="e">
        <f t="array" ref="C176">RANK($S176,IF(Combo_Species_Names=$N176,Combo_Gym_Offense),0)</f>
        <v>#VALUE!</v>
      </c>
      <c r="D176" s="24" t="e">
        <f t="array" ref="D176">$S176/MAX(IF(Combo_Species_Names=$N176,Combo_Gym_Offense))</f>
        <v>#VALUE!</v>
      </c>
      <c r="E176" s="23" t="e">
        <f t="array" ref="E176">RANK($Y176,IF(Combo_Species_Names=$N176,Combo_Gym_Defense),0)</f>
        <v>#VALUE!</v>
      </c>
      <c r="F176" s="25" t="e">
        <f t="array" ref="F176">$Y176/MAX(IF(Combo_Species_Names=$N176,Combo_Gym_Defense))</f>
        <v>#VALUE!</v>
      </c>
      <c r="G176" s="23" t="e">
        <f t="array" ref="G176">IF(OR(INDEX(Species_Availability,MATCH($N176,Species_Names,0))="No",INDEX(Species_Evo_Numbers,MATCH($N176,Species_Names,0))&lt;&gt;1),"N/A",RANK($R176,IF(NOT(ISNA(MATCH(Combo_Species_Names,IF(Species_Availability="Yes",IF(Species_Evo_Numbers=1,Species_Names)),0))),Combo_Duel_Ability),0))</f>
        <v>#VALUE!</v>
      </c>
      <c r="H176" s="24" t="e">
        <f t="array" ref="H176">IF(OR(INDEX(Species_Availability,MATCH($N176,Species_Names,0))="No",INDEX(Species_Evo_Numbers,MATCH($N176,Species_Names,0))&lt;&gt;1),"N/A",$R176/MAX(IF(NOT(ISNA(MATCH(Combo_Species_Names,IF(Species_Availability="Yes",IF(Species_Evo_Numbers=1,Species_Names)),0))),Combo_Duel_Ability)))</f>
        <v>#VALUE!</v>
      </c>
      <c r="I176" s="23" t="e">
        <f t="array" ref="I176">IF(OR(INDEX(Species_Availability,MATCH($N176,Species_Names,0))="No",INDEX(Species_Evo_Numbers,MATCH($N176,Species_Names,0))&lt;&gt;1),"N/A",RANK($S176,IF(NOT(ISNA(MATCH(Combo_Species_Names,IF(Species_Availability="Yes",IF(Species_Evo_Numbers=1,Species_Names)),0))),Combo_Gym_Offense),0))</f>
        <v>#VALUE!</v>
      </c>
      <c r="J176" s="24" t="e">
        <f t="array" ref="J176">IF(OR(INDEX(Species_Availability,MATCH($N176,Species_Names,0))="No",INDEX(Species_Evo_Numbers,MATCH($N176,Species_Names,0))&lt;&gt;1),"N/A",$S176/MAX(IF(NOT(ISNA(MATCH(Combo_Species_Names,IF(Species_Availability="Yes",IF(Species_Evo_Numbers=1,Species_Names)),0))),Combo_Gym_Offense)))</f>
        <v>#VALUE!</v>
      </c>
      <c r="K176" s="23" t="e">
        <f t="array" ref="K176">IF(OR(INDEX(Species_Availability,MATCH($N176,Species_Names,0))="No",INDEX(Species_Evo_Numbers,MATCH($N176,Species_Names,0))&lt;&gt;1),"N/A",RANK($Y176,IF(NOT(ISNA(MATCH(Combo_Species_Names,IF(Species_Availability="Yes",IF(Species_Evo_Numbers=1,Species_Names)),0))),Combo_Gym_Defense),0))</f>
        <v>#VALUE!</v>
      </c>
      <c r="L176" s="24" t="e">
        <f t="array" ref="L176">IF(OR(INDEX(Species_Availability,MATCH($N176,Species_Names,0))="No",INDEX(Species_Evo_Numbers,MATCH($N176,Species_Names,0))&lt;&gt;1),"N/A",$Y176/MAX(IF(NOT(ISNA(MATCH(Combo_Species_Names,IF(Species_Availability="Yes",IF(Species_Evo_Numbers=1,Species_Names)),0))),Combo_Gym_Defense)))</f>
        <v>#VALUE!</v>
      </c>
      <c r="M176" s="28">
        <f t="array" ref="M176">INDEX(Species_Pdex_Numbers,MATCH($N176,Species_Names,0))</f>
        <v>18</v>
      </c>
      <c r="N176" s="30" t="s">
        <v>126</v>
      </c>
      <c r="O176" s="31" t="s">
        <v>69</v>
      </c>
      <c r="P176" s="31" t="s">
        <v>294</v>
      </c>
      <c r="Q176" s="17" t="e">
        <f t="shared" si="4"/>
        <v>#VALUE!</v>
      </c>
      <c r="R176" s="32" t="e">
        <f t="array" ref="R176">IF(OR(AND(COUNTBLANK(Combo_Opponent_Type_1)=1,COUNTBLANK(Combo_Opponent_Type_2)=0),AND(AND(COUNTBLANK(Combo_Opponent_Type_1)=0,COUNTBLANK(Combo_Opponent_Type_2)=0),Combo_Opponent_Type_1=Combo_Opponent_Type_2)),
"Check Types",($S176*INDEX(Species_Tankiness,MATCH($N176,Species_Names,0)))/225)</f>
        <v>#VALUE!</v>
      </c>
      <c r="S176" s="32" t="e">
        <f t="array" ref="S176">IF(OR(AND(COUNTBLANK(Combo_Opponent_Type_1)=1,COUNTBLANK(Combo_Opponent_Type_2)=0),AND(AND(COUNTBLANK(Combo_Opponent_Type_1)=0,COUNTBLANK(Combo_Opponent_Type_2)=0),Combo_Opponent_Type_1=Combo_Opponent_Type_2)),
"Check Types",(
IF($W176&gt;=((1-Game_Weave_Human_Error)*$X176),$W176,$X176)*INDEX(Species_Attack,MATCH($N176,Species_Names,0)))/11)</f>
        <v>#VALUE!</v>
      </c>
      <c r="T176" s="33" t="e">
        <f t="shared" si="5"/>
        <v>#VALUE!</v>
      </c>
      <c r="U176" s="33">
        <f t="array" ref="U1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176,Quick_Names,0))),Type_Species)),0),1)*IF(COUNTBLANK(Combo_Opponent_Type_2)=0,INDEX(Type_Damage_Multipliers,MATCH(Combo_Opponent_Type_2,IF(Type_Move=(INDEX(Quick_Type,MATCH($O176,Quick_Names,0))),Type_Species)),0),1)*(IF(OR(INDEX(Quick_Type,MATCH($O176,Quick_Names,0))=INDEX(Species_Type_1,MATCH($N176,Species_Names,0)),INDEX(Quick_Type,MATCH($O176,Quick_Names,0))=INDEX(Species_Type_2,MATCH($N176,Species_Names,0))),Game_STAB_Multiplier,1)))</f>
        <v>1.25</v>
      </c>
      <c r="V176" s="33">
        <f t="array" ref="V1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176,Charge_Names,0))),Type_Species)),0),1)*IF(COUNTBLANK(Combo_Opponent_Type_2)=0,INDEX(Type_Damage_Multipliers,MATCH(Combo_Opponent_Type_2,IF(Type_Move=(INDEX(Charge_Type,MATCH($P176,Charge_Names,0))),Type_Species)),0),1)*
IF(OR(INDEX(Charge_Type,MATCH($P176,Charge_Names,0))=INDEX(Species_Type_1,MATCH($N176,Species_Names,0)),INDEX(Charge_Type,MATCH($P176,Charge_Names,0))=INDEX(Species_Type_2,MATCH($N176,Species_Names,0))),Game_STAB_Multiplier,1))</f>
        <v>1.25</v>
      </c>
      <c r="W176" s="33" t="s">
        <v>489</v>
      </c>
      <c r="X176" s="33" t="s">
        <v>670</v>
      </c>
      <c r="Y176" s="32" t="e">
        <f t="array" ref="Y176">((($Z176)*
INDEX(Species_Attack,MATCH($N176,Species_Names,0))*
INDEX(Species_Tankiness,MATCH($N176,Species_Names,0)))/1000)</f>
        <v>#VALUE!</v>
      </c>
      <c r="Z176" s="33" t="s">
        <v>671</v>
      </c>
    </row>
    <row r="177" spans="1:26" ht="14.25" customHeight="1" x14ac:dyDescent="0.2">
      <c r="A177" s="86"/>
      <c r="B177" s="22" t="str">
        <f t="array" ref="B177">CONCATENATE(TEXT($M177,"000"),".",TEXT(INDEX(Quick_Number,MATCH($O177,Quick_Names,0)),"000"),".",TEXT(INDEX(Charge_Number,MATCH($P177,Charge_Names,0)),"000"))</f>
        <v>018.210.045</v>
      </c>
      <c r="C177" s="23" t="e">
        <f t="array" ref="C177">RANK($S177,IF(Combo_Species_Names=$N177,Combo_Gym_Offense),0)</f>
        <v>#VALUE!</v>
      </c>
      <c r="D177" s="24" t="e">
        <f t="array" ref="D177">$S177/MAX(IF(Combo_Species_Names=$N177,Combo_Gym_Offense))</f>
        <v>#VALUE!</v>
      </c>
      <c r="E177" s="23" t="e">
        <f t="array" ref="E177">RANK($Y177,IF(Combo_Species_Names=$N177,Combo_Gym_Defense),0)</f>
        <v>#VALUE!</v>
      </c>
      <c r="F177" s="25" t="e">
        <f t="array" ref="F177">$Y177/MAX(IF(Combo_Species_Names=$N177,Combo_Gym_Defense))</f>
        <v>#VALUE!</v>
      </c>
      <c r="G177" s="23" t="e">
        <f t="array" ref="G177">IF(OR(INDEX(Species_Availability,MATCH($N177,Species_Names,0))="No",INDEX(Species_Evo_Numbers,MATCH($N177,Species_Names,0))&lt;&gt;1),"N/A",RANK($R177,IF(NOT(ISNA(MATCH(Combo_Species_Names,IF(Species_Availability="Yes",IF(Species_Evo_Numbers=1,Species_Names)),0))),Combo_Duel_Ability),0))</f>
        <v>#VALUE!</v>
      </c>
      <c r="H177" s="24" t="e">
        <f t="array" ref="H177">IF(OR(INDEX(Species_Availability,MATCH($N177,Species_Names,0))="No",INDEX(Species_Evo_Numbers,MATCH($N177,Species_Names,0))&lt;&gt;1),"N/A",$R177/MAX(IF(NOT(ISNA(MATCH(Combo_Species_Names,IF(Species_Availability="Yes",IF(Species_Evo_Numbers=1,Species_Names)),0))),Combo_Duel_Ability)))</f>
        <v>#VALUE!</v>
      </c>
      <c r="I177" s="23" t="e">
        <f t="array" ref="I177">IF(OR(INDEX(Species_Availability,MATCH($N177,Species_Names,0))="No",INDEX(Species_Evo_Numbers,MATCH($N177,Species_Names,0))&lt;&gt;1),"N/A",RANK($S177,IF(NOT(ISNA(MATCH(Combo_Species_Names,IF(Species_Availability="Yes",IF(Species_Evo_Numbers=1,Species_Names)),0))),Combo_Gym_Offense),0))</f>
        <v>#VALUE!</v>
      </c>
      <c r="J177" s="24" t="e">
        <f t="array" ref="J177">IF(OR(INDEX(Species_Availability,MATCH($N177,Species_Names,0))="No",INDEX(Species_Evo_Numbers,MATCH($N177,Species_Names,0))&lt;&gt;1),"N/A",$S177/MAX(IF(NOT(ISNA(MATCH(Combo_Species_Names,IF(Species_Availability="Yes",IF(Species_Evo_Numbers=1,Species_Names)),0))),Combo_Gym_Offense)))</f>
        <v>#VALUE!</v>
      </c>
      <c r="K177" s="23" t="e">
        <f t="array" ref="K177">IF(OR(INDEX(Species_Availability,MATCH($N177,Species_Names,0))="No",INDEX(Species_Evo_Numbers,MATCH($N177,Species_Names,0))&lt;&gt;1),"N/A",RANK($Y177,IF(NOT(ISNA(MATCH(Combo_Species_Names,IF(Species_Availability="Yes",IF(Species_Evo_Numbers=1,Species_Names)),0))),Combo_Gym_Defense),0))</f>
        <v>#VALUE!</v>
      </c>
      <c r="L177" s="24" t="e">
        <f t="array" ref="L177">IF(OR(INDEX(Species_Availability,MATCH($N177,Species_Names,0))="No",INDEX(Species_Evo_Numbers,MATCH($N177,Species_Names,0))&lt;&gt;1),"N/A",$Y177/MAX(IF(NOT(ISNA(MATCH(Combo_Species_Names,IF(Species_Availability="Yes",IF(Species_Evo_Numbers=1,Species_Names)),0))),Combo_Gym_Defense)))</f>
        <v>#VALUE!</v>
      </c>
      <c r="M177" s="28">
        <f t="array" ref="M177">INDEX(Species_Pdex_Numbers,MATCH($N177,Species_Names,0))</f>
        <v>18</v>
      </c>
      <c r="N177" s="30" t="s">
        <v>126</v>
      </c>
      <c r="O177" s="31" t="s">
        <v>69</v>
      </c>
      <c r="P177" s="31" t="s">
        <v>287</v>
      </c>
      <c r="Q177" s="17" t="e">
        <f t="shared" si="4"/>
        <v>#VALUE!</v>
      </c>
      <c r="R177" s="32" t="e">
        <f t="array" ref="R177">IF(OR(AND(COUNTBLANK(Combo_Opponent_Type_1)=1,COUNTBLANK(Combo_Opponent_Type_2)=0),AND(AND(COUNTBLANK(Combo_Opponent_Type_1)=0,COUNTBLANK(Combo_Opponent_Type_2)=0),Combo_Opponent_Type_1=Combo_Opponent_Type_2)),
"Check Types",($S177*INDEX(Species_Tankiness,MATCH($N177,Species_Names,0)))/225)</f>
        <v>#VALUE!</v>
      </c>
      <c r="S177" s="32" t="e">
        <f t="array" ref="S177">IF(OR(AND(COUNTBLANK(Combo_Opponent_Type_1)=1,COUNTBLANK(Combo_Opponent_Type_2)=0),AND(AND(COUNTBLANK(Combo_Opponent_Type_1)=0,COUNTBLANK(Combo_Opponent_Type_2)=0),Combo_Opponent_Type_1=Combo_Opponent_Type_2)),
"Check Types",(
IF($W177&gt;=((1-Game_Weave_Human_Error)*$X177),$W177,$X177)*INDEX(Species_Attack,MATCH($N177,Species_Names,0)))/11)</f>
        <v>#VALUE!</v>
      </c>
      <c r="T177" s="33" t="e">
        <f t="shared" si="5"/>
        <v>#VALUE!</v>
      </c>
      <c r="U177" s="33">
        <f t="array" ref="U1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177,Quick_Names,0))),Type_Species)),0),1)*IF(COUNTBLANK(Combo_Opponent_Type_2)=0,INDEX(Type_Damage_Multipliers,MATCH(Combo_Opponent_Type_2,IF(Type_Move=(INDEX(Quick_Type,MATCH($O177,Quick_Names,0))),Type_Species)),0),1)*(IF(OR(INDEX(Quick_Type,MATCH($O177,Quick_Names,0))=INDEX(Species_Type_1,MATCH($N177,Species_Names,0)),INDEX(Quick_Type,MATCH($O177,Quick_Names,0))=INDEX(Species_Type_2,MATCH($N177,Species_Names,0))),Game_STAB_Multiplier,1)))</f>
        <v>1.25</v>
      </c>
      <c r="V177" s="33">
        <f t="array" ref="V1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177,Charge_Names,0))),Type_Species)),0),1)*IF(COUNTBLANK(Combo_Opponent_Type_2)=0,INDEX(Type_Damage_Multipliers,MATCH(Combo_Opponent_Type_2,IF(Type_Move=(INDEX(Charge_Type,MATCH($P177,Charge_Names,0))),Type_Species)),0),1)*
IF(OR(INDEX(Charge_Type,MATCH($P177,Charge_Names,0))=INDEX(Species_Type_1,MATCH($N177,Species_Names,0)),INDEX(Charge_Type,MATCH($P177,Charge_Names,0))=INDEX(Species_Type_2,MATCH($N177,Species_Names,0))),Game_STAB_Multiplier,1))</f>
        <v>1.25</v>
      </c>
      <c r="W177" s="33" t="s">
        <v>489</v>
      </c>
      <c r="X177" s="33" t="s">
        <v>672</v>
      </c>
      <c r="Y177" s="32" t="e">
        <f t="array" ref="Y177">((($Z177)*
INDEX(Species_Attack,MATCH($N177,Species_Names,0))*
INDEX(Species_Tankiness,MATCH($N177,Species_Names,0)))/1000)</f>
        <v>#VALUE!</v>
      </c>
      <c r="Z177" s="33" t="s">
        <v>673</v>
      </c>
    </row>
    <row r="178" spans="1:26" ht="14.25" customHeight="1" x14ac:dyDescent="0.2">
      <c r="A178" s="86"/>
      <c r="B178" s="22" t="str">
        <f t="array" ref="B178">CONCATENATE(TEXT($M178,"000"),".",TEXT(INDEX(Quick_Number,MATCH($O178,Quick_Names,0)),"000"),".",TEXT(INDEX(Charge_Number,MATCH($P178,Charge_Names,0)),"000"))</f>
        <v>139.227.064</v>
      </c>
      <c r="C178" s="23" t="e">
        <f t="array" ref="C178">RANK($S178,IF(Combo_Species_Names=$N178,Combo_Gym_Offense),0)</f>
        <v>#VALUE!</v>
      </c>
      <c r="D178" s="24" t="e">
        <f t="array" ref="D178">$S178/MAX(IF(Combo_Species_Names=$N178,Combo_Gym_Offense))</f>
        <v>#VALUE!</v>
      </c>
      <c r="E178" s="23" t="e">
        <f t="array" ref="E178">RANK($Y178,IF(Combo_Species_Names=$N178,Combo_Gym_Defense),0)</f>
        <v>#VALUE!</v>
      </c>
      <c r="F178" s="25" t="e">
        <f t="array" ref="F178">$Y178/MAX(IF(Combo_Species_Names=$N178,Combo_Gym_Defense))</f>
        <v>#VALUE!</v>
      </c>
      <c r="G178" s="23" t="e">
        <f t="array" ref="G178">IF(OR(INDEX(Species_Availability,MATCH($N178,Species_Names,0))="No",INDEX(Species_Evo_Numbers,MATCH($N178,Species_Names,0))&lt;&gt;1),"N/A",RANK($R178,IF(NOT(ISNA(MATCH(Combo_Species_Names,IF(Species_Availability="Yes",IF(Species_Evo_Numbers=1,Species_Names)),0))),Combo_Duel_Ability),0))</f>
        <v>#VALUE!</v>
      </c>
      <c r="H178" s="24" t="e">
        <f t="array" ref="H178">IF(OR(INDEX(Species_Availability,MATCH($N178,Species_Names,0))="No",INDEX(Species_Evo_Numbers,MATCH($N178,Species_Names,0))&lt;&gt;1),"N/A",$R178/MAX(IF(NOT(ISNA(MATCH(Combo_Species_Names,IF(Species_Availability="Yes",IF(Species_Evo_Numbers=1,Species_Names)),0))),Combo_Duel_Ability)))</f>
        <v>#VALUE!</v>
      </c>
      <c r="I178" s="23" t="e">
        <f t="array" ref="I178">IF(OR(INDEX(Species_Availability,MATCH($N178,Species_Names,0))="No",INDEX(Species_Evo_Numbers,MATCH($N178,Species_Names,0))&lt;&gt;1),"N/A",RANK($S178,IF(NOT(ISNA(MATCH(Combo_Species_Names,IF(Species_Availability="Yes",IF(Species_Evo_Numbers=1,Species_Names)),0))),Combo_Gym_Offense),0))</f>
        <v>#VALUE!</v>
      </c>
      <c r="J178" s="24" t="e">
        <f t="array" ref="J178">IF(OR(INDEX(Species_Availability,MATCH($N178,Species_Names,0))="No",INDEX(Species_Evo_Numbers,MATCH($N178,Species_Names,0))&lt;&gt;1),"N/A",$S178/MAX(IF(NOT(ISNA(MATCH(Combo_Species_Names,IF(Species_Availability="Yes",IF(Species_Evo_Numbers=1,Species_Names)),0))),Combo_Gym_Offense)))</f>
        <v>#VALUE!</v>
      </c>
      <c r="K178" s="23" t="e">
        <f t="array" ref="K178">IF(OR(INDEX(Species_Availability,MATCH($N178,Species_Names,0))="No",INDEX(Species_Evo_Numbers,MATCH($N178,Species_Names,0))&lt;&gt;1),"N/A",RANK($Y178,IF(NOT(ISNA(MATCH(Combo_Species_Names,IF(Species_Availability="Yes",IF(Species_Evo_Numbers=1,Species_Names)),0))),Combo_Gym_Defense),0))</f>
        <v>#VALUE!</v>
      </c>
      <c r="L178" s="24" t="e">
        <f t="array" ref="L178">IF(OR(INDEX(Species_Availability,MATCH($N178,Species_Names,0))="No",INDEX(Species_Evo_Numbers,MATCH($N178,Species_Names,0))&lt;&gt;1),"N/A",$Y178/MAX(IF(NOT(ISNA(MATCH(Combo_Species_Names,IF(Species_Availability="Yes",IF(Species_Evo_Numbers=1,Species_Names)),0))),Combo_Gym_Defense)))</f>
        <v>#VALUE!</v>
      </c>
      <c r="M178" s="28">
        <f t="array" ref="M178">INDEX(Species_Pdex_Numbers,MATCH($N178,Species_Names,0))</f>
        <v>139</v>
      </c>
      <c r="N178" s="30" t="s">
        <v>357</v>
      </c>
      <c r="O178" s="31" t="s">
        <v>112</v>
      </c>
      <c r="P178" s="31" t="s">
        <v>222</v>
      </c>
      <c r="Q178" s="17" t="e">
        <f t="shared" si="4"/>
        <v>#VALUE!</v>
      </c>
      <c r="R178" s="32" t="e">
        <f t="array" ref="R178">IF(OR(AND(COUNTBLANK(Combo_Opponent_Type_1)=1,COUNTBLANK(Combo_Opponent_Type_2)=0),AND(AND(COUNTBLANK(Combo_Opponent_Type_1)=0,COUNTBLANK(Combo_Opponent_Type_2)=0),Combo_Opponent_Type_1=Combo_Opponent_Type_2)),
"Check Types",($S178*INDEX(Species_Tankiness,MATCH($N178,Species_Names,0)))/225)</f>
        <v>#VALUE!</v>
      </c>
      <c r="S178" s="32" t="e">
        <f t="array" ref="S178">IF(OR(AND(COUNTBLANK(Combo_Opponent_Type_1)=1,COUNTBLANK(Combo_Opponent_Type_2)=0),AND(AND(COUNTBLANK(Combo_Opponent_Type_1)=0,COUNTBLANK(Combo_Opponent_Type_2)=0),Combo_Opponent_Type_1=Combo_Opponent_Type_2)),
"Check Types",(
IF($W178&gt;=((1-Game_Weave_Human_Error)*$X178),$W178,$X178)*INDEX(Species_Attack,MATCH($N178,Species_Names,0)))/11)</f>
        <v>#VALUE!</v>
      </c>
      <c r="T178" s="33" t="e">
        <f t="shared" si="5"/>
        <v>#VALUE!</v>
      </c>
      <c r="U178" s="33">
        <f t="array" ref="U1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178,Quick_Names,0))),Type_Species)),0),1)*IF(COUNTBLANK(Combo_Opponent_Type_2)=0,INDEX(Type_Damage_Multipliers,MATCH(Combo_Opponent_Type_2,IF(Type_Move=(INDEX(Quick_Type,MATCH($O178,Quick_Names,0))),Type_Species)),0),1)*(IF(OR(INDEX(Quick_Type,MATCH($O178,Quick_Names,0))=INDEX(Species_Type_1,MATCH($N178,Species_Names,0)),INDEX(Quick_Type,MATCH($O178,Quick_Names,0))=INDEX(Species_Type_2,MATCH($N178,Species_Names,0))),Game_STAB_Multiplier,1)))</f>
        <v>1.25</v>
      </c>
      <c r="V178" s="33">
        <f t="array" ref="V1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178,Charge_Names,0))),Type_Species)),0),1)*IF(COUNTBLANK(Combo_Opponent_Type_2)=0,INDEX(Type_Damage_Multipliers,MATCH(Combo_Opponent_Type_2,IF(Type_Move=(INDEX(Charge_Type,MATCH($P178,Charge_Names,0))),Type_Species)),0),1)*
IF(OR(INDEX(Charge_Type,MATCH($P178,Charge_Names,0))=INDEX(Species_Type_1,MATCH($N178,Species_Names,0)),INDEX(Charge_Type,MATCH($P178,Charge_Names,0))=INDEX(Species_Type_2,MATCH($N178,Species_Names,0))),Game_STAB_Multiplier,1))</f>
        <v>1.25</v>
      </c>
      <c r="W178" s="33" t="s">
        <v>548</v>
      </c>
      <c r="X178" s="33" t="s">
        <v>674</v>
      </c>
      <c r="Y178" s="32" t="e">
        <f t="array" ref="Y178">((($Z178)*
INDEX(Species_Attack,MATCH($N178,Species_Names,0))*
INDEX(Species_Tankiness,MATCH($N178,Species_Names,0)))/1000)</f>
        <v>#VALUE!</v>
      </c>
      <c r="Z178" s="33" t="s">
        <v>587</v>
      </c>
    </row>
    <row r="179" spans="1:26" ht="14.25" customHeight="1" x14ac:dyDescent="0.2">
      <c r="A179" s="86"/>
      <c r="B179" s="22" t="str">
        <f t="array" ref="B179">CONCATENATE(TEXT($M179,"000"),".",TEXT(INDEX(Quick_Number,MATCH($O179,Quick_Names,0)),"000"),".",TEXT(INDEX(Charge_Number,MATCH($P179,Charge_Names,0)),"000"))</f>
        <v>018.239.122</v>
      </c>
      <c r="C179" s="23" t="e">
        <f t="array" ref="C179">RANK($S179,IF(Combo_Species_Names=$N179,Combo_Gym_Offense),0)</f>
        <v>#VALUE!</v>
      </c>
      <c r="D179" s="24" t="e">
        <f t="array" ref="D179">$S179/MAX(IF(Combo_Species_Names=$N179,Combo_Gym_Offense))</f>
        <v>#VALUE!</v>
      </c>
      <c r="E179" s="23" t="e">
        <f t="array" ref="E179">RANK($Y179,IF(Combo_Species_Names=$N179,Combo_Gym_Defense),0)</f>
        <v>#VALUE!</v>
      </c>
      <c r="F179" s="25" t="e">
        <f t="array" ref="F179">$Y179/MAX(IF(Combo_Species_Names=$N179,Combo_Gym_Defense))</f>
        <v>#VALUE!</v>
      </c>
      <c r="G179" s="23" t="e">
        <f t="array" ref="G179">IF(OR(INDEX(Species_Availability,MATCH($N179,Species_Names,0))="No",INDEX(Species_Evo_Numbers,MATCH($N179,Species_Names,0))&lt;&gt;1),"N/A",RANK($R179,IF(NOT(ISNA(MATCH(Combo_Species_Names,IF(Species_Availability="Yes",IF(Species_Evo_Numbers=1,Species_Names)),0))),Combo_Duel_Ability),0))</f>
        <v>#VALUE!</v>
      </c>
      <c r="H179" s="24" t="e">
        <f t="array" ref="H179">IF(OR(INDEX(Species_Availability,MATCH($N179,Species_Names,0))="No",INDEX(Species_Evo_Numbers,MATCH($N179,Species_Names,0))&lt;&gt;1),"N/A",$R179/MAX(IF(NOT(ISNA(MATCH(Combo_Species_Names,IF(Species_Availability="Yes",IF(Species_Evo_Numbers=1,Species_Names)),0))),Combo_Duel_Ability)))</f>
        <v>#VALUE!</v>
      </c>
      <c r="I179" s="23" t="e">
        <f t="array" ref="I179">IF(OR(INDEX(Species_Availability,MATCH($N179,Species_Names,0))="No",INDEX(Species_Evo_Numbers,MATCH($N179,Species_Names,0))&lt;&gt;1),"N/A",RANK($S179,IF(NOT(ISNA(MATCH(Combo_Species_Names,IF(Species_Availability="Yes",IF(Species_Evo_Numbers=1,Species_Names)),0))),Combo_Gym_Offense),0))</f>
        <v>#VALUE!</v>
      </c>
      <c r="J179" s="24" t="e">
        <f t="array" ref="J179">IF(OR(INDEX(Species_Availability,MATCH($N179,Species_Names,0))="No",INDEX(Species_Evo_Numbers,MATCH($N179,Species_Names,0))&lt;&gt;1),"N/A",$S179/MAX(IF(NOT(ISNA(MATCH(Combo_Species_Names,IF(Species_Availability="Yes",IF(Species_Evo_Numbers=1,Species_Names)),0))),Combo_Gym_Offense)))</f>
        <v>#VALUE!</v>
      </c>
      <c r="K179" s="23" t="e">
        <f t="array" ref="K179">IF(OR(INDEX(Species_Availability,MATCH($N179,Species_Names,0))="No",INDEX(Species_Evo_Numbers,MATCH($N179,Species_Names,0))&lt;&gt;1),"N/A",RANK($Y179,IF(NOT(ISNA(MATCH(Combo_Species_Names,IF(Species_Availability="Yes",IF(Species_Evo_Numbers=1,Species_Names)),0))),Combo_Gym_Defense),0))</f>
        <v>#VALUE!</v>
      </c>
      <c r="L179" s="24" t="e">
        <f t="array" ref="L179">IF(OR(INDEX(Species_Availability,MATCH($N179,Species_Names,0))="No",INDEX(Species_Evo_Numbers,MATCH($N179,Species_Names,0))&lt;&gt;1),"N/A",$Y179/MAX(IF(NOT(ISNA(MATCH(Combo_Species_Names,IF(Species_Availability="Yes",IF(Species_Evo_Numbers=1,Species_Names)),0))),Combo_Gym_Defense)))</f>
        <v>#VALUE!</v>
      </c>
      <c r="M179" s="28">
        <f t="array" ref="M179">INDEX(Species_Pdex_Numbers,MATCH($N179,Species_Names,0))</f>
        <v>18</v>
      </c>
      <c r="N179" s="30" t="s">
        <v>126</v>
      </c>
      <c r="O179" s="31" t="s">
        <v>80</v>
      </c>
      <c r="P179" s="31" t="s">
        <v>157</v>
      </c>
      <c r="Q179" s="17" t="e">
        <f t="shared" si="4"/>
        <v>#VALUE!</v>
      </c>
      <c r="R179" s="32" t="e">
        <f t="array" ref="R179">IF(OR(AND(COUNTBLANK(Combo_Opponent_Type_1)=1,COUNTBLANK(Combo_Opponent_Type_2)=0),AND(AND(COUNTBLANK(Combo_Opponent_Type_1)=0,COUNTBLANK(Combo_Opponent_Type_2)=0),Combo_Opponent_Type_1=Combo_Opponent_Type_2)),
"Check Types",($S179*INDEX(Species_Tankiness,MATCH($N179,Species_Names,0)))/225)</f>
        <v>#VALUE!</v>
      </c>
      <c r="S179" s="32" t="e">
        <f t="array" ref="S179">IF(OR(AND(COUNTBLANK(Combo_Opponent_Type_1)=1,COUNTBLANK(Combo_Opponent_Type_2)=0),AND(AND(COUNTBLANK(Combo_Opponent_Type_1)=0,COUNTBLANK(Combo_Opponent_Type_2)=0),Combo_Opponent_Type_1=Combo_Opponent_Type_2)),
"Check Types",(
IF($W179&gt;=((1-Game_Weave_Human_Error)*$X179),$W179,$X179)*INDEX(Species_Attack,MATCH($N179,Species_Names,0)))/11)</f>
        <v>#VALUE!</v>
      </c>
      <c r="T179" s="33" t="e">
        <f t="shared" si="5"/>
        <v>#VALUE!</v>
      </c>
      <c r="U179" s="33">
        <f t="array" ref="U1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179,Quick_Names,0))),Type_Species)),0),1)*IF(COUNTBLANK(Combo_Opponent_Type_2)=0,INDEX(Type_Damage_Multipliers,MATCH(Combo_Opponent_Type_2,IF(Type_Move=(INDEX(Quick_Type,MATCH($O179,Quick_Names,0))),Type_Species)),0),1)*(IF(OR(INDEX(Quick_Type,MATCH($O179,Quick_Names,0))=INDEX(Species_Type_1,MATCH($N179,Species_Names,0)),INDEX(Quick_Type,MATCH($O179,Quick_Names,0))=INDEX(Species_Type_2,MATCH($N179,Species_Names,0))),Game_STAB_Multiplier,1)))</f>
        <v>1</v>
      </c>
      <c r="V179" s="33">
        <f t="array" ref="V1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179,Charge_Names,0))),Type_Species)),0),1)*IF(COUNTBLANK(Combo_Opponent_Type_2)=0,INDEX(Type_Damage_Multipliers,MATCH(Combo_Opponent_Type_2,IF(Type_Move=(INDEX(Charge_Type,MATCH($P179,Charge_Names,0))),Type_Species)),0),1)*
IF(OR(INDEX(Charge_Type,MATCH($P179,Charge_Names,0))=INDEX(Species_Type_1,MATCH($N179,Species_Names,0)),INDEX(Charge_Type,MATCH($P179,Charge_Names,0))=INDEX(Species_Type_2,MATCH($N179,Species_Names,0))),Game_STAB_Multiplier,1))</f>
        <v>1.25</v>
      </c>
      <c r="W179" s="33" t="s">
        <v>441</v>
      </c>
      <c r="X179" s="33" t="s">
        <v>675</v>
      </c>
      <c r="Y179" s="32" t="e">
        <f t="array" ref="Y179">((($Z179)*
INDEX(Species_Attack,MATCH($N179,Species_Names,0))*
INDEX(Species_Tankiness,MATCH($N179,Species_Names,0)))/1000)</f>
        <v>#VALUE!</v>
      </c>
      <c r="Z179" s="33" t="s">
        <v>485</v>
      </c>
    </row>
    <row r="180" spans="1:26" ht="14.25" customHeight="1" x14ac:dyDescent="0.2">
      <c r="A180" s="86"/>
      <c r="B180" s="22" t="str">
        <f t="array" ref="B180">CONCATENATE(TEXT($M180,"000"),".",TEXT(INDEX(Quick_Number,MATCH($O180,Quick_Names,0)),"000"),".",TEXT(INDEX(Charge_Number,MATCH($P180,Charge_Names,0)),"000"))</f>
        <v>034.200.022</v>
      </c>
      <c r="C180" s="23" t="e">
        <f t="array" ref="C180">RANK($S180,IF(Combo_Species_Names=$N180,Combo_Gym_Offense),0)</f>
        <v>#VALUE!</v>
      </c>
      <c r="D180" s="24" t="e">
        <f t="array" ref="D180">$S180/MAX(IF(Combo_Species_Names=$N180,Combo_Gym_Offense))</f>
        <v>#VALUE!</v>
      </c>
      <c r="E180" s="23" t="e">
        <f t="array" ref="E180">RANK($Y180,IF(Combo_Species_Names=$N180,Combo_Gym_Defense),0)</f>
        <v>#VALUE!</v>
      </c>
      <c r="F180" s="25" t="e">
        <f t="array" ref="F180">$Y180/MAX(IF(Combo_Species_Names=$N180,Combo_Gym_Defense))</f>
        <v>#VALUE!</v>
      </c>
      <c r="G180" s="23" t="e">
        <f t="array" ref="G180">IF(OR(INDEX(Species_Availability,MATCH($N180,Species_Names,0))="No",INDEX(Species_Evo_Numbers,MATCH($N180,Species_Names,0))&lt;&gt;1),"N/A",RANK($R180,IF(NOT(ISNA(MATCH(Combo_Species_Names,IF(Species_Availability="Yes",IF(Species_Evo_Numbers=1,Species_Names)),0))),Combo_Duel_Ability),0))</f>
        <v>#VALUE!</v>
      </c>
      <c r="H180" s="24" t="e">
        <f t="array" ref="H180">IF(OR(INDEX(Species_Availability,MATCH($N180,Species_Names,0))="No",INDEX(Species_Evo_Numbers,MATCH($N180,Species_Names,0))&lt;&gt;1),"N/A",$R180/MAX(IF(NOT(ISNA(MATCH(Combo_Species_Names,IF(Species_Availability="Yes",IF(Species_Evo_Numbers=1,Species_Names)),0))),Combo_Duel_Ability)))</f>
        <v>#VALUE!</v>
      </c>
      <c r="I180" s="23" t="e">
        <f t="array" ref="I180">IF(OR(INDEX(Species_Availability,MATCH($N180,Species_Names,0))="No",INDEX(Species_Evo_Numbers,MATCH($N180,Species_Names,0))&lt;&gt;1),"N/A",RANK($S180,IF(NOT(ISNA(MATCH(Combo_Species_Names,IF(Species_Availability="Yes",IF(Species_Evo_Numbers=1,Species_Names)),0))),Combo_Gym_Offense),0))</f>
        <v>#VALUE!</v>
      </c>
      <c r="J180" s="24" t="e">
        <f t="array" ref="J180">IF(OR(INDEX(Species_Availability,MATCH($N180,Species_Names,0))="No",INDEX(Species_Evo_Numbers,MATCH($N180,Species_Names,0))&lt;&gt;1),"N/A",$S180/MAX(IF(NOT(ISNA(MATCH(Combo_Species_Names,IF(Species_Availability="Yes",IF(Species_Evo_Numbers=1,Species_Names)),0))),Combo_Gym_Offense)))</f>
        <v>#VALUE!</v>
      </c>
      <c r="K180" s="23" t="e">
        <f t="array" ref="K180">IF(OR(INDEX(Species_Availability,MATCH($N180,Species_Names,0))="No",INDEX(Species_Evo_Numbers,MATCH($N180,Species_Names,0))&lt;&gt;1),"N/A",RANK($Y180,IF(NOT(ISNA(MATCH(Combo_Species_Names,IF(Species_Availability="Yes",IF(Species_Evo_Numbers=1,Species_Names)),0))),Combo_Gym_Defense),0))</f>
        <v>#VALUE!</v>
      </c>
      <c r="L180" s="24" t="e">
        <f t="array" ref="L180">IF(OR(INDEX(Species_Availability,MATCH($N180,Species_Names,0))="No",INDEX(Species_Evo_Numbers,MATCH($N180,Species_Names,0))&lt;&gt;1),"N/A",$Y180/MAX(IF(NOT(ISNA(MATCH(Combo_Species_Names,IF(Species_Availability="Yes",IF(Species_Evo_Numbers=1,Species_Names)),0))),Combo_Gym_Defense)))</f>
        <v>#VALUE!</v>
      </c>
      <c r="M180" s="28">
        <f t="array" ref="M180">INDEX(Species_Pdex_Numbers,MATCH($N180,Species_Names,0))</f>
        <v>34</v>
      </c>
      <c r="N180" s="30" t="s">
        <v>158</v>
      </c>
      <c r="O180" s="31" t="s">
        <v>121</v>
      </c>
      <c r="P180" s="31" t="s">
        <v>159</v>
      </c>
      <c r="Q180" s="17" t="e">
        <f t="shared" si="4"/>
        <v>#VALUE!</v>
      </c>
      <c r="R180" s="32" t="e">
        <f t="array" ref="R180">IF(OR(AND(COUNTBLANK(Combo_Opponent_Type_1)=1,COUNTBLANK(Combo_Opponent_Type_2)=0),AND(AND(COUNTBLANK(Combo_Opponent_Type_1)=0,COUNTBLANK(Combo_Opponent_Type_2)=0),Combo_Opponent_Type_1=Combo_Opponent_Type_2)),
"Check Types",($S180*INDEX(Species_Tankiness,MATCH($N180,Species_Names,0)))/225)</f>
        <v>#VALUE!</v>
      </c>
      <c r="S180" s="32" t="e">
        <f t="array" ref="S180">IF(OR(AND(COUNTBLANK(Combo_Opponent_Type_1)=1,COUNTBLANK(Combo_Opponent_Type_2)=0),AND(AND(COUNTBLANK(Combo_Opponent_Type_1)=0,COUNTBLANK(Combo_Opponent_Type_2)=0),Combo_Opponent_Type_1=Combo_Opponent_Type_2)),
"Check Types",(
IF($W180&gt;=((1-Game_Weave_Human_Error)*$X180),$W180,$X180)*INDEX(Species_Attack,MATCH($N180,Species_Names,0)))/11)</f>
        <v>#VALUE!</v>
      </c>
      <c r="T180" s="33" t="e">
        <f t="shared" si="5"/>
        <v>#VALUE!</v>
      </c>
      <c r="U180" s="33">
        <f t="array" ref="U1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180,Quick_Names,0))),Type_Species)),0),1)*IF(COUNTBLANK(Combo_Opponent_Type_2)=0,INDEX(Type_Damage_Multipliers,MATCH(Combo_Opponent_Type_2,IF(Type_Move=(INDEX(Quick_Type,MATCH($O180,Quick_Names,0))),Type_Species)),0),1)*(IF(OR(INDEX(Quick_Type,MATCH($O180,Quick_Names,0))=INDEX(Species_Type_1,MATCH($N180,Species_Names,0)),INDEX(Quick_Type,MATCH($O180,Quick_Names,0))=INDEX(Species_Type_2,MATCH($N180,Species_Names,0))),Game_STAB_Multiplier,1)))</f>
        <v>1</v>
      </c>
      <c r="V180" s="33">
        <f t="array" ref="V1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180,Charge_Names,0))),Type_Species)),0),1)*IF(COUNTBLANK(Combo_Opponent_Type_2)=0,INDEX(Type_Damage_Multipliers,MATCH(Combo_Opponent_Type_2,IF(Type_Move=(INDEX(Charge_Type,MATCH($P180,Charge_Names,0))),Type_Species)),0),1)*
IF(OR(INDEX(Charge_Type,MATCH($P180,Charge_Names,0))=INDEX(Species_Type_1,MATCH($N180,Species_Names,0)),INDEX(Charge_Type,MATCH($P180,Charge_Names,0))=INDEX(Species_Type_2,MATCH($N180,Species_Names,0))),Game_STAB_Multiplier,1))</f>
        <v>1</v>
      </c>
      <c r="W180" s="33" t="s">
        <v>600</v>
      </c>
      <c r="X180" s="33" t="s">
        <v>676</v>
      </c>
      <c r="Y180" s="32" t="e">
        <f t="array" ref="Y180">((($Z180)*
INDEX(Species_Attack,MATCH($N180,Species_Names,0))*
INDEX(Species_Tankiness,MATCH($N180,Species_Names,0)))/1000)</f>
        <v>#VALUE!</v>
      </c>
      <c r="Z180" s="33" t="s">
        <v>677</v>
      </c>
    </row>
    <row r="181" spans="1:26" ht="14.25" customHeight="1" x14ac:dyDescent="0.2">
      <c r="A181" s="86"/>
      <c r="B181" s="22" t="str">
        <f t="array" ref="B181">CONCATENATE(TEXT($M181,"000"),".",TEXT(INDEX(Quick_Number,MATCH($O181,Quick_Names,0)),"000"),".",TEXT(INDEX(Charge_Number,MATCH($P181,Charge_Names,0)),"000"))</f>
        <v>135.205.078</v>
      </c>
      <c r="C181" s="23" t="e">
        <f t="array" ref="C181">RANK($S181,IF(Combo_Species_Names=$N181,Combo_Gym_Offense),0)</f>
        <v>#VALUE!</v>
      </c>
      <c r="D181" s="24" t="e">
        <f t="array" ref="D181">$S181/MAX(IF(Combo_Species_Names=$N181,Combo_Gym_Offense))</f>
        <v>#VALUE!</v>
      </c>
      <c r="E181" s="23" t="e">
        <f t="array" ref="E181">RANK($Y181,IF(Combo_Species_Names=$N181,Combo_Gym_Defense),0)</f>
        <v>#VALUE!</v>
      </c>
      <c r="F181" s="25" t="e">
        <f t="array" ref="F181">$Y181/MAX(IF(Combo_Species_Names=$N181,Combo_Gym_Defense))</f>
        <v>#VALUE!</v>
      </c>
      <c r="G181" s="23" t="e">
        <f t="array" ref="G181">IF(OR(INDEX(Species_Availability,MATCH($N181,Species_Names,0))="No",INDEX(Species_Evo_Numbers,MATCH($N181,Species_Names,0))&lt;&gt;1),"N/A",RANK($R181,IF(NOT(ISNA(MATCH(Combo_Species_Names,IF(Species_Availability="Yes",IF(Species_Evo_Numbers=1,Species_Names)),0))),Combo_Duel_Ability),0))</f>
        <v>#VALUE!</v>
      </c>
      <c r="H181" s="24" t="e">
        <f t="array" ref="H181">IF(OR(INDEX(Species_Availability,MATCH($N181,Species_Names,0))="No",INDEX(Species_Evo_Numbers,MATCH($N181,Species_Names,0))&lt;&gt;1),"N/A",$R181/MAX(IF(NOT(ISNA(MATCH(Combo_Species_Names,IF(Species_Availability="Yes",IF(Species_Evo_Numbers=1,Species_Names)),0))),Combo_Duel_Ability)))</f>
        <v>#VALUE!</v>
      </c>
      <c r="I181" s="23" t="e">
        <f t="array" ref="I181">IF(OR(INDEX(Species_Availability,MATCH($N181,Species_Names,0))="No",INDEX(Species_Evo_Numbers,MATCH($N181,Species_Names,0))&lt;&gt;1),"N/A",RANK($S181,IF(NOT(ISNA(MATCH(Combo_Species_Names,IF(Species_Availability="Yes",IF(Species_Evo_Numbers=1,Species_Names)),0))),Combo_Gym_Offense),0))</f>
        <v>#VALUE!</v>
      </c>
      <c r="J181" s="24" t="e">
        <f t="array" ref="J181">IF(OR(INDEX(Species_Availability,MATCH($N181,Species_Names,0))="No",INDEX(Species_Evo_Numbers,MATCH($N181,Species_Names,0))&lt;&gt;1),"N/A",$S181/MAX(IF(NOT(ISNA(MATCH(Combo_Species_Names,IF(Species_Availability="Yes",IF(Species_Evo_Numbers=1,Species_Names)),0))),Combo_Gym_Offense)))</f>
        <v>#VALUE!</v>
      </c>
      <c r="K181" s="23" t="e">
        <f t="array" ref="K181">IF(OR(INDEX(Species_Availability,MATCH($N181,Species_Names,0))="No",INDEX(Species_Evo_Numbers,MATCH($N181,Species_Names,0))&lt;&gt;1),"N/A",RANK($Y181,IF(NOT(ISNA(MATCH(Combo_Species_Names,IF(Species_Availability="Yes",IF(Species_Evo_Numbers=1,Species_Names)),0))),Combo_Gym_Defense),0))</f>
        <v>#VALUE!</v>
      </c>
      <c r="L181" s="24" t="e">
        <f t="array" ref="L181">IF(OR(INDEX(Species_Availability,MATCH($N181,Species_Names,0))="No",INDEX(Species_Evo_Numbers,MATCH($N181,Species_Names,0))&lt;&gt;1),"N/A",$Y181/MAX(IF(NOT(ISNA(MATCH(Combo_Species_Names,IF(Species_Availability="Yes",IF(Species_Evo_Numbers=1,Species_Names)),0))),Combo_Gym_Defense)))</f>
        <v>#VALUE!</v>
      </c>
      <c r="M181" s="28">
        <f t="array" ref="M181">INDEX(Species_Pdex_Numbers,MATCH($N181,Species_Names,0))</f>
        <v>135</v>
      </c>
      <c r="N181" s="30" t="s">
        <v>353</v>
      </c>
      <c r="O181" s="31" t="s">
        <v>115</v>
      </c>
      <c r="P181" s="31" t="s">
        <v>174</v>
      </c>
      <c r="Q181" s="17" t="e">
        <f t="shared" si="4"/>
        <v>#VALUE!</v>
      </c>
      <c r="R181" s="32" t="e">
        <f t="array" ref="R181">IF(OR(AND(COUNTBLANK(Combo_Opponent_Type_1)=1,COUNTBLANK(Combo_Opponent_Type_2)=0),AND(AND(COUNTBLANK(Combo_Opponent_Type_1)=0,COUNTBLANK(Combo_Opponent_Type_2)=0),Combo_Opponent_Type_1=Combo_Opponent_Type_2)),
"Check Types",($S181*INDEX(Species_Tankiness,MATCH($N181,Species_Names,0)))/225)</f>
        <v>#VALUE!</v>
      </c>
      <c r="S181" s="32" t="e">
        <f t="array" ref="S181">IF(OR(AND(COUNTBLANK(Combo_Opponent_Type_1)=1,COUNTBLANK(Combo_Opponent_Type_2)=0),AND(AND(COUNTBLANK(Combo_Opponent_Type_1)=0,COUNTBLANK(Combo_Opponent_Type_2)=0),Combo_Opponent_Type_1=Combo_Opponent_Type_2)),
"Check Types",(
IF($W181&gt;=((1-Game_Weave_Human_Error)*$X181),$W181,$X181)*INDEX(Species_Attack,MATCH($N181,Species_Names,0)))/11)</f>
        <v>#VALUE!</v>
      </c>
      <c r="T181" s="33" t="e">
        <f t="shared" si="5"/>
        <v>#VALUE!</v>
      </c>
      <c r="U181" s="33">
        <f t="array" ref="U1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181,Quick_Names,0))),Type_Species)),0),1)*IF(COUNTBLANK(Combo_Opponent_Type_2)=0,INDEX(Type_Damage_Multipliers,MATCH(Combo_Opponent_Type_2,IF(Type_Move=(INDEX(Quick_Type,MATCH($O181,Quick_Names,0))),Type_Species)),0),1)*(IF(OR(INDEX(Quick_Type,MATCH($O181,Quick_Names,0))=INDEX(Species_Type_1,MATCH($N181,Species_Names,0)),INDEX(Quick_Type,MATCH($O181,Quick_Names,0))=INDEX(Species_Type_2,MATCH($N181,Species_Names,0))),Game_STAB_Multiplier,1)))</f>
        <v>1.25</v>
      </c>
      <c r="V181" s="33">
        <f t="array" ref="V1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181,Charge_Names,0))),Type_Species)),0),1)*IF(COUNTBLANK(Combo_Opponent_Type_2)=0,INDEX(Type_Damage_Multipliers,MATCH(Combo_Opponent_Type_2,IF(Type_Move=(INDEX(Charge_Type,MATCH($P181,Charge_Names,0))),Type_Species)),0),1)*
IF(OR(INDEX(Charge_Type,MATCH($P181,Charge_Names,0))=INDEX(Species_Type_1,MATCH($N181,Species_Names,0)),INDEX(Charge_Type,MATCH($P181,Charge_Names,0))=INDEX(Species_Type_2,MATCH($N181,Species_Names,0))),Game_STAB_Multiplier,1))</f>
        <v>1.25</v>
      </c>
      <c r="W181" s="33" t="s">
        <v>678</v>
      </c>
      <c r="X181" s="33" t="s">
        <v>679</v>
      </c>
      <c r="Y181" s="32" t="e">
        <f t="array" ref="Y181">((($Z181)*
INDEX(Species_Attack,MATCH($N181,Species_Names,0))*
INDEX(Species_Tankiness,MATCH($N181,Species_Names,0)))/1000)</f>
        <v>#VALUE!</v>
      </c>
      <c r="Z181" s="33" t="s">
        <v>680</v>
      </c>
    </row>
    <row r="182" spans="1:26" ht="14.25" customHeight="1" x14ac:dyDescent="0.2">
      <c r="A182" s="86"/>
      <c r="B182" s="22" t="str">
        <f t="array" ref="B182">CONCATENATE(TEXT($M182,"000"),".",TEXT(INDEX(Quick_Number,MATCH($O182,Quick_Names,0)),"000"),".",TEXT(INDEX(Charge_Number,MATCH($P182,Charge_Names,0)),"000"))</f>
        <v>091.218.040</v>
      </c>
      <c r="C182" s="23" t="e">
        <f t="array" ref="C182">RANK($S182,IF(Combo_Species_Names=$N182,Combo_Gym_Offense),0)</f>
        <v>#VALUE!</v>
      </c>
      <c r="D182" s="24" t="e">
        <f t="array" ref="D182">$S182/MAX(IF(Combo_Species_Names=$N182,Combo_Gym_Offense))</f>
        <v>#VALUE!</v>
      </c>
      <c r="E182" s="23" t="e">
        <f t="array" ref="E182">RANK($Y182,IF(Combo_Species_Names=$N182,Combo_Gym_Defense),0)</f>
        <v>#VALUE!</v>
      </c>
      <c r="F182" s="25" t="e">
        <f t="array" ref="F182">$Y182/MAX(IF(Combo_Species_Names=$N182,Combo_Gym_Defense))</f>
        <v>#VALUE!</v>
      </c>
      <c r="G182" s="23" t="e">
        <f t="array" ref="G182">IF(OR(INDEX(Species_Availability,MATCH($N182,Species_Names,0))="No",INDEX(Species_Evo_Numbers,MATCH($N182,Species_Names,0))&lt;&gt;1),"N/A",RANK($R182,IF(NOT(ISNA(MATCH(Combo_Species_Names,IF(Species_Availability="Yes",IF(Species_Evo_Numbers=1,Species_Names)),0))),Combo_Duel_Ability),0))</f>
        <v>#VALUE!</v>
      </c>
      <c r="H182" s="24" t="e">
        <f t="array" ref="H182">IF(OR(INDEX(Species_Availability,MATCH($N182,Species_Names,0))="No",INDEX(Species_Evo_Numbers,MATCH($N182,Species_Names,0))&lt;&gt;1),"N/A",$R182/MAX(IF(NOT(ISNA(MATCH(Combo_Species_Names,IF(Species_Availability="Yes",IF(Species_Evo_Numbers=1,Species_Names)),0))),Combo_Duel_Ability)))</f>
        <v>#VALUE!</v>
      </c>
      <c r="I182" s="23" t="e">
        <f t="array" ref="I182">IF(OR(INDEX(Species_Availability,MATCH($N182,Species_Names,0))="No",INDEX(Species_Evo_Numbers,MATCH($N182,Species_Names,0))&lt;&gt;1),"N/A",RANK($S182,IF(NOT(ISNA(MATCH(Combo_Species_Names,IF(Species_Availability="Yes",IF(Species_Evo_Numbers=1,Species_Names)),0))),Combo_Gym_Offense),0))</f>
        <v>#VALUE!</v>
      </c>
      <c r="J182" s="24" t="e">
        <f t="array" ref="J182">IF(OR(INDEX(Species_Availability,MATCH($N182,Species_Names,0))="No",INDEX(Species_Evo_Numbers,MATCH($N182,Species_Names,0))&lt;&gt;1),"N/A",$S182/MAX(IF(NOT(ISNA(MATCH(Combo_Species_Names,IF(Species_Availability="Yes",IF(Species_Evo_Numbers=1,Species_Names)),0))),Combo_Gym_Offense)))</f>
        <v>#VALUE!</v>
      </c>
      <c r="K182" s="23" t="e">
        <f t="array" ref="K182">IF(OR(INDEX(Species_Availability,MATCH($N182,Species_Names,0))="No",INDEX(Species_Evo_Numbers,MATCH($N182,Species_Names,0))&lt;&gt;1),"N/A",RANK($Y182,IF(NOT(ISNA(MATCH(Combo_Species_Names,IF(Species_Availability="Yes",IF(Species_Evo_Numbers=1,Species_Names)),0))),Combo_Gym_Defense),0))</f>
        <v>#VALUE!</v>
      </c>
      <c r="L182" s="24" t="e">
        <f t="array" ref="L182">IF(OR(INDEX(Species_Availability,MATCH($N182,Species_Names,0))="No",INDEX(Species_Evo_Numbers,MATCH($N182,Species_Names,0))&lt;&gt;1),"N/A",$Y182/MAX(IF(NOT(ISNA(MATCH(Combo_Species_Names,IF(Species_Availability="Yes",IF(Species_Evo_Numbers=1,Species_Names)),0))),Combo_Gym_Defense)))</f>
        <v>#VALUE!</v>
      </c>
      <c r="M182" s="28">
        <f t="array" ref="M182">INDEX(Species_Pdex_Numbers,MATCH($N182,Species_Names,0))</f>
        <v>91</v>
      </c>
      <c r="N182" s="30" t="s">
        <v>277</v>
      </c>
      <c r="O182" s="31" t="s">
        <v>87</v>
      </c>
      <c r="P182" s="31" t="s">
        <v>153</v>
      </c>
      <c r="Q182" s="17" t="e">
        <f t="shared" si="4"/>
        <v>#VALUE!</v>
      </c>
      <c r="R182" s="32" t="e">
        <f t="array" ref="R182">IF(OR(AND(COUNTBLANK(Combo_Opponent_Type_1)=1,COUNTBLANK(Combo_Opponent_Type_2)=0),AND(AND(COUNTBLANK(Combo_Opponent_Type_1)=0,COUNTBLANK(Combo_Opponent_Type_2)=0),Combo_Opponent_Type_1=Combo_Opponent_Type_2)),
"Check Types",($S182*INDEX(Species_Tankiness,MATCH($N182,Species_Names,0)))/225)</f>
        <v>#VALUE!</v>
      </c>
      <c r="S182" s="32" t="e">
        <f t="array" ref="S182">IF(OR(AND(COUNTBLANK(Combo_Opponent_Type_1)=1,COUNTBLANK(Combo_Opponent_Type_2)=0),AND(AND(COUNTBLANK(Combo_Opponent_Type_1)=0,COUNTBLANK(Combo_Opponent_Type_2)=0),Combo_Opponent_Type_1=Combo_Opponent_Type_2)),
"Check Types",(
IF($W182&gt;=((1-Game_Weave_Human_Error)*$X182),$W182,$X182)*INDEX(Species_Attack,MATCH($N182,Species_Names,0)))/11)</f>
        <v>#VALUE!</v>
      </c>
      <c r="T182" s="33" t="e">
        <f t="shared" si="5"/>
        <v>#VALUE!</v>
      </c>
      <c r="U182" s="33">
        <f t="array" ref="U1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182,Quick_Names,0))),Type_Species)),0),1)*IF(COUNTBLANK(Combo_Opponent_Type_2)=0,INDEX(Type_Damage_Multipliers,MATCH(Combo_Opponent_Type_2,IF(Type_Move=(INDEX(Quick_Type,MATCH($O182,Quick_Names,0))),Type_Species)),0),1)*(IF(OR(INDEX(Quick_Type,MATCH($O182,Quick_Names,0))=INDEX(Species_Type_1,MATCH($N182,Species_Names,0)),INDEX(Quick_Type,MATCH($O182,Quick_Names,0))=INDEX(Species_Type_2,MATCH($N182,Species_Names,0))),Game_STAB_Multiplier,1)))</f>
        <v>1.25</v>
      </c>
      <c r="V182" s="33">
        <f t="array" ref="V1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182,Charge_Names,0))),Type_Species)),0),1)*IF(COUNTBLANK(Combo_Opponent_Type_2)=0,INDEX(Type_Damage_Multipliers,MATCH(Combo_Opponent_Type_2,IF(Type_Move=(INDEX(Charge_Type,MATCH($P182,Charge_Names,0))),Type_Species)),0),1)*
IF(OR(INDEX(Charge_Type,MATCH($P182,Charge_Names,0))=INDEX(Species_Type_1,MATCH($N182,Species_Names,0)),INDEX(Charge_Type,MATCH($P182,Charge_Names,0))=INDEX(Species_Type_2,MATCH($N182,Species_Names,0))),Game_STAB_Multiplier,1))</f>
        <v>1.25</v>
      </c>
      <c r="W182" s="33" t="s">
        <v>422</v>
      </c>
      <c r="X182" s="33" t="s">
        <v>423</v>
      </c>
      <c r="Y182" s="32" t="e">
        <f t="array" ref="Y182">((($Z182)*
INDEX(Species_Attack,MATCH($N182,Species_Names,0))*
INDEX(Species_Tankiness,MATCH($N182,Species_Names,0)))/1000)</f>
        <v>#VALUE!</v>
      </c>
      <c r="Z182" s="33" t="s">
        <v>424</v>
      </c>
    </row>
    <row r="183" spans="1:26" ht="14.25" customHeight="1" x14ac:dyDescent="0.2">
      <c r="A183" s="86"/>
      <c r="B183" s="22" t="str">
        <f t="array" ref="B183">CONCATENATE(TEXT($M183,"000"),".",TEXT(INDEX(Quick_Number,MATCH($O183,Quick_Names,0)),"000"),".",TEXT(INDEX(Charge_Number,MATCH($P183,Charge_Names,0)),"000"))</f>
        <v>115.233.123</v>
      </c>
      <c r="C183" s="23" t="e">
        <f t="array" ref="C183">RANK($S183,IF(Combo_Species_Names=$N183,Combo_Gym_Offense),0)</f>
        <v>#VALUE!</v>
      </c>
      <c r="D183" s="24" t="e">
        <f t="array" ref="D183">$S183/MAX(IF(Combo_Species_Names=$N183,Combo_Gym_Offense))</f>
        <v>#VALUE!</v>
      </c>
      <c r="E183" s="23" t="e">
        <f t="array" ref="E183">RANK($Y183,IF(Combo_Species_Names=$N183,Combo_Gym_Defense),0)</f>
        <v>#VALUE!</v>
      </c>
      <c r="F183" s="25" t="e">
        <f t="array" ref="F183">$Y183/MAX(IF(Combo_Species_Names=$N183,Combo_Gym_Defense))</f>
        <v>#VALUE!</v>
      </c>
      <c r="G183" s="23" t="e">
        <f t="array" ref="G183">IF(OR(INDEX(Species_Availability,MATCH($N183,Species_Names,0))="No",INDEX(Species_Evo_Numbers,MATCH($N183,Species_Names,0))&lt;&gt;1),"N/A",RANK($R183,IF(NOT(ISNA(MATCH(Combo_Species_Names,IF(Species_Availability="Yes",IF(Species_Evo_Numbers=1,Species_Names)),0))),Combo_Duel_Ability),0))</f>
        <v>#VALUE!</v>
      </c>
      <c r="H183" s="24" t="e">
        <f t="array" ref="H183">IF(OR(INDEX(Species_Availability,MATCH($N183,Species_Names,0))="No",INDEX(Species_Evo_Numbers,MATCH($N183,Species_Names,0))&lt;&gt;1),"N/A",$R183/MAX(IF(NOT(ISNA(MATCH(Combo_Species_Names,IF(Species_Availability="Yes",IF(Species_Evo_Numbers=1,Species_Names)),0))),Combo_Duel_Ability)))</f>
        <v>#VALUE!</v>
      </c>
      <c r="I183" s="23" t="e">
        <f t="array" ref="I183">IF(OR(INDEX(Species_Availability,MATCH($N183,Species_Names,0))="No",INDEX(Species_Evo_Numbers,MATCH($N183,Species_Names,0))&lt;&gt;1),"N/A",RANK($S183,IF(NOT(ISNA(MATCH(Combo_Species_Names,IF(Species_Availability="Yes",IF(Species_Evo_Numbers=1,Species_Names)),0))),Combo_Gym_Offense),0))</f>
        <v>#VALUE!</v>
      </c>
      <c r="J183" s="24" t="e">
        <f t="array" ref="J183">IF(OR(INDEX(Species_Availability,MATCH($N183,Species_Names,0))="No",INDEX(Species_Evo_Numbers,MATCH($N183,Species_Names,0))&lt;&gt;1),"N/A",$S183/MAX(IF(NOT(ISNA(MATCH(Combo_Species_Names,IF(Species_Availability="Yes",IF(Species_Evo_Numbers=1,Species_Names)),0))),Combo_Gym_Offense)))</f>
        <v>#VALUE!</v>
      </c>
      <c r="K183" s="23" t="e">
        <f t="array" ref="K183">IF(OR(INDEX(Species_Availability,MATCH($N183,Species_Names,0))="No",INDEX(Species_Evo_Numbers,MATCH($N183,Species_Names,0))&lt;&gt;1),"N/A",RANK($Y183,IF(NOT(ISNA(MATCH(Combo_Species_Names,IF(Species_Availability="Yes",IF(Species_Evo_Numbers=1,Species_Names)),0))),Combo_Gym_Defense),0))</f>
        <v>#VALUE!</v>
      </c>
      <c r="L183" s="24" t="e">
        <f t="array" ref="L183">IF(OR(INDEX(Species_Availability,MATCH($N183,Species_Names,0))="No",INDEX(Species_Evo_Numbers,MATCH($N183,Species_Names,0))&lt;&gt;1),"N/A",$Y183/MAX(IF(NOT(ISNA(MATCH(Combo_Species_Names,IF(Species_Availability="Yes",IF(Species_Evo_Numbers=1,Species_Names)),0))),Combo_Gym_Defense)))</f>
        <v>#VALUE!</v>
      </c>
      <c r="M183" s="28">
        <f t="array" ref="M183">INDEX(Species_Pdex_Numbers,MATCH($N183,Species_Names,0))</f>
        <v>115</v>
      </c>
      <c r="N183" s="30" t="s">
        <v>328</v>
      </c>
      <c r="O183" s="31" t="s">
        <v>84</v>
      </c>
      <c r="P183" s="31" t="s">
        <v>188</v>
      </c>
      <c r="Q183" s="17" t="e">
        <f t="shared" si="4"/>
        <v>#VALUE!</v>
      </c>
      <c r="R183" s="32" t="e">
        <f t="array" ref="R183">IF(OR(AND(COUNTBLANK(Combo_Opponent_Type_1)=1,COUNTBLANK(Combo_Opponent_Type_2)=0),AND(AND(COUNTBLANK(Combo_Opponent_Type_1)=0,COUNTBLANK(Combo_Opponent_Type_2)=0),Combo_Opponent_Type_1=Combo_Opponent_Type_2)),
"Check Types",($S183*INDEX(Species_Tankiness,MATCH($N183,Species_Names,0)))/225)</f>
        <v>#VALUE!</v>
      </c>
      <c r="S183" s="32" t="e">
        <f t="array" ref="S183">IF(OR(AND(COUNTBLANK(Combo_Opponent_Type_1)=1,COUNTBLANK(Combo_Opponent_Type_2)=0),AND(AND(COUNTBLANK(Combo_Opponent_Type_1)=0,COUNTBLANK(Combo_Opponent_Type_2)=0),Combo_Opponent_Type_1=Combo_Opponent_Type_2)),
"Check Types",(
IF($W183&gt;=((1-Game_Weave_Human_Error)*$X183),$W183,$X183)*INDEX(Species_Attack,MATCH($N183,Species_Names,0)))/11)</f>
        <v>#VALUE!</v>
      </c>
      <c r="T183" s="33" t="e">
        <f t="shared" si="5"/>
        <v>#VALUE!</v>
      </c>
      <c r="U183" s="33">
        <f t="array" ref="U1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183,Quick_Names,0))),Type_Species)),0),1)*IF(COUNTBLANK(Combo_Opponent_Type_2)=0,INDEX(Type_Damage_Multipliers,MATCH(Combo_Opponent_Type_2,IF(Type_Move=(INDEX(Quick_Type,MATCH($O183,Quick_Names,0))),Type_Species)),0),1)*(IF(OR(INDEX(Quick_Type,MATCH($O183,Quick_Names,0))=INDEX(Species_Type_1,MATCH($N183,Species_Names,0)),INDEX(Quick_Type,MATCH($O183,Quick_Names,0))=INDEX(Species_Type_2,MATCH($N183,Species_Names,0))),Game_STAB_Multiplier,1)))</f>
        <v>1</v>
      </c>
      <c r="V183" s="33">
        <f t="array" ref="V1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183,Charge_Names,0))),Type_Species)),0),1)*IF(COUNTBLANK(Combo_Opponent_Type_2)=0,INDEX(Type_Damage_Multipliers,MATCH(Combo_Opponent_Type_2,IF(Type_Move=(INDEX(Charge_Type,MATCH($P183,Charge_Names,0))),Type_Species)),0),1)*
IF(OR(INDEX(Charge_Type,MATCH($P183,Charge_Names,0))=INDEX(Species_Type_1,MATCH($N183,Species_Names,0)),INDEX(Charge_Type,MATCH($P183,Charge_Names,0))=INDEX(Species_Type_2,MATCH($N183,Species_Names,0))),Game_STAB_Multiplier,1))</f>
        <v>1</v>
      </c>
      <c r="W183" s="33" t="s">
        <v>660</v>
      </c>
      <c r="X183" s="33" t="s">
        <v>501</v>
      </c>
      <c r="Y183" s="32" t="e">
        <f t="array" ref="Y183">((($Z183)*
INDEX(Species_Attack,MATCH($N183,Species_Names,0))*
INDEX(Species_Tankiness,MATCH($N183,Species_Names,0)))/1000)</f>
        <v>#VALUE!</v>
      </c>
      <c r="Z183" s="33" t="s">
        <v>681</v>
      </c>
    </row>
    <row r="184" spans="1:26" ht="14.25" customHeight="1" x14ac:dyDescent="0.2">
      <c r="A184" s="86"/>
      <c r="B184" s="22" t="str">
        <f t="array" ref="B184">CONCATENATE(TEXT($M184,"000"),".",TEXT(INDEX(Quick_Number,MATCH($O184,Quick_Names,0)),"000"),".",TEXT(INDEX(Charge_Number,MATCH($P184,Charge_Names,0)),"000"))</f>
        <v>115.207.031</v>
      </c>
      <c r="C184" s="23" t="e">
        <f t="array" ref="C184">RANK($S184,IF(Combo_Species_Names=$N184,Combo_Gym_Offense),0)</f>
        <v>#VALUE!</v>
      </c>
      <c r="D184" s="24" t="e">
        <f t="array" ref="D184">$S184/MAX(IF(Combo_Species_Names=$N184,Combo_Gym_Offense))</f>
        <v>#VALUE!</v>
      </c>
      <c r="E184" s="23" t="e">
        <f t="array" ref="E184">RANK($Y184,IF(Combo_Species_Names=$N184,Combo_Gym_Defense),0)</f>
        <v>#VALUE!</v>
      </c>
      <c r="F184" s="25" t="e">
        <f t="array" ref="F184">$Y184/MAX(IF(Combo_Species_Names=$N184,Combo_Gym_Defense))</f>
        <v>#VALUE!</v>
      </c>
      <c r="G184" s="23" t="e">
        <f t="array" ref="G184">IF(OR(INDEX(Species_Availability,MATCH($N184,Species_Names,0))="No",INDEX(Species_Evo_Numbers,MATCH($N184,Species_Names,0))&lt;&gt;1),"N/A",RANK($R184,IF(NOT(ISNA(MATCH(Combo_Species_Names,IF(Species_Availability="Yes",IF(Species_Evo_Numbers=1,Species_Names)),0))),Combo_Duel_Ability),0))</f>
        <v>#VALUE!</v>
      </c>
      <c r="H184" s="24" t="e">
        <f t="array" ref="H184">IF(OR(INDEX(Species_Availability,MATCH($N184,Species_Names,0))="No",INDEX(Species_Evo_Numbers,MATCH($N184,Species_Names,0))&lt;&gt;1),"N/A",$R184/MAX(IF(NOT(ISNA(MATCH(Combo_Species_Names,IF(Species_Availability="Yes",IF(Species_Evo_Numbers=1,Species_Names)),0))),Combo_Duel_Ability)))</f>
        <v>#VALUE!</v>
      </c>
      <c r="I184" s="23" t="e">
        <f t="array" ref="I184">IF(OR(INDEX(Species_Availability,MATCH($N184,Species_Names,0))="No",INDEX(Species_Evo_Numbers,MATCH($N184,Species_Names,0))&lt;&gt;1),"N/A",RANK($S184,IF(NOT(ISNA(MATCH(Combo_Species_Names,IF(Species_Availability="Yes",IF(Species_Evo_Numbers=1,Species_Names)),0))),Combo_Gym_Offense),0))</f>
        <v>#VALUE!</v>
      </c>
      <c r="J184" s="24" t="e">
        <f t="array" ref="J184">IF(OR(INDEX(Species_Availability,MATCH($N184,Species_Names,0))="No",INDEX(Species_Evo_Numbers,MATCH($N184,Species_Names,0))&lt;&gt;1),"N/A",$S184/MAX(IF(NOT(ISNA(MATCH(Combo_Species_Names,IF(Species_Availability="Yes",IF(Species_Evo_Numbers=1,Species_Names)),0))),Combo_Gym_Offense)))</f>
        <v>#VALUE!</v>
      </c>
      <c r="K184" s="23" t="e">
        <f t="array" ref="K184">IF(OR(INDEX(Species_Availability,MATCH($N184,Species_Names,0))="No",INDEX(Species_Evo_Numbers,MATCH($N184,Species_Names,0))&lt;&gt;1),"N/A",RANK($Y184,IF(NOT(ISNA(MATCH(Combo_Species_Names,IF(Species_Availability="Yes",IF(Species_Evo_Numbers=1,Species_Names)),0))),Combo_Gym_Defense),0))</f>
        <v>#VALUE!</v>
      </c>
      <c r="L184" s="24" t="e">
        <f t="array" ref="L184">IF(OR(INDEX(Species_Availability,MATCH($N184,Species_Names,0))="No",INDEX(Species_Evo_Numbers,MATCH($N184,Species_Names,0))&lt;&gt;1),"N/A",$Y184/MAX(IF(NOT(ISNA(MATCH(Combo_Species_Names,IF(Species_Availability="Yes",IF(Species_Evo_Numbers=1,Species_Names)),0))),Combo_Gym_Defense)))</f>
        <v>#VALUE!</v>
      </c>
      <c r="M184" s="28">
        <f t="array" ref="M184">INDEX(Species_Pdex_Numbers,MATCH($N184,Species_Names,0))</f>
        <v>115</v>
      </c>
      <c r="N184" s="30" t="s">
        <v>328</v>
      </c>
      <c r="O184" s="31" t="s">
        <v>117</v>
      </c>
      <c r="P184" s="31" t="s">
        <v>169</v>
      </c>
      <c r="Q184" s="17" t="e">
        <f t="shared" si="4"/>
        <v>#VALUE!</v>
      </c>
      <c r="R184" s="32" t="e">
        <f t="array" ref="R184">IF(OR(AND(COUNTBLANK(Combo_Opponent_Type_1)=1,COUNTBLANK(Combo_Opponent_Type_2)=0),AND(AND(COUNTBLANK(Combo_Opponent_Type_1)=0,COUNTBLANK(Combo_Opponent_Type_2)=0),Combo_Opponent_Type_1=Combo_Opponent_Type_2)),
"Check Types",($S184*INDEX(Species_Tankiness,MATCH($N184,Species_Names,0)))/225)</f>
        <v>#VALUE!</v>
      </c>
      <c r="S184" s="32" t="e">
        <f t="array" ref="S184">IF(OR(AND(COUNTBLANK(Combo_Opponent_Type_1)=1,COUNTBLANK(Combo_Opponent_Type_2)=0),AND(AND(COUNTBLANK(Combo_Opponent_Type_1)=0,COUNTBLANK(Combo_Opponent_Type_2)=0),Combo_Opponent_Type_1=Combo_Opponent_Type_2)),
"Check Types",(
IF($W184&gt;=((1-Game_Weave_Human_Error)*$X184),$W184,$X184)*INDEX(Species_Attack,MATCH($N184,Species_Names,0)))/11)</f>
        <v>#VALUE!</v>
      </c>
      <c r="T184" s="33" t="e">
        <f t="shared" si="5"/>
        <v>#VALUE!</v>
      </c>
      <c r="U184" s="33">
        <f t="array" ref="U1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184,Quick_Names,0))),Type_Species)),0),1)*IF(COUNTBLANK(Combo_Opponent_Type_2)=0,INDEX(Type_Damage_Multipliers,MATCH(Combo_Opponent_Type_2,IF(Type_Move=(INDEX(Quick_Type,MATCH($O184,Quick_Names,0))),Type_Species)),0),1)*(IF(OR(INDEX(Quick_Type,MATCH($O184,Quick_Names,0))=INDEX(Species_Type_1,MATCH($N184,Species_Names,0)),INDEX(Quick_Type,MATCH($O184,Quick_Names,0))=INDEX(Species_Type_2,MATCH($N184,Species_Names,0))),Game_STAB_Multiplier,1)))</f>
        <v>1</v>
      </c>
      <c r="V184" s="33">
        <f t="array" ref="V1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184,Charge_Names,0))),Type_Species)),0),1)*IF(COUNTBLANK(Combo_Opponent_Type_2)=0,INDEX(Type_Damage_Multipliers,MATCH(Combo_Opponent_Type_2,IF(Type_Move=(INDEX(Charge_Type,MATCH($P184,Charge_Names,0))),Type_Species)),0),1)*
IF(OR(INDEX(Charge_Type,MATCH($P184,Charge_Names,0))=INDEX(Species_Type_1,MATCH($N184,Species_Names,0)),INDEX(Charge_Type,MATCH($P184,Charge_Names,0))=INDEX(Species_Type_2,MATCH($N184,Species_Names,0))),Game_STAB_Multiplier,1))</f>
        <v>1</v>
      </c>
      <c r="W184" s="33" t="s">
        <v>621</v>
      </c>
      <c r="X184" s="33" t="s">
        <v>682</v>
      </c>
      <c r="Y184" s="32" t="e">
        <f t="array" ref="Y184">((($Z184)*
INDEX(Species_Attack,MATCH($N184,Species_Names,0))*
INDEX(Species_Tankiness,MATCH($N184,Species_Names,0)))/1000)</f>
        <v>#VALUE!</v>
      </c>
      <c r="Z184" s="33" t="s">
        <v>683</v>
      </c>
    </row>
    <row r="185" spans="1:26" ht="14.25" customHeight="1" x14ac:dyDescent="0.2">
      <c r="A185" s="86"/>
      <c r="B185" s="22" t="str">
        <f t="array" ref="B185">CONCATENATE(TEXT($M185,"000"),".",TEXT(INDEX(Quick_Number,MATCH($O185,Quick_Names,0)),"000"),".",TEXT(INDEX(Charge_Number,MATCH($P185,Charge_Names,0)),"000"))</f>
        <v>028.228.031</v>
      </c>
      <c r="C185" s="23" t="e">
        <f t="array" ref="C185">RANK($S185,IF(Combo_Species_Names=$N185,Combo_Gym_Offense),0)</f>
        <v>#VALUE!</v>
      </c>
      <c r="D185" s="24" t="e">
        <f t="array" ref="D185">$S185/MAX(IF(Combo_Species_Names=$N185,Combo_Gym_Offense))</f>
        <v>#VALUE!</v>
      </c>
      <c r="E185" s="23" t="e">
        <f t="array" ref="E185">RANK($Y185,IF(Combo_Species_Names=$N185,Combo_Gym_Defense),0)</f>
        <v>#VALUE!</v>
      </c>
      <c r="F185" s="25" t="e">
        <f t="array" ref="F185">$Y185/MAX(IF(Combo_Species_Names=$N185,Combo_Gym_Defense))</f>
        <v>#VALUE!</v>
      </c>
      <c r="G185" s="23" t="e">
        <f t="array" ref="G185">IF(OR(INDEX(Species_Availability,MATCH($N185,Species_Names,0))="No",INDEX(Species_Evo_Numbers,MATCH($N185,Species_Names,0))&lt;&gt;1),"N/A",RANK($R185,IF(NOT(ISNA(MATCH(Combo_Species_Names,IF(Species_Availability="Yes",IF(Species_Evo_Numbers=1,Species_Names)),0))),Combo_Duel_Ability),0))</f>
        <v>#VALUE!</v>
      </c>
      <c r="H185" s="24" t="e">
        <f t="array" ref="H185">IF(OR(INDEX(Species_Availability,MATCH($N185,Species_Names,0))="No",INDEX(Species_Evo_Numbers,MATCH($N185,Species_Names,0))&lt;&gt;1),"N/A",$R185/MAX(IF(NOT(ISNA(MATCH(Combo_Species_Names,IF(Species_Availability="Yes",IF(Species_Evo_Numbers=1,Species_Names)),0))),Combo_Duel_Ability)))</f>
        <v>#VALUE!</v>
      </c>
      <c r="I185" s="23" t="e">
        <f t="array" ref="I185">IF(OR(INDEX(Species_Availability,MATCH($N185,Species_Names,0))="No",INDEX(Species_Evo_Numbers,MATCH($N185,Species_Names,0))&lt;&gt;1),"N/A",RANK($S185,IF(NOT(ISNA(MATCH(Combo_Species_Names,IF(Species_Availability="Yes",IF(Species_Evo_Numbers=1,Species_Names)),0))),Combo_Gym_Offense),0))</f>
        <v>#VALUE!</v>
      </c>
      <c r="J185" s="24" t="e">
        <f t="array" ref="J185">IF(OR(INDEX(Species_Availability,MATCH($N185,Species_Names,0))="No",INDEX(Species_Evo_Numbers,MATCH($N185,Species_Names,0))&lt;&gt;1),"N/A",$S185/MAX(IF(NOT(ISNA(MATCH(Combo_Species_Names,IF(Species_Availability="Yes",IF(Species_Evo_Numbers=1,Species_Names)),0))),Combo_Gym_Offense)))</f>
        <v>#VALUE!</v>
      </c>
      <c r="K185" s="23" t="e">
        <f t="array" ref="K185">IF(OR(INDEX(Species_Availability,MATCH($N185,Species_Names,0))="No",INDEX(Species_Evo_Numbers,MATCH($N185,Species_Names,0))&lt;&gt;1),"N/A",RANK($Y185,IF(NOT(ISNA(MATCH(Combo_Species_Names,IF(Species_Availability="Yes",IF(Species_Evo_Numbers=1,Species_Names)),0))),Combo_Gym_Defense),0))</f>
        <v>#VALUE!</v>
      </c>
      <c r="L185" s="24" t="e">
        <f t="array" ref="L185">IF(OR(INDEX(Species_Availability,MATCH($N185,Species_Names,0))="No",INDEX(Species_Evo_Numbers,MATCH($N185,Species_Names,0))&lt;&gt;1),"N/A",$Y185/MAX(IF(NOT(ISNA(MATCH(Combo_Species_Names,IF(Species_Availability="Yes",IF(Species_Evo_Numbers=1,Species_Names)),0))),Combo_Gym_Defense)))</f>
        <v>#VALUE!</v>
      </c>
      <c r="M185" s="28">
        <f t="array" ref="M185">INDEX(Species_Pdex_Numbers,MATCH($N185,Species_Names,0))</f>
        <v>28</v>
      </c>
      <c r="N185" s="30" t="s">
        <v>147</v>
      </c>
      <c r="O185" s="31" t="s">
        <v>55</v>
      </c>
      <c r="P185" s="31" t="s">
        <v>169</v>
      </c>
      <c r="Q185" s="17" t="e">
        <f t="shared" si="4"/>
        <v>#VALUE!</v>
      </c>
      <c r="R185" s="32" t="e">
        <f t="array" ref="R185">IF(OR(AND(COUNTBLANK(Combo_Opponent_Type_1)=1,COUNTBLANK(Combo_Opponent_Type_2)=0),AND(AND(COUNTBLANK(Combo_Opponent_Type_1)=0,COUNTBLANK(Combo_Opponent_Type_2)=0),Combo_Opponent_Type_1=Combo_Opponent_Type_2)),
"Check Types",($S185*INDEX(Species_Tankiness,MATCH($N185,Species_Names,0)))/225)</f>
        <v>#VALUE!</v>
      </c>
      <c r="S185" s="32" t="e">
        <f t="array" ref="S185">IF(OR(AND(COUNTBLANK(Combo_Opponent_Type_1)=1,COUNTBLANK(Combo_Opponent_Type_2)=0),AND(AND(COUNTBLANK(Combo_Opponent_Type_1)=0,COUNTBLANK(Combo_Opponent_Type_2)=0),Combo_Opponent_Type_1=Combo_Opponent_Type_2)),
"Check Types",(
IF($W185&gt;=((1-Game_Weave_Human_Error)*$X185),$W185,$X185)*INDEX(Species_Attack,MATCH($N185,Species_Names,0)))/11)</f>
        <v>#VALUE!</v>
      </c>
      <c r="T185" s="33" t="e">
        <f t="shared" si="5"/>
        <v>#VALUE!</v>
      </c>
      <c r="U185" s="33">
        <f t="array" ref="U1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185,Quick_Names,0))),Type_Species)),0),1)*IF(COUNTBLANK(Combo_Opponent_Type_2)=0,INDEX(Type_Damage_Multipliers,MATCH(Combo_Opponent_Type_2,IF(Type_Move=(INDEX(Quick_Type,MATCH($O185,Quick_Names,0))),Type_Species)),0),1)*(IF(OR(INDEX(Quick_Type,MATCH($O185,Quick_Names,0))=INDEX(Species_Type_1,MATCH($N185,Species_Names,0)),INDEX(Quick_Type,MATCH($O185,Quick_Names,0))=INDEX(Species_Type_2,MATCH($N185,Species_Names,0))),Game_STAB_Multiplier,1)))</f>
        <v>1</v>
      </c>
      <c r="V185" s="33">
        <f t="array" ref="V1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185,Charge_Names,0))),Type_Species)),0),1)*IF(COUNTBLANK(Combo_Opponent_Type_2)=0,INDEX(Type_Damage_Multipliers,MATCH(Combo_Opponent_Type_2,IF(Type_Move=(INDEX(Charge_Type,MATCH($P185,Charge_Names,0))),Type_Species)),0),1)*
IF(OR(INDEX(Charge_Type,MATCH($P185,Charge_Names,0))=INDEX(Species_Type_1,MATCH($N185,Species_Names,0)),INDEX(Charge_Type,MATCH($P185,Charge_Names,0))=INDEX(Species_Type_2,MATCH($N185,Species_Names,0))),Game_STAB_Multiplier,1))</f>
        <v>1.25</v>
      </c>
      <c r="W185" s="33" t="s">
        <v>684</v>
      </c>
      <c r="X185" s="33" t="s">
        <v>482</v>
      </c>
      <c r="Y185" s="32" t="e">
        <f t="array" ref="Y185">((($Z185)*
INDEX(Species_Attack,MATCH($N185,Species_Names,0))*
INDEX(Species_Tankiness,MATCH($N185,Species_Names,0)))/1000)</f>
        <v>#VALUE!</v>
      </c>
      <c r="Z185" s="33" t="s">
        <v>685</v>
      </c>
    </row>
    <row r="186" spans="1:26" ht="14.25" customHeight="1" x14ac:dyDescent="0.2">
      <c r="A186" s="86"/>
      <c r="B186" s="22" t="str">
        <f t="array" ref="B186">CONCATENATE(TEXT($M186,"000"),".",TEXT(INDEX(Quick_Number,MATCH($O186,Quick_Names,0)),"000"),".",TEXT(INDEX(Charge_Number,MATCH($P186,Charge_Names,0)),"000"))</f>
        <v>040.238.086</v>
      </c>
      <c r="C186" s="23" t="e">
        <f t="array" ref="C186">RANK($S186,IF(Combo_Species_Names=$N186,Combo_Gym_Offense),0)</f>
        <v>#VALUE!</v>
      </c>
      <c r="D186" s="24" t="e">
        <f t="array" ref="D186">$S186/MAX(IF(Combo_Species_Names=$N186,Combo_Gym_Offense))</f>
        <v>#VALUE!</v>
      </c>
      <c r="E186" s="23" t="e">
        <f t="array" ref="E186">RANK($Y186,IF(Combo_Species_Names=$N186,Combo_Gym_Defense),0)</f>
        <v>#VALUE!</v>
      </c>
      <c r="F186" s="25" t="e">
        <f t="array" ref="F186">$Y186/MAX(IF(Combo_Species_Names=$N186,Combo_Gym_Defense))</f>
        <v>#VALUE!</v>
      </c>
      <c r="G186" s="23" t="e">
        <f t="array" ref="G186">IF(OR(INDEX(Species_Availability,MATCH($N186,Species_Names,0))="No",INDEX(Species_Evo_Numbers,MATCH($N186,Species_Names,0))&lt;&gt;1),"N/A",RANK($R186,IF(NOT(ISNA(MATCH(Combo_Species_Names,IF(Species_Availability="Yes",IF(Species_Evo_Numbers=1,Species_Names)),0))),Combo_Duel_Ability),0))</f>
        <v>#VALUE!</v>
      </c>
      <c r="H186" s="24" t="e">
        <f t="array" ref="H186">IF(OR(INDEX(Species_Availability,MATCH($N186,Species_Names,0))="No",INDEX(Species_Evo_Numbers,MATCH($N186,Species_Names,0))&lt;&gt;1),"N/A",$R186/MAX(IF(NOT(ISNA(MATCH(Combo_Species_Names,IF(Species_Availability="Yes",IF(Species_Evo_Numbers=1,Species_Names)),0))),Combo_Duel_Ability)))</f>
        <v>#VALUE!</v>
      </c>
      <c r="I186" s="23" t="e">
        <f t="array" ref="I186">IF(OR(INDEX(Species_Availability,MATCH($N186,Species_Names,0))="No",INDEX(Species_Evo_Numbers,MATCH($N186,Species_Names,0))&lt;&gt;1),"N/A",RANK($S186,IF(NOT(ISNA(MATCH(Combo_Species_Names,IF(Species_Availability="Yes",IF(Species_Evo_Numbers=1,Species_Names)),0))),Combo_Gym_Offense),0))</f>
        <v>#VALUE!</v>
      </c>
      <c r="J186" s="24" t="e">
        <f t="array" ref="J186">IF(OR(INDEX(Species_Availability,MATCH($N186,Species_Names,0))="No",INDEX(Species_Evo_Numbers,MATCH($N186,Species_Names,0))&lt;&gt;1),"N/A",$S186/MAX(IF(NOT(ISNA(MATCH(Combo_Species_Names,IF(Species_Availability="Yes",IF(Species_Evo_Numbers=1,Species_Names)),0))),Combo_Gym_Offense)))</f>
        <v>#VALUE!</v>
      </c>
      <c r="K186" s="23" t="e">
        <f t="array" ref="K186">IF(OR(INDEX(Species_Availability,MATCH($N186,Species_Names,0))="No",INDEX(Species_Evo_Numbers,MATCH($N186,Species_Names,0))&lt;&gt;1),"N/A",RANK($Y186,IF(NOT(ISNA(MATCH(Combo_Species_Names,IF(Species_Availability="Yes",IF(Species_Evo_Numbers=1,Species_Names)),0))),Combo_Gym_Defense),0))</f>
        <v>#VALUE!</v>
      </c>
      <c r="L186" s="24" t="e">
        <f t="array" ref="L186">IF(OR(INDEX(Species_Availability,MATCH($N186,Species_Names,0))="No",INDEX(Species_Evo_Numbers,MATCH($N186,Species_Names,0))&lt;&gt;1),"N/A",$Y186/MAX(IF(NOT(ISNA(MATCH(Combo_Species_Names,IF(Species_Availability="Yes",IF(Species_Evo_Numbers=1,Species_Names)),0))),Combo_Gym_Defense)))</f>
        <v>#VALUE!</v>
      </c>
      <c r="M186" s="28">
        <f t="array" ref="M186">INDEX(Species_Pdex_Numbers,MATCH($N186,Species_Names,0))</f>
        <v>40</v>
      </c>
      <c r="N186" s="30" t="s">
        <v>171</v>
      </c>
      <c r="O186" s="31" t="s">
        <v>76</v>
      </c>
      <c r="P186" s="31" t="s">
        <v>257</v>
      </c>
      <c r="Q186" s="17" t="e">
        <f t="shared" si="4"/>
        <v>#VALUE!</v>
      </c>
      <c r="R186" s="32" t="e">
        <f t="array" ref="R186">IF(OR(AND(COUNTBLANK(Combo_Opponent_Type_1)=1,COUNTBLANK(Combo_Opponent_Type_2)=0),AND(AND(COUNTBLANK(Combo_Opponent_Type_1)=0,COUNTBLANK(Combo_Opponent_Type_2)=0),Combo_Opponent_Type_1=Combo_Opponent_Type_2)),
"Check Types",($S186*INDEX(Species_Tankiness,MATCH($N186,Species_Names,0)))/225)</f>
        <v>#VALUE!</v>
      </c>
      <c r="S186" s="32" t="e">
        <f t="array" ref="S186">IF(OR(AND(COUNTBLANK(Combo_Opponent_Type_1)=1,COUNTBLANK(Combo_Opponent_Type_2)=0),AND(AND(COUNTBLANK(Combo_Opponent_Type_1)=0,COUNTBLANK(Combo_Opponent_Type_2)=0),Combo_Opponent_Type_1=Combo_Opponent_Type_2)),
"Check Types",(
IF($W186&gt;=((1-Game_Weave_Human_Error)*$X186),$W186,$X186)*INDEX(Species_Attack,MATCH($N186,Species_Names,0)))/11)</f>
        <v>#VALUE!</v>
      </c>
      <c r="T186" s="33" t="e">
        <f t="shared" si="5"/>
        <v>#VALUE!</v>
      </c>
      <c r="U186" s="33">
        <f t="array" ref="U1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186,Quick_Names,0))),Type_Species)),0),1)*IF(COUNTBLANK(Combo_Opponent_Type_2)=0,INDEX(Type_Damage_Multipliers,MATCH(Combo_Opponent_Type_2,IF(Type_Move=(INDEX(Quick_Type,MATCH($O186,Quick_Names,0))),Type_Species)),0),1)*(IF(OR(INDEX(Quick_Type,MATCH($O186,Quick_Names,0))=INDEX(Species_Type_1,MATCH($N186,Species_Names,0)),INDEX(Quick_Type,MATCH($O186,Quick_Names,0))=INDEX(Species_Type_2,MATCH($N186,Species_Names,0))),Game_STAB_Multiplier,1)))</f>
        <v>1</v>
      </c>
      <c r="V186" s="33">
        <f t="array" ref="V1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186,Charge_Names,0))),Type_Species)),0),1)*IF(COUNTBLANK(Combo_Opponent_Type_2)=0,INDEX(Type_Damage_Multipliers,MATCH(Combo_Opponent_Type_2,IF(Type_Move=(INDEX(Charge_Type,MATCH($P186,Charge_Names,0))),Type_Species)),0),1)*
IF(OR(INDEX(Charge_Type,MATCH($P186,Charge_Names,0))=INDEX(Species_Type_1,MATCH($N186,Species_Names,0)),INDEX(Charge_Type,MATCH($P186,Charge_Names,0))=INDEX(Species_Type_2,MATCH($N186,Species_Names,0))),Game_STAB_Multiplier,1))</f>
        <v>1.25</v>
      </c>
      <c r="W186" s="33" t="s">
        <v>589</v>
      </c>
      <c r="X186" s="33" t="s">
        <v>626</v>
      </c>
      <c r="Y186" s="32" t="e">
        <f t="array" ref="Y186">((($Z186)*
INDEX(Species_Attack,MATCH($N186,Species_Names,0))*
INDEX(Species_Tankiness,MATCH($N186,Species_Names,0)))/1000)</f>
        <v>#VALUE!</v>
      </c>
      <c r="Z186" s="33" t="s">
        <v>627</v>
      </c>
    </row>
    <row r="187" spans="1:26" ht="14.25" customHeight="1" x14ac:dyDescent="0.2">
      <c r="A187" s="86"/>
      <c r="B187" s="22" t="str">
        <f t="array" ref="B187">CONCATENATE(TEXT($M187,"000"),".",TEXT(INDEX(Quick_Number,MATCH($O187,Quick_Names,0)),"000"),".",TEXT(INDEX(Charge_Number,MATCH($P187,Charge_Names,0)),"000"))</f>
        <v>068.229.054</v>
      </c>
      <c r="C187" s="23" t="e">
        <f t="array" ref="C187">RANK($S187,IF(Combo_Species_Names=$N187,Combo_Gym_Offense),0)</f>
        <v>#VALUE!</v>
      </c>
      <c r="D187" s="24" t="e">
        <f t="array" ref="D187">$S187/MAX(IF(Combo_Species_Names=$N187,Combo_Gym_Offense))</f>
        <v>#VALUE!</v>
      </c>
      <c r="E187" s="23" t="e">
        <f t="array" ref="E187">RANK($Y187,IF(Combo_Species_Names=$N187,Combo_Gym_Defense),0)</f>
        <v>#VALUE!</v>
      </c>
      <c r="F187" s="25" t="e">
        <f t="array" ref="F187">$Y187/MAX(IF(Combo_Species_Names=$N187,Combo_Gym_Defense))</f>
        <v>#VALUE!</v>
      </c>
      <c r="G187" s="23" t="e">
        <f t="array" ref="G187">IF(OR(INDEX(Species_Availability,MATCH($N187,Species_Names,0))="No",INDEX(Species_Evo_Numbers,MATCH($N187,Species_Names,0))&lt;&gt;1),"N/A",RANK($R187,IF(NOT(ISNA(MATCH(Combo_Species_Names,IF(Species_Availability="Yes",IF(Species_Evo_Numbers=1,Species_Names)),0))),Combo_Duel_Ability),0))</f>
        <v>#VALUE!</v>
      </c>
      <c r="H187" s="24" t="e">
        <f t="array" ref="H187">IF(OR(INDEX(Species_Availability,MATCH($N187,Species_Names,0))="No",INDEX(Species_Evo_Numbers,MATCH($N187,Species_Names,0))&lt;&gt;1),"N/A",$R187/MAX(IF(NOT(ISNA(MATCH(Combo_Species_Names,IF(Species_Availability="Yes",IF(Species_Evo_Numbers=1,Species_Names)),0))),Combo_Duel_Ability)))</f>
        <v>#VALUE!</v>
      </c>
      <c r="I187" s="23" t="e">
        <f t="array" ref="I187">IF(OR(INDEX(Species_Availability,MATCH($N187,Species_Names,0))="No",INDEX(Species_Evo_Numbers,MATCH($N187,Species_Names,0))&lt;&gt;1),"N/A",RANK($S187,IF(NOT(ISNA(MATCH(Combo_Species_Names,IF(Species_Availability="Yes",IF(Species_Evo_Numbers=1,Species_Names)),0))),Combo_Gym_Offense),0))</f>
        <v>#VALUE!</v>
      </c>
      <c r="J187" s="24" t="e">
        <f t="array" ref="J187">IF(OR(INDEX(Species_Availability,MATCH($N187,Species_Names,0))="No",INDEX(Species_Evo_Numbers,MATCH($N187,Species_Names,0))&lt;&gt;1),"N/A",$S187/MAX(IF(NOT(ISNA(MATCH(Combo_Species_Names,IF(Species_Availability="Yes",IF(Species_Evo_Numbers=1,Species_Names)),0))),Combo_Gym_Offense)))</f>
        <v>#VALUE!</v>
      </c>
      <c r="K187" s="23" t="e">
        <f t="array" ref="K187">IF(OR(INDEX(Species_Availability,MATCH($N187,Species_Names,0))="No",INDEX(Species_Evo_Numbers,MATCH($N187,Species_Names,0))&lt;&gt;1),"N/A",RANK($Y187,IF(NOT(ISNA(MATCH(Combo_Species_Names,IF(Species_Availability="Yes",IF(Species_Evo_Numbers=1,Species_Names)),0))),Combo_Gym_Defense),0))</f>
        <v>#VALUE!</v>
      </c>
      <c r="L187" s="24" t="e">
        <f t="array" ref="L187">IF(OR(INDEX(Species_Availability,MATCH($N187,Species_Names,0))="No",INDEX(Species_Evo_Numbers,MATCH($N187,Species_Names,0))&lt;&gt;1),"N/A",$Y187/MAX(IF(NOT(ISNA(MATCH(Combo_Species_Names,IF(Species_Availability="Yes",IF(Species_Evo_Numbers=1,Species_Names)),0))),Combo_Gym_Defense)))</f>
        <v>#VALUE!</v>
      </c>
      <c r="M187" s="28">
        <f t="array" ref="M187">INDEX(Species_Pdex_Numbers,MATCH($N187,Species_Names,0))</f>
        <v>68</v>
      </c>
      <c r="N187" s="30" t="s">
        <v>227</v>
      </c>
      <c r="O187" s="31" t="s">
        <v>118</v>
      </c>
      <c r="P187" s="31" t="s">
        <v>243</v>
      </c>
      <c r="Q187" s="17" t="e">
        <f t="shared" si="4"/>
        <v>#VALUE!</v>
      </c>
      <c r="R187" s="32" t="e">
        <f t="array" ref="R187">IF(OR(AND(COUNTBLANK(Combo_Opponent_Type_1)=1,COUNTBLANK(Combo_Opponent_Type_2)=0),AND(AND(COUNTBLANK(Combo_Opponent_Type_1)=0,COUNTBLANK(Combo_Opponent_Type_2)=0),Combo_Opponent_Type_1=Combo_Opponent_Type_2)),
"Check Types",($S187*INDEX(Species_Tankiness,MATCH($N187,Species_Names,0)))/225)</f>
        <v>#VALUE!</v>
      </c>
      <c r="S187" s="32" t="e">
        <f t="array" ref="S187">IF(OR(AND(COUNTBLANK(Combo_Opponent_Type_1)=1,COUNTBLANK(Combo_Opponent_Type_2)=0),AND(AND(COUNTBLANK(Combo_Opponent_Type_1)=0,COUNTBLANK(Combo_Opponent_Type_2)=0),Combo_Opponent_Type_1=Combo_Opponent_Type_2)),
"Check Types",(
IF($W187&gt;=((1-Game_Weave_Human_Error)*$X187),$W187,$X187)*INDEX(Species_Attack,MATCH($N187,Species_Names,0)))/11)</f>
        <v>#VALUE!</v>
      </c>
      <c r="T187" s="33" t="e">
        <f t="shared" si="5"/>
        <v>#VALUE!</v>
      </c>
      <c r="U187" s="33">
        <f t="array" ref="U1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187,Quick_Names,0))),Type_Species)),0),1)*IF(COUNTBLANK(Combo_Opponent_Type_2)=0,INDEX(Type_Damage_Multipliers,MATCH(Combo_Opponent_Type_2,IF(Type_Move=(INDEX(Quick_Type,MATCH($O187,Quick_Names,0))),Type_Species)),0),1)*(IF(OR(INDEX(Quick_Type,MATCH($O187,Quick_Names,0))=INDEX(Species_Type_1,MATCH($N187,Species_Names,0)),INDEX(Quick_Type,MATCH($O187,Quick_Names,0))=INDEX(Species_Type_2,MATCH($N187,Species_Names,0))),Game_STAB_Multiplier,1)))</f>
        <v>1</v>
      </c>
      <c r="V187" s="33">
        <f t="array" ref="V1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187,Charge_Names,0))),Type_Species)),0),1)*IF(COUNTBLANK(Combo_Opponent_Type_2)=0,INDEX(Type_Damage_Multipliers,MATCH(Combo_Opponent_Type_2,IF(Type_Move=(INDEX(Charge_Type,MATCH($P187,Charge_Names,0))),Type_Species)),0),1)*
IF(OR(INDEX(Charge_Type,MATCH($P187,Charge_Names,0))=INDEX(Species_Type_1,MATCH($N187,Species_Names,0)),INDEX(Charge_Type,MATCH($P187,Charge_Names,0))=INDEX(Species_Type_2,MATCH($N187,Species_Names,0))),Game_STAB_Multiplier,1))</f>
        <v>1.25</v>
      </c>
      <c r="W187" s="33" t="s">
        <v>621</v>
      </c>
      <c r="X187" s="33" t="s">
        <v>577</v>
      </c>
      <c r="Y187" s="32" t="e">
        <f t="array" ref="Y187">((($Z187)*
INDEX(Species_Attack,MATCH($N187,Species_Names,0))*
INDEX(Species_Tankiness,MATCH($N187,Species_Names,0)))/1000)</f>
        <v>#VALUE!</v>
      </c>
      <c r="Z187" s="33" t="s">
        <v>445</v>
      </c>
    </row>
    <row r="188" spans="1:26" ht="14.25" customHeight="1" x14ac:dyDescent="0.2">
      <c r="A188" s="86"/>
      <c r="B188" s="22" t="str">
        <f t="array" ref="B188">CONCATENATE(TEXT($M188,"000"),".",TEXT(INDEX(Quick_Number,MATCH($O188,Quick_Names,0)),"000"),".",TEXT(INDEX(Charge_Number,MATCH($P188,Charge_Names,0)),"000"))</f>
        <v>142.239.014</v>
      </c>
      <c r="C188" s="23" t="e">
        <f t="array" ref="C188">RANK($S188,IF(Combo_Species_Names=$N188,Combo_Gym_Offense),0)</f>
        <v>#VALUE!</v>
      </c>
      <c r="D188" s="24" t="e">
        <f t="array" ref="D188">$S188/MAX(IF(Combo_Species_Names=$N188,Combo_Gym_Offense))</f>
        <v>#VALUE!</v>
      </c>
      <c r="E188" s="23" t="e">
        <f t="array" ref="E188">RANK($Y188,IF(Combo_Species_Names=$N188,Combo_Gym_Defense),0)</f>
        <v>#VALUE!</v>
      </c>
      <c r="F188" s="25" t="e">
        <f t="array" ref="F188">$Y188/MAX(IF(Combo_Species_Names=$N188,Combo_Gym_Defense))</f>
        <v>#VALUE!</v>
      </c>
      <c r="G188" s="23" t="e">
        <f t="array" ref="G188">IF(OR(INDEX(Species_Availability,MATCH($N188,Species_Names,0))="No",INDEX(Species_Evo_Numbers,MATCH($N188,Species_Names,0))&lt;&gt;1),"N/A",RANK($R188,IF(NOT(ISNA(MATCH(Combo_Species_Names,IF(Species_Availability="Yes",IF(Species_Evo_Numbers=1,Species_Names)),0))),Combo_Duel_Ability),0))</f>
        <v>#VALUE!</v>
      </c>
      <c r="H188" s="24" t="e">
        <f t="array" ref="H188">IF(OR(INDEX(Species_Availability,MATCH($N188,Species_Names,0))="No",INDEX(Species_Evo_Numbers,MATCH($N188,Species_Names,0))&lt;&gt;1),"N/A",$R188/MAX(IF(NOT(ISNA(MATCH(Combo_Species_Names,IF(Species_Availability="Yes",IF(Species_Evo_Numbers=1,Species_Names)),0))),Combo_Duel_Ability)))</f>
        <v>#VALUE!</v>
      </c>
      <c r="I188" s="23" t="e">
        <f t="array" ref="I188">IF(OR(INDEX(Species_Availability,MATCH($N188,Species_Names,0))="No",INDEX(Species_Evo_Numbers,MATCH($N188,Species_Names,0))&lt;&gt;1),"N/A",RANK($S188,IF(NOT(ISNA(MATCH(Combo_Species_Names,IF(Species_Availability="Yes",IF(Species_Evo_Numbers=1,Species_Names)),0))),Combo_Gym_Offense),0))</f>
        <v>#VALUE!</v>
      </c>
      <c r="J188" s="24" t="e">
        <f t="array" ref="J188">IF(OR(INDEX(Species_Availability,MATCH($N188,Species_Names,0))="No",INDEX(Species_Evo_Numbers,MATCH($N188,Species_Names,0))&lt;&gt;1),"N/A",$S188/MAX(IF(NOT(ISNA(MATCH(Combo_Species_Names,IF(Species_Availability="Yes",IF(Species_Evo_Numbers=1,Species_Names)),0))),Combo_Gym_Offense)))</f>
        <v>#VALUE!</v>
      </c>
      <c r="K188" s="23" t="e">
        <f t="array" ref="K188">IF(OR(INDEX(Species_Availability,MATCH($N188,Species_Names,0))="No",INDEX(Species_Evo_Numbers,MATCH($N188,Species_Names,0))&lt;&gt;1),"N/A",RANK($Y188,IF(NOT(ISNA(MATCH(Combo_Species_Names,IF(Species_Availability="Yes",IF(Species_Evo_Numbers=1,Species_Names)),0))),Combo_Gym_Defense),0))</f>
        <v>#VALUE!</v>
      </c>
      <c r="L188" s="24" t="e">
        <f t="array" ref="L188">IF(OR(INDEX(Species_Availability,MATCH($N188,Species_Names,0))="No",INDEX(Species_Evo_Numbers,MATCH($N188,Species_Names,0))&lt;&gt;1),"N/A",$Y188/MAX(IF(NOT(ISNA(MATCH(Combo_Species_Names,IF(Species_Availability="Yes",IF(Species_Evo_Numbers=1,Species_Names)),0))),Combo_Gym_Defense)))</f>
        <v>#VALUE!</v>
      </c>
      <c r="M188" s="28">
        <f t="array" ref="M188">INDEX(Species_Pdex_Numbers,MATCH($N188,Species_Names,0))</f>
        <v>142</v>
      </c>
      <c r="N188" s="30" t="s">
        <v>360</v>
      </c>
      <c r="O188" s="31" t="s">
        <v>80</v>
      </c>
      <c r="P188" s="31" t="s">
        <v>130</v>
      </c>
      <c r="Q188" s="17" t="e">
        <f t="shared" si="4"/>
        <v>#VALUE!</v>
      </c>
      <c r="R188" s="32" t="e">
        <f t="array" ref="R188">IF(OR(AND(COUNTBLANK(Combo_Opponent_Type_1)=1,COUNTBLANK(Combo_Opponent_Type_2)=0),AND(AND(COUNTBLANK(Combo_Opponent_Type_1)=0,COUNTBLANK(Combo_Opponent_Type_2)=0),Combo_Opponent_Type_1=Combo_Opponent_Type_2)),
"Check Types",($S188*INDEX(Species_Tankiness,MATCH($N188,Species_Names,0)))/225)</f>
        <v>#VALUE!</v>
      </c>
      <c r="S188" s="32" t="e">
        <f t="array" ref="S188">IF(OR(AND(COUNTBLANK(Combo_Opponent_Type_1)=1,COUNTBLANK(Combo_Opponent_Type_2)=0),AND(AND(COUNTBLANK(Combo_Opponent_Type_1)=0,COUNTBLANK(Combo_Opponent_Type_2)=0),Combo_Opponent_Type_1=Combo_Opponent_Type_2)),
"Check Types",(
IF($W188&gt;=((1-Game_Weave_Human_Error)*$X188),$W188,$X188)*INDEX(Species_Attack,MATCH($N188,Species_Names,0)))/11)</f>
        <v>#VALUE!</v>
      </c>
      <c r="T188" s="33" t="e">
        <f t="shared" si="5"/>
        <v>#VALUE!</v>
      </c>
      <c r="U188" s="33">
        <f t="array" ref="U1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188,Quick_Names,0))),Type_Species)),0),1)*IF(COUNTBLANK(Combo_Opponent_Type_2)=0,INDEX(Type_Damage_Multipliers,MATCH(Combo_Opponent_Type_2,IF(Type_Move=(INDEX(Quick_Type,MATCH($O188,Quick_Names,0))),Type_Species)),0),1)*(IF(OR(INDEX(Quick_Type,MATCH($O188,Quick_Names,0))=INDEX(Species_Type_1,MATCH($N188,Species_Names,0)),INDEX(Quick_Type,MATCH($O188,Quick_Names,0))=INDEX(Species_Type_2,MATCH($N188,Species_Names,0))),Game_STAB_Multiplier,1)))</f>
        <v>1</v>
      </c>
      <c r="V188" s="33">
        <f t="array" ref="V1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188,Charge_Names,0))),Type_Species)),0),1)*IF(COUNTBLANK(Combo_Opponent_Type_2)=0,INDEX(Type_Damage_Multipliers,MATCH(Combo_Opponent_Type_2,IF(Type_Move=(INDEX(Charge_Type,MATCH($P188,Charge_Names,0))),Type_Species)),0),1)*
IF(OR(INDEX(Charge_Type,MATCH($P188,Charge_Names,0))=INDEX(Species_Type_1,MATCH($N188,Species_Names,0)),INDEX(Charge_Type,MATCH($P188,Charge_Names,0))=INDEX(Species_Type_2,MATCH($N188,Species_Names,0))),Game_STAB_Multiplier,1))</f>
        <v>1</v>
      </c>
      <c r="W188" s="33" t="s">
        <v>441</v>
      </c>
      <c r="X188" s="33" t="s">
        <v>446</v>
      </c>
      <c r="Y188" s="32" t="e">
        <f t="array" ref="Y188">((($Z188)*
INDEX(Species_Attack,MATCH($N188,Species_Names,0))*
INDEX(Species_Tankiness,MATCH($N188,Species_Names,0)))/1000)</f>
        <v>#VALUE!</v>
      </c>
      <c r="Z188" s="33" t="s">
        <v>447</v>
      </c>
    </row>
    <row r="189" spans="1:26" ht="14.25" customHeight="1" x14ac:dyDescent="0.2">
      <c r="A189" s="86"/>
      <c r="B189" s="22" t="str">
        <f t="array" ref="B189">CONCATENATE(TEXT($M189,"000"),".",TEXT(INDEX(Quick_Number,MATCH($O189,Quick_Names,0)),"000"),".",TEXT(INDEX(Charge_Number,MATCH($P189,Charge_Names,0)),"000"))</f>
        <v>121.230.065</v>
      </c>
      <c r="C189" s="23" t="e">
        <f t="array" ref="C189">RANK($S189,IF(Combo_Species_Names=$N189,Combo_Gym_Offense),0)</f>
        <v>#VALUE!</v>
      </c>
      <c r="D189" s="24" t="e">
        <f t="array" ref="D189">$S189/MAX(IF(Combo_Species_Names=$N189,Combo_Gym_Offense))</f>
        <v>#VALUE!</v>
      </c>
      <c r="E189" s="23" t="e">
        <f t="array" ref="E189">RANK($Y189,IF(Combo_Species_Names=$N189,Combo_Gym_Defense),0)</f>
        <v>#VALUE!</v>
      </c>
      <c r="F189" s="25" t="e">
        <f t="array" ref="F189">$Y189/MAX(IF(Combo_Species_Names=$N189,Combo_Gym_Defense))</f>
        <v>#VALUE!</v>
      </c>
      <c r="G189" s="23" t="e">
        <f t="array" ref="G189">IF(OR(INDEX(Species_Availability,MATCH($N189,Species_Names,0))="No",INDEX(Species_Evo_Numbers,MATCH($N189,Species_Names,0))&lt;&gt;1),"N/A",RANK($R189,IF(NOT(ISNA(MATCH(Combo_Species_Names,IF(Species_Availability="Yes",IF(Species_Evo_Numbers=1,Species_Names)),0))),Combo_Duel_Ability),0))</f>
        <v>#VALUE!</v>
      </c>
      <c r="H189" s="24" t="e">
        <f t="array" ref="H189">IF(OR(INDEX(Species_Availability,MATCH($N189,Species_Names,0))="No",INDEX(Species_Evo_Numbers,MATCH($N189,Species_Names,0))&lt;&gt;1),"N/A",$R189/MAX(IF(NOT(ISNA(MATCH(Combo_Species_Names,IF(Species_Availability="Yes",IF(Species_Evo_Numbers=1,Species_Names)),0))),Combo_Duel_Ability)))</f>
        <v>#VALUE!</v>
      </c>
      <c r="I189" s="23" t="e">
        <f t="array" ref="I189">IF(OR(INDEX(Species_Availability,MATCH($N189,Species_Names,0))="No",INDEX(Species_Evo_Numbers,MATCH($N189,Species_Names,0))&lt;&gt;1),"N/A",RANK($S189,IF(NOT(ISNA(MATCH(Combo_Species_Names,IF(Species_Availability="Yes",IF(Species_Evo_Numbers=1,Species_Names)),0))),Combo_Gym_Offense),0))</f>
        <v>#VALUE!</v>
      </c>
      <c r="J189" s="24" t="e">
        <f t="array" ref="J189">IF(OR(INDEX(Species_Availability,MATCH($N189,Species_Names,0))="No",INDEX(Species_Evo_Numbers,MATCH($N189,Species_Names,0))&lt;&gt;1),"N/A",$S189/MAX(IF(NOT(ISNA(MATCH(Combo_Species_Names,IF(Species_Availability="Yes",IF(Species_Evo_Numbers=1,Species_Names)),0))),Combo_Gym_Offense)))</f>
        <v>#VALUE!</v>
      </c>
      <c r="K189" s="23" t="e">
        <f t="array" ref="K189">IF(OR(INDEX(Species_Availability,MATCH($N189,Species_Names,0))="No",INDEX(Species_Evo_Numbers,MATCH($N189,Species_Names,0))&lt;&gt;1),"N/A",RANK($Y189,IF(NOT(ISNA(MATCH(Combo_Species_Names,IF(Species_Availability="Yes",IF(Species_Evo_Numbers=1,Species_Names)),0))),Combo_Gym_Defense),0))</f>
        <v>#VALUE!</v>
      </c>
      <c r="L189" s="24" t="e">
        <f t="array" ref="L189">IF(OR(INDEX(Species_Availability,MATCH($N189,Species_Names,0))="No",INDEX(Species_Evo_Numbers,MATCH($N189,Species_Names,0))&lt;&gt;1),"N/A",$Y189/MAX(IF(NOT(ISNA(MATCH(Combo_Species_Names,IF(Species_Availability="Yes",IF(Species_Evo_Numbers=1,Species_Names)),0))),Combo_Gym_Defense)))</f>
        <v>#VALUE!</v>
      </c>
      <c r="M189" s="28">
        <f t="array" ref="M189">INDEX(Species_Pdex_Numbers,MATCH($N189,Species_Names,0))</f>
        <v>121</v>
      </c>
      <c r="N189" s="30" t="s">
        <v>338</v>
      </c>
      <c r="O189" s="31" t="s">
        <v>65</v>
      </c>
      <c r="P189" s="31" t="s">
        <v>249</v>
      </c>
      <c r="Q189" s="17" t="e">
        <f t="shared" si="4"/>
        <v>#VALUE!</v>
      </c>
      <c r="R189" s="32" t="e">
        <f t="array" ref="R189">IF(OR(AND(COUNTBLANK(Combo_Opponent_Type_1)=1,COUNTBLANK(Combo_Opponent_Type_2)=0),AND(AND(COUNTBLANK(Combo_Opponent_Type_1)=0,COUNTBLANK(Combo_Opponent_Type_2)=0),Combo_Opponent_Type_1=Combo_Opponent_Type_2)),
"Check Types",($S189*INDEX(Species_Tankiness,MATCH($N189,Species_Names,0)))/225)</f>
        <v>#VALUE!</v>
      </c>
      <c r="S189" s="32" t="e">
        <f t="array" ref="S189">IF(OR(AND(COUNTBLANK(Combo_Opponent_Type_1)=1,COUNTBLANK(Combo_Opponent_Type_2)=0),AND(AND(COUNTBLANK(Combo_Opponent_Type_1)=0,COUNTBLANK(Combo_Opponent_Type_2)=0),Combo_Opponent_Type_1=Combo_Opponent_Type_2)),
"Check Types",(
IF($W189&gt;=((1-Game_Weave_Human_Error)*$X189),$W189,$X189)*INDEX(Species_Attack,MATCH($N189,Species_Names,0)))/11)</f>
        <v>#VALUE!</v>
      </c>
      <c r="T189" s="33" t="e">
        <f t="shared" si="5"/>
        <v>#VALUE!</v>
      </c>
      <c r="U189" s="33">
        <f t="array" ref="U1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189,Quick_Names,0))),Type_Species)),0),1)*IF(COUNTBLANK(Combo_Opponent_Type_2)=0,INDEX(Type_Damage_Multipliers,MATCH(Combo_Opponent_Type_2,IF(Type_Move=(INDEX(Quick_Type,MATCH($O189,Quick_Names,0))),Type_Species)),0),1)*(IF(OR(INDEX(Quick_Type,MATCH($O189,Quick_Names,0))=INDEX(Species_Type_1,MATCH($N189,Species_Names,0)),INDEX(Quick_Type,MATCH($O189,Quick_Names,0))=INDEX(Species_Type_2,MATCH($N189,Species_Names,0))),Game_STAB_Multiplier,1)))</f>
        <v>1.25</v>
      </c>
      <c r="V189" s="33">
        <f t="array" ref="V1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189,Charge_Names,0))),Type_Species)),0),1)*IF(COUNTBLANK(Combo_Opponent_Type_2)=0,INDEX(Type_Damage_Multipliers,MATCH(Combo_Opponent_Type_2,IF(Type_Move=(INDEX(Charge_Type,MATCH($P189,Charge_Names,0))),Type_Species)),0),1)*
IF(OR(INDEX(Charge_Type,MATCH($P189,Charge_Names,0))=INDEX(Species_Type_1,MATCH($N189,Species_Names,0)),INDEX(Charge_Type,MATCH($P189,Charge_Names,0))=INDEX(Species_Type_2,MATCH($N189,Species_Names,0))),Game_STAB_Multiplier,1))</f>
        <v>1</v>
      </c>
      <c r="W189" s="33" t="s">
        <v>412</v>
      </c>
      <c r="X189" s="33" t="s">
        <v>476</v>
      </c>
      <c r="Y189" s="32" t="e">
        <f t="array" ref="Y189">((($Z189)*
INDEX(Species_Attack,MATCH($N189,Species_Names,0))*
INDEX(Species_Tankiness,MATCH($N189,Species_Names,0)))/1000)</f>
        <v>#VALUE!</v>
      </c>
      <c r="Z189" s="33" t="s">
        <v>686</v>
      </c>
    </row>
    <row r="190" spans="1:26" ht="14.25" customHeight="1" x14ac:dyDescent="0.2">
      <c r="A190" s="86"/>
      <c r="B190" s="22" t="str">
        <f t="array" ref="B190">CONCATENATE(TEXT($M190,"000"),".",TEXT(INDEX(Quick_Number,MATCH($O190,Quick_Names,0)),"000"),".",TEXT(INDEX(Charge_Number,MATCH($P190,Charge_Names,0)),"000"))</f>
        <v>121.230.030</v>
      </c>
      <c r="C190" s="23" t="e">
        <f t="array" ref="C190">RANK($S190,IF(Combo_Species_Names=$N190,Combo_Gym_Offense),0)</f>
        <v>#VALUE!</v>
      </c>
      <c r="D190" s="24" t="e">
        <f t="array" ref="D190">$S190/MAX(IF(Combo_Species_Names=$N190,Combo_Gym_Offense))</f>
        <v>#VALUE!</v>
      </c>
      <c r="E190" s="23" t="e">
        <f t="array" ref="E190">RANK($Y190,IF(Combo_Species_Names=$N190,Combo_Gym_Defense),0)</f>
        <v>#VALUE!</v>
      </c>
      <c r="F190" s="25" t="e">
        <f t="array" ref="F190">$Y190/MAX(IF(Combo_Species_Names=$N190,Combo_Gym_Defense))</f>
        <v>#VALUE!</v>
      </c>
      <c r="G190" s="23" t="e">
        <f t="array" ref="G190">IF(OR(INDEX(Species_Availability,MATCH($N190,Species_Names,0))="No",INDEX(Species_Evo_Numbers,MATCH($N190,Species_Names,0))&lt;&gt;1),"N/A",RANK($R190,IF(NOT(ISNA(MATCH(Combo_Species_Names,IF(Species_Availability="Yes",IF(Species_Evo_Numbers=1,Species_Names)),0))),Combo_Duel_Ability),0))</f>
        <v>#VALUE!</v>
      </c>
      <c r="H190" s="24" t="e">
        <f t="array" ref="H190">IF(OR(INDEX(Species_Availability,MATCH($N190,Species_Names,0))="No",INDEX(Species_Evo_Numbers,MATCH($N190,Species_Names,0))&lt;&gt;1),"N/A",$R190/MAX(IF(NOT(ISNA(MATCH(Combo_Species_Names,IF(Species_Availability="Yes",IF(Species_Evo_Numbers=1,Species_Names)),0))),Combo_Duel_Ability)))</f>
        <v>#VALUE!</v>
      </c>
      <c r="I190" s="23" t="e">
        <f t="array" ref="I190">IF(OR(INDEX(Species_Availability,MATCH($N190,Species_Names,0))="No",INDEX(Species_Evo_Numbers,MATCH($N190,Species_Names,0))&lt;&gt;1),"N/A",RANK($S190,IF(NOT(ISNA(MATCH(Combo_Species_Names,IF(Species_Availability="Yes",IF(Species_Evo_Numbers=1,Species_Names)),0))),Combo_Gym_Offense),0))</f>
        <v>#VALUE!</v>
      </c>
      <c r="J190" s="24" t="e">
        <f t="array" ref="J190">IF(OR(INDEX(Species_Availability,MATCH($N190,Species_Names,0))="No",INDEX(Species_Evo_Numbers,MATCH($N190,Species_Names,0))&lt;&gt;1),"N/A",$S190/MAX(IF(NOT(ISNA(MATCH(Combo_Species_Names,IF(Species_Availability="Yes",IF(Species_Evo_Numbers=1,Species_Names)),0))),Combo_Gym_Offense)))</f>
        <v>#VALUE!</v>
      </c>
      <c r="K190" s="23" t="e">
        <f t="array" ref="K190">IF(OR(INDEX(Species_Availability,MATCH($N190,Species_Names,0))="No",INDEX(Species_Evo_Numbers,MATCH($N190,Species_Names,0))&lt;&gt;1),"N/A",RANK($Y190,IF(NOT(ISNA(MATCH(Combo_Species_Names,IF(Species_Availability="Yes",IF(Species_Evo_Numbers=1,Species_Names)),0))),Combo_Gym_Defense),0))</f>
        <v>#VALUE!</v>
      </c>
      <c r="L190" s="24" t="e">
        <f t="array" ref="L190">IF(OR(INDEX(Species_Availability,MATCH($N190,Species_Names,0))="No",INDEX(Species_Evo_Numbers,MATCH($N190,Species_Names,0))&lt;&gt;1),"N/A",$Y190/MAX(IF(NOT(ISNA(MATCH(Combo_Species_Names,IF(Species_Availability="Yes",IF(Species_Evo_Numbers=1,Species_Names)),0))),Combo_Gym_Defense)))</f>
        <v>#VALUE!</v>
      </c>
      <c r="M190" s="28">
        <f t="array" ref="M190">INDEX(Species_Pdex_Numbers,MATCH($N190,Species_Names,0))</f>
        <v>121</v>
      </c>
      <c r="N190" s="30" t="s">
        <v>338</v>
      </c>
      <c r="O190" s="31" t="s">
        <v>65</v>
      </c>
      <c r="P190" s="31" t="s">
        <v>283</v>
      </c>
      <c r="Q190" s="17" t="e">
        <f t="shared" si="4"/>
        <v>#VALUE!</v>
      </c>
      <c r="R190" s="32" t="e">
        <f t="array" ref="R190">IF(OR(AND(COUNTBLANK(Combo_Opponent_Type_1)=1,COUNTBLANK(Combo_Opponent_Type_2)=0),AND(AND(COUNTBLANK(Combo_Opponent_Type_1)=0,COUNTBLANK(Combo_Opponent_Type_2)=0),Combo_Opponent_Type_1=Combo_Opponent_Type_2)),
"Check Types",($S190*INDEX(Species_Tankiness,MATCH($N190,Species_Names,0)))/225)</f>
        <v>#VALUE!</v>
      </c>
      <c r="S190" s="32" t="e">
        <f t="array" ref="S190">IF(OR(AND(COUNTBLANK(Combo_Opponent_Type_1)=1,COUNTBLANK(Combo_Opponent_Type_2)=0),AND(AND(COUNTBLANK(Combo_Opponent_Type_1)=0,COUNTBLANK(Combo_Opponent_Type_2)=0),Combo_Opponent_Type_1=Combo_Opponent_Type_2)),
"Check Types",(
IF($W190&gt;=((1-Game_Weave_Human_Error)*$X190),$W190,$X190)*INDEX(Species_Attack,MATCH($N190,Species_Names,0)))/11)</f>
        <v>#VALUE!</v>
      </c>
      <c r="T190" s="33" t="e">
        <f t="shared" si="5"/>
        <v>#VALUE!</v>
      </c>
      <c r="U190" s="33">
        <f t="array" ref="U1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190,Quick_Names,0))),Type_Species)),0),1)*IF(COUNTBLANK(Combo_Opponent_Type_2)=0,INDEX(Type_Damage_Multipliers,MATCH(Combo_Opponent_Type_2,IF(Type_Move=(INDEX(Quick_Type,MATCH($O190,Quick_Names,0))),Type_Species)),0),1)*(IF(OR(INDEX(Quick_Type,MATCH($O190,Quick_Names,0))=INDEX(Species_Type_1,MATCH($N190,Species_Names,0)),INDEX(Quick_Type,MATCH($O190,Quick_Names,0))=INDEX(Species_Type_2,MATCH($N190,Species_Names,0))),Game_STAB_Multiplier,1)))</f>
        <v>1.25</v>
      </c>
      <c r="V190" s="33">
        <f t="array" ref="V1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190,Charge_Names,0))),Type_Species)),0),1)*IF(COUNTBLANK(Combo_Opponent_Type_2)=0,INDEX(Type_Damage_Multipliers,MATCH(Combo_Opponent_Type_2,IF(Type_Move=(INDEX(Charge_Type,MATCH($P190,Charge_Names,0))),Type_Species)),0),1)*
IF(OR(INDEX(Charge_Type,MATCH($P190,Charge_Names,0))=INDEX(Species_Type_1,MATCH($N190,Species_Names,0)),INDEX(Charge_Type,MATCH($P190,Charge_Names,0))=INDEX(Species_Type_2,MATCH($N190,Species_Names,0))),Game_STAB_Multiplier,1))</f>
        <v>1.25</v>
      </c>
      <c r="W190" s="33" t="s">
        <v>412</v>
      </c>
      <c r="X190" s="33" t="s">
        <v>687</v>
      </c>
      <c r="Y190" s="32" t="e">
        <f t="array" ref="Y190">((($Z190)*
INDEX(Species_Attack,MATCH($N190,Species_Names,0))*
INDEX(Species_Tankiness,MATCH($N190,Species_Names,0)))/1000)</f>
        <v>#VALUE!</v>
      </c>
      <c r="Z190" s="33" t="s">
        <v>654</v>
      </c>
    </row>
    <row r="191" spans="1:26" ht="14.25" customHeight="1" x14ac:dyDescent="0.2">
      <c r="A191" s="86"/>
      <c r="B191" s="22" t="str">
        <f t="array" ref="B191">CONCATENATE(TEXT($M191,"000"),".",TEXT(INDEX(Quick_Number,MATCH($O191,Quick_Names,0)),"000"),".",TEXT(INDEX(Charge_Number,MATCH($P191,Charge_Names,0)),"000"))</f>
        <v>055.235.108</v>
      </c>
      <c r="C191" s="23" t="e">
        <f t="array" ref="C191">RANK($S191,IF(Combo_Species_Names=$N191,Combo_Gym_Offense),0)</f>
        <v>#VALUE!</v>
      </c>
      <c r="D191" s="24" t="e">
        <f t="array" ref="D191">$S191/MAX(IF(Combo_Species_Names=$N191,Combo_Gym_Offense))</f>
        <v>#VALUE!</v>
      </c>
      <c r="E191" s="23" t="e">
        <f t="array" ref="E191">RANK($Y191,IF(Combo_Species_Names=$N191,Combo_Gym_Defense),0)</f>
        <v>#VALUE!</v>
      </c>
      <c r="F191" s="25" t="e">
        <f t="array" ref="F191">$Y191/MAX(IF(Combo_Species_Names=$N191,Combo_Gym_Defense))</f>
        <v>#VALUE!</v>
      </c>
      <c r="G191" s="23" t="e">
        <f t="array" ref="G191">IF(OR(INDEX(Species_Availability,MATCH($N191,Species_Names,0))="No",INDEX(Species_Evo_Numbers,MATCH($N191,Species_Names,0))&lt;&gt;1),"N/A",RANK($R191,IF(NOT(ISNA(MATCH(Combo_Species_Names,IF(Species_Availability="Yes",IF(Species_Evo_Numbers=1,Species_Names)),0))),Combo_Duel_Ability),0))</f>
        <v>#VALUE!</v>
      </c>
      <c r="H191" s="24" t="e">
        <f t="array" ref="H191">IF(OR(INDEX(Species_Availability,MATCH($N191,Species_Names,0))="No",INDEX(Species_Evo_Numbers,MATCH($N191,Species_Names,0))&lt;&gt;1),"N/A",$R191/MAX(IF(NOT(ISNA(MATCH(Combo_Species_Names,IF(Species_Availability="Yes",IF(Species_Evo_Numbers=1,Species_Names)),0))),Combo_Duel_Ability)))</f>
        <v>#VALUE!</v>
      </c>
      <c r="I191" s="23" t="e">
        <f t="array" ref="I191">IF(OR(INDEX(Species_Availability,MATCH($N191,Species_Names,0))="No",INDEX(Species_Evo_Numbers,MATCH($N191,Species_Names,0))&lt;&gt;1),"N/A",RANK($S191,IF(NOT(ISNA(MATCH(Combo_Species_Names,IF(Species_Availability="Yes",IF(Species_Evo_Numbers=1,Species_Names)),0))),Combo_Gym_Offense),0))</f>
        <v>#VALUE!</v>
      </c>
      <c r="J191" s="24" t="e">
        <f t="array" ref="J191">IF(OR(INDEX(Species_Availability,MATCH($N191,Species_Names,0))="No",INDEX(Species_Evo_Numbers,MATCH($N191,Species_Names,0))&lt;&gt;1),"N/A",$S191/MAX(IF(NOT(ISNA(MATCH(Combo_Species_Names,IF(Species_Availability="Yes",IF(Species_Evo_Numbers=1,Species_Names)),0))),Combo_Gym_Offense)))</f>
        <v>#VALUE!</v>
      </c>
      <c r="K191" s="23" t="e">
        <f t="array" ref="K191">IF(OR(INDEX(Species_Availability,MATCH($N191,Species_Names,0))="No",INDEX(Species_Evo_Numbers,MATCH($N191,Species_Names,0))&lt;&gt;1),"N/A",RANK($Y191,IF(NOT(ISNA(MATCH(Combo_Species_Names,IF(Species_Availability="Yes",IF(Species_Evo_Numbers=1,Species_Names)),0))),Combo_Gym_Defense),0))</f>
        <v>#VALUE!</v>
      </c>
      <c r="L191" s="24" t="e">
        <f t="array" ref="L191">IF(OR(INDEX(Species_Availability,MATCH($N191,Species_Names,0))="No",INDEX(Species_Evo_Numbers,MATCH($N191,Species_Names,0))&lt;&gt;1),"N/A",$Y191/MAX(IF(NOT(ISNA(MATCH(Combo_Species_Names,IF(Species_Availability="Yes",IF(Species_Evo_Numbers=1,Species_Names)),0))),Combo_Gym_Defense)))</f>
        <v>#VALUE!</v>
      </c>
      <c r="M191" s="28">
        <f t="array" ref="M191">INDEX(Species_Pdex_Numbers,MATCH($N191,Species_Names,0))</f>
        <v>55</v>
      </c>
      <c r="N191" s="30" t="s">
        <v>199</v>
      </c>
      <c r="O191" s="31" t="s">
        <v>108</v>
      </c>
      <c r="P191" s="31" t="s">
        <v>58</v>
      </c>
      <c r="Q191" s="17" t="e">
        <f t="shared" si="4"/>
        <v>#VALUE!</v>
      </c>
      <c r="R191" s="32" t="e">
        <f t="array" ref="R191">IF(OR(AND(COUNTBLANK(Combo_Opponent_Type_1)=1,COUNTBLANK(Combo_Opponent_Type_2)=0),AND(AND(COUNTBLANK(Combo_Opponent_Type_1)=0,COUNTBLANK(Combo_Opponent_Type_2)=0),Combo_Opponent_Type_1=Combo_Opponent_Type_2)),
"Check Types",($S191*INDEX(Species_Tankiness,MATCH($N191,Species_Names,0)))/225)</f>
        <v>#VALUE!</v>
      </c>
      <c r="S191" s="32" t="e">
        <f t="array" ref="S191">IF(OR(AND(COUNTBLANK(Combo_Opponent_Type_1)=1,COUNTBLANK(Combo_Opponent_Type_2)=0),AND(AND(COUNTBLANK(Combo_Opponent_Type_1)=0,COUNTBLANK(Combo_Opponent_Type_2)=0),Combo_Opponent_Type_1=Combo_Opponent_Type_2)),
"Check Types",(
IF($W191&gt;=((1-Game_Weave_Human_Error)*$X191),$W191,$X191)*INDEX(Species_Attack,MATCH($N191,Species_Names,0)))/11)</f>
        <v>#VALUE!</v>
      </c>
      <c r="T191" s="33" t="e">
        <f t="shared" si="5"/>
        <v>#VALUE!</v>
      </c>
      <c r="U191" s="33">
        <f t="array" ref="U1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191,Quick_Names,0))),Type_Species)),0),1)*IF(COUNTBLANK(Combo_Opponent_Type_2)=0,INDEX(Type_Damage_Multipliers,MATCH(Combo_Opponent_Type_2,IF(Type_Move=(INDEX(Quick_Type,MATCH($O191,Quick_Names,0))),Type_Species)),0),1)*(IF(OR(INDEX(Quick_Type,MATCH($O191,Quick_Names,0))=INDEX(Species_Type_1,MATCH($N191,Species_Names,0)),INDEX(Quick_Type,MATCH($O191,Quick_Names,0))=INDEX(Species_Type_2,MATCH($N191,Species_Names,0))),Game_STAB_Multiplier,1)))</f>
        <v>1</v>
      </c>
      <c r="V191" s="33">
        <f t="array" ref="V1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191,Charge_Names,0))),Type_Species)),0),1)*IF(COUNTBLANK(Combo_Opponent_Type_2)=0,INDEX(Type_Damage_Multipliers,MATCH(Combo_Opponent_Type_2,IF(Type_Move=(INDEX(Charge_Type,MATCH($P191,Charge_Names,0))),Type_Species)),0),1)*
IF(OR(INDEX(Charge_Type,MATCH($P191,Charge_Names,0))=INDEX(Species_Type_1,MATCH($N191,Species_Names,0)),INDEX(Charge_Type,MATCH($P191,Charge_Names,0))=INDEX(Species_Type_2,MATCH($N191,Species_Names,0))),Game_STAB_Multiplier,1))</f>
        <v>1</v>
      </c>
      <c r="W191" s="33" t="s">
        <v>631</v>
      </c>
      <c r="X191" s="33" t="s">
        <v>688</v>
      </c>
      <c r="Y191" s="32" t="e">
        <f t="array" ref="Y191">((($Z191)*
INDEX(Species_Attack,MATCH($N191,Species_Names,0))*
INDEX(Species_Tankiness,MATCH($N191,Species_Names,0)))/1000)</f>
        <v>#VALUE!</v>
      </c>
      <c r="Z191" s="33" t="s">
        <v>527</v>
      </c>
    </row>
    <row r="192" spans="1:26" ht="14.25" customHeight="1" x14ac:dyDescent="0.2">
      <c r="A192" s="86"/>
      <c r="B192" s="22" t="str">
        <f t="array" ref="B192">CONCATENATE(TEXT($M192,"000"),".",TEXT(INDEX(Quick_Number,MATCH($O192,Quick_Names,0)),"000"),".",TEXT(INDEX(Charge_Number,MATCH($P192,Charge_Names,0)),"000"))</f>
        <v>097.235.070</v>
      </c>
      <c r="C192" s="23" t="e">
        <f t="array" ref="C192">RANK($S192,IF(Combo_Species_Names=$N192,Combo_Gym_Offense),0)</f>
        <v>#VALUE!</v>
      </c>
      <c r="D192" s="24" t="e">
        <f t="array" ref="D192">$S192/MAX(IF(Combo_Species_Names=$N192,Combo_Gym_Offense))</f>
        <v>#VALUE!</v>
      </c>
      <c r="E192" s="23" t="e">
        <f t="array" ref="E192">RANK($Y192,IF(Combo_Species_Names=$N192,Combo_Gym_Defense),0)</f>
        <v>#VALUE!</v>
      </c>
      <c r="F192" s="25" t="e">
        <f t="array" ref="F192">$Y192/MAX(IF(Combo_Species_Names=$N192,Combo_Gym_Defense))</f>
        <v>#VALUE!</v>
      </c>
      <c r="G192" s="23" t="e">
        <f t="array" ref="G192">IF(OR(INDEX(Species_Availability,MATCH($N192,Species_Names,0))="No",INDEX(Species_Evo_Numbers,MATCH($N192,Species_Names,0))&lt;&gt;1),"N/A",RANK($R192,IF(NOT(ISNA(MATCH(Combo_Species_Names,IF(Species_Availability="Yes",IF(Species_Evo_Numbers=1,Species_Names)),0))),Combo_Duel_Ability),0))</f>
        <v>#VALUE!</v>
      </c>
      <c r="H192" s="24" t="e">
        <f t="array" ref="H192">IF(OR(INDEX(Species_Availability,MATCH($N192,Species_Names,0))="No",INDEX(Species_Evo_Numbers,MATCH($N192,Species_Names,0))&lt;&gt;1),"N/A",$R192/MAX(IF(NOT(ISNA(MATCH(Combo_Species_Names,IF(Species_Availability="Yes",IF(Species_Evo_Numbers=1,Species_Names)),0))),Combo_Duel_Ability)))</f>
        <v>#VALUE!</v>
      </c>
      <c r="I192" s="23" t="e">
        <f t="array" ref="I192">IF(OR(INDEX(Species_Availability,MATCH($N192,Species_Names,0))="No",INDEX(Species_Evo_Numbers,MATCH($N192,Species_Names,0))&lt;&gt;1),"N/A",RANK($S192,IF(NOT(ISNA(MATCH(Combo_Species_Names,IF(Species_Availability="Yes",IF(Species_Evo_Numbers=1,Species_Names)),0))),Combo_Gym_Offense),0))</f>
        <v>#VALUE!</v>
      </c>
      <c r="J192" s="24" t="e">
        <f t="array" ref="J192">IF(OR(INDEX(Species_Availability,MATCH($N192,Species_Names,0))="No",INDEX(Species_Evo_Numbers,MATCH($N192,Species_Names,0))&lt;&gt;1),"N/A",$S192/MAX(IF(NOT(ISNA(MATCH(Combo_Species_Names,IF(Species_Availability="Yes",IF(Species_Evo_Numbers=1,Species_Names)),0))),Combo_Gym_Offense)))</f>
        <v>#VALUE!</v>
      </c>
      <c r="K192" s="23" t="e">
        <f t="array" ref="K192">IF(OR(INDEX(Species_Availability,MATCH($N192,Species_Names,0))="No",INDEX(Species_Evo_Numbers,MATCH($N192,Species_Names,0))&lt;&gt;1),"N/A",RANK($Y192,IF(NOT(ISNA(MATCH(Combo_Species_Names,IF(Species_Availability="Yes",IF(Species_Evo_Numbers=1,Species_Names)),0))),Combo_Gym_Defense),0))</f>
        <v>#VALUE!</v>
      </c>
      <c r="L192" s="24" t="e">
        <f t="array" ref="L192">IF(OR(INDEX(Species_Availability,MATCH($N192,Species_Names,0))="No",INDEX(Species_Evo_Numbers,MATCH($N192,Species_Names,0))&lt;&gt;1),"N/A",$Y192/MAX(IF(NOT(ISNA(MATCH(Combo_Species_Names,IF(Species_Availability="Yes",IF(Species_Evo_Numbers=1,Species_Names)),0))),Combo_Gym_Defense)))</f>
        <v>#VALUE!</v>
      </c>
      <c r="M192" s="28">
        <f t="array" ref="M192">INDEX(Species_Pdex_Numbers,MATCH($N192,Species_Names,0))</f>
        <v>97</v>
      </c>
      <c r="N192" s="30" t="s">
        <v>293</v>
      </c>
      <c r="O192" s="31" t="s">
        <v>108</v>
      </c>
      <c r="P192" s="31" t="s">
        <v>234</v>
      </c>
      <c r="Q192" s="17" t="e">
        <f t="shared" si="4"/>
        <v>#VALUE!</v>
      </c>
      <c r="R192" s="32" t="e">
        <f t="array" ref="R192">IF(OR(AND(COUNTBLANK(Combo_Opponent_Type_1)=1,COUNTBLANK(Combo_Opponent_Type_2)=0),AND(AND(COUNTBLANK(Combo_Opponent_Type_1)=0,COUNTBLANK(Combo_Opponent_Type_2)=0),Combo_Opponent_Type_1=Combo_Opponent_Type_2)),
"Check Types",($S192*INDEX(Species_Tankiness,MATCH($N192,Species_Names,0)))/225)</f>
        <v>#VALUE!</v>
      </c>
      <c r="S192" s="32" t="e">
        <f t="array" ref="S192">IF(OR(AND(COUNTBLANK(Combo_Opponent_Type_1)=1,COUNTBLANK(Combo_Opponent_Type_2)=0),AND(AND(COUNTBLANK(Combo_Opponent_Type_1)=0,COUNTBLANK(Combo_Opponent_Type_2)=0),Combo_Opponent_Type_1=Combo_Opponent_Type_2)),
"Check Types",(
IF($W192&gt;=((1-Game_Weave_Human_Error)*$X192),$W192,$X192)*INDEX(Species_Attack,MATCH($N192,Species_Names,0)))/11)</f>
        <v>#VALUE!</v>
      </c>
      <c r="T192" s="33" t="e">
        <f t="shared" si="5"/>
        <v>#VALUE!</v>
      </c>
      <c r="U192" s="33">
        <f t="array" ref="U1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192,Quick_Names,0))),Type_Species)),0),1)*IF(COUNTBLANK(Combo_Opponent_Type_2)=0,INDEX(Type_Damage_Multipliers,MATCH(Combo_Opponent_Type_2,IF(Type_Move=(INDEX(Quick_Type,MATCH($O192,Quick_Names,0))),Type_Species)),0),1)*(IF(OR(INDEX(Quick_Type,MATCH($O192,Quick_Names,0))=INDEX(Species_Type_1,MATCH($N192,Species_Names,0)),INDEX(Quick_Type,MATCH($O192,Quick_Names,0))=INDEX(Species_Type_2,MATCH($N192,Species_Names,0))),Game_STAB_Multiplier,1)))</f>
        <v>1.25</v>
      </c>
      <c r="V192" s="33">
        <f t="array" ref="V1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192,Charge_Names,0))),Type_Species)),0),1)*IF(COUNTBLANK(Combo_Opponent_Type_2)=0,INDEX(Type_Damage_Multipliers,MATCH(Combo_Opponent_Type_2,IF(Type_Move=(INDEX(Charge_Type,MATCH($P192,Charge_Names,0))),Type_Species)),0),1)*
IF(OR(INDEX(Charge_Type,MATCH($P192,Charge_Names,0))=INDEX(Species_Type_1,MATCH($N192,Species_Names,0)),INDEX(Charge_Type,MATCH($P192,Charge_Names,0))=INDEX(Species_Type_2,MATCH($N192,Species_Names,0))),Game_STAB_Multiplier,1))</f>
        <v>1</v>
      </c>
      <c r="W192" s="33" t="s">
        <v>467</v>
      </c>
      <c r="X192" s="33" t="s">
        <v>689</v>
      </c>
      <c r="Y192" s="32" t="e">
        <f t="array" ref="Y192">((($Z192)*
INDEX(Species_Attack,MATCH($N192,Species_Names,0))*
INDEX(Species_Tankiness,MATCH($N192,Species_Names,0)))/1000)</f>
        <v>#VALUE!</v>
      </c>
      <c r="Z192" s="33" t="s">
        <v>471</v>
      </c>
    </row>
    <row r="193" spans="1:26" ht="14.25" customHeight="1" x14ac:dyDescent="0.2">
      <c r="A193" s="86"/>
      <c r="B193" s="22" t="str">
        <f t="array" ref="B193">CONCATENATE(TEXT($M193,"000"),".",TEXT(INDEX(Quick_Number,MATCH($O193,Quick_Names,0)),"000"),".",TEXT(INDEX(Charge_Number,MATCH($P193,Charge_Names,0)),"000"))</f>
        <v>047.201.116</v>
      </c>
      <c r="C193" s="23" t="e">
        <f t="array" ref="C193">RANK($S193,IF(Combo_Species_Names=$N193,Combo_Gym_Offense),0)</f>
        <v>#VALUE!</v>
      </c>
      <c r="D193" s="24" t="e">
        <f t="array" ref="D193">$S193/MAX(IF(Combo_Species_Names=$N193,Combo_Gym_Offense))</f>
        <v>#VALUE!</v>
      </c>
      <c r="E193" s="23" t="e">
        <f t="array" ref="E193">RANK($Y193,IF(Combo_Species_Names=$N193,Combo_Gym_Defense),0)</f>
        <v>#VALUE!</v>
      </c>
      <c r="F193" s="25" t="e">
        <f t="array" ref="F193">$Y193/MAX(IF(Combo_Species_Names=$N193,Combo_Gym_Defense))</f>
        <v>#VALUE!</v>
      </c>
      <c r="G193" s="23" t="e">
        <f t="array" ref="G193">IF(OR(INDEX(Species_Availability,MATCH($N193,Species_Names,0))="No",INDEX(Species_Evo_Numbers,MATCH($N193,Species_Names,0))&lt;&gt;1),"N/A",RANK($R193,IF(NOT(ISNA(MATCH(Combo_Species_Names,IF(Species_Availability="Yes",IF(Species_Evo_Numbers=1,Species_Names)),0))),Combo_Duel_Ability),0))</f>
        <v>#VALUE!</v>
      </c>
      <c r="H193" s="24" t="e">
        <f t="array" ref="H193">IF(OR(INDEX(Species_Availability,MATCH($N193,Species_Names,0))="No",INDEX(Species_Evo_Numbers,MATCH($N193,Species_Names,0))&lt;&gt;1),"N/A",$R193/MAX(IF(NOT(ISNA(MATCH(Combo_Species_Names,IF(Species_Availability="Yes",IF(Species_Evo_Numbers=1,Species_Names)),0))),Combo_Duel_Ability)))</f>
        <v>#VALUE!</v>
      </c>
      <c r="I193" s="23" t="e">
        <f t="array" ref="I193">IF(OR(INDEX(Species_Availability,MATCH($N193,Species_Names,0))="No",INDEX(Species_Evo_Numbers,MATCH($N193,Species_Names,0))&lt;&gt;1),"N/A",RANK($S193,IF(NOT(ISNA(MATCH(Combo_Species_Names,IF(Species_Availability="Yes",IF(Species_Evo_Numbers=1,Species_Names)),0))),Combo_Gym_Offense),0))</f>
        <v>#VALUE!</v>
      </c>
      <c r="J193" s="24" t="e">
        <f t="array" ref="J193">IF(OR(INDEX(Species_Availability,MATCH($N193,Species_Names,0))="No",INDEX(Species_Evo_Numbers,MATCH($N193,Species_Names,0))&lt;&gt;1),"N/A",$S193/MAX(IF(NOT(ISNA(MATCH(Combo_Species_Names,IF(Species_Availability="Yes",IF(Species_Evo_Numbers=1,Species_Names)),0))),Combo_Gym_Offense)))</f>
        <v>#VALUE!</v>
      </c>
      <c r="K193" s="23" t="e">
        <f t="array" ref="K193">IF(OR(INDEX(Species_Availability,MATCH($N193,Species_Names,0))="No",INDEX(Species_Evo_Numbers,MATCH($N193,Species_Names,0))&lt;&gt;1),"N/A",RANK($Y193,IF(NOT(ISNA(MATCH(Combo_Species_Names,IF(Species_Availability="Yes",IF(Species_Evo_Numbers=1,Species_Names)),0))),Combo_Gym_Defense),0))</f>
        <v>#VALUE!</v>
      </c>
      <c r="L193" s="24" t="e">
        <f t="array" ref="L193">IF(OR(INDEX(Species_Availability,MATCH($N193,Species_Names,0))="No",INDEX(Species_Evo_Numbers,MATCH($N193,Species_Names,0))&lt;&gt;1),"N/A",$Y193/MAX(IF(NOT(ISNA(MATCH(Combo_Species_Names,IF(Species_Availability="Yes",IF(Species_Evo_Numbers=1,Species_Names)),0))),Combo_Gym_Defense)))</f>
        <v>#VALUE!</v>
      </c>
      <c r="M193" s="28">
        <f t="array" ref="M193">INDEX(Species_Pdex_Numbers,MATCH($N193,Species_Names,0))</f>
        <v>47</v>
      </c>
      <c r="N193" s="30" t="s">
        <v>184</v>
      </c>
      <c r="O193" s="31" t="s">
        <v>82</v>
      </c>
      <c r="P193" s="31" t="s">
        <v>160</v>
      </c>
      <c r="Q193" s="17" t="e">
        <f t="shared" si="4"/>
        <v>#VALUE!</v>
      </c>
      <c r="R193" s="32" t="e">
        <f t="array" ref="R193">IF(OR(AND(COUNTBLANK(Combo_Opponent_Type_1)=1,COUNTBLANK(Combo_Opponent_Type_2)=0),AND(AND(COUNTBLANK(Combo_Opponent_Type_1)=0,COUNTBLANK(Combo_Opponent_Type_2)=0),Combo_Opponent_Type_1=Combo_Opponent_Type_2)),
"Check Types",($S193*INDEX(Species_Tankiness,MATCH($N193,Species_Names,0)))/225)</f>
        <v>#VALUE!</v>
      </c>
      <c r="S193" s="32" t="e">
        <f t="array" ref="S193">IF(OR(AND(COUNTBLANK(Combo_Opponent_Type_1)=1,COUNTBLANK(Combo_Opponent_Type_2)=0),AND(AND(COUNTBLANK(Combo_Opponent_Type_1)=0,COUNTBLANK(Combo_Opponent_Type_2)=0),Combo_Opponent_Type_1=Combo_Opponent_Type_2)),
"Check Types",(
IF($W193&gt;=((1-Game_Weave_Human_Error)*$X193),$W193,$X193)*INDEX(Species_Attack,MATCH($N193,Species_Names,0)))/11)</f>
        <v>#VALUE!</v>
      </c>
      <c r="T193" s="33" t="e">
        <f t="shared" si="5"/>
        <v>#VALUE!</v>
      </c>
      <c r="U193" s="33">
        <f t="array" ref="U1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193,Quick_Names,0))),Type_Species)),0),1)*IF(COUNTBLANK(Combo_Opponent_Type_2)=0,INDEX(Type_Damage_Multipliers,MATCH(Combo_Opponent_Type_2,IF(Type_Move=(INDEX(Quick_Type,MATCH($O193,Quick_Names,0))),Type_Species)),0),1)*(IF(OR(INDEX(Quick_Type,MATCH($O193,Quick_Names,0))=INDEX(Species_Type_1,MATCH($N193,Species_Names,0)),INDEX(Quick_Type,MATCH($O193,Quick_Names,0))=INDEX(Species_Type_2,MATCH($N193,Species_Names,0))),Game_STAB_Multiplier,1)))</f>
        <v>1.25</v>
      </c>
      <c r="V193" s="33">
        <f t="array" ref="V1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193,Charge_Names,0))),Type_Species)),0),1)*IF(COUNTBLANK(Combo_Opponent_Type_2)=0,INDEX(Type_Damage_Multipliers,MATCH(Combo_Opponent_Type_2,IF(Type_Move=(INDEX(Charge_Type,MATCH($P193,Charge_Names,0))),Type_Species)),0),1)*
IF(OR(INDEX(Charge_Type,MATCH($P193,Charge_Names,0))=INDEX(Species_Type_1,MATCH($N193,Species_Names,0)),INDEX(Charge_Type,MATCH($P193,Charge_Names,0))=INDEX(Species_Type_2,MATCH($N193,Species_Names,0))),Game_STAB_Multiplier,1))</f>
        <v>1.25</v>
      </c>
      <c r="W193" s="33" t="s">
        <v>436</v>
      </c>
      <c r="X193" s="33" t="s">
        <v>690</v>
      </c>
      <c r="Y193" s="32" t="e">
        <f t="array" ref="Y193">((($Z193)*
INDEX(Species_Attack,MATCH($N193,Species_Names,0))*
INDEX(Species_Tankiness,MATCH($N193,Species_Names,0)))/1000)</f>
        <v>#VALUE!</v>
      </c>
      <c r="Z193" s="33" t="s">
        <v>466</v>
      </c>
    </row>
    <row r="194" spans="1:26" ht="14.25" customHeight="1" x14ac:dyDescent="0.2">
      <c r="A194" s="86"/>
      <c r="B194" s="22" t="str">
        <f t="array" ref="B194">CONCATENATE(TEXT($M194,"000"),".",TEXT(INDEX(Quick_Number,MATCH($O194,Quick_Names,0)),"000"),".",TEXT(INDEX(Charge_Number,MATCH($P194,Charge_Names,0)),"000"))</f>
        <v>123.200.049</v>
      </c>
      <c r="C194" s="23" t="e">
        <f t="array" ref="C194">RANK($S194,IF(Combo_Species_Names=$N194,Combo_Gym_Offense),0)</f>
        <v>#VALUE!</v>
      </c>
      <c r="D194" s="24" t="e">
        <f t="array" ref="D194">$S194/MAX(IF(Combo_Species_Names=$N194,Combo_Gym_Offense))</f>
        <v>#VALUE!</v>
      </c>
      <c r="E194" s="23" t="e">
        <f t="array" ref="E194">RANK($Y194,IF(Combo_Species_Names=$N194,Combo_Gym_Defense),0)</f>
        <v>#VALUE!</v>
      </c>
      <c r="F194" s="25" t="e">
        <f t="array" ref="F194">$Y194/MAX(IF(Combo_Species_Names=$N194,Combo_Gym_Defense))</f>
        <v>#VALUE!</v>
      </c>
      <c r="G194" s="23" t="e">
        <f t="array" ref="G194">IF(OR(INDEX(Species_Availability,MATCH($N194,Species_Names,0))="No",INDEX(Species_Evo_Numbers,MATCH($N194,Species_Names,0))&lt;&gt;1),"N/A",RANK($R194,IF(NOT(ISNA(MATCH(Combo_Species_Names,IF(Species_Availability="Yes",IF(Species_Evo_Numbers=1,Species_Names)),0))),Combo_Duel_Ability),0))</f>
        <v>#VALUE!</v>
      </c>
      <c r="H194" s="24" t="e">
        <f t="array" ref="H194">IF(OR(INDEX(Species_Availability,MATCH($N194,Species_Names,0))="No",INDEX(Species_Evo_Numbers,MATCH($N194,Species_Names,0))&lt;&gt;1),"N/A",$R194/MAX(IF(NOT(ISNA(MATCH(Combo_Species_Names,IF(Species_Availability="Yes",IF(Species_Evo_Numbers=1,Species_Names)),0))),Combo_Duel_Ability)))</f>
        <v>#VALUE!</v>
      </c>
      <c r="I194" s="23" t="e">
        <f t="array" ref="I194">IF(OR(INDEX(Species_Availability,MATCH($N194,Species_Names,0))="No",INDEX(Species_Evo_Numbers,MATCH($N194,Species_Names,0))&lt;&gt;1),"N/A",RANK($S194,IF(NOT(ISNA(MATCH(Combo_Species_Names,IF(Species_Availability="Yes",IF(Species_Evo_Numbers=1,Species_Names)),0))),Combo_Gym_Offense),0))</f>
        <v>#VALUE!</v>
      </c>
      <c r="J194" s="24" t="e">
        <f t="array" ref="J194">IF(OR(INDEX(Species_Availability,MATCH($N194,Species_Names,0))="No",INDEX(Species_Evo_Numbers,MATCH($N194,Species_Names,0))&lt;&gt;1),"N/A",$S194/MAX(IF(NOT(ISNA(MATCH(Combo_Species_Names,IF(Species_Availability="Yes",IF(Species_Evo_Numbers=1,Species_Names)),0))),Combo_Gym_Offense)))</f>
        <v>#VALUE!</v>
      </c>
      <c r="K194" s="23" t="e">
        <f t="array" ref="K194">IF(OR(INDEX(Species_Availability,MATCH($N194,Species_Names,0))="No",INDEX(Species_Evo_Numbers,MATCH($N194,Species_Names,0))&lt;&gt;1),"N/A",RANK($Y194,IF(NOT(ISNA(MATCH(Combo_Species_Names,IF(Species_Availability="Yes",IF(Species_Evo_Numbers=1,Species_Names)),0))),Combo_Gym_Defense),0))</f>
        <v>#VALUE!</v>
      </c>
      <c r="L194" s="24" t="e">
        <f t="array" ref="L194">IF(OR(INDEX(Species_Availability,MATCH($N194,Species_Names,0))="No",INDEX(Species_Evo_Numbers,MATCH($N194,Species_Names,0))&lt;&gt;1),"N/A",$Y194/MAX(IF(NOT(ISNA(MATCH(Combo_Species_Names,IF(Species_Availability="Yes",IF(Species_Evo_Numbers=1,Species_Names)),0))),Combo_Gym_Defense)))</f>
        <v>#VALUE!</v>
      </c>
      <c r="M194" s="28">
        <f t="array" ref="M194">INDEX(Species_Pdex_Numbers,MATCH($N194,Species_Names,0))</f>
        <v>123</v>
      </c>
      <c r="N194" s="30" t="s">
        <v>340</v>
      </c>
      <c r="O194" s="31" t="s">
        <v>121</v>
      </c>
      <c r="P194" s="31" t="s">
        <v>211</v>
      </c>
      <c r="Q194" s="17" t="e">
        <f t="shared" si="4"/>
        <v>#VALUE!</v>
      </c>
      <c r="R194" s="32" t="e">
        <f t="array" ref="R194">IF(OR(AND(COUNTBLANK(Combo_Opponent_Type_1)=1,COUNTBLANK(Combo_Opponent_Type_2)=0),AND(AND(COUNTBLANK(Combo_Opponent_Type_1)=0,COUNTBLANK(Combo_Opponent_Type_2)=0),Combo_Opponent_Type_1=Combo_Opponent_Type_2)),
"Check Types",($S194*INDEX(Species_Tankiness,MATCH($N194,Species_Names,0)))/225)</f>
        <v>#VALUE!</v>
      </c>
      <c r="S194" s="32" t="e">
        <f t="array" ref="S194">IF(OR(AND(COUNTBLANK(Combo_Opponent_Type_1)=1,COUNTBLANK(Combo_Opponent_Type_2)=0),AND(AND(COUNTBLANK(Combo_Opponent_Type_1)=0,COUNTBLANK(Combo_Opponent_Type_2)=0),Combo_Opponent_Type_1=Combo_Opponent_Type_2)),
"Check Types",(
IF($W194&gt;=((1-Game_Weave_Human_Error)*$X194),$W194,$X194)*INDEX(Species_Attack,MATCH($N194,Species_Names,0)))/11)</f>
        <v>#VALUE!</v>
      </c>
      <c r="T194" s="33" t="e">
        <f t="shared" si="5"/>
        <v>#VALUE!</v>
      </c>
      <c r="U194" s="33">
        <f t="array" ref="U1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194,Quick_Names,0))),Type_Species)),0),1)*IF(COUNTBLANK(Combo_Opponent_Type_2)=0,INDEX(Type_Damage_Multipliers,MATCH(Combo_Opponent_Type_2,IF(Type_Move=(INDEX(Quick_Type,MATCH($O194,Quick_Names,0))),Type_Species)),0),1)*(IF(OR(INDEX(Quick_Type,MATCH($O194,Quick_Names,0))=INDEX(Species_Type_1,MATCH($N194,Species_Names,0)),INDEX(Quick_Type,MATCH($O194,Quick_Names,0))=INDEX(Species_Type_2,MATCH($N194,Species_Names,0))),Game_STAB_Multiplier,1)))</f>
        <v>1.25</v>
      </c>
      <c r="V194" s="33">
        <f t="array" ref="V1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194,Charge_Names,0))),Type_Species)),0),1)*IF(COUNTBLANK(Combo_Opponent_Type_2)=0,INDEX(Type_Damage_Multipliers,MATCH(Combo_Opponent_Type_2,IF(Type_Move=(INDEX(Charge_Type,MATCH($P194,Charge_Names,0))),Type_Species)),0),1)*
IF(OR(INDEX(Charge_Type,MATCH($P194,Charge_Names,0))=INDEX(Species_Type_1,MATCH($N194,Species_Names,0)),INDEX(Charge_Type,MATCH($P194,Charge_Names,0))=INDEX(Species_Type_2,MATCH($N194,Species_Names,0))),Game_STAB_Multiplier,1))</f>
        <v>1.25</v>
      </c>
      <c r="W194" s="33" t="s">
        <v>564</v>
      </c>
      <c r="X194" s="33" t="s">
        <v>691</v>
      </c>
      <c r="Y194" s="32" t="e">
        <f t="array" ref="Y194">((($Z194)*
INDEX(Species_Attack,MATCH($N194,Species_Names,0))*
INDEX(Species_Tankiness,MATCH($N194,Species_Names,0)))/1000)</f>
        <v>#VALUE!</v>
      </c>
      <c r="Z194" s="33" t="s">
        <v>692</v>
      </c>
    </row>
    <row r="195" spans="1:26" ht="14.25" customHeight="1" x14ac:dyDescent="0.2">
      <c r="A195" s="86"/>
      <c r="B195" s="22" t="str">
        <f t="array" ref="B195">CONCATENATE(TEXT($M195,"000"),".",TEXT(INDEX(Quick_Number,MATCH($O195,Quick_Names,0)),"000"),".",TEXT(INDEX(Charge_Number,MATCH($P195,Charge_Names,0)),"000"))</f>
        <v>126.209.024</v>
      </c>
      <c r="C195" s="23" t="e">
        <f t="array" ref="C195">RANK($S195,IF(Combo_Species_Names=$N195,Combo_Gym_Offense),0)</f>
        <v>#VALUE!</v>
      </c>
      <c r="D195" s="24" t="e">
        <f t="array" ref="D195">$S195/MAX(IF(Combo_Species_Names=$N195,Combo_Gym_Offense))</f>
        <v>#VALUE!</v>
      </c>
      <c r="E195" s="23" t="e">
        <f t="array" ref="E195">RANK($Y195,IF(Combo_Species_Names=$N195,Combo_Gym_Defense),0)</f>
        <v>#VALUE!</v>
      </c>
      <c r="F195" s="25" t="e">
        <f t="array" ref="F195">$Y195/MAX(IF(Combo_Species_Names=$N195,Combo_Gym_Defense))</f>
        <v>#VALUE!</v>
      </c>
      <c r="G195" s="23" t="e">
        <f t="array" ref="G195">IF(OR(INDEX(Species_Availability,MATCH($N195,Species_Names,0))="No",INDEX(Species_Evo_Numbers,MATCH($N195,Species_Names,0))&lt;&gt;1),"N/A",RANK($R195,IF(NOT(ISNA(MATCH(Combo_Species_Names,IF(Species_Availability="Yes",IF(Species_Evo_Numbers=1,Species_Names)),0))),Combo_Duel_Ability),0))</f>
        <v>#VALUE!</v>
      </c>
      <c r="H195" s="24" t="e">
        <f t="array" ref="H195">IF(OR(INDEX(Species_Availability,MATCH($N195,Species_Names,0))="No",INDEX(Species_Evo_Numbers,MATCH($N195,Species_Names,0))&lt;&gt;1),"N/A",$R195/MAX(IF(NOT(ISNA(MATCH(Combo_Species_Names,IF(Species_Availability="Yes",IF(Species_Evo_Numbers=1,Species_Names)),0))),Combo_Duel_Ability)))</f>
        <v>#VALUE!</v>
      </c>
      <c r="I195" s="23" t="e">
        <f t="array" ref="I195">IF(OR(INDEX(Species_Availability,MATCH($N195,Species_Names,0))="No",INDEX(Species_Evo_Numbers,MATCH($N195,Species_Names,0))&lt;&gt;1),"N/A",RANK($S195,IF(NOT(ISNA(MATCH(Combo_Species_Names,IF(Species_Availability="Yes",IF(Species_Evo_Numbers=1,Species_Names)),0))),Combo_Gym_Offense),0))</f>
        <v>#VALUE!</v>
      </c>
      <c r="J195" s="24" t="e">
        <f t="array" ref="J195">IF(OR(INDEX(Species_Availability,MATCH($N195,Species_Names,0))="No",INDEX(Species_Evo_Numbers,MATCH($N195,Species_Names,0))&lt;&gt;1),"N/A",$S195/MAX(IF(NOT(ISNA(MATCH(Combo_Species_Names,IF(Species_Availability="Yes",IF(Species_Evo_Numbers=1,Species_Names)),0))),Combo_Gym_Offense)))</f>
        <v>#VALUE!</v>
      </c>
      <c r="K195" s="23" t="e">
        <f t="array" ref="K195">IF(OR(INDEX(Species_Availability,MATCH($N195,Species_Names,0))="No",INDEX(Species_Evo_Numbers,MATCH($N195,Species_Names,0))&lt;&gt;1),"N/A",RANK($Y195,IF(NOT(ISNA(MATCH(Combo_Species_Names,IF(Species_Availability="Yes",IF(Species_Evo_Numbers=1,Species_Names)),0))),Combo_Gym_Defense),0))</f>
        <v>#VALUE!</v>
      </c>
      <c r="L195" s="24" t="e">
        <f t="array" ref="L195">IF(OR(INDEX(Species_Availability,MATCH($N195,Species_Names,0))="No",INDEX(Species_Evo_Numbers,MATCH($N195,Species_Names,0))&lt;&gt;1),"N/A",$Y195/MAX(IF(NOT(ISNA(MATCH(Combo_Species_Names,IF(Species_Availability="Yes",IF(Species_Evo_Numbers=1,Species_Names)),0))),Combo_Gym_Defense)))</f>
        <v>#VALUE!</v>
      </c>
      <c r="M195" s="28">
        <f t="array" ref="M195">INDEX(Species_Pdex_Numbers,MATCH($N195,Species_Names,0))</f>
        <v>126</v>
      </c>
      <c r="N195" s="30" t="s">
        <v>343</v>
      </c>
      <c r="O195" s="31" t="s">
        <v>111</v>
      </c>
      <c r="P195" s="31" t="s">
        <v>200</v>
      </c>
      <c r="Q195" s="17" t="e">
        <f t="shared" si="4"/>
        <v>#VALUE!</v>
      </c>
      <c r="R195" s="32" t="e">
        <f t="array" ref="R195">IF(OR(AND(COUNTBLANK(Combo_Opponent_Type_1)=1,COUNTBLANK(Combo_Opponent_Type_2)=0),AND(AND(COUNTBLANK(Combo_Opponent_Type_1)=0,COUNTBLANK(Combo_Opponent_Type_2)=0),Combo_Opponent_Type_1=Combo_Opponent_Type_2)),
"Check Types",($S195*INDEX(Species_Tankiness,MATCH($N195,Species_Names,0)))/225)</f>
        <v>#VALUE!</v>
      </c>
      <c r="S195" s="32" t="e">
        <f t="array" ref="S195">IF(OR(AND(COUNTBLANK(Combo_Opponent_Type_1)=1,COUNTBLANK(Combo_Opponent_Type_2)=0),AND(AND(COUNTBLANK(Combo_Opponent_Type_1)=0,COUNTBLANK(Combo_Opponent_Type_2)=0),Combo_Opponent_Type_1=Combo_Opponent_Type_2)),
"Check Types",(
IF($W195&gt;=((1-Game_Weave_Human_Error)*$X195),$W195,$X195)*INDEX(Species_Attack,MATCH($N195,Species_Names,0)))/11)</f>
        <v>#VALUE!</v>
      </c>
      <c r="T195" s="33" t="e">
        <f t="shared" si="5"/>
        <v>#VALUE!</v>
      </c>
      <c r="U195" s="33">
        <f t="array" ref="U1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195,Quick_Names,0))),Type_Species)),0),1)*IF(COUNTBLANK(Combo_Opponent_Type_2)=0,INDEX(Type_Damage_Multipliers,MATCH(Combo_Opponent_Type_2,IF(Type_Move=(INDEX(Quick_Type,MATCH($O195,Quick_Names,0))),Type_Species)),0),1)*(IF(OR(INDEX(Quick_Type,MATCH($O195,Quick_Names,0))=INDEX(Species_Type_1,MATCH($N195,Species_Names,0)),INDEX(Quick_Type,MATCH($O195,Quick_Names,0))=INDEX(Species_Type_2,MATCH($N195,Species_Names,0))),Game_STAB_Multiplier,1)))</f>
        <v>1.25</v>
      </c>
      <c r="V195" s="33">
        <f t="array" ref="V1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195,Charge_Names,0))),Type_Species)),0),1)*IF(COUNTBLANK(Combo_Opponent_Type_2)=0,INDEX(Type_Damage_Multipliers,MATCH(Combo_Opponent_Type_2,IF(Type_Move=(INDEX(Charge_Type,MATCH($P195,Charge_Names,0))),Type_Species)),0),1)*
IF(OR(INDEX(Charge_Type,MATCH($P195,Charge_Names,0))=INDEX(Species_Type_1,MATCH($N195,Species_Names,0)),INDEX(Charge_Type,MATCH($P195,Charge_Names,0))=INDEX(Species_Type_2,MATCH($N195,Species_Names,0))),Game_STAB_Multiplier,1))</f>
        <v>1.25</v>
      </c>
      <c r="W195" s="33" t="s">
        <v>511</v>
      </c>
      <c r="X195" s="33" t="s">
        <v>560</v>
      </c>
      <c r="Y195" s="32" t="e">
        <f t="array" ref="Y195">((($Z195)*
INDEX(Species_Attack,MATCH($N195,Species_Names,0))*
INDEX(Species_Tankiness,MATCH($N195,Species_Names,0)))/1000)</f>
        <v>#VALUE!</v>
      </c>
      <c r="Z195" s="33" t="s">
        <v>561</v>
      </c>
    </row>
    <row r="196" spans="1:26" ht="14.25" customHeight="1" x14ac:dyDescent="0.2">
      <c r="A196" s="86"/>
      <c r="B196" s="22" t="str">
        <f t="array" ref="B196">CONCATENATE(TEXT($M196,"000"),".",TEXT(INDEX(Quick_Number,MATCH($O196,Quick_Names,0)),"000"),".",TEXT(INDEX(Charge_Number,MATCH($P196,Charge_Names,0)),"000"))</f>
        <v>115.233.127</v>
      </c>
      <c r="C196" s="23" t="e">
        <f t="array" ref="C196">RANK($S196,IF(Combo_Species_Names=$N196,Combo_Gym_Offense),0)</f>
        <v>#VALUE!</v>
      </c>
      <c r="D196" s="24" t="e">
        <f t="array" ref="D196">$S196/MAX(IF(Combo_Species_Names=$N196,Combo_Gym_Offense))</f>
        <v>#VALUE!</v>
      </c>
      <c r="E196" s="23" t="e">
        <f t="array" ref="E196">RANK($Y196,IF(Combo_Species_Names=$N196,Combo_Gym_Defense),0)</f>
        <v>#VALUE!</v>
      </c>
      <c r="F196" s="25" t="e">
        <f t="array" ref="F196">$Y196/MAX(IF(Combo_Species_Names=$N196,Combo_Gym_Defense))</f>
        <v>#VALUE!</v>
      </c>
      <c r="G196" s="23" t="e">
        <f t="array" ref="G196">IF(OR(INDEX(Species_Availability,MATCH($N196,Species_Names,0))="No",INDEX(Species_Evo_Numbers,MATCH($N196,Species_Names,0))&lt;&gt;1),"N/A",RANK($R196,IF(NOT(ISNA(MATCH(Combo_Species_Names,IF(Species_Availability="Yes",IF(Species_Evo_Numbers=1,Species_Names)),0))),Combo_Duel_Ability),0))</f>
        <v>#VALUE!</v>
      </c>
      <c r="H196" s="24" t="e">
        <f t="array" ref="H196">IF(OR(INDEX(Species_Availability,MATCH($N196,Species_Names,0))="No",INDEX(Species_Evo_Numbers,MATCH($N196,Species_Names,0))&lt;&gt;1),"N/A",$R196/MAX(IF(NOT(ISNA(MATCH(Combo_Species_Names,IF(Species_Availability="Yes",IF(Species_Evo_Numbers=1,Species_Names)),0))),Combo_Duel_Ability)))</f>
        <v>#VALUE!</v>
      </c>
      <c r="I196" s="23" t="e">
        <f t="array" ref="I196">IF(OR(INDEX(Species_Availability,MATCH($N196,Species_Names,0))="No",INDEX(Species_Evo_Numbers,MATCH($N196,Species_Names,0))&lt;&gt;1),"N/A",RANK($S196,IF(NOT(ISNA(MATCH(Combo_Species_Names,IF(Species_Availability="Yes",IF(Species_Evo_Numbers=1,Species_Names)),0))),Combo_Gym_Offense),0))</f>
        <v>#VALUE!</v>
      </c>
      <c r="J196" s="24" t="e">
        <f t="array" ref="J196">IF(OR(INDEX(Species_Availability,MATCH($N196,Species_Names,0))="No",INDEX(Species_Evo_Numbers,MATCH($N196,Species_Names,0))&lt;&gt;1),"N/A",$S196/MAX(IF(NOT(ISNA(MATCH(Combo_Species_Names,IF(Species_Availability="Yes",IF(Species_Evo_Numbers=1,Species_Names)),0))),Combo_Gym_Offense)))</f>
        <v>#VALUE!</v>
      </c>
      <c r="K196" s="23" t="e">
        <f t="array" ref="K196">IF(OR(INDEX(Species_Availability,MATCH($N196,Species_Names,0))="No",INDEX(Species_Evo_Numbers,MATCH($N196,Species_Names,0))&lt;&gt;1),"N/A",RANK($Y196,IF(NOT(ISNA(MATCH(Combo_Species_Names,IF(Species_Availability="Yes",IF(Species_Evo_Numbers=1,Species_Names)),0))),Combo_Gym_Defense),0))</f>
        <v>#VALUE!</v>
      </c>
      <c r="L196" s="24" t="e">
        <f t="array" ref="L196">IF(OR(INDEX(Species_Availability,MATCH($N196,Species_Names,0))="No",INDEX(Species_Evo_Numbers,MATCH($N196,Species_Names,0))&lt;&gt;1),"N/A",$Y196/MAX(IF(NOT(ISNA(MATCH(Combo_Species_Names,IF(Species_Availability="Yes",IF(Species_Evo_Numbers=1,Species_Names)),0))),Combo_Gym_Defense)))</f>
        <v>#VALUE!</v>
      </c>
      <c r="M196" s="28">
        <f t="array" ref="M196">INDEX(Species_Pdex_Numbers,MATCH($N196,Species_Names,0))</f>
        <v>115</v>
      </c>
      <c r="N196" s="30" t="s">
        <v>328</v>
      </c>
      <c r="O196" s="31" t="s">
        <v>84</v>
      </c>
      <c r="P196" s="31" t="s">
        <v>241</v>
      </c>
      <c r="Q196" s="17" t="e">
        <f t="shared" si="4"/>
        <v>#VALUE!</v>
      </c>
      <c r="R196" s="32" t="e">
        <f t="array" ref="R196">IF(OR(AND(COUNTBLANK(Combo_Opponent_Type_1)=1,COUNTBLANK(Combo_Opponent_Type_2)=0),AND(AND(COUNTBLANK(Combo_Opponent_Type_1)=0,COUNTBLANK(Combo_Opponent_Type_2)=0),Combo_Opponent_Type_1=Combo_Opponent_Type_2)),
"Check Types",($S196*INDEX(Species_Tankiness,MATCH($N196,Species_Names,0)))/225)</f>
        <v>#VALUE!</v>
      </c>
      <c r="S196" s="32" t="e">
        <f t="array" ref="S196">IF(OR(AND(COUNTBLANK(Combo_Opponent_Type_1)=1,COUNTBLANK(Combo_Opponent_Type_2)=0),AND(AND(COUNTBLANK(Combo_Opponent_Type_1)=0,COUNTBLANK(Combo_Opponent_Type_2)=0),Combo_Opponent_Type_1=Combo_Opponent_Type_2)),
"Check Types",(
IF($W196&gt;=((1-Game_Weave_Human_Error)*$X196),$W196,$X196)*INDEX(Species_Attack,MATCH($N196,Species_Names,0)))/11)</f>
        <v>#VALUE!</v>
      </c>
      <c r="T196" s="33" t="e">
        <f t="shared" si="5"/>
        <v>#VALUE!</v>
      </c>
      <c r="U196" s="33">
        <f t="array" ref="U1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196,Quick_Names,0))),Type_Species)),0),1)*IF(COUNTBLANK(Combo_Opponent_Type_2)=0,INDEX(Type_Damage_Multipliers,MATCH(Combo_Opponent_Type_2,IF(Type_Move=(INDEX(Quick_Type,MATCH($O196,Quick_Names,0))),Type_Species)),0),1)*(IF(OR(INDEX(Quick_Type,MATCH($O196,Quick_Names,0))=INDEX(Species_Type_1,MATCH($N196,Species_Names,0)),INDEX(Quick_Type,MATCH($O196,Quick_Names,0))=INDEX(Species_Type_2,MATCH($N196,Species_Names,0))),Game_STAB_Multiplier,1)))</f>
        <v>1</v>
      </c>
      <c r="V196" s="33">
        <f t="array" ref="V1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196,Charge_Names,0))),Type_Species)),0),1)*IF(COUNTBLANK(Combo_Opponent_Type_2)=0,INDEX(Type_Damage_Multipliers,MATCH(Combo_Opponent_Type_2,IF(Type_Move=(INDEX(Charge_Type,MATCH($P196,Charge_Names,0))),Type_Species)),0),1)*
IF(OR(INDEX(Charge_Type,MATCH($P196,Charge_Names,0))=INDEX(Species_Type_1,MATCH($N196,Species_Names,0)),INDEX(Charge_Type,MATCH($P196,Charge_Names,0))=INDEX(Species_Type_2,MATCH($N196,Species_Names,0))),Game_STAB_Multiplier,1))</f>
        <v>1.25</v>
      </c>
      <c r="W196" s="33" t="s">
        <v>660</v>
      </c>
      <c r="X196" s="33" t="s">
        <v>648</v>
      </c>
      <c r="Y196" s="32" t="e">
        <f t="array" ref="Y196">((($Z196)*
INDEX(Species_Attack,MATCH($N196,Species_Names,0))*
INDEX(Species_Tankiness,MATCH($N196,Species_Names,0)))/1000)</f>
        <v>#VALUE!</v>
      </c>
      <c r="Z196" s="33" t="s">
        <v>693</v>
      </c>
    </row>
    <row r="197" spans="1:26" ht="14.25" customHeight="1" x14ac:dyDescent="0.2">
      <c r="A197" s="86"/>
      <c r="B197" s="22" t="str">
        <f t="array" ref="B197">CONCATENATE(TEXT($M197,"000"),".",TEXT(INDEX(Quick_Number,MATCH($O197,Quick_Names,0)),"000"),".",TEXT(INDEX(Charge_Number,MATCH($P197,Charge_Names,0)),"000"))</f>
        <v>055.235.039</v>
      </c>
      <c r="C197" s="23" t="e">
        <f t="array" ref="C197">RANK($S197,IF(Combo_Species_Names=$N197,Combo_Gym_Offense),0)</f>
        <v>#VALUE!</v>
      </c>
      <c r="D197" s="24" t="e">
        <f t="array" ref="D197">$S197/MAX(IF(Combo_Species_Names=$N197,Combo_Gym_Offense))</f>
        <v>#VALUE!</v>
      </c>
      <c r="E197" s="23" t="e">
        <f t="array" ref="E197">RANK($Y197,IF(Combo_Species_Names=$N197,Combo_Gym_Defense),0)</f>
        <v>#VALUE!</v>
      </c>
      <c r="F197" s="25" t="e">
        <f t="array" ref="F197">$Y197/MAX(IF(Combo_Species_Names=$N197,Combo_Gym_Defense))</f>
        <v>#VALUE!</v>
      </c>
      <c r="G197" s="23" t="e">
        <f t="array" ref="G197">IF(OR(INDEX(Species_Availability,MATCH($N197,Species_Names,0))="No",INDEX(Species_Evo_Numbers,MATCH($N197,Species_Names,0))&lt;&gt;1),"N/A",RANK($R197,IF(NOT(ISNA(MATCH(Combo_Species_Names,IF(Species_Availability="Yes",IF(Species_Evo_Numbers=1,Species_Names)),0))),Combo_Duel_Ability),0))</f>
        <v>#VALUE!</v>
      </c>
      <c r="H197" s="24" t="e">
        <f t="array" ref="H197">IF(OR(INDEX(Species_Availability,MATCH($N197,Species_Names,0))="No",INDEX(Species_Evo_Numbers,MATCH($N197,Species_Names,0))&lt;&gt;1),"N/A",$R197/MAX(IF(NOT(ISNA(MATCH(Combo_Species_Names,IF(Species_Availability="Yes",IF(Species_Evo_Numbers=1,Species_Names)),0))),Combo_Duel_Ability)))</f>
        <v>#VALUE!</v>
      </c>
      <c r="I197" s="23" t="e">
        <f t="array" ref="I197">IF(OR(INDEX(Species_Availability,MATCH($N197,Species_Names,0))="No",INDEX(Species_Evo_Numbers,MATCH($N197,Species_Names,0))&lt;&gt;1),"N/A",RANK($S197,IF(NOT(ISNA(MATCH(Combo_Species_Names,IF(Species_Availability="Yes",IF(Species_Evo_Numbers=1,Species_Names)),0))),Combo_Gym_Offense),0))</f>
        <v>#VALUE!</v>
      </c>
      <c r="J197" s="24" t="e">
        <f t="array" ref="J197">IF(OR(INDEX(Species_Availability,MATCH($N197,Species_Names,0))="No",INDEX(Species_Evo_Numbers,MATCH($N197,Species_Names,0))&lt;&gt;1),"N/A",$S197/MAX(IF(NOT(ISNA(MATCH(Combo_Species_Names,IF(Species_Availability="Yes",IF(Species_Evo_Numbers=1,Species_Names)),0))),Combo_Gym_Offense)))</f>
        <v>#VALUE!</v>
      </c>
      <c r="K197" s="23" t="e">
        <f t="array" ref="K197">IF(OR(INDEX(Species_Availability,MATCH($N197,Species_Names,0))="No",INDEX(Species_Evo_Numbers,MATCH($N197,Species_Names,0))&lt;&gt;1),"N/A",RANK($Y197,IF(NOT(ISNA(MATCH(Combo_Species_Names,IF(Species_Availability="Yes",IF(Species_Evo_Numbers=1,Species_Names)),0))),Combo_Gym_Defense),0))</f>
        <v>#VALUE!</v>
      </c>
      <c r="L197" s="24" t="e">
        <f t="array" ref="L197">IF(OR(INDEX(Species_Availability,MATCH($N197,Species_Names,0))="No",INDEX(Species_Evo_Numbers,MATCH($N197,Species_Names,0))&lt;&gt;1),"N/A",$Y197/MAX(IF(NOT(ISNA(MATCH(Combo_Species_Names,IF(Species_Availability="Yes",IF(Species_Evo_Numbers=1,Species_Names)),0))),Combo_Gym_Defense)))</f>
        <v>#VALUE!</v>
      </c>
      <c r="M197" s="28">
        <f t="array" ref="M197">INDEX(Species_Pdex_Numbers,MATCH($N197,Species_Names,0))</f>
        <v>55</v>
      </c>
      <c r="N197" s="30" t="s">
        <v>199</v>
      </c>
      <c r="O197" s="31" t="s">
        <v>108</v>
      </c>
      <c r="P197" s="31" t="s">
        <v>209</v>
      </c>
      <c r="Q197" s="17" t="e">
        <f t="shared" si="4"/>
        <v>#VALUE!</v>
      </c>
      <c r="R197" s="32" t="e">
        <f t="array" ref="R197">IF(OR(AND(COUNTBLANK(Combo_Opponent_Type_1)=1,COUNTBLANK(Combo_Opponent_Type_2)=0),AND(AND(COUNTBLANK(Combo_Opponent_Type_1)=0,COUNTBLANK(Combo_Opponent_Type_2)=0),Combo_Opponent_Type_1=Combo_Opponent_Type_2)),
"Check Types",($S197*INDEX(Species_Tankiness,MATCH($N197,Species_Names,0)))/225)</f>
        <v>#VALUE!</v>
      </c>
      <c r="S197" s="32" t="e">
        <f t="array" ref="S197">IF(OR(AND(COUNTBLANK(Combo_Opponent_Type_1)=1,COUNTBLANK(Combo_Opponent_Type_2)=0),AND(AND(COUNTBLANK(Combo_Opponent_Type_1)=0,COUNTBLANK(Combo_Opponent_Type_2)=0),Combo_Opponent_Type_1=Combo_Opponent_Type_2)),
"Check Types",(
IF($W197&gt;=((1-Game_Weave_Human_Error)*$X197),$W197,$X197)*INDEX(Species_Attack,MATCH($N197,Species_Names,0)))/11)</f>
        <v>#VALUE!</v>
      </c>
      <c r="T197" s="33" t="e">
        <f t="shared" si="5"/>
        <v>#VALUE!</v>
      </c>
      <c r="U197" s="33">
        <f t="array" ref="U1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197,Quick_Names,0))),Type_Species)),0),1)*IF(COUNTBLANK(Combo_Opponent_Type_2)=0,INDEX(Type_Damage_Multipliers,MATCH(Combo_Opponent_Type_2,IF(Type_Move=(INDEX(Quick_Type,MATCH($O197,Quick_Names,0))),Type_Species)),0),1)*(IF(OR(INDEX(Quick_Type,MATCH($O197,Quick_Names,0))=INDEX(Species_Type_1,MATCH($N197,Species_Names,0)),INDEX(Quick_Type,MATCH($O197,Quick_Names,0))=INDEX(Species_Type_2,MATCH($N197,Species_Names,0))),Game_STAB_Multiplier,1)))</f>
        <v>1</v>
      </c>
      <c r="V197" s="33">
        <f t="array" ref="V1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197,Charge_Names,0))),Type_Species)),0),1)*IF(COUNTBLANK(Combo_Opponent_Type_2)=0,INDEX(Type_Damage_Multipliers,MATCH(Combo_Opponent_Type_2,IF(Type_Move=(INDEX(Charge_Type,MATCH($P197,Charge_Names,0))),Type_Species)),0),1)*
IF(OR(INDEX(Charge_Type,MATCH($P197,Charge_Names,0))=INDEX(Species_Type_1,MATCH($N197,Species_Names,0)),INDEX(Charge_Type,MATCH($P197,Charge_Names,0))=INDEX(Species_Type_2,MATCH($N197,Species_Names,0))),Game_STAB_Multiplier,1))</f>
        <v>1</v>
      </c>
      <c r="W197" s="33" t="s">
        <v>631</v>
      </c>
      <c r="X197" s="33" t="s">
        <v>694</v>
      </c>
      <c r="Y197" s="32" t="e">
        <f t="array" ref="Y197">((($Z197)*
INDEX(Species_Attack,MATCH($N197,Species_Names,0))*
INDEX(Species_Tankiness,MATCH($N197,Species_Names,0)))/1000)</f>
        <v>#VALUE!</v>
      </c>
      <c r="Z197" s="33" t="s">
        <v>695</v>
      </c>
    </row>
    <row r="198" spans="1:26" ht="14.25" customHeight="1" x14ac:dyDescent="0.2">
      <c r="A198" s="86"/>
      <c r="B198" s="22" t="str">
        <f t="array" ref="B198">CONCATENATE(TEXT($M198,"000"),".",TEXT(INDEX(Quick_Number,MATCH($O198,Quick_Names,0)),"000"),".",TEXT(INDEX(Charge_Number,MATCH($P198,Charge_Names,0)),"000"))</f>
        <v>135.205.079</v>
      </c>
      <c r="C198" s="23" t="e">
        <f t="array" ref="C198">RANK($S198,IF(Combo_Species_Names=$N198,Combo_Gym_Offense),0)</f>
        <v>#VALUE!</v>
      </c>
      <c r="D198" s="24" t="e">
        <f t="array" ref="D198">$S198/MAX(IF(Combo_Species_Names=$N198,Combo_Gym_Offense))</f>
        <v>#VALUE!</v>
      </c>
      <c r="E198" s="23" t="e">
        <f t="array" ref="E198">RANK($Y198,IF(Combo_Species_Names=$N198,Combo_Gym_Defense),0)</f>
        <v>#VALUE!</v>
      </c>
      <c r="F198" s="25" t="e">
        <f t="array" ref="F198">$Y198/MAX(IF(Combo_Species_Names=$N198,Combo_Gym_Defense))</f>
        <v>#VALUE!</v>
      </c>
      <c r="G198" s="23" t="e">
        <f t="array" ref="G198">IF(OR(INDEX(Species_Availability,MATCH($N198,Species_Names,0))="No",INDEX(Species_Evo_Numbers,MATCH($N198,Species_Names,0))&lt;&gt;1),"N/A",RANK($R198,IF(NOT(ISNA(MATCH(Combo_Species_Names,IF(Species_Availability="Yes",IF(Species_Evo_Numbers=1,Species_Names)),0))),Combo_Duel_Ability),0))</f>
        <v>#VALUE!</v>
      </c>
      <c r="H198" s="24" t="e">
        <f t="array" ref="H198">IF(OR(INDEX(Species_Availability,MATCH($N198,Species_Names,0))="No",INDEX(Species_Evo_Numbers,MATCH($N198,Species_Names,0))&lt;&gt;1),"N/A",$R198/MAX(IF(NOT(ISNA(MATCH(Combo_Species_Names,IF(Species_Availability="Yes",IF(Species_Evo_Numbers=1,Species_Names)),0))),Combo_Duel_Ability)))</f>
        <v>#VALUE!</v>
      </c>
      <c r="I198" s="23" t="e">
        <f t="array" ref="I198">IF(OR(INDEX(Species_Availability,MATCH($N198,Species_Names,0))="No",INDEX(Species_Evo_Numbers,MATCH($N198,Species_Names,0))&lt;&gt;1),"N/A",RANK($S198,IF(NOT(ISNA(MATCH(Combo_Species_Names,IF(Species_Availability="Yes",IF(Species_Evo_Numbers=1,Species_Names)),0))),Combo_Gym_Offense),0))</f>
        <v>#VALUE!</v>
      </c>
      <c r="J198" s="24" t="e">
        <f t="array" ref="J198">IF(OR(INDEX(Species_Availability,MATCH($N198,Species_Names,0))="No",INDEX(Species_Evo_Numbers,MATCH($N198,Species_Names,0))&lt;&gt;1),"N/A",$S198/MAX(IF(NOT(ISNA(MATCH(Combo_Species_Names,IF(Species_Availability="Yes",IF(Species_Evo_Numbers=1,Species_Names)),0))),Combo_Gym_Offense)))</f>
        <v>#VALUE!</v>
      </c>
      <c r="K198" s="23" t="e">
        <f t="array" ref="K198">IF(OR(INDEX(Species_Availability,MATCH($N198,Species_Names,0))="No",INDEX(Species_Evo_Numbers,MATCH($N198,Species_Names,0))&lt;&gt;1),"N/A",RANK($Y198,IF(NOT(ISNA(MATCH(Combo_Species_Names,IF(Species_Availability="Yes",IF(Species_Evo_Numbers=1,Species_Names)),0))),Combo_Gym_Defense),0))</f>
        <v>#VALUE!</v>
      </c>
      <c r="L198" s="24" t="e">
        <f t="array" ref="L198">IF(OR(INDEX(Species_Availability,MATCH($N198,Species_Names,0))="No",INDEX(Species_Evo_Numbers,MATCH($N198,Species_Names,0))&lt;&gt;1),"N/A",$Y198/MAX(IF(NOT(ISNA(MATCH(Combo_Species_Names,IF(Species_Availability="Yes",IF(Species_Evo_Numbers=1,Species_Names)),0))),Combo_Gym_Defense)))</f>
        <v>#VALUE!</v>
      </c>
      <c r="M198" s="28">
        <f t="array" ref="M198">INDEX(Species_Pdex_Numbers,MATCH($N198,Species_Names,0))</f>
        <v>135</v>
      </c>
      <c r="N198" s="30" t="s">
        <v>353</v>
      </c>
      <c r="O198" s="31" t="s">
        <v>115</v>
      </c>
      <c r="P198" s="31" t="s">
        <v>190</v>
      </c>
      <c r="Q198" s="17" t="e">
        <f t="shared" ref="Q198:Q261" si="6">IF(OR(AND(COUNTBLANK(Combo_Opponent_Type_1)=1,COUNTBLANK(Combo_Opponent_Type_2)=0),AND(AND(COUNTBLANK(Combo_Opponent_Type_1)=0,COUNTBLANK(Combo_Opponent_Type_2)=0),Combo_Opponent_Type_1=Combo_Opponent_Type_2)),
"Check Types",IF($W198&gt;=((1-Game_Weave_Human_Error)*$X198),"Quick Only","Weave"))</f>
        <v>#VALUE!</v>
      </c>
      <c r="R198" s="32" t="e">
        <f t="array" ref="R198">IF(OR(AND(COUNTBLANK(Combo_Opponent_Type_1)=1,COUNTBLANK(Combo_Opponent_Type_2)=0),AND(AND(COUNTBLANK(Combo_Opponent_Type_1)=0,COUNTBLANK(Combo_Opponent_Type_2)=0),Combo_Opponent_Type_1=Combo_Opponent_Type_2)),
"Check Types",($S198*INDEX(Species_Tankiness,MATCH($N198,Species_Names,0)))/225)</f>
        <v>#VALUE!</v>
      </c>
      <c r="S198" s="32" t="e">
        <f t="array" ref="S198">IF(OR(AND(COUNTBLANK(Combo_Opponent_Type_1)=1,COUNTBLANK(Combo_Opponent_Type_2)=0),AND(AND(COUNTBLANK(Combo_Opponent_Type_1)=0,COUNTBLANK(Combo_Opponent_Type_2)=0),Combo_Opponent_Type_1=Combo_Opponent_Type_2)),
"Check Types",(
IF($W198&gt;=((1-Game_Weave_Human_Error)*$X198),$W198,$X198)*INDEX(Species_Attack,MATCH($N198,Species_Names,0)))/11)</f>
        <v>#VALUE!</v>
      </c>
      <c r="T198" s="33" t="e">
        <f t="shared" ref="T198:T261" si="7">IF(OR(AND(COUNTBLANK(Combo_Opponent_Type_1)=1,COUNTBLANK(Combo_Opponent_Type_2)=0),AND(AND(COUNTBLANK(Combo_Opponent_Type_1)=0,COUNTBLANK(Combo_Opponent_Type_2)=0),Combo_Opponent_Type_1=Combo_Opponent_Type_2)),
"Check Types",IF($W198&gt;=((1-Game_Weave_Human_Error)*$X198),$W198,$X198))</f>
        <v>#VALUE!</v>
      </c>
      <c r="U198" s="33">
        <f t="array" ref="U1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198,Quick_Names,0))),Type_Species)),0),1)*IF(COUNTBLANK(Combo_Opponent_Type_2)=0,INDEX(Type_Damage_Multipliers,MATCH(Combo_Opponent_Type_2,IF(Type_Move=(INDEX(Quick_Type,MATCH($O198,Quick_Names,0))),Type_Species)),0),1)*(IF(OR(INDEX(Quick_Type,MATCH($O198,Quick_Names,0))=INDEX(Species_Type_1,MATCH($N198,Species_Names,0)),INDEX(Quick_Type,MATCH($O198,Quick_Names,0))=INDEX(Species_Type_2,MATCH($N198,Species_Names,0))),Game_STAB_Multiplier,1)))</f>
        <v>1.25</v>
      </c>
      <c r="V198" s="33">
        <f t="array" ref="V1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198,Charge_Names,0))),Type_Species)),0),1)*IF(COUNTBLANK(Combo_Opponent_Type_2)=0,INDEX(Type_Damage_Multipliers,MATCH(Combo_Opponent_Type_2,IF(Type_Move=(INDEX(Charge_Type,MATCH($P198,Charge_Names,0))),Type_Species)),0),1)*
IF(OR(INDEX(Charge_Type,MATCH($P198,Charge_Names,0))=INDEX(Species_Type_1,MATCH($N198,Species_Names,0)),INDEX(Charge_Type,MATCH($P198,Charge_Names,0))=INDEX(Species_Type_2,MATCH($N198,Species_Names,0))),Game_STAB_Multiplier,1))</f>
        <v>1.25</v>
      </c>
      <c r="W198" s="33" t="s">
        <v>678</v>
      </c>
      <c r="X198" s="33" t="s">
        <v>696</v>
      </c>
      <c r="Y198" s="32" t="e">
        <f t="array" ref="Y198">((($Z198)*
INDEX(Species_Attack,MATCH($N198,Species_Names,0))*
INDEX(Species_Tankiness,MATCH($N198,Species_Names,0)))/1000)</f>
        <v>#VALUE!</v>
      </c>
      <c r="Z198" s="33" t="s">
        <v>697</v>
      </c>
    </row>
    <row r="199" spans="1:26" ht="14.25" customHeight="1" x14ac:dyDescent="0.2">
      <c r="A199" s="86"/>
      <c r="B199" s="22" t="str">
        <f t="array" ref="B199">CONCATENATE(TEXT($M199,"000"),".",TEXT(INDEX(Quick_Number,MATCH($O199,Quick_Names,0)),"000"),".",TEXT(INDEX(Charge_Number,MATCH($P199,Charge_Names,0)),"000"))</f>
        <v>091.218.107</v>
      </c>
      <c r="C199" s="23" t="e">
        <f t="array" ref="C199">RANK($S199,IF(Combo_Species_Names=$N199,Combo_Gym_Offense),0)</f>
        <v>#VALUE!</v>
      </c>
      <c r="D199" s="24" t="e">
        <f t="array" ref="D199">$S199/MAX(IF(Combo_Species_Names=$N199,Combo_Gym_Offense))</f>
        <v>#VALUE!</v>
      </c>
      <c r="E199" s="23" t="e">
        <f t="array" ref="E199">RANK($Y199,IF(Combo_Species_Names=$N199,Combo_Gym_Defense),0)</f>
        <v>#VALUE!</v>
      </c>
      <c r="F199" s="25" t="e">
        <f t="array" ref="F199">$Y199/MAX(IF(Combo_Species_Names=$N199,Combo_Gym_Defense))</f>
        <v>#VALUE!</v>
      </c>
      <c r="G199" s="23" t="e">
        <f t="array" ref="G199">IF(OR(INDEX(Species_Availability,MATCH($N199,Species_Names,0))="No",INDEX(Species_Evo_Numbers,MATCH($N199,Species_Names,0))&lt;&gt;1),"N/A",RANK($R199,IF(NOT(ISNA(MATCH(Combo_Species_Names,IF(Species_Availability="Yes",IF(Species_Evo_Numbers=1,Species_Names)),0))),Combo_Duel_Ability),0))</f>
        <v>#VALUE!</v>
      </c>
      <c r="H199" s="24" t="e">
        <f t="array" ref="H199">IF(OR(INDEX(Species_Availability,MATCH($N199,Species_Names,0))="No",INDEX(Species_Evo_Numbers,MATCH($N199,Species_Names,0))&lt;&gt;1),"N/A",$R199/MAX(IF(NOT(ISNA(MATCH(Combo_Species_Names,IF(Species_Availability="Yes",IF(Species_Evo_Numbers=1,Species_Names)),0))),Combo_Duel_Ability)))</f>
        <v>#VALUE!</v>
      </c>
      <c r="I199" s="23" t="e">
        <f t="array" ref="I199">IF(OR(INDEX(Species_Availability,MATCH($N199,Species_Names,0))="No",INDEX(Species_Evo_Numbers,MATCH($N199,Species_Names,0))&lt;&gt;1),"N/A",RANK($S199,IF(NOT(ISNA(MATCH(Combo_Species_Names,IF(Species_Availability="Yes",IF(Species_Evo_Numbers=1,Species_Names)),0))),Combo_Gym_Offense),0))</f>
        <v>#VALUE!</v>
      </c>
      <c r="J199" s="24" t="e">
        <f t="array" ref="J199">IF(OR(INDEX(Species_Availability,MATCH($N199,Species_Names,0))="No",INDEX(Species_Evo_Numbers,MATCH($N199,Species_Names,0))&lt;&gt;1),"N/A",$S199/MAX(IF(NOT(ISNA(MATCH(Combo_Species_Names,IF(Species_Availability="Yes",IF(Species_Evo_Numbers=1,Species_Names)),0))),Combo_Gym_Offense)))</f>
        <v>#VALUE!</v>
      </c>
      <c r="K199" s="23" t="e">
        <f t="array" ref="K199">IF(OR(INDEX(Species_Availability,MATCH($N199,Species_Names,0))="No",INDEX(Species_Evo_Numbers,MATCH($N199,Species_Names,0))&lt;&gt;1),"N/A",RANK($Y199,IF(NOT(ISNA(MATCH(Combo_Species_Names,IF(Species_Availability="Yes",IF(Species_Evo_Numbers=1,Species_Names)),0))),Combo_Gym_Defense),0))</f>
        <v>#VALUE!</v>
      </c>
      <c r="L199" s="24" t="e">
        <f t="array" ref="L199">IF(OR(INDEX(Species_Availability,MATCH($N199,Species_Names,0))="No",INDEX(Species_Evo_Numbers,MATCH($N199,Species_Names,0))&lt;&gt;1),"N/A",$Y199/MAX(IF(NOT(ISNA(MATCH(Combo_Species_Names,IF(Species_Availability="Yes",IF(Species_Evo_Numbers=1,Species_Names)),0))),Combo_Gym_Defense)))</f>
        <v>#VALUE!</v>
      </c>
      <c r="M199" s="28">
        <f t="array" ref="M199">INDEX(Species_Pdex_Numbers,MATCH($N199,Species_Names,0))</f>
        <v>91</v>
      </c>
      <c r="N199" s="30" t="s">
        <v>277</v>
      </c>
      <c r="O199" s="31" t="s">
        <v>87</v>
      </c>
      <c r="P199" s="31" t="s">
        <v>170</v>
      </c>
      <c r="Q199" s="17" t="e">
        <f t="shared" si="6"/>
        <v>#VALUE!</v>
      </c>
      <c r="R199" s="32" t="e">
        <f t="array" ref="R199">IF(OR(AND(COUNTBLANK(Combo_Opponent_Type_1)=1,COUNTBLANK(Combo_Opponent_Type_2)=0),AND(AND(COUNTBLANK(Combo_Opponent_Type_1)=0,COUNTBLANK(Combo_Opponent_Type_2)=0),Combo_Opponent_Type_1=Combo_Opponent_Type_2)),
"Check Types",($S199*INDEX(Species_Tankiness,MATCH($N199,Species_Names,0)))/225)</f>
        <v>#VALUE!</v>
      </c>
      <c r="S199" s="32" t="e">
        <f t="array" ref="S199">IF(OR(AND(COUNTBLANK(Combo_Opponent_Type_1)=1,COUNTBLANK(Combo_Opponent_Type_2)=0),AND(AND(COUNTBLANK(Combo_Opponent_Type_1)=0,COUNTBLANK(Combo_Opponent_Type_2)=0),Combo_Opponent_Type_1=Combo_Opponent_Type_2)),
"Check Types",(
IF($W199&gt;=((1-Game_Weave_Human_Error)*$X199),$W199,$X199)*INDEX(Species_Attack,MATCH($N199,Species_Names,0)))/11)</f>
        <v>#VALUE!</v>
      </c>
      <c r="T199" s="33" t="e">
        <f t="shared" si="7"/>
        <v>#VALUE!</v>
      </c>
      <c r="U199" s="33">
        <f t="array" ref="U1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199,Quick_Names,0))),Type_Species)),0),1)*IF(COUNTBLANK(Combo_Opponent_Type_2)=0,INDEX(Type_Damage_Multipliers,MATCH(Combo_Opponent_Type_2,IF(Type_Move=(INDEX(Quick_Type,MATCH($O199,Quick_Names,0))),Type_Species)),0),1)*(IF(OR(INDEX(Quick_Type,MATCH($O199,Quick_Names,0))=INDEX(Species_Type_1,MATCH($N199,Species_Names,0)),INDEX(Quick_Type,MATCH($O199,Quick_Names,0))=INDEX(Species_Type_2,MATCH($N199,Species_Names,0))),Game_STAB_Multiplier,1)))</f>
        <v>1.25</v>
      </c>
      <c r="V199" s="33">
        <f t="array" ref="V1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199,Charge_Names,0))),Type_Species)),0),1)*IF(COUNTBLANK(Combo_Opponent_Type_2)=0,INDEX(Type_Damage_Multipliers,MATCH(Combo_Opponent_Type_2,IF(Type_Move=(INDEX(Charge_Type,MATCH($P199,Charge_Names,0))),Type_Species)),0),1)*
IF(OR(INDEX(Charge_Type,MATCH($P199,Charge_Names,0))=INDEX(Species_Type_1,MATCH($N199,Species_Names,0)),INDEX(Charge_Type,MATCH($P199,Charge_Names,0))=INDEX(Species_Type_2,MATCH($N199,Species_Names,0))),Game_STAB_Multiplier,1))</f>
        <v>1.25</v>
      </c>
      <c r="W199" s="33" t="s">
        <v>422</v>
      </c>
      <c r="X199" s="33" t="s">
        <v>698</v>
      </c>
      <c r="Y199" s="32" t="e">
        <f t="array" ref="Y199">((($Z199)*
INDEX(Species_Attack,MATCH($N199,Species_Names,0))*
INDEX(Species_Tankiness,MATCH($N199,Species_Names,0)))/1000)</f>
        <v>#VALUE!</v>
      </c>
      <c r="Z199" s="33" t="s">
        <v>699</v>
      </c>
    </row>
    <row r="200" spans="1:26" ht="14.25" customHeight="1" x14ac:dyDescent="0.2">
      <c r="A200" s="86"/>
      <c r="B200" s="22" t="str">
        <f t="array" ref="B200">CONCATENATE(TEXT($M200,"000"),".",TEXT(INDEX(Quick_Number,MATCH($O200,Quick_Names,0)),"000"),".",TEXT(INDEX(Charge_Number,MATCH($P200,Charge_Names,0)),"000"))</f>
        <v>078.209.042</v>
      </c>
      <c r="C200" s="23" t="e">
        <f t="array" ref="C200">RANK($S200,IF(Combo_Species_Names=$N200,Combo_Gym_Offense),0)</f>
        <v>#VALUE!</v>
      </c>
      <c r="D200" s="24" t="e">
        <f t="array" ref="D200">$S200/MAX(IF(Combo_Species_Names=$N200,Combo_Gym_Offense))</f>
        <v>#VALUE!</v>
      </c>
      <c r="E200" s="23" t="e">
        <f t="array" ref="E200">RANK($Y200,IF(Combo_Species_Names=$N200,Combo_Gym_Defense),0)</f>
        <v>#VALUE!</v>
      </c>
      <c r="F200" s="25" t="e">
        <f t="array" ref="F200">$Y200/MAX(IF(Combo_Species_Names=$N200,Combo_Gym_Defense))</f>
        <v>#VALUE!</v>
      </c>
      <c r="G200" s="23" t="e">
        <f t="array" ref="G200">IF(OR(INDEX(Species_Availability,MATCH($N200,Species_Names,0))="No",INDEX(Species_Evo_Numbers,MATCH($N200,Species_Names,0))&lt;&gt;1),"N/A",RANK($R200,IF(NOT(ISNA(MATCH(Combo_Species_Names,IF(Species_Availability="Yes",IF(Species_Evo_Numbers=1,Species_Names)),0))),Combo_Duel_Ability),0))</f>
        <v>#VALUE!</v>
      </c>
      <c r="H200" s="24" t="e">
        <f t="array" ref="H200">IF(OR(INDEX(Species_Availability,MATCH($N200,Species_Names,0))="No",INDEX(Species_Evo_Numbers,MATCH($N200,Species_Names,0))&lt;&gt;1),"N/A",$R200/MAX(IF(NOT(ISNA(MATCH(Combo_Species_Names,IF(Species_Availability="Yes",IF(Species_Evo_Numbers=1,Species_Names)),0))),Combo_Duel_Ability)))</f>
        <v>#VALUE!</v>
      </c>
      <c r="I200" s="23" t="e">
        <f t="array" ref="I200">IF(OR(INDEX(Species_Availability,MATCH($N200,Species_Names,0))="No",INDEX(Species_Evo_Numbers,MATCH($N200,Species_Names,0))&lt;&gt;1),"N/A",RANK($S200,IF(NOT(ISNA(MATCH(Combo_Species_Names,IF(Species_Availability="Yes",IF(Species_Evo_Numbers=1,Species_Names)),0))),Combo_Gym_Offense),0))</f>
        <v>#VALUE!</v>
      </c>
      <c r="J200" s="24" t="e">
        <f t="array" ref="J200">IF(OR(INDEX(Species_Availability,MATCH($N200,Species_Names,0))="No",INDEX(Species_Evo_Numbers,MATCH($N200,Species_Names,0))&lt;&gt;1),"N/A",$S200/MAX(IF(NOT(ISNA(MATCH(Combo_Species_Names,IF(Species_Availability="Yes",IF(Species_Evo_Numbers=1,Species_Names)),0))),Combo_Gym_Offense)))</f>
        <v>#VALUE!</v>
      </c>
      <c r="K200" s="23" t="e">
        <f t="array" ref="K200">IF(OR(INDEX(Species_Availability,MATCH($N200,Species_Names,0))="No",INDEX(Species_Evo_Numbers,MATCH($N200,Species_Names,0))&lt;&gt;1),"N/A",RANK($Y200,IF(NOT(ISNA(MATCH(Combo_Species_Names,IF(Species_Availability="Yes",IF(Species_Evo_Numbers=1,Species_Names)),0))),Combo_Gym_Defense),0))</f>
        <v>#VALUE!</v>
      </c>
      <c r="L200" s="24" t="e">
        <f t="array" ref="L200">IF(OR(INDEX(Species_Availability,MATCH($N200,Species_Names,0))="No",INDEX(Species_Evo_Numbers,MATCH($N200,Species_Names,0))&lt;&gt;1),"N/A",$Y200/MAX(IF(NOT(ISNA(MATCH(Combo_Species_Names,IF(Species_Availability="Yes",IF(Species_Evo_Numbers=1,Species_Names)),0))),Combo_Gym_Defense)))</f>
        <v>#VALUE!</v>
      </c>
      <c r="M200" s="28">
        <f t="array" ref="M200">INDEX(Species_Pdex_Numbers,MATCH($N200,Species_Names,0))</f>
        <v>78</v>
      </c>
      <c r="N200" s="30" t="s">
        <v>248</v>
      </c>
      <c r="O200" s="31" t="s">
        <v>111</v>
      </c>
      <c r="P200" s="31" t="s">
        <v>183</v>
      </c>
      <c r="Q200" s="17" t="e">
        <f t="shared" si="6"/>
        <v>#VALUE!</v>
      </c>
      <c r="R200" s="32" t="e">
        <f t="array" ref="R200">IF(OR(AND(COUNTBLANK(Combo_Opponent_Type_1)=1,COUNTBLANK(Combo_Opponent_Type_2)=0),AND(AND(COUNTBLANK(Combo_Opponent_Type_1)=0,COUNTBLANK(Combo_Opponent_Type_2)=0),Combo_Opponent_Type_1=Combo_Opponent_Type_2)),
"Check Types",($S200*INDEX(Species_Tankiness,MATCH($N200,Species_Names,0)))/225)</f>
        <v>#VALUE!</v>
      </c>
      <c r="S200" s="32" t="e">
        <f t="array" ref="S200">IF(OR(AND(COUNTBLANK(Combo_Opponent_Type_1)=1,COUNTBLANK(Combo_Opponent_Type_2)=0),AND(AND(COUNTBLANK(Combo_Opponent_Type_1)=0,COUNTBLANK(Combo_Opponent_Type_2)=0),Combo_Opponent_Type_1=Combo_Opponent_Type_2)),
"Check Types",(
IF($W200&gt;=((1-Game_Weave_Human_Error)*$X200),$W200,$X200)*INDEX(Species_Attack,MATCH($N200,Species_Names,0)))/11)</f>
        <v>#VALUE!</v>
      </c>
      <c r="T200" s="33" t="e">
        <f t="shared" si="7"/>
        <v>#VALUE!</v>
      </c>
      <c r="U200" s="33">
        <f t="array" ref="U2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200,Quick_Names,0))),Type_Species)),0),1)*IF(COUNTBLANK(Combo_Opponent_Type_2)=0,INDEX(Type_Damage_Multipliers,MATCH(Combo_Opponent_Type_2,IF(Type_Move=(INDEX(Quick_Type,MATCH($O200,Quick_Names,0))),Type_Species)),0),1)*(IF(OR(INDEX(Quick_Type,MATCH($O200,Quick_Names,0))=INDEX(Species_Type_1,MATCH($N200,Species_Names,0)),INDEX(Quick_Type,MATCH($O200,Quick_Names,0))=INDEX(Species_Type_2,MATCH($N200,Species_Names,0))),Game_STAB_Multiplier,1)))</f>
        <v>1.25</v>
      </c>
      <c r="V200" s="33">
        <f t="array" ref="V2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200,Charge_Names,0))),Type_Species)),0),1)*IF(COUNTBLANK(Combo_Opponent_Type_2)=0,INDEX(Type_Damage_Multipliers,MATCH(Combo_Opponent_Type_2,IF(Type_Move=(INDEX(Charge_Type,MATCH($P200,Charge_Names,0))),Type_Species)),0),1)*
IF(OR(INDEX(Charge_Type,MATCH($P200,Charge_Names,0))=INDEX(Species_Type_1,MATCH($N200,Species_Names,0)),INDEX(Charge_Type,MATCH($P200,Charge_Names,0))=INDEX(Species_Type_2,MATCH($N200,Species_Names,0))),Game_STAB_Multiplier,1))</f>
        <v>1.25</v>
      </c>
      <c r="W200" s="33" t="s">
        <v>511</v>
      </c>
      <c r="X200" s="33" t="s">
        <v>617</v>
      </c>
      <c r="Y200" s="32" t="e">
        <f t="array" ref="Y200">((($Z200)*
INDEX(Species_Attack,MATCH($N200,Species_Names,0))*
INDEX(Species_Tankiness,MATCH($N200,Species_Names,0)))/1000)</f>
        <v>#VALUE!</v>
      </c>
      <c r="Z200" s="33" t="s">
        <v>618</v>
      </c>
    </row>
    <row r="201" spans="1:26" ht="14.25" customHeight="1" x14ac:dyDescent="0.2">
      <c r="A201" s="86"/>
      <c r="B201" s="22" t="str">
        <f t="array" ref="B201">CONCATENATE(TEXT($M201,"000"),".",TEXT(INDEX(Quick_Number,MATCH($O201,Quick_Names,0)),"000"),".",TEXT(INDEX(Charge_Number,MATCH($P201,Charge_Names,0)),"000"))</f>
        <v>125.205.078</v>
      </c>
      <c r="C201" s="23" t="e">
        <f t="array" ref="C201">RANK($S201,IF(Combo_Species_Names=$N201,Combo_Gym_Offense),0)</f>
        <v>#VALUE!</v>
      </c>
      <c r="D201" s="24" t="e">
        <f t="array" ref="D201">$S201/MAX(IF(Combo_Species_Names=$N201,Combo_Gym_Offense))</f>
        <v>#VALUE!</v>
      </c>
      <c r="E201" s="23" t="e">
        <f t="array" ref="E201">RANK($Y201,IF(Combo_Species_Names=$N201,Combo_Gym_Defense),0)</f>
        <v>#VALUE!</v>
      </c>
      <c r="F201" s="25" t="e">
        <f t="array" ref="F201">$Y201/MAX(IF(Combo_Species_Names=$N201,Combo_Gym_Defense))</f>
        <v>#VALUE!</v>
      </c>
      <c r="G201" s="23" t="e">
        <f t="array" ref="G201">IF(OR(INDEX(Species_Availability,MATCH($N201,Species_Names,0))="No",INDEX(Species_Evo_Numbers,MATCH($N201,Species_Names,0))&lt;&gt;1),"N/A",RANK($R201,IF(NOT(ISNA(MATCH(Combo_Species_Names,IF(Species_Availability="Yes",IF(Species_Evo_Numbers=1,Species_Names)),0))),Combo_Duel_Ability),0))</f>
        <v>#VALUE!</v>
      </c>
      <c r="H201" s="24" t="e">
        <f t="array" ref="H201">IF(OR(INDEX(Species_Availability,MATCH($N201,Species_Names,0))="No",INDEX(Species_Evo_Numbers,MATCH($N201,Species_Names,0))&lt;&gt;1),"N/A",$R201/MAX(IF(NOT(ISNA(MATCH(Combo_Species_Names,IF(Species_Availability="Yes",IF(Species_Evo_Numbers=1,Species_Names)),0))),Combo_Duel_Ability)))</f>
        <v>#VALUE!</v>
      </c>
      <c r="I201" s="23" t="e">
        <f t="array" ref="I201">IF(OR(INDEX(Species_Availability,MATCH($N201,Species_Names,0))="No",INDEX(Species_Evo_Numbers,MATCH($N201,Species_Names,0))&lt;&gt;1),"N/A",RANK($S201,IF(NOT(ISNA(MATCH(Combo_Species_Names,IF(Species_Availability="Yes",IF(Species_Evo_Numbers=1,Species_Names)),0))),Combo_Gym_Offense),0))</f>
        <v>#VALUE!</v>
      </c>
      <c r="J201" s="24" t="e">
        <f t="array" ref="J201">IF(OR(INDEX(Species_Availability,MATCH($N201,Species_Names,0))="No",INDEX(Species_Evo_Numbers,MATCH($N201,Species_Names,0))&lt;&gt;1),"N/A",$S201/MAX(IF(NOT(ISNA(MATCH(Combo_Species_Names,IF(Species_Availability="Yes",IF(Species_Evo_Numbers=1,Species_Names)),0))),Combo_Gym_Offense)))</f>
        <v>#VALUE!</v>
      </c>
      <c r="K201" s="23" t="e">
        <f t="array" ref="K201">IF(OR(INDEX(Species_Availability,MATCH($N201,Species_Names,0))="No",INDEX(Species_Evo_Numbers,MATCH($N201,Species_Names,0))&lt;&gt;1),"N/A",RANK($Y201,IF(NOT(ISNA(MATCH(Combo_Species_Names,IF(Species_Availability="Yes",IF(Species_Evo_Numbers=1,Species_Names)),0))),Combo_Gym_Defense),0))</f>
        <v>#VALUE!</v>
      </c>
      <c r="L201" s="24" t="e">
        <f t="array" ref="L201">IF(OR(INDEX(Species_Availability,MATCH($N201,Species_Names,0))="No",INDEX(Species_Evo_Numbers,MATCH($N201,Species_Names,0))&lt;&gt;1),"N/A",$Y201/MAX(IF(NOT(ISNA(MATCH(Combo_Species_Names,IF(Species_Availability="Yes",IF(Species_Evo_Numbers=1,Species_Names)),0))),Combo_Gym_Defense)))</f>
        <v>#VALUE!</v>
      </c>
      <c r="M201" s="28">
        <f t="array" ref="M201">INDEX(Species_Pdex_Numbers,MATCH($N201,Species_Names,0))</f>
        <v>125</v>
      </c>
      <c r="N201" s="30" t="s">
        <v>342</v>
      </c>
      <c r="O201" s="31" t="s">
        <v>115</v>
      </c>
      <c r="P201" s="31" t="s">
        <v>174</v>
      </c>
      <c r="Q201" s="17" t="e">
        <f t="shared" si="6"/>
        <v>#VALUE!</v>
      </c>
      <c r="R201" s="32" t="e">
        <f t="array" ref="R201">IF(OR(AND(COUNTBLANK(Combo_Opponent_Type_1)=1,COUNTBLANK(Combo_Opponent_Type_2)=0),AND(AND(COUNTBLANK(Combo_Opponent_Type_1)=0,COUNTBLANK(Combo_Opponent_Type_2)=0),Combo_Opponent_Type_1=Combo_Opponent_Type_2)),
"Check Types",($S201*INDEX(Species_Tankiness,MATCH($N201,Species_Names,0)))/225)</f>
        <v>#VALUE!</v>
      </c>
      <c r="S201" s="32" t="e">
        <f t="array" ref="S201">IF(OR(AND(COUNTBLANK(Combo_Opponent_Type_1)=1,COUNTBLANK(Combo_Opponent_Type_2)=0),AND(AND(COUNTBLANK(Combo_Opponent_Type_1)=0,COUNTBLANK(Combo_Opponent_Type_2)=0),Combo_Opponent_Type_1=Combo_Opponent_Type_2)),
"Check Types",(
IF($W201&gt;=((1-Game_Weave_Human_Error)*$X201),$W201,$X201)*INDEX(Species_Attack,MATCH($N201,Species_Names,0)))/11)</f>
        <v>#VALUE!</v>
      </c>
      <c r="T201" s="33" t="e">
        <f t="shared" si="7"/>
        <v>#VALUE!</v>
      </c>
      <c r="U201" s="33">
        <f t="array" ref="U2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201,Quick_Names,0))),Type_Species)),0),1)*IF(COUNTBLANK(Combo_Opponent_Type_2)=0,INDEX(Type_Damage_Multipliers,MATCH(Combo_Opponent_Type_2,IF(Type_Move=(INDEX(Quick_Type,MATCH($O201,Quick_Names,0))),Type_Species)),0),1)*(IF(OR(INDEX(Quick_Type,MATCH($O201,Quick_Names,0))=INDEX(Species_Type_1,MATCH($N201,Species_Names,0)),INDEX(Quick_Type,MATCH($O201,Quick_Names,0))=INDEX(Species_Type_2,MATCH($N201,Species_Names,0))),Game_STAB_Multiplier,1)))</f>
        <v>1.25</v>
      </c>
      <c r="V201" s="33">
        <f t="array" ref="V2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201,Charge_Names,0))),Type_Species)),0),1)*IF(COUNTBLANK(Combo_Opponent_Type_2)=0,INDEX(Type_Damage_Multipliers,MATCH(Combo_Opponent_Type_2,IF(Type_Move=(INDEX(Charge_Type,MATCH($P201,Charge_Names,0))),Type_Species)),0),1)*
IF(OR(INDEX(Charge_Type,MATCH($P201,Charge_Names,0))=INDEX(Species_Type_1,MATCH($N201,Species_Names,0)),INDEX(Charge_Type,MATCH($P201,Charge_Names,0))=INDEX(Species_Type_2,MATCH($N201,Species_Names,0))),Game_STAB_Multiplier,1))</f>
        <v>1.25</v>
      </c>
      <c r="W201" s="33" t="s">
        <v>678</v>
      </c>
      <c r="X201" s="33" t="s">
        <v>679</v>
      </c>
      <c r="Y201" s="32" t="e">
        <f t="array" ref="Y201">((($Z201)*
INDEX(Species_Attack,MATCH($N201,Species_Names,0))*
INDEX(Species_Tankiness,MATCH($N201,Species_Names,0)))/1000)</f>
        <v>#VALUE!</v>
      </c>
      <c r="Z201" s="33" t="s">
        <v>680</v>
      </c>
    </row>
    <row r="202" spans="1:26" ht="14.25" customHeight="1" x14ac:dyDescent="0.2">
      <c r="A202" s="86"/>
      <c r="B202" s="22" t="str">
        <f t="array" ref="B202">CONCATENATE(TEXT($M202,"000"),".",TEXT(INDEX(Quick_Number,MATCH($O202,Quick_Names,0)),"000"),".",TEXT(INDEX(Charge_Number,MATCH($P202,Charge_Names,0)),"000"))</f>
        <v>128.221.031</v>
      </c>
      <c r="C202" s="23" t="e">
        <f t="array" ref="C202">RANK($S202,IF(Combo_Species_Names=$N202,Combo_Gym_Offense),0)</f>
        <v>#VALUE!</v>
      </c>
      <c r="D202" s="24" t="e">
        <f t="array" ref="D202">$S202/MAX(IF(Combo_Species_Names=$N202,Combo_Gym_Offense))</f>
        <v>#VALUE!</v>
      </c>
      <c r="E202" s="23" t="e">
        <f t="array" ref="E202">RANK($Y202,IF(Combo_Species_Names=$N202,Combo_Gym_Defense),0)</f>
        <v>#VALUE!</v>
      </c>
      <c r="F202" s="25" t="e">
        <f t="array" ref="F202">$Y202/MAX(IF(Combo_Species_Names=$N202,Combo_Gym_Defense))</f>
        <v>#VALUE!</v>
      </c>
      <c r="G202" s="23" t="e">
        <f t="array" ref="G202">IF(OR(INDEX(Species_Availability,MATCH($N202,Species_Names,0))="No",INDEX(Species_Evo_Numbers,MATCH($N202,Species_Names,0))&lt;&gt;1),"N/A",RANK($R202,IF(NOT(ISNA(MATCH(Combo_Species_Names,IF(Species_Availability="Yes",IF(Species_Evo_Numbers=1,Species_Names)),0))),Combo_Duel_Ability),0))</f>
        <v>#VALUE!</v>
      </c>
      <c r="H202" s="24" t="e">
        <f t="array" ref="H202">IF(OR(INDEX(Species_Availability,MATCH($N202,Species_Names,0))="No",INDEX(Species_Evo_Numbers,MATCH($N202,Species_Names,0))&lt;&gt;1),"N/A",$R202/MAX(IF(NOT(ISNA(MATCH(Combo_Species_Names,IF(Species_Availability="Yes",IF(Species_Evo_Numbers=1,Species_Names)),0))),Combo_Duel_Ability)))</f>
        <v>#VALUE!</v>
      </c>
      <c r="I202" s="23" t="e">
        <f t="array" ref="I202">IF(OR(INDEX(Species_Availability,MATCH($N202,Species_Names,0))="No",INDEX(Species_Evo_Numbers,MATCH($N202,Species_Names,0))&lt;&gt;1),"N/A",RANK($S202,IF(NOT(ISNA(MATCH(Combo_Species_Names,IF(Species_Availability="Yes",IF(Species_Evo_Numbers=1,Species_Names)),0))),Combo_Gym_Offense),0))</f>
        <v>#VALUE!</v>
      </c>
      <c r="J202" s="24" t="e">
        <f t="array" ref="J202">IF(OR(INDEX(Species_Availability,MATCH($N202,Species_Names,0))="No",INDEX(Species_Evo_Numbers,MATCH($N202,Species_Names,0))&lt;&gt;1),"N/A",$S202/MAX(IF(NOT(ISNA(MATCH(Combo_Species_Names,IF(Species_Availability="Yes",IF(Species_Evo_Numbers=1,Species_Names)),0))),Combo_Gym_Offense)))</f>
        <v>#VALUE!</v>
      </c>
      <c r="K202" s="23" t="e">
        <f t="array" ref="K202">IF(OR(INDEX(Species_Availability,MATCH($N202,Species_Names,0))="No",INDEX(Species_Evo_Numbers,MATCH($N202,Species_Names,0))&lt;&gt;1),"N/A",RANK($Y202,IF(NOT(ISNA(MATCH(Combo_Species_Names,IF(Species_Availability="Yes",IF(Species_Evo_Numbers=1,Species_Names)),0))),Combo_Gym_Defense),0))</f>
        <v>#VALUE!</v>
      </c>
      <c r="L202" s="24" t="e">
        <f t="array" ref="L202">IF(OR(INDEX(Species_Availability,MATCH($N202,Species_Names,0))="No",INDEX(Species_Evo_Numbers,MATCH($N202,Species_Names,0))&lt;&gt;1),"N/A",$Y202/MAX(IF(NOT(ISNA(MATCH(Combo_Species_Names,IF(Species_Availability="Yes",IF(Species_Evo_Numbers=1,Species_Names)),0))),Combo_Gym_Defense)))</f>
        <v>#VALUE!</v>
      </c>
      <c r="M202" s="28">
        <f t="array" ref="M202">INDEX(Species_Pdex_Numbers,MATCH($N202,Species_Names,0))</f>
        <v>128</v>
      </c>
      <c r="N202" s="30" t="s">
        <v>345</v>
      </c>
      <c r="O202" s="31" t="s">
        <v>91</v>
      </c>
      <c r="P202" s="31" t="s">
        <v>169</v>
      </c>
      <c r="Q202" s="17" t="e">
        <f t="shared" si="6"/>
        <v>#VALUE!</v>
      </c>
      <c r="R202" s="32" t="e">
        <f t="array" ref="R202">IF(OR(AND(COUNTBLANK(Combo_Opponent_Type_1)=1,COUNTBLANK(Combo_Opponent_Type_2)=0),AND(AND(COUNTBLANK(Combo_Opponent_Type_1)=0,COUNTBLANK(Combo_Opponent_Type_2)=0),Combo_Opponent_Type_1=Combo_Opponent_Type_2)),
"Check Types",($S202*INDEX(Species_Tankiness,MATCH($N202,Species_Names,0)))/225)</f>
        <v>#VALUE!</v>
      </c>
      <c r="S202" s="32" t="e">
        <f t="array" ref="S202">IF(OR(AND(COUNTBLANK(Combo_Opponent_Type_1)=1,COUNTBLANK(Combo_Opponent_Type_2)=0),AND(AND(COUNTBLANK(Combo_Opponent_Type_1)=0,COUNTBLANK(Combo_Opponent_Type_2)=0),Combo_Opponent_Type_1=Combo_Opponent_Type_2)),
"Check Types",(
IF($W202&gt;=((1-Game_Weave_Human_Error)*$X202),$W202,$X202)*INDEX(Species_Attack,MATCH($N202,Species_Names,0)))/11)</f>
        <v>#VALUE!</v>
      </c>
      <c r="T202" s="33" t="e">
        <f t="shared" si="7"/>
        <v>#VALUE!</v>
      </c>
      <c r="U202" s="33">
        <f t="array" ref="U2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202,Quick_Names,0))),Type_Species)),0),1)*IF(COUNTBLANK(Combo_Opponent_Type_2)=0,INDEX(Type_Damage_Multipliers,MATCH(Combo_Opponent_Type_2,IF(Type_Move=(INDEX(Quick_Type,MATCH($O202,Quick_Names,0))),Type_Species)),0),1)*(IF(OR(INDEX(Quick_Type,MATCH($O202,Quick_Names,0))=INDEX(Species_Type_1,MATCH($N202,Species_Names,0)),INDEX(Quick_Type,MATCH($O202,Quick_Names,0))=INDEX(Species_Type_2,MATCH($N202,Species_Names,0))),Game_STAB_Multiplier,1)))</f>
        <v>1.25</v>
      </c>
      <c r="V202" s="33">
        <f t="array" ref="V2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202,Charge_Names,0))),Type_Species)),0),1)*IF(COUNTBLANK(Combo_Opponent_Type_2)=0,INDEX(Type_Damage_Multipliers,MATCH(Combo_Opponent_Type_2,IF(Type_Move=(INDEX(Charge_Type,MATCH($P202,Charge_Names,0))),Type_Species)),0),1)*
IF(OR(INDEX(Charge_Type,MATCH($P202,Charge_Names,0))=INDEX(Species_Type_1,MATCH($N202,Species_Names,0)),INDEX(Charge_Type,MATCH($P202,Charge_Names,0))=INDEX(Species_Type_2,MATCH($N202,Species_Names,0))),Game_STAB_Multiplier,1))</f>
        <v>1</v>
      </c>
      <c r="W202" s="33" t="s">
        <v>700</v>
      </c>
      <c r="X202" s="33" t="s">
        <v>701</v>
      </c>
      <c r="Y202" s="32" t="e">
        <f t="array" ref="Y202">((($Z202)*
INDEX(Species_Attack,MATCH($N202,Species_Names,0))*
INDEX(Species_Tankiness,MATCH($N202,Species_Names,0)))/1000)</f>
        <v>#VALUE!</v>
      </c>
      <c r="Z202" s="33" t="s">
        <v>702</v>
      </c>
    </row>
    <row r="203" spans="1:26" ht="14.25" customHeight="1" x14ac:dyDescent="0.2">
      <c r="A203" s="86"/>
      <c r="B203" s="22" t="str">
        <f t="array" ref="B203">CONCATENATE(TEXT($M203,"000"),".",TEXT(INDEX(Quick_Number,MATCH($O203,Quick_Names,0)),"000"),".",TEXT(INDEX(Charge_Number,MATCH($P203,Charge_Names,0)),"000"))</f>
        <v>123.239.049</v>
      </c>
      <c r="C203" s="23" t="e">
        <f t="array" ref="C203">RANK($S203,IF(Combo_Species_Names=$N203,Combo_Gym_Offense),0)</f>
        <v>#VALUE!</v>
      </c>
      <c r="D203" s="24" t="e">
        <f t="array" ref="D203">$S203/MAX(IF(Combo_Species_Names=$N203,Combo_Gym_Offense))</f>
        <v>#VALUE!</v>
      </c>
      <c r="E203" s="23" t="e">
        <f t="array" ref="E203">RANK($Y203,IF(Combo_Species_Names=$N203,Combo_Gym_Defense),0)</f>
        <v>#VALUE!</v>
      </c>
      <c r="F203" s="25" t="e">
        <f t="array" ref="F203">$Y203/MAX(IF(Combo_Species_Names=$N203,Combo_Gym_Defense))</f>
        <v>#VALUE!</v>
      </c>
      <c r="G203" s="23" t="e">
        <f t="array" ref="G203">IF(OR(INDEX(Species_Availability,MATCH($N203,Species_Names,0))="No",INDEX(Species_Evo_Numbers,MATCH($N203,Species_Names,0))&lt;&gt;1),"N/A",RANK($R203,IF(NOT(ISNA(MATCH(Combo_Species_Names,IF(Species_Availability="Yes",IF(Species_Evo_Numbers=1,Species_Names)),0))),Combo_Duel_Ability),0))</f>
        <v>#VALUE!</v>
      </c>
      <c r="H203" s="24" t="e">
        <f t="array" ref="H203">IF(OR(INDEX(Species_Availability,MATCH($N203,Species_Names,0))="No",INDEX(Species_Evo_Numbers,MATCH($N203,Species_Names,0))&lt;&gt;1),"N/A",$R203/MAX(IF(NOT(ISNA(MATCH(Combo_Species_Names,IF(Species_Availability="Yes",IF(Species_Evo_Numbers=1,Species_Names)),0))),Combo_Duel_Ability)))</f>
        <v>#VALUE!</v>
      </c>
      <c r="I203" s="23" t="e">
        <f t="array" ref="I203">IF(OR(INDEX(Species_Availability,MATCH($N203,Species_Names,0))="No",INDEX(Species_Evo_Numbers,MATCH($N203,Species_Names,0))&lt;&gt;1),"N/A",RANK($S203,IF(NOT(ISNA(MATCH(Combo_Species_Names,IF(Species_Availability="Yes",IF(Species_Evo_Numbers=1,Species_Names)),0))),Combo_Gym_Offense),0))</f>
        <v>#VALUE!</v>
      </c>
      <c r="J203" s="24" t="e">
        <f t="array" ref="J203">IF(OR(INDEX(Species_Availability,MATCH($N203,Species_Names,0))="No",INDEX(Species_Evo_Numbers,MATCH($N203,Species_Names,0))&lt;&gt;1),"N/A",$S203/MAX(IF(NOT(ISNA(MATCH(Combo_Species_Names,IF(Species_Availability="Yes",IF(Species_Evo_Numbers=1,Species_Names)),0))),Combo_Gym_Offense)))</f>
        <v>#VALUE!</v>
      </c>
      <c r="K203" s="23" t="e">
        <f t="array" ref="K203">IF(OR(INDEX(Species_Availability,MATCH($N203,Species_Names,0))="No",INDEX(Species_Evo_Numbers,MATCH($N203,Species_Names,0))&lt;&gt;1),"N/A",RANK($Y203,IF(NOT(ISNA(MATCH(Combo_Species_Names,IF(Species_Availability="Yes",IF(Species_Evo_Numbers=1,Species_Names)),0))),Combo_Gym_Defense),0))</f>
        <v>#VALUE!</v>
      </c>
      <c r="L203" s="24" t="e">
        <f t="array" ref="L203">IF(OR(INDEX(Species_Availability,MATCH($N203,Species_Names,0))="No",INDEX(Species_Evo_Numbers,MATCH($N203,Species_Names,0))&lt;&gt;1),"N/A",$Y203/MAX(IF(NOT(ISNA(MATCH(Combo_Species_Names,IF(Species_Availability="Yes",IF(Species_Evo_Numbers=1,Species_Names)),0))),Combo_Gym_Defense)))</f>
        <v>#VALUE!</v>
      </c>
      <c r="M203" s="28">
        <f t="array" ref="M203">INDEX(Species_Pdex_Numbers,MATCH($N203,Species_Names,0))</f>
        <v>123</v>
      </c>
      <c r="N203" s="30" t="s">
        <v>340</v>
      </c>
      <c r="O203" s="31" t="s">
        <v>80</v>
      </c>
      <c r="P203" s="31" t="s">
        <v>211</v>
      </c>
      <c r="Q203" s="17" t="e">
        <f t="shared" si="6"/>
        <v>#VALUE!</v>
      </c>
      <c r="R203" s="32" t="e">
        <f t="array" ref="R203">IF(OR(AND(COUNTBLANK(Combo_Opponent_Type_1)=1,COUNTBLANK(Combo_Opponent_Type_2)=0),AND(AND(COUNTBLANK(Combo_Opponent_Type_1)=0,COUNTBLANK(Combo_Opponent_Type_2)=0),Combo_Opponent_Type_1=Combo_Opponent_Type_2)),
"Check Types",($S203*INDEX(Species_Tankiness,MATCH($N203,Species_Names,0)))/225)</f>
        <v>#VALUE!</v>
      </c>
      <c r="S203" s="32" t="e">
        <f t="array" ref="S203">IF(OR(AND(COUNTBLANK(Combo_Opponent_Type_1)=1,COUNTBLANK(Combo_Opponent_Type_2)=0),AND(AND(COUNTBLANK(Combo_Opponent_Type_1)=0,COUNTBLANK(Combo_Opponent_Type_2)=0),Combo_Opponent_Type_1=Combo_Opponent_Type_2)),
"Check Types",(
IF($W203&gt;=((1-Game_Weave_Human_Error)*$X203),$W203,$X203)*INDEX(Species_Attack,MATCH($N203,Species_Names,0)))/11)</f>
        <v>#VALUE!</v>
      </c>
      <c r="T203" s="33" t="e">
        <f t="shared" si="7"/>
        <v>#VALUE!</v>
      </c>
      <c r="U203" s="33">
        <f t="array" ref="U2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203,Quick_Names,0))),Type_Species)),0),1)*IF(COUNTBLANK(Combo_Opponent_Type_2)=0,INDEX(Type_Damage_Multipliers,MATCH(Combo_Opponent_Type_2,IF(Type_Move=(INDEX(Quick_Type,MATCH($O203,Quick_Names,0))),Type_Species)),0),1)*(IF(OR(INDEX(Quick_Type,MATCH($O203,Quick_Names,0))=INDEX(Species_Type_1,MATCH($N203,Species_Names,0)),INDEX(Quick_Type,MATCH($O203,Quick_Names,0))=INDEX(Species_Type_2,MATCH($N203,Species_Names,0))),Game_STAB_Multiplier,1)))</f>
        <v>1</v>
      </c>
      <c r="V203" s="33">
        <f t="array" ref="V2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203,Charge_Names,0))),Type_Species)),0),1)*IF(COUNTBLANK(Combo_Opponent_Type_2)=0,INDEX(Type_Damage_Multipliers,MATCH(Combo_Opponent_Type_2,IF(Type_Move=(INDEX(Charge_Type,MATCH($P203,Charge_Names,0))),Type_Species)),0),1)*
IF(OR(INDEX(Charge_Type,MATCH($P203,Charge_Names,0))=INDEX(Species_Type_1,MATCH($N203,Species_Names,0)),INDEX(Charge_Type,MATCH($P203,Charge_Names,0))=INDEX(Species_Type_2,MATCH($N203,Species_Names,0))),Game_STAB_Multiplier,1))</f>
        <v>1.25</v>
      </c>
      <c r="W203" s="33" t="s">
        <v>441</v>
      </c>
      <c r="X203" s="33" t="s">
        <v>430</v>
      </c>
      <c r="Y203" s="32" t="e">
        <f t="array" ref="Y203">((($Z203)*
INDEX(Species_Attack,MATCH($N203,Species_Names,0))*
INDEX(Species_Tankiness,MATCH($N203,Species_Names,0)))/1000)</f>
        <v>#VALUE!</v>
      </c>
      <c r="Z203" s="33" t="s">
        <v>703</v>
      </c>
    </row>
    <row r="204" spans="1:26" ht="14.25" customHeight="1" x14ac:dyDescent="0.2">
      <c r="A204" s="86"/>
      <c r="B204" s="22" t="str">
        <f t="array" ref="B204">CONCATENATE(TEXT($M204,"000"),".",TEXT(INDEX(Quick_Number,MATCH($O204,Quick_Names,0)),"000"),".",TEXT(INDEX(Charge_Number,MATCH($P204,Charge_Names,0)),"000"))</f>
        <v>078.207.103</v>
      </c>
      <c r="C204" s="23" t="e">
        <f t="array" ref="C204">RANK($S204,IF(Combo_Species_Names=$N204,Combo_Gym_Offense),0)</f>
        <v>#VALUE!</v>
      </c>
      <c r="D204" s="24" t="e">
        <f t="array" ref="D204">$S204/MAX(IF(Combo_Species_Names=$N204,Combo_Gym_Offense))</f>
        <v>#VALUE!</v>
      </c>
      <c r="E204" s="23" t="e">
        <f t="array" ref="E204">RANK($Y204,IF(Combo_Species_Names=$N204,Combo_Gym_Defense),0)</f>
        <v>#VALUE!</v>
      </c>
      <c r="F204" s="25" t="e">
        <f t="array" ref="F204">$Y204/MAX(IF(Combo_Species_Names=$N204,Combo_Gym_Defense))</f>
        <v>#VALUE!</v>
      </c>
      <c r="G204" s="23" t="e">
        <f t="array" ref="G204">IF(OR(INDEX(Species_Availability,MATCH($N204,Species_Names,0))="No",INDEX(Species_Evo_Numbers,MATCH($N204,Species_Names,0))&lt;&gt;1),"N/A",RANK($R204,IF(NOT(ISNA(MATCH(Combo_Species_Names,IF(Species_Availability="Yes",IF(Species_Evo_Numbers=1,Species_Names)),0))),Combo_Duel_Ability),0))</f>
        <v>#VALUE!</v>
      </c>
      <c r="H204" s="24" t="e">
        <f t="array" ref="H204">IF(OR(INDEX(Species_Availability,MATCH($N204,Species_Names,0))="No",INDEX(Species_Evo_Numbers,MATCH($N204,Species_Names,0))&lt;&gt;1),"N/A",$R204/MAX(IF(NOT(ISNA(MATCH(Combo_Species_Names,IF(Species_Availability="Yes",IF(Species_Evo_Numbers=1,Species_Names)),0))),Combo_Duel_Ability)))</f>
        <v>#VALUE!</v>
      </c>
      <c r="I204" s="23" t="e">
        <f t="array" ref="I204">IF(OR(INDEX(Species_Availability,MATCH($N204,Species_Names,0))="No",INDEX(Species_Evo_Numbers,MATCH($N204,Species_Names,0))&lt;&gt;1),"N/A",RANK($S204,IF(NOT(ISNA(MATCH(Combo_Species_Names,IF(Species_Availability="Yes",IF(Species_Evo_Numbers=1,Species_Names)),0))),Combo_Gym_Offense),0))</f>
        <v>#VALUE!</v>
      </c>
      <c r="J204" s="24" t="e">
        <f t="array" ref="J204">IF(OR(INDEX(Species_Availability,MATCH($N204,Species_Names,0))="No",INDEX(Species_Evo_Numbers,MATCH($N204,Species_Names,0))&lt;&gt;1),"N/A",$S204/MAX(IF(NOT(ISNA(MATCH(Combo_Species_Names,IF(Species_Availability="Yes",IF(Species_Evo_Numbers=1,Species_Names)),0))),Combo_Gym_Offense)))</f>
        <v>#VALUE!</v>
      </c>
      <c r="K204" s="23" t="e">
        <f t="array" ref="K204">IF(OR(INDEX(Species_Availability,MATCH($N204,Species_Names,0))="No",INDEX(Species_Evo_Numbers,MATCH($N204,Species_Names,0))&lt;&gt;1),"N/A",RANK($Y204,IF(NOT(ISNA(MATCH(Combo_Species_Names,IF(Species_Availability="Yes",IF(Species_Evo_Numbers=1,Species_Names)),0))),Combo_Gym_Defense),0))</f>
        <v>#VALUE!</v>
      </c>
      <c r="L204" s="24" t="e">
        <f t="array" ref="L204">IF(OR(INDEX(Species_Availability,MATCH($N204,Species_Names,0))="No",INDEX(Species_Evo_Numbers,MATCH($N204,Species_Names,0))&lt;&gt;1),"N/A",$Y204/MAX(IF(NOT(ISNA(MATCH(Combo_Species_Names,IF(Species_Availability="Yes",IF(Species_Evo_Numbers=1,Species_Names)),0))),Combo_Gym_Defense)))</f>
        <v>#VALUE!</v>
      </c>
      <c r="M204" s="28">
        <f t="array" ref="M204">INDEX(Species_Pdex_Numbers,MATCH($N204,Species_Names,0))</f>
        <v>78</v>
      </c>
      <c r="N204" s="30" t="s">
        <v>248</v>
      </c>
      <c r="O204" s="31" t="s">
        <v>117</v>
      </c>
      <c r="P204" s="31" t="s">
        <v>163</v>
      </c>
      <c r="Q204" s="17" t="e">
        <f t="shared" si="6"/>
        <v>#VALUE!</v>
      </c>
      <c r="R204" s="32" t="e">
        <f t="array" ref="R204">IF(OR(AND(COUNTBLANK(Combo_Opponent_Type_1)=1,COUNTBLANK(Combo_Opponent_Type_2)=0),AND(AND(COUNTBLANK(Combo_Opponent_Type_1)=0,COUNTBLANK(Combo_Opponent_Type_2)=0),Combo_Opponent_Type_1=Combo_Opponent_Type_2)),
"Check Types",($S204*INDEX(Species_Tankiness,MATCH($N204,Species_Names,0)))/225)</f>
        <v>#VALUE!</v>
      </c>
      <c r="S204" s="32" t="e">
        <f t="array" ref="S204">IF(OR(AND(COUNTBLANK(Combo_Opponent_Type_1)=1,COUNTBLANK(Combo_Opponent_Type_2)=0),AND(AND(COUNTBLANK(Combo_Opponent_Type_1)=0,COUNTBLANK(Combo_Opponent_Type_2)=0),Combo_Opponent_Type_1=Combo_Opponent_Type_2)),
"Check Types",(
IF($W204&gt;=((1-Game_Weave_Human_Error)*$X204),$W204,$X204)*INDEX(Species_Attack,MATCH($N204,Species_Names,0)))/11)</f>
        <v>#VALUE!</v>
      </c>
      <c r="T204" s="33" t="e">
        <f t="shared" si="7"/>
        <v>#VALUE!</v>
      </c>
      <c r="U204" s="33">
        <f t="array" ref="U2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204,Quick_Names,0))),Type_Species)),0),1)*IF(COUNTBLANK(Combo_Opponent_Type_2)=0,INDEX(Type_Damage_Multipliers,MATCH(Combo_Opponent_Type_2,IF(Type_Move=(INDEX(Quick_Type,MATCH($O204,Quick_Names,0))),Type_Species)),0),1)*(IF(OR(INDEX(Quick_Type,MATCH($O204,Quick_Names,0))=INDEX(Species_Type_1,MATCH($N204,Species_Names,0)),INDEX(Quick_Type,MATCH($O204,Quick_Names,0))=INDEX(Species_Type_2,MATCH($N204,Species_Names,0))),Game_STAB_Multiplier,1)))</f>
        <v>1</v>
      </c>
      <c r="V204" s="33">
        <f t="array" ref="V2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204,Charge_Names,0))),Type_Species)),0),1)*IF(COUNTBLANK(Combo_Opponent_Type_2)=0,INDEX(Type_Damage_Multipliers,MATCH(Combo_Opponent_Type_2,IF(Type_Move=(INDEX(Charge_Type,MATCH($P204,Charge_Names,0))),Type_Species)),0),1)*
IF(OR(INDEX(Charge_Type,MATCH($P204,Charge_Names,0))=INDEX(Species_Type_1,MATCH($N204,Species_Names,0)),INDEX(Charge_Type,MATCH($P204,Charge_Names,0))=INDEX(Species_Type_2,MATCH($N204,Species_Names,0))),Game_STAB_Multiplier,1))</f>
        <v>1.25</v>
      </c>
      <c r="W204" s="33" t="s">
        <v>621</v>
      </c>
      <c r="X204" s="33" t="s">
        <v>704</v>
      </c>
      <c r="Y204" s="32" t="e">
        <f t="array" ref="Y204">((($Z204)*
INDEX(Species_Attack,MATCH($N204,Species_Names,0))*
INDEX(Species_Tankiness,MATCH($N204,Species_Names,0)))/1000)</f>
        <v>#VALUE!</v>
      </c>
      <c r="Z204" s="33" t="s">
        <v>705</v>
      </c>
    </row>
    <row r="205" spans="1:26" ht="14.25" customHeight="1" x14ac:dyDescent="0.2">
      <c r="A205" s="86"/>
      <c r="B205" s="22" t="str">
        <f t="array" ref="B205">CONCATENATE(TEXT($M205,"000"),".",TEXT(INDEX(Quick_Number,MATCH($O205,Quick_Names,0)),"000"),".",TEXT(INDEX(Charge_Number,MATCH($P205,Charge_Names,0)),"000"))</f>
        <v>091.217.040</v>
      </c>
      <c r="C205" s="23" t="e">
        <f t="array" ref="C205">RANK($S205,IF(Combo_Species_Names=$N205,Combo_Gym_Offense),0)</f>
        <v>#VALUE!</v>
      </c>
      <c r="D205" s="24" t="e">
        <f t="array" ref="D205">$S205/MAX(IF(Combo_Species_Names=$N205,Combo_Gym_Offense))</f>
        <v>#VALUE!</v>
      </c>
      <c r="E205" s="23" t="e">
        <f t="array" ref="E205">RANK($Y205,IF(Combo_Species_Names=$N205,Combo_Gym_Defense),0)</f>
        <v>#VALUE!</v>
      </c>
      <c r="F205" s="25" t="e">
        <f t="array" ref="F205">$Y205/MAX(IF(Combo_Species_Names=$N205,Combo_Gym_Defense))</f>
        <v>#VALUE!</v>
      </c>
      <c r="G205" s="23" t="e">
        <f t="array" ref="G205">IF(OR(INDEX(Species_Availability,MATCH($N205,Species_Names,0))="No",INDEX(Species_Evo_Numbers,MATCH($N205,Species_Names,0))&lt;&gt;1),"N/A",RANK($R205,IF(NOT(ISNA(MATCH(Combo_Species_Names,IF(Species_Availability="Yes",IF(Species_Evo_Numbers=1,Species_Names)),0))),Combo_Duel_Ability),0))</f>
        <v>#VALUE!</v>
      </c>
      <c r="H205" s="24" t="e">
        <f t="array" ref="H205">IF(OR(INDEX(Species_Availability,MATCH($N205,Species_Names,0))="No",INDEX(Species_Evo_Numbers,MATCH($N205,Species_Names,0))&lt;&gt;1),"N/A",$R205/MAX(IF(NOT(ISNA(MATCH(Combo_Species_Names,IF(Species_Availability="Yes",IF(Species_Evo_Numbers=1,Species_Names)),0))),Combo_Duel_Ability)))</f>
        <v>#VALUE!</v>
      </c>
      <c r="I205" s="23" t="e">
        <f t="array" ref="I205">IF(OR(INDEX(Species_Availability,MATCH($N205,Species_Names,0))="No",INDEX(Species_Evo_Numbers,MATCH($N205,Species_Names,0))&lt;&gt;1),"N/A",RANK($S205,IF(NOT(ISNA(MATCH(Combo_Species_Names,IF(Species_Availability="Yes",IF(Species_Evo_Numbers=1,Species_Names)),0))),Combo_Gym_Offense),0))</f>
        <v>#VALUE!</v>
      </c>
      <c r="J205" s="24" t="e">
        <f t="array" ref="J205">IF(OR(INDEX(Species_Availability,MATCH($N205,Species_Names,0))="No",INDEX(Species_Evo_Numbers,MATCH($N205,Species_Names,0))&lt;&gt;1),"N/A",$S205/MAX(IF(NOT(ISNA(MATCH(Combo_Species_Names,IF(Species_Availability="Yes",IF(Species_Evo_Numbers=1,Species_Names)),0))),Combo_Gym_Offense)))</f>
        <v>#VALUE!</v>
      </c>
      <c r="K205" s="23" t="e">
        <f t="array" ref="K205">IF(OR(INDEX(Species_Availability,MATCH($N205,Species_Names,0))="No",INDEX(Species_Evo_Numbers,MATCH($N205,Species_Names,0))&lt;&gt;1),"N/A",RANK($Y205,IF(NOT(ISNA(MATCH(Combo_Species_Names,IF(Species_Availability="Yes",IF(Species_Evo_Numbers=1,Species_Names)),0))),Combo_Gym_Defense),0))</f>
        <v>#VALUE!</v>
      </c>
      <c r="L205" s="24" t="e">
        <f t="array" ref="L205">IF(OR(INDEX(Species_Availability,MATCH($N205,Species_Names,0))="No",INDEX(Species_Evo_Numbers,MATCH($N205,Species_Names,0))&lt;&gt;1),"N/A",$Y205/MAX(IF(NOT(ISNA(MATCH(Combo_Species_Names,IF(Species_Availability="Yes",IF(Species_Evo_Numbers=1,Species_Names)),0))),Combo_Gym_Defense)))</f>
        <v>#VALUE!</v>
      </c>
      <c r="M205" s="28">
        <f t="array" ref="M205">INDEX(Species_Pdex_Numbers,MATCH($N205,Species_Names,0))</f>
        <v>91</v>
      </c>
      <c r="N205" s="30" t="s">
        <v>277</v>
      </c>
      <c r="O205" s="31" t="s">
        <v>95</v>
      </c>
      <c r="P205" s="31" t="s">
        <v>153</v>
      </c>
      <c r="Q205" s="17" t="e">
        <f t="shared" si="6"/>
        <v>#VALUE!</v>
      </c>
      <c r="R205" s="32" t="e">
        <f t="array" ref="R205">IF(OR(AND(COUNTBLANK(Combo_Opponent_Type_1)=1,COUNTBLANK(Combo_Opponent_Type_2)=0),AND(AND(COUNTBLANK(Combo_Opponent_Type_1)=0,COUNTBLANK(Combo_Opponent_Type_2)=0),Combo_Opponent_Type_1=Combo_Opponent_Type_2)),
"Check Types",($S205*INDEX(Species_Tankiness,MATCH($N205,Species_Names,0)))/225)</f>
        <v>#VALUE!</v>
      </c>
      <c r="S205" s="32" t="e">
        <f t="array" ref="S205">IF(OR(AND(COUNTBLANK(Combo_Opponent_Type_1)=1,COUNTBLANK(Combo_Opponent_Type_2)=0),AND(AND(COUNTBLANK(Combo_Opponent_Type_1)=0,COUNTBLANK(Combo_Opponent_Type_2)=0),Combo_Opponent_Type_1=Combo_Opponent_Type_2)),
"Check Types",(
IF($W205&gt;=((1-Game_Weave_Human_Error)*$X205),$W205,$X205)*INDEX(Species_Attack,MATCH($N205,Species_Names,0)))/11)</f>
        <v>#VALUE!</v>
      </c>
      <c r="T205" s="33" t="e">
        <f t="shared" si="7"/>
        <v>#VALUE!</v>
      </c>
      <c r="U205" s="33">
        <f t="array" ref="U2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205,Quick_Names,0))),Type_Species)),0),1)*IF(COUNTBLANK(Combo_Opponent_Type_2)=0,INDEX(Type_Damage_Multipliers,MATCH(Combo_Opponent_Type_2,IF(Type_Move=(INDEX(Quick_Type,MATCH($O205,Quick_Names,0))),Type_Species)),0),1)*(IF(OR(INDEX(Quick_Type,MATCH($O205,Quick_Names,0))=INDEX(Species_Type_1,MATCH($N205,Species_Names,0)),INDEX(Quick_Type,MATCH($O205,Quick_Names,0))=INDEX(Species_Type_2,MATCH($N205,Species_Names,0))),Game_STAB_Multiplier,1)))</f>
        <v>1.25</v>
      </c>
      <c r="V205" s="33">
        <f t="array" ref="V2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205,Charge_Names,0))),Type_Species)),0),1)*IF(COUNTBLANK(Combo_Opponent_Type_2)=0,INDEX(Type_Damage_Multipliers,MATCH(Combo_Opponent_Type_2,IF(Type_Move=(INDEX(Charge_Type,MATCH($P205,Charge_Names,0))),Type_Species)),0),1)*
IF(OR(INDEX(Charge_Type,MATCH($P205,Charge_Names,0))=INDEX(Species_Type_1,MATCH($N205,Species_Names,0)),INDEX(Charge_Type,MATCH($P205,Charge_Names,0))=INDEX(Species_Type_2,MATCH($N205,Species_Names,0))),Game_STAB_Multiplier,1))</f>
        <v>1.25</v>
      </c>
      <c r="W205" s="33" t="s">
        <v>427</v>
      </c>
      <c r="X205" s="33" t="s">
        <v>428</v>
      </c>
      <c r="Y205" s="32" t="e">
        <f t="array" ref="Y205">((($Z205)*
INDEX(Species_Attack,MATCH($N205,Species_Names,0))*
INDEX(Species_Tankiness,MATCH($N205,Species_Names,0)))/1000)</f>
        <v>#VALUE!</v>
      </c>
      <c r="Z205" s="33" t="s">
        <v>429</v>
      </c>
    </row>
    <row r="206" spans="1:26" ht="14.25" customHeight="1" x14ac:dyDescent="0.2">
      <c r="A206" s="86"/>
      <c r="B206" s="22" t="str">
        <f t="array" ref="B206">CONCATENATE(TEXT($M206,"000"),".",TEXT(INDEX(Quick_Number,MATCH($O206,Quick_Names,0)),"000"),".",TEXT(INDEX(Charge_Number,MATCH($P206,Charge_Names,0)),"000"))</f>
        <v>049.201.049</v>
      </c>
      <c r="C206" s="23" t="e">
        <f t="array" ref="C206">RANK($S206,IF(Combo_Species_Names=$N206,Combo_Gym_Offense),0)</f>
        <v>#VALUE!</v>
      </c>
      <c r="D206" s="24" t="e">
        <f t="array" ref="D206">$S206/MAX(IF(Combo_Species_Names=$N206,Combo_Gym_Offense))</f>
        <v>#VALUE!</v>
      </c>
      <c r="E206" s="23" t="e">
        <f t="array" ref="E206">RANK($Y206,IF(Combo_Species_Names=$N206,Combo_Gym_Defense),0)</f>
        <v>#VALUE!</v>
      </c>
      <c r="F206" s="25" t="e">
        <f t="array" ref="F206">$Y206/MAX(IF(Combo_Species_Names=$N206,Combo_Gym_Defense))</f>
        <v>#VALUE!</v>
      </c>
      <c r="G206" s="23" t="e">
        <f t="array" ref="G206">IF(OR(INDEX(Species_Availability,MATCH($N206,Species_Names,0))="No",INDEX(Species_Evo_Numbers,MATCH($N206,Species_Names,0))&lt;&gt;1),"N/A",RANK($R206,IF(NOT(ISNA(MATCH(Combo_Species_Names,IF(Species_Availability="Yes",IF(Species_Evo_Numbers=1,Species_Names)),0))),Combo_Duel_Ability),0))</f>
        <v>#VALUE!</v>
      </c>
      <c r="H206" s="24" t="e">
        <f t="array" ref="H206">IF(OR(INDEX(Species_Availability,MATCH($N206,Species_Names,0))="No",INDEX(Species_Evo_Numbers,MATCH($N206,Species_Names,0))&lt;&gt;1),"N/A",$R206/MAX(IF(NOT(ISNA(MATCH(Combo_Species_Names,IF(Species_Availability="Yes",IF(Species_Evo_Numbers=1,Species_Names)),0))),Combo_Duel_Ability)))</f>
        <v>#VALUE!</v>
      </c>
      <c r="I206" s="23" t="e">
        <f t="array" ref="I206">IF(OR(INDEX(Species_Availability,MATCH($N206,Species_Names,0))="No",INDEX(Species_Evo_Numbers,MATCH($N206,Species_Names,0))&lt;&gt;1),"N/A",RANK($S206,IF(NOT(ISNA(MATCH(Combo_Species_Names,IF(Species_Availability="Yes",IF(Species_Evo_Numbers=1,Species_Names)),0))),Combo_Gym_Offense),0))</f>
        <v>#VALUE!</v>
      </c>
      <c r="J206" s="24" t="e">
        <f t="array" ref="J206">IF(OR(INDEX(Species_Availability,MATCH($N206,Species_Names,0))="No",INDEX(Species_Evo_Numbers,MATCH($N206,Species_Names,0))&lt;&gt;1),"N/A",$S206/MAX(IF(NOT(ISNA(MATCH(Combo_Species_Names,IF(Species_Availability="Yes",IF(Species_Evo_Numbers=1,Species_Names)),0))),Combo_Gym_Offense)))</f>
        <v>#VALUE!</v>
      </c>
      <c r="K206" s="23" t="e">
        <f t="array" ref="K206">IF(OR(INDEX(Species_Availability,MATCH($N206,Species_Names,0))="No",INDEX(Species_Evo_Numbers,MATCH($N206,Species_Names,0))&lt;&gt;1),"N/A",RANK($Y206,IF(NOT(ISNA(MATCH(Combo_Species_Names,IF(Species_Availability="Yes",IF(Species_Evo_Numbers=1,Species_Names)),0))),Combo_Gym_Defense),0))</f>
        <v>#VALUE!</v>
      </c>
      <c r="L206" s="24" t="e">
        <f t="array" ref="L206">IF(OR(INDEX(Species_Availability,MATCH($N206,Species_Names,0))="No",INDEX(Species_Evo_Numbers,MATCH($N206,Species_Names,0))&lt;&gt;1),"N/A",$Y206/MAX(IF(NOT(ISNA(MATCH(Combo_Species_Names,IF(Species_Availability="Yes",IF(Species_Evo_Numbers=1,Species_Names)),0))),Combo_Gym_Defense)))</f>
        <v>#VALUE!</v>
      </c>
      <c r="M206" s="28">
        <f t="array" ref="M206">INDEX(Species_Pdex_Numbers,MATCH($N206,Species_Names,0))</f>
        <v>49</v>
      </c>
      <c r="N206" s="30" t="s">
        <v>189</v>
      </c>
      <c r="O206" s="31" t="s">
        <v>82</v>
      </c>
      <c r="P206" s="31" t="s">
        <v>211</v>
      </c>
      <c r="Q206" s="17" t="e">
        <f t="shared" si="6"/>
        <v>#VALUE!</v>
      </c>
      <c r="R206" s="32" t="e">
        <f t="array" ref="R206">IF(OR(AND(COUNTBLANK(Combo_Opponent_Type_1)=1,COUNTBLANK(Combo_Opponent_Type_2)=0),AND(AND(COUNTBLANK(Combo_Opponent_Type_1)=0,COUNTBLANK(Combo_Opponent_Type_2)=0),Combo_Opponent_Type_1=Combo_Opponent_Type_2)),
"Check Types",($S206*INDEX(Species_Tankiness,MATCH($N206,Species_Names,0)))/225)</f>
        <v>#VALUE!</v>
      </c>
      <c r="S206" s="32" t="e">
        <f t="array" ref="S206">IF(OR(AND(COUNTBLANK(Combo_Opponent_Type_1)=1,COUNTBLANK(Combo_Opponent_Type_2)=0),AND(AND(COUNTBLANK(Combo_Opponent_Type_1)=0,COUNTBLANK(Combo_Opponent_Type_2)=0),Combo_Opponent_Type_1=Combo_Opponent_Type_2)),
"Check Types",(
IF($W206&gt;=((1-Game_Weave_Human_Error)*$X206),$W206,$X206)*INDEX(Species_Attack,MATCH($N206,Species_Names,0)))/11)</f>
        <v>#VALUE!</v>
      </c>
      <c r="T206" s="33" t="e">
        <f t="shared" si="7"/>
        <v>#VALUE!</v>
      </c>
      <c r="U206" s="33">
        <f t="array" ref="U2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206,Quick_Names,0))),Type_Species)),0),1)*IF(COUNTBLANK(Combo_Opponent_Type_2)=0,INDEX(Type_Damage_Multipliers,MATCH(Combo_Opponent_Type_2,IF(Type_Move=(INDEX(Quick_Type,MATCH($O206,Quick_Names,0))),Type_Species)),0),1)*(IF(OR(INDEX(Quick_Type,MATCH($O206,Quick_Names,0))=INDEX(Species_Type_1,MATCH($N206,Species_Names,0)),INDEX(Quick_Type,MATCH($O206,Quick_Names,0))=INDEX(Species_Type_2,MATCH($N206,Species_Names,0))),Game_STAB_Multiplier,1)))</f>
        <v>1.25</v>
      </c>
      <c r="V206" s="33">
        <f t="array" ref="V2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206,Charge_Names,0))),Type_Species)),0),1)*IF(COUNTBLANK(Combo_Opponent_Type_2)=0,INDEX(Type_Damage_Multipliers,MATCH(Combo_Opponent_Type_2,IF(Type_Move=(INDEX(Charge_Type,MATCH($P206,Charge_Names,0))),Type_Species)),0),1)*
IF(OR(INDEX(Charge_Type,MATCH($P206,Charge_Names,0))=INDEX(Species_Type_1,MATCH($N206,Species_Names,0)),INDEX(Charge_Type,MATCH($P206,Charge_Names,0))=INDEX(Species_Type_2,MATCH($N206,Species_Names,0))),Game_STAB_Multiplier,1))</f>
        <v>1.25</v>
      </c>
      <c r="W206" s="33" t="s">
        <v>436</v>
      </c>
      <c r="X206" s="33" t="s">
        <v>706</v>
      </c>
      <c r="Y206" s="32" t="e">
        <f t="array" ref="Y206">((($Z206)*
INDEX(Species_Attack,MATCH($N206,Species_Names,0))*
INDEX(Species_Tankiness,MATCH($N206,Species_Names,0)))/1000)</f>
        <v>#VALUE!</v>
      </c>
      <c r="Z206" s="33" t="s">
        <v>707</v>
      </c>
    </row>
    <row r="207" spans="1:26" ht="14.25" customHeight="1" x14ac:dyDescent="0.2">
      <c r="A207" s="86"/>
      <c r="B207" s="22" t="str">
        <f t="array" ref="B207">CONCATENATE(TEXT($M207,"000"),".",TEXT(INDEX(Quick_Number,MATCH($O207,Quick_Names,0)),"000"),".",TEXT(INDEX(Charge_Number,MATCH($P207,Charge_Names,0)),"000"))</f>
        <v>026.206.078</v>
      </c>
      <c r="C207" s="23" t="e">
        <f t="array" ref="C207">RANK($S207,IF(Combo_Species_Names=$N207,Combo_Gym_Offense),0)</f>
        <v>#VALUE!</v>
      </c>
      <c r="D207" s="24" t="e">
        <f t="array" ref="D207">$S207/MAX(IF(Combo_Species_Names=$N207,Combo_Gym_Offense))</f>
        <v>#VALUE!</v>
      </c>
      <c r="E207" s="23" t="e">
        <f t="array" ref="E207">RANK($Y207,IF(Combo_Species_Names=$N207,Combo_Gym_Defense),0)</f>
        <v>#VALUE!</v>
      </c>
      <c r="F207" s="25" t="e">
        <f t="array" ref="F207">$Y207/MAX(IF(Combo_Species_Names=$N207,Combo_Gym_Defense))</f>
        <v>#VALUE!</v>
      </c>
      <c r="G207" s="23" t="e">
        <f t="array" ref="G207">IF(OR(INDEX(Species_Availability,MATCH($N207,Species_Names,0))="No",INDEX(Species_Evo_Numbers,MATCH($N207,Species_Names,0))&lt;&gt;1),"N/A",RANK($R207,IF(NOT(ISNA(MATCH(Combo_Species_Names,IF(Species_Availability="Yes",IF(Species_Evo_Numbers=1,Species_Names)),0))),Combo_Duel_Ability),0))</f>
        <v>#VALUE!</v>
      </c>
      <c r="H207" s="24" t="e">
        <f t="array" ref="H207">IF(OR(INDEX(Species_Availability,MATCH($N207,Species_Names,0))="No",INDEX(Species_Evo_Numbers,MATCH($N207,Species_Names,0))&lt;&gt;1),"N/A",$R207/MAX(IF(NOT(ISNA(MATCH(Combo_Species_Names,IF(Species_Availability="Yes",IF(Species_Evo_Numbers=1,Species_Names)),0))),Combo_Duel_Ability)))</f>
        <v>#VALUE!</v>
      </c>
      <c r="I207" s="23" t="e">
        <f t="array" ref="I207">IF(OR(INDEX(Species_Availability,MATCH($N207,Species_Names,0))="No",INDEX(Species_Evo_Numbers,MATCH($N207,Species_Names,0))&lt;&gt;1),"N/A",RANK($S207,IF(NOT(ISNA(MATCH(Combo_Species_Names,IF(Species_Availability="Yes",IF(Species_Evo_Numbers=1,Species_Names)),0))),Combo_Gym_Offense),0))</f>
        <v>#VALUE!</v>
      </c>
      <c r="J207" s="24" t="e">
        <f t="array" ref="J207">IF(OR(INDEX(Species_Availability,MATCH($N207,Species_Names,0))="No",INDEX(Species_Evo_Numbers,MATCH($N207,Species_Names,0))&lt;&gt;1),"N/A",$S207/MAX(IF(NOT(ISNA(MATCH(Combo_Species_Names,IF(Species_Availability="Yes",IF(Species_Evo_Numbers=1,Species_Names)),0))),Combo_Gym_Offense)))</f>
        <v>#VALUE!</v>
      </c>
      <c r="K207" s="23" t="e">
        <f t="array" ref="K207">IF(OR(INDEX(Species_Availability,MATCH($N207,Species_Names,0))="No",INDEX(Species_Evo_Numbers,MATCH($N207,Species_Names,0))&lt;&gt;1),"N/A",RANK($Y207,IF(NOT(ISNA(MATCH(Combo_Species_Names,IF(Species_Availability="Yes",IF(Species_Evo_Numbers=1,Species_Names)),0))),Combo_Gym_Defense),0))</f>
        <v>#VALUE!</v>
      </c>
      <c r="L207" s="24" t="e">
        <f t="array" ref="L207">IF(OR(INDEX(Species_Availability,MATCH($N207,Species_Names,0))="No",INDEX(Species_Evo_Numbers,MATCH($N207,Species_Names,0))&lt;&gt;1),"N/A",$Y207/MAX(IF(NOT(ISNA(MATCH(Combo_Species_Names,IF(Species_Availability="Yes",IF(Species_Evo_Numbers=1,Species_Names)),0))),Combo_Gym_Defense)))</f>
        <v>#VALUE!</v>
      </c>
      <c r="M207" s="28">
        <f t="array" ref="M207">INDEX(Species_Pdex_Numbers,MATCH($N207,Species_Names,0))</f>
        <v>26</v>
      </c>
      <c r="N207" s="30" t="s">
        <v>136</v>
      </c>
      <c r="O207" s="31" t="s">
        <v>106</v>
      </c>
      <c r="P207" s="31" t="s">
        <v>174</v>
      </c>
      <c r="Q207" s="17" t="e">
        <f t="shared" si="6"/>
        <v>#VALUE!</v>
      </c>
      <c r="R207" s="32" t="e">
        <f t="array" ref="R207">IF(OR(AND(COUNTBLANK(Combo_Opponent_Type_1)=1,COUNTBLANK(Combo_Opponent_Type_2)=0),AND(AND(COUNTBLANK(Combo_Opponent_Type_1)=0,COUNTBLANK(Combo_Opponent_Type_2)=0),Combo_Opponent_Type_1=Combo_Opponent_Type_2)),
"Check Types",($S207*INDEX(Species_Tankiness,MATCH($N207,Species_Names,0)))/225)</f>
        <v>#VALUE!</v>
      </c>
      <c r="S207" s="32" t="e">
        <f t="array" ref="S207">IF(OR(AND(COUNTBLANK(Combo_Opponent_Type_1)=1,COUNTBLANK(Combo_Opponent_Type_2)=0),AND(AND(COUNTBLANK(Combo_Opponent_Type_1)=0,COUNTBLANK(Combo_Opponent_Type_2)=0),Combo_Opponent_Type_1=Combo_Opponent_Type_2)),
"Check Types",(
IF($W207&gt;=((1-Game_Weave_Human_Error)*$X207),$W207,$X207)*INDEX(Species_Attack,MATCH($N207,Species_Names,0)))/11)</f>
        <v>#VALUE!</v>
      </c>
      <c r="T207" s="33" t="e">
        <f t="shared" si="7"/>
        <v>#VALUE!</v>
      </c>
      <c r="U207" s="33">
        <f t="array" ref="U2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207,Quick_Names,0))),Type_Species)),0),1)*IF(COUNTBLANK(Combo_Opponent_Type_2)=0,INDEX(Type_Damage_Multipliers,MATCH(Combo_Opponent_Type_2,IF(Type_Move=(INDEX(Quick_Type,MATCH($O207,Quick_Names,0))),Type_Species)),0),1)*(IF(OR(INDEX(Quick_Type,MATCH($O207,Quick_Names,0))=INDEX(Species_Type_1,MATCH($N207,Species_Names,0)),INDEX(Quick_Type,MATCH($O207,Quick_Names,0))=INDEX(Species_Type_2,MATCH($N207,Species_Names,0))),Game_STAB_Multiplier,1)))</f>
        <v>1.25</v>
      </c>
      <c r="V207" s="33">
        <f t="array" ref="V2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207,Charge_Names,0))),Type_Species)),0),1)*IF(COUNTBLANK(Combo_Opponent_Type_2)=0,INDEX(Type_Damage_Multipliers,MATCH(Combo_Opponent_Type_2,IF(Type_Move=(INDEX(Charge_Type,MATCH($P207,Charge_Names,0))),Type_Species)),0),1)*
IF(OR(INDEX(Charge_Type,MATCH($P207,Charge_Names,0))=INDEX(Species_Type_1,MATCH($N207,Species_Names,0)),INDEX(Charge_Type,MATCH($P207,Charge_Names,0))=INDEX(Species_Type_2,MATCH($N207,Species_Names,0))),Game_STAB_Multiplier,1))</f>
        <v>1.25</v>
      </c>
      <c r="W207" s="33" t="s">
        <v>708</v>
      </c>
      <c r="X207" s="33" t="s">
        <v>709</v>
      </c>
      <c r="Y207" s="32" t="e">
        <f t="array" ref="Y207">((($Z207)*
INDEX(Species_Attack,MATCH($N207,Species_Names,0))*
INDEX(Species_Tankiness,MATCH($N207,Species_Names,0)))/1000)</f>
        <v>#VALUE!</v>
      </c>
      <c r="Z207" s="33" t="s">
        <v>524</v>
      </c>
    </row>
    <row r="208" spans="1:26" ht="14.25" customHeight="1" x14ac:dyDescent="0.2">
      <c r="A208" s="86"/>
      <c r="B208" s="22" t="str">
        <f t="array" ref="B208">CONCATENATE(TEXT($M208,"000"),".",TEXT(INDEX(Quick_Number,MATCH($O208,Quick_Names,0)),"000"),".",TEXT(INDEX(Charge_Number,MATCH($P208,Charge_Names,0)),"000"))</f>
        <v>125.205.079</v>
      </c>
      <c r="C208" s="23" t="e">
        <f t="array" ref="C208">RANK($S208,IF(Combo_Species_Names=$N208,Combo_Gym_Offense),0)</f>
        <v>#VALUE!</v>
      </c>
      <c r="D208" s="24" t="e">
        <f t="array" ref="D208">$S208/MAX(IF(Combo_Species_Names=$N208,Combo_Gym_Offense))</f>
        <v>#VALUE!</v>
      </c>
      <c r="E208" s="23" t="e">
        <f t="array" ref="E208">RANK($Y208,IF(Combo_Species_Names=$N208,Combo_Gym_Defense),0)</f>
        <v>#VALUE!</v>
      </c>
      <c r="F208" s="25" t="e">
        <f t="array" ref="F208">$Y208/MAX(IF(Combo_Species_Names=$N208,Combo_Gym_Defense))</f>
        <v>#VALUE!</v>
      </c>
      <c r="G208" s="23" t="e">
        <f t="array" ref="G208">IF(OR(INDEX(Species_Availability,MATCH($N208,Species_Names,0))="No",INDEX(Species_Evo_Numbers,MATCH($N208,Species_Names,0))&lt;&gt;1),"N/A",RANK($R208,IF(NOT(ISNA(MATCH(Combo_Species_Names,IF(Species_Availability="Yes",IF(Species_Evo_Numbers=1,Species_Names)),0))),Combo_Duel_Ability),0))</f>
        <v>#VALUE!</v>
      </c>
      <c r="H208" s="24" t="e">
        <f t="array" ref="H208">IF(OR(INDEX(Species_Availability,MATCH($N208,Species_Names,0))="No",INDEX(Species_Evo_Numbers,MATCH($N208,Species_Names,0))&lt;&gt;1),"N/A",$R208/MAX(IF(NOT(ISNA(MATCH(Combo_Species_Names,IF(Species_Availability="Yes",IF(Species_Evo_Numbers=1,Species_Names)),0))),Combo_Duel_Ability)))</f>
        <v>#VALUE!</v>
      </c>
      <c r="I208" s="23" t="e">
        <f t="array" ref="I208">IF(OR(INDEX(Species_Availability,MATCH($N208,Species_Names,0))="No",INDEX(Species_Evo_Numbers,MATCH($N208,Species_Names,0))&lt;&gt;1),"N/A",RANK($S208,IF(NOT(ISNA(MATCH(Combo_Species_Names,IF(Species_Availability="Yes",IF(Species_Evo_Numbers=1,Species_Names)),0))),Combo_Gym_Offense),0))</f>
        <v>#VALUE!</v>
      </c>
      <c r="J208" s="24" t="e">
        <f t="array" ref="J208">IF(OR(INDEX(Species_Availability,MATCH($N208,Species_Names,0))="No",INDEX(Species_Evo_Numbers,MATCH($N208,Species_Names,0))&lt;&gt;1),"N/A",$S208/MAX(IF(NOT(ISNA(MATCH(Combo_Species_Names,IF(Species_Availability="Yes",IF(Species_Evo_Numbers=1,Species_Names)),0))),Combo_Gym_Offense)))</f>
        <v>#VALUE!</v>
      </c>
      <c r="K208" s="23" t="e">
        <f t="array" ref="K208">IF(OR(INDEX(Species_Availability,MATCH($N208,Species_Names,0))="No",INDEX(Species_Evo_Numbers,MATCH($N208,Species_Names,0))&lt;&gt;1),"N/A",RANK($Y208,IF(NOT(ISNA(MATCH(Combo_Species_Names,IF(Species_Availability="Yes",IF(Species_Evo_Numbers=1,Species_Names)),0))),Combo_Gym_Defense),0))</f>
        <v>#VALUE!</v>
      </c>
      <c r="L208" s="24" t="e">
        <f t="array" ref="L208">IF(OR(INDEX(Species_Availability,MATCH($N208,Species_Names,0))="No",INDEX(Species_Evo_Numbers,MATCH($N208,Species_Names,0))&lt;&gt;1),"N/A",$Y208/MAX(IF(NOT(ISNA(MATCH(Combo_Species_Names,IF(Species_Availability="Yes",IF(Species_Evo_Numbers=1,Species_Names)),0))),Combo_Gym_Defense)))</f>
        <v>#VALUE!</v>
      </c>
      <c r="M208" s="28">
        <f t="array" ref="M208">INDEX(Species_Pdex_Numbers,MATCH($N208,Species_Names,0))</f>
        <v>125</v>
      </c>
      <c r="N208" s="30" t="s">
        <v>342</v>
      </c>
      <c r="O208" s="31" t="s">
        <v>115</v>
      </c>
      <c r="P208" s="31" t="s">
        <v>190</v>
      </c>
      <c r="Q208" s="17" t="e">
        <f t="shared" si="6"/>
        <v>#VALUE!</v>
      </c>
      <c r="R208" s="32" t="e">
        <f t="array" ref="R208">IF(OR(AND(COUNTBLANK(Combo_Opponent_Type_1)=1,COUNTBLANK(Combo_Opponent_Type_2)=0),AND(AND(COUNTBLANK(Combo_Opponent_Type_1)=0,COUNTBLANK(Combo_Opponent_Type_2)=0),Combo_Opponent_Type_1=Combo_Opponent_Type_2)),
"Check Types",($S208*INDEX(Species_Tankiness,MATCH($N208,Species_Names,0)))/225)</f>
        <v>#VALUE!</v>
      </c>
      <c r="S208" s="32" t="e">
        <f t="array" ref="S208">IF(OR(AND(COUNTBLANK(Combo_Opponent_Type_1)=1,COUNTBLANK(Combo_Opponent_Type_2)=0),AND(AND(COUNTBLANK(Combo_Opponent_Type_1)=0,COUNTBLANK(Combo_Opponent_Type_2)=0),Combo_Opponent_Type_1=Combo_Opponent_Type_2)),
"Check Types",(
IF($W208&gt;=((1-Game_Weave_Human_Error)*$X208),$W208,$X208)*INDEX(Species_Attack,MATCH($N208,Species_Names,0)))/11)</f>
        <v>#VALUE!</v>
      </c>
      <c r="T208" s="33" t="e">
        <f t="shared" si="7"/>
        <v>#VALUE!</v>
      </c>
      <c r="U208" s="33">
        <f t="array" ref="U2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208,Quick_Names,0))),Type_Species)),0),1)*IF(COUNTBLANK(Combo_Opponent_Type_2)=0,INDEX(Type_Damage_Multipliers,MATCH(Combo_Opponent_Type_2,IF(Type_Move=(INDEX(Quick_Type,MATCH($O208,Quick_Names,0))),Type_Species)),0),1)*(IF(OR(INDEX(Quick_Type,MATCH($O208,Quick_Names,0))=INDEX(Species_Type_1,MATCH($N208,Species_Names,0)),INDEX(Quick_Type,MATCH($O208,Quick_Names,0))=INDEX(Species_Type_2,MATCH($N208,Species_Names,0))),Game_STAB_Multiplier,1)))</f>
        <v>1.25</v>
      </c>
      <c r="V208" s="33">
        <f t="array" ref="V2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208,Charge_Names,0))),Type_Species)),0),1)*IF(COUNTBLANK(Combo_Opponent_Type_2)=0,INDEX(Type_Damage_Multipliers,MATCH(Combo_Opponent_Type_2,IF(Type_Move=(INDEX(Charge_Type,MATCH($P208,Charge_Names,0))),Type_Species)),0),1)*
IF(OR(INDEX(Charge_Type,MATCH($P208,Charge_Names,0))=INDEX(Species_Type_1,MATCH($N208,Species_Names,0)),INDEX(Charge_Type,MATCH($P208,Charge_Names,0))=INDEX(Species_Type_2,MATCH($N208,Species_Names,0))),Game_STAB_Multiplier,1))</f>
        <v>1.25</v>
      </c>
      <c r="W208" s="33" t="s">
        <v>678</v>
      </c>
      <c r="X208" s="33" t="s">
        <v>696</v>
      </c>
      <c r="Y208" s="32" t="e">
        <f t="array" ref="Y208">((($Z208)*
INDEX(Species_Attack,MATCH($N208,Species_Names,0))*
INDEX(Species_Tankiness,MATCH($N208,Species_Names,0)))/1000)</f>
        <v>#VALUE!</v>
      </c>
      <c r="Z208" s="33" t="s">
        <v>697</v>
      </c>
    </row>
    <row r="209" spans="1:26" ht="14.25" customHeight="1" x14ac:dyDescent="0.2">
      <c r="A209" s="86"/>
      <c r="B209" s="22" t="str">
        <f t="array" ref="B209">CONCATENATE(TEXT($M209,"000"),".",TEXT(INDEX(Quick_Number,MATCH($O209,Quick_Names,0)),"000"),".",TEXT(INDEX(Charge_Number,MATCH($P209,Charge_Names,0)),"000"))</f>
        <v>094.213.091</v>
      </c>
      <c r="C209" s="23" t="e">
        <f t="array" ref="C209">RANK($S209,IF(Combo_Species_Names=$N209,Combo_Gym_Offense),0)</f>
        <v>#VALUE!</v>
      </c>
      <c r="D209" s="24" t="e">
        <f t="array" ref="D209">$S209/MAX(IF(Combo_Species_Names=$N209,Combo_Gym_Offense))</f>
        <v>#VALUE!</v>
      </c>
      <c r="E209" s="23" t="e">
        <f t="array" ref="E209">RANK($Y209,IF(Combo_Species_Names=$N209,Combo_Gym_Defense),0)</f>
        <v>#VALUE!</v>
      </c>
      <c r="F209" s="25" t="e">
        <f t="array" ref="F209">$Y209/MAX(IF(Combo_Species_Names=$N209,Combo_Gym_Defense))</f>
        <v>#VALUE!</v>
      </c>
      <c r="G209" s="23" t="e">
        <f t="array" ref="G209">IF(OR(INDEX(Species_Availability,MATCH($N209,Species_Names,0))="No",INDEX(Species_Evo_Numbers,MATCH($N209,Species_Names,0))&lt;&gt;1),"N/A",RANK($R209,IF(NOT(ISNA(MATCH(Combo_Species_Names,IF(Species_Availability="Yes",IF(Species_Evo_Numbers=1,Species_Names)),0))),Combo_Duel_Ability),0))</f>
        <v>#VALUE!</v>
      </c>
      <c r="H209" s="24" t="e">
        <f t="array" ref="H209">IF(OR(INDEX(Species_Availability,MATCH($N209,Species_Names,0))="No",INDEX(Species_Evo_Numbers,MATCH($N209,Species_Names,0))&lt;&gt;1),"N/A",$R209/MAX(IF(NOT(ISNA(MATCH(Combo_Species_Names,IF(Species_Availability="Yes",IF(Species_Evo_Numbers=1,Species_Names)),0))),Combo_Duel_Ability)))</f>
        <v>#VALUE!</v>
      </c>
      <c r="I209" s="23" t="e">
        <f t="array" ref="I209">IF(OR(INDEX(Species_Availability,MATCH($N209,Species_Names,0))="No",INDEX(Species_Evo_Numbers,MATCH($N209,Species_Names,0))&lt;&gt;1),"N/A",RANK($S209,IF(NOT(ISNA(MATCH(Combo_Species_Names,IF(Species_Availability="Yes",IF(Species_Evo_Numbers=1,Species_Names)),0))),Combo_Gym_Offense),0))</f>
        <v>#VALUE!</v>
      </c>
      <c r="J209" s="24" t="e">
        <f t="array" ref="J209">IF(OR(INDEX(Species_Availability,MATCH($N209,Species_Names,0))="No",INDEX(Species_Evo_Numbers,MATCH($N209,Species_Names,0))&lt;&gt;1),"N/A",$S209/MAX(IF(NOT(ISNA(MATCH(Combo_Species_Names,IF(Species_Availability="Yes",IF(Species_Evo_Numbers=1,Species_Names)),0))),Combo_Gym_Offense)))</f>
        <v>#VALUE!</v>
      </c>
      <c r="K209" s="23" t="e">
        <f t="array" ref="K209">IF(OR(INDEX(Species_Availability,MATCH($N209,Species_Names,0))="No",INDEX(Species_Evo_Numbers,MATCH($N209,Species_Names,0))&lt;&gt;1),"N/A",RANK($Y209,IF(NOT(ISNA(MATCH(Combo_Species_Names,IF(Species_Availability="Yes",IF(Species_Evo_Numbers=1,Species_Names)),0))),Combo_Gym_Defense),0))</f>
        <v>#VALUE!</v>
      </c>
      <c r="L209" s="24" t="e">
        <f t="array" ref="L209">IF(OR(INDEX(Species_Availability,MATCH($N209,Species_Names,0))="No",INDEX(Species_Evo_Numbers,MATCH($N209,Species_Names,0))&lt;&gt;1),"N/A",$Y209/MAX(IF(NOT(ISNA(MATCH(Combo_Species_Names,IF(Species_Availability="Yes",IF(Species_Evo_Numbers=1,Species_Names)),0))),Combo_Gym_Defense)))</f>
        <v>#VALUE!</v>
      </c>
      <c r="M209" s="28">
        <f t="array" ref="M209">INDEX(Species_Pdex_Numbers,MATCH($N209,Species_Names,0))</f>
        <v>94</v>
      </c>
      <c r="N209" s="30" t="s">
        <v>284</v>
      </c>
      <c r="O209" s="31" t="s">
        <v>74</v>
      </c>
      <c r="P209" s="31" t="s">
        <v>186</v>
      </c>
      <c r="Q209" s="17" t="e">
        <f t="shared" si="6"/>
        <v>#VALUE!</v>
      </c>
      <c r="R209" s="32" t="e">
        <f t="array" ref="R209">IF(OR(AND(COUNTBLANK(Combo_Opponent_Type_1)=1,COUNTBLANK(Combo_Opponent_Type_2)=0),AND(AND(COUNTBLANK(Combo_Opponent_Type_1)=0,COUNTBLANK(Combo_Opponent_Type_2)=0),Combo_Opponent_Type_1=Combo_Opponent_Type_2)),
"Check Types",($S209*INDEX(Species_Tankiness,MATCH($N209,Species_Names,0)))/225)</f>
        <v>#VALUE!</v>
      </c>
      <c r="S209" s="32" t="e">
        <f t="array" ref="S209">IF(OR(AND(COUNTBLANK(Combo_Opponent_Type_1)=1,COUNTBLANK(Combo_Opponent_Type_2)=0),AND(AND(COUNTBLANK(Combo_Opponent_Type_1)=0,COUNTBLANK(Combo_Opponent_Type_2)=0),Combo_Opponent_Type_1=Combo_Opponent_Type_2)),
"Check Types",(
IF($W209&gt;=((1-Game_Weave_Human_Error)*$X209),$W209,$X209)*INDEX(Species_Attack,MATCH($N209,Species_Names,0)))/11)</f>
        <v>#VALUE!</v>
      </c>
      <c r="T209" s="33" t="e">
        <f t="shared" si="7"/>
        <v>#VALUE!</v>
      </c>
      <c r="U209" s="33">
        <f t="array" ref="U2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209,Quick_Names,0))),Type_Species)),0),1)*IF(COUNTBLANK(Combo_Opponent_Type_2)=0,INDEX(Type_Damage_Multipliers,MATCH(Combo_Opponent_Type_2,IF(Type_Move=(INDEX(Quick_Type,MATCH($O209,Quick_Names,0))),Type_Species)),0),1)*(IF(OR(INDEX(Quick_Type,MATCH($O209,Quick_Names,0))=INDEX(Species_Type_1,MATCH($N209,Species_Names,0)),INDEX(Quick_Type,MATCH($O209,Quick_Names,0))=INDEX(Species_Type_2,MATCH($N209,Species_Names,0))),Game_STAB_Multiplier,1)))</f>
        <v>1.25</v>
      </c>
      <c r="V209" s="33">
        <f t="array" ref="V2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209,Charge_Names,0))),Type_Species)),0),1)*IF(COUNTBLANK(Combo_Opponent_Type_2)=0,INDEX(Type_Damage_Multipliers,MATCH(Combo_Opponent_Type_2,IF(Type_Move=(INDEX(Charge_Type,MATCH($P209,Charge_Names,0))),Type_Species)),0),1)*
IF(OR(INDEX(Charge_Type,MATCH($P209,Charge_Names,0))=INDEX(Species_Type_1,MATCH($N209,Species_Names,0)),INDEX(Charge_Type,MATCH($P209,Charge_Names,0))=INDEX(Species_Type_2,MATCH($N209,Species_Names,0))),Game_STAB_Multiplier,1))</f>
        <v>1.25</v>
      </c>
      <c r="W209" s="33" t="s">
        <v>710</v>
      </c>
      <c r="X209" s="33" t="s">
        <v>711</v>
      </c>
      <c r="Y209" s="32" t="e">
        <f t="array" ref="Y209">((($Z209)*
INDEX(Species_Attack,MATCH($N209,Species_Names,0))*
INDEX(Species_Tankiness,MATCH($N209,Species_Names,0)))/1000)</f>
        <v>#VALUE!</v>
      </c>
      <c r="Z209" s="33" t="s">
        <v>605</v>
      </c>
    </row>
    <row r="210" spans="1:26" ht="14.25" customHeight="1" x14ac:dyDescent="0.2">
      <c r="A210" s="86"/>
      <c r="B210" s="22" t="str">
        <f t="array" ref="B210">CONCATENATE(TEXT($M210,"000"),".",TEXT(INDEX(Quick_Number,MATCH($O210,Quick_Names,0)),"000"),".",TEXT(INDEX(Charge_Number,MATCH($P210,Charge_Names,0)),"000"))</f>
        <v>091.217.107</v>
      </c>
      <c r="C210" s="23" t="e">
        <f t="array" ref="C210">RANK($S210,IF(Combo_Species_Names=$N210,Combo_Gym_Offense),0)</f>
        <v>#VALUE!</v>
      </c>
      <c r="D210" s="24" t="e">
        <f t="array" ref="D210">$S210/MAX(IF(Combo_Species_Names=$N210,Combo_Gym_Offense))</f>
        <v>#VALUE!</v>
      </c>
      <c r="E210" s="23" t="e">
        <f t="array" ref="E210">RANK($Y210,IF(Combo_Species_Names=$N210,Combo_Gym_Defense),0)</f>
        <v>#VALUE!</v>
      </c>
      <c r="F210" s="25" t="e">
        <f t="array" ref="F210">$Y210/MAX(IF(Combo_Species_Names=$N210,Combo_Gym_Defense))</f>
        <v>#VALUE!</v>
      </c>
      <c r="G210" s="23" t="e">
        <f t="array" ref="G210">IF(OR(INDEX(Species_Availability,MATCH($N210,Species_Names,0))="No",INDEX(Species_Evo_Numbers,MATCH($N210,Species_Names,0))&lt;&gt;1),"N/A",RANK($R210,IF(NOT(ISNA(MATCH(Combo_Species_Names,IF(Species_Availability="Yes",IF(Species_Evo_Numbers=1,Species_Names)),0))),Combo_Duel_Ability),0))</f>
        <v>#VALUE!</v>
      </c>
      <c r="H210" s="24" t="e">
        <f t="array" ref="H210">IF(OR(INDEX(Species_Availability,MATCH($N210,Species_Names,0))="No",INDEX(Species_Evo_Numbers,MATCH($N210,Species_Names,0))&lt;&gt;1),"N/A",$R210/MAX(IF(NOT(ISNA(MATCH(Combo_Species_Names,IF(Species_Availability="Yes",IF(Species_Evo_Numbers=1,Species_Names)),0))),Combo_Duel_Ability)))</f>
        <v>#VALUE!</v>
      </c>
      <c r="I210" s="23" t="e">
        <f t="array" ref="I210">IF(OR(INDEX(Species_Availability,MATCH($N210,Species_Names,0))="No",INDEX(Species_Evo_Numbers,MATCH($N210,Species_Names,0))&lt;&gt;1),"N/A",RANK($S210,IF(NOT(ISNA(MATCH(Combo_Species_Names,IF(Species_Availability="Yes",IF(Species_Evo_Numbers=1,Species_Names)),0))),Combo_Gym_Offense),0))</f>
        <v>#VALUE!</v>
      </c>
      <c r="J210" s="24" t="e">
        <f t="array" ref="J210">IF(OR(INDEX(Species_Availability,MATCH($N210,Species_Names,0))="No",INDEX(Species_Evo_Numbers,MATCH($N210,Species_Names,0))&lt;&gt;1),"N/A",$S210/MAX(IF(NOT(ISNA(MATCH(Combo_Species_Names,IF(Species_Availability="Yes",IF(Species_Evo_Numbers=1,Species_Names)),0))),Combo_Gym_Offense)))</f>
        <v>#VALUE!</v>
      </c>
      <c r="K210" s="23" t="e">
        <f t="array" ref="K210">IF(OR(INDEX(Species_Availability,MATCH($N210,Species_Names,0))="No",INDEX(Species_Evo_Numbers,MATCH($N210,Species_Names,0))&lt;&gt;1),"N/A",RANK($Y210,IF(NOT(ISNA(MATCH(Combo_Species_Names,IF(Species_Availability="Yes",IF(Species_Evo_Numbers=1,Species_Names)),0))),Combo_Gym_Defense),0))</f>
        <v>#VALUE!</v>
      </c>
      <c r="L210" s="24" t="e">
        <f t="array" ref="L210">IF(OR(INDEX(Species_Availability,MATCH($N210,Species_Names,0))="No",INDEX(Species_Evo_Numbers,MATCH($N210,Species_Names,0))&lt;&gt;1),"N/A",$Y210/MAX(IF(NOT(ISNA(MATCH(Combo_Species_Names,IF(Species_Availability="Yes",IF(Species_Evo_Numbers=1,Species_Names)),0))),Combo_Gym_Defense)))</f>
        <v>#VALUE!</v>
      </c>
      <c r="M210" s="28">
        <f t="array" ref="M210">INDEX(Species_Pdex_Numbers,MATCH($N210,Species_Names,0))</f>
        <v>91</v>
      </c>
      <c r="N210" s="30" t="s">
        <v>277</v>
      </c>
      <c r="O210" s="31" t="s">
        <v>95</v>
      </c>
      <c r="P210" s="31" t="s">
        <v>170</v>
      </c>
      <c r="Q210" s="17" t="e">
        <f t="shared" si="6"/>
        <v>#VALUE!</v>
      </c>
      <c r="R210" s="32" t="e">
        <f t="array" ref="R210">IF(OR(AND(COUNTBLANK(Combo_Opponent_Type_1)=1,COUNTBLANK(Combo_Opponent_Type_2)=0),AND(AND(COUNTBLANK(Combo_Opponent_Type_1)=0,COUNTBLANK(Combo_Opponent_Type_2)=0),Combo_Opponent_Type_1=Combo_Opponent_Type_2)),
"Check Types",($S210*INDEX(Species_Tankiness,MATCH($N210,Species_Names,0)))/225)</f>
        <v>#VALUE!</v>
      </c>
      <c r="S210" s="32" t="e">
        <f t="array" ref="S210">IF(OR(AND(COUNTBLANK(Combo_Opponent_Type_1)=1,COUNTBLANK(Combo_Opponent_Type_2)=0),AND(AND(COUNTBLANK(Combo_Opponent_Type_1)=0,COUNTBLANK(Combo_Opponent_Type_2)=0),Combo_Opponent_Type_1=Combo_Opponent_Type_2)),
"Check Types",(
IF($W210&gt;=((1-Game_Weave_Human_Error)*$X210),$W210,$X210)*INDEX(Species_Attack,MATCH($N210,Species_Names,0)))/11)</f>
        <v>#VALUE!</v>
      </c>
      <c r="T210" s="33" t="e">
        <f t="shared" si="7"/>
        <v>#VALUE!</v>
      </c>
      <c r="U210" s="33">
        <f t="array" ref="U2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210,Quick_Names,0))),Type_Species)),0),1)*IF(COUNTBLANK(Combo_Opponent_Type_2)=0,INDEX(Type_Damage_Multipliers,MATCH(Combo_Opponent_Type_2,IF(Type_Move=(INDEX(Quick_Type,MATCH($O210,Quick_Names,0))),Type_Species)),0),1)*(IF(OR(INDEX(Quick_Type,MATCH($O210,Quick_Names,0))=INDEX(Species_Type_1,MATCH($N210,Species_Names,0)),INDEX(Quick_Type,MATCH($O210,Quick_Names,0))=INDEX(Species_Type_2,MATCH($N210,Species_Names,0))),Game_STAB_Multiplier,1)))</f>
        <v>1.25</v>
      </c>
      <c r="V210" s="33">
        <f t="array" ref="V2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210,Charge_Names,0))),Type_Species)),0),1)*IF(COUNTBLANK(Combo_Opponent_Type_2)=0,INDEX(Type_Damage_Multipliers,MATCH(Combo_Opponent_Type_2,IF(Type_Move=(INDEX(Charge_Type,MATCH($P210,Charge_Names,0))),Type_Species)),0),1)*
IF(OR(INDEX(Charge_Type,MATCH($P210,Charge_Names,0))=INDEX(Species_Type_1,MATCH($N210,Species_Names,0)),INDEX(Charge_Type,MATCH($P210,Charge_Names,0))=INDEX(Species_Type_2,MATCH($N210,Species_Names,0))),Game_STAB_Multiplier,1))</f>
        <v>1.25</v>
      </c>
      <c r="W210" s="33" t="s">
        <v>427</v>
      </c>
      <c r="X210" s="33" t="s">
        <v>712</v>
      </c>
      <c r="Y210" s="32" t="e">
        <f t="array" ref="Y210">((($Z210)*
INDEX(Species_Attack,MATCH($N210,Species_Names,0))*
INDEX(Species_Tankiness,MATCH($N210,Species_Names,0)))/1000)</f>
        <v>#VALUE!</v>
      </c>
      <c r="Z210" s="33" t="s">
        <v>585</v>
      </c>
    </row>
    <row r="211" spans="1:26" ht="14.25" customHeight="1" x14ac:dyDescent="0.2">
      <c r="A211" s="86"/>
      <c r="B211" s="22" t="str">
        <f t="array" ref="B211">CONCATENATE(TEXT($M211,"000"),".",TEXT(INDEX(Quick_Number,MATCH($O211,Quick_Names,0)),"000"),".",TEXT(INDEX(Charge_Number,MATCH($P211,Charge_Names,0)),"000"))</f>
        <v>119.224.022</v>
      </c>
      <c r="C211" s="23" t="e">
        <f t="array" ref="C211">RANK($S211,IF(Combo_Species_Names=$N211,Combo_Gym_Offense),0)</f>
        <v>#VALUE!</v>
      </c>
      <c r="D211" s="24" t="e">
        <f t="array" ref="D211">$S211/MAX(IF(Combo_Species_Names=$N211,Combo_Gym_Offense))</f>
        <v>#VALUE!</v>
      </c>
      <c r="E211" s="23" t="e">
        <f t="array" ref="E211">RANK($Y211,IF(Combo_Species_Names=$N211,Combo_Gym_Defense),0)</f>
        <v>#VALUE!</v>
      </c>
      <c r="F211" s="25" t="e">
        <f t="array" ref="F211">$Y211/MAX(IF(Combo_Species_Names=$N211,Combo_Gym_Defense))</f>
        <v>#VALUE!</v>
      </c>
      <c r="G211" s="23" t="e">
        <f t="array" ref="G211">IF(OR(INDEX(Species_Availability,MATCH($N211,Species_Names,0))="No",INDEX(Species_Evo_Numbers,MATCH($N211,Species_Names,0))&lt;&gt;1),"N/A",RANK($R211,IF(NOT(ISNA(MATCH(Combo_Species_Names,IF(Species_Availability="Yes",IF(Species_Evo_Numbers=1,Species_Names)),0))),Combo_Duel_Ability),0))</f>
        <v>#VALUE!</v>
      </c>
      <c r="H211" s="24" t="e">
        <f t="array" ref="H211">IF(OR(INDEX(Species_Availability,MATCH($N211,Species_Names,0))="No",INDEX(Species_Evo_Numbers,MATCH($N211,Species_Names,0))&lt;&gt;1),"N/A",$R211/MAX(IF(NOT(ISNA(MATCH(Combo_Species_Names,IF(Species_Availability="Yes",IF(Species_Evo_Numbers=1,Species_Names)),0))),Combo_Duel_Ability)))</f>
        <v>#VALUE!</v>
      </c>
      <c r="I211" s="23" t="e">
        <f t="array" ref="I211">IF(OR(INDEX(Species_Availability,MATCH($N211,Species_Names,0))="No",INDEX(Species_Evo_Numbers,MATCH($N211,Species_Names,0))&lt;&gt;1),"N/A",RANK($S211,IF(NOT(ISNA(MATCH(Combo_Species_Names,IF(Species_Availability="Yes",IF(Species_Evo_Numbers=1,Species_Names)),0))),Combo_Gym_Offense),0))</f>
        <v>#VALUE!</v>
      </c>
      <c r="J211" s="24" t="e">
        <f t="array" ref="J211">IF(OR(INDEX(Species_Availability,MATCH($N211,Species_Names,0))="No",INDEX(Species_Evo_Numbers,MATCH($N211,Species_Names,0))&lt;&gt;1),"N/A",$S211/MAX(IF(NOT(ISNA(MATCH(Combo_Species_Names,IF(Species_Availability="Yes",IF(Species_Evo_Numbers=1,Species_Names)),0))),Combo_Gym_Offense)))</f>
        <v>#VALUE!</v>
      </c>
      <c r="K211" s="23" t="e">
        <f t="array" ref="K211">IF(OR(INDEX(Species_Availability,MATCH($N211,Species_Names,0))="No",INDEX(Species_Evo_Numbers,MATCH($N211,Species_Names,0))&lt;&gt;1),"N/A",RANK($Y211,IF(NOT(ISNA(MATCH(Combo_Species_Names,IF(Species_Availability="Yes",IF(Species_Evo_Numbers=1,Species_Names)),0))),Combo_Gym_Defense),0))</f>
        <v>#VALUE!</v>
      </c>
      <c r="L211" s="24" t="e">
        <f t="array" ref="L211">IF(OR(INDEX(Species_Availability,MATCH($N211,Species_Names,0))="No",INDEX(Species_Evo_Numbers,MATCH($N211,Species_Names,0))&lt;&gt;1),"N/A",$Y211/MAX(IF(NOT(ISNA(MATCH(Combo_Species_Names,IF(Species_Availability="Yes",IF(Species_Evo_Numbers=1,Species_Names)),0))),Combo_Gym_Defense)))</f>
        <v>#VALUE!</v>
      </c>
      <c r="M211" s="28">
        <f t="array" ref="M211">INDEX(Species_Pdex_Numbers,MATCH($N211,Species_Names,0))</f>
        <v>119</v>
      </c>
      <c r="N211" s="30" t="s">
        <v>332</v>
      </c>
      <c r="O211" s="31" t="s">
        <v>77</v>
      </c>
      <c r="P211" s="31" t="s">
        <v>159</v>
      </c>
      <c r="Q211" s="17" t="e">
        <f t="shared" si="6"/>
        <v>#VALUE!</v>
      </c>
      <c r="R211" s="32" t="e">
        <f t="array" ref="R211">IF(OR(AND(COUNTBLANK(Combo_Opponent_Type_1)=1,COUNTBLANK(Combo_Opponent_Type_2)=0),AND(AND(COUNTBLANK(Combo_Opponent_Type_1)=0,COUNTBLANK(Combo_Opponent_Type_2)=0),Combo_Opponent_Type_1=Combo_Opponent_Type_2)),
"Check Types",($S211*INDEX(Species_Tankiness,MATCH($N211,Species_Names,0)))/225)</f>
        <v>#VALUE!</v>
      </c>
      <c r="S211" s="32" t="e">
        <f t="array" ref="S211">IF(OR(AND(COUNTBLANK(Combo_Opponent_Type_1)=1,COUNTBLANK(Combo_Opponent_Type_2)=0),AND(AND(COUNTBLANK(Combo_Opponent_Type_1)=0,COUNTBLANK(Combo_Opponent_Type_2)=0),Combo_Opponent_Type_1=Combo_Opponent_Type_2)),
"Check Types",(
IF($W211&gt;=((1-Game_Weave_Human_Error)*$X211),$W211,$X211)*INDEX(Species_Attack,MATCH($N211,Species_Names,0)))/11)</f>
        <v>#VALUE!</v>
      </c>
      <c r="T211" s="33" t="e">
        <f t="shared" si="7"/>
        <v>#VALUE!</v>
      </c>
      <c r="U211" s="33">
        <f t="array" ref="U2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211,Quick_Names,0))),Type_Species)),0),1)*IF(COUNTBLANK(Combo_Opponent_Type_2)=0,INDEX(Type_Damage_Multipliers,MATCH(Combo_Opponent_Type_2,IF(Type_Move=(INDEX(Quick_Type,MATCH($O211,Quick_Names,0))),Type_Species)),0),1)*(IF(OR(INDEX(Quick_Type,MATCH($O211,Quick_Names,0))=INDEX(Species_Type_1,MATCH($N211,Species_Names,0)),INDEX(Quick_Type,MATCH($O211,Quick_Names,0))=INDEX(Species_Type_2,MATCH($N211,Species_Names,0))),Game_STAB_Multiplier,1)))</f>
        <v>1</v>
      </c>
      <c r="V211" s="33">
        <f t="array" ref="V2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211,Charge_Names,0))),Type_Species)),0),1)*IF(COUNTBLANK(Combo_Opponent_Type_2)=0,INDEX(Type_Damage_Multipliers,MATCH(Combo_Opponent_Type_2,IF(Type_Move=(INDEX(Charge_Type,MATCH($P211,Charge_Names,0))),Type_Species)),0),1)*
IF(OR(INDEX(Charge_Type,MATCH($P211,Charge_Names,0))=INDEX(Species_Type_1,MATCH($N211,Species_Names,0)),INDEX(Charge_Type,MATCH($P211,Charge_Names,0))=INDEX(Species_Type_2,MATCH($N211,Species_Names,0))),Game_STAB_Multiplier,1))</f>
        <v>1</v>
      </c>
      <c r="W211" s="33" t="s">
        <v>419</v>
      </c>
      <c r="X211" s="33" t="s">
        <v>713</v>
      </c>
      <c r="Y211" s="32" t="e">
        <f t="array" ref="Y211">((($Z211)*
INDEX(Species_Attack,MATCH($N211,Species_Names,0))*
INDEX(Species_Tankiness,MATCH($N211,Species_Names,0)))/1000)</f>
        <v>#VALUE!</v>
      </c>
      <c r="Z211" s="33" t="s">
        <v>685</v>
      </c>
    </row>
    <row r="212" spans="1:26" ht="14.25" customHeight="1" x14ac:dyDescent="0.2">
      <c r="A212" s="86"/>
      <c r="B212" s="22" t="str">
        <f t="array" ref="B212">CONCATENATE(TEXT($M212,"000"),".",TEXT(INDEX(Quick_Number,MATCH($O212,Quick_Names,0)),"000"),".",TEXT(INDEX(Charge_Number,MATCH($P212,Charge_Names,0)),"000"))</f>
        <v>115.207.127</v>
      </c>
      <c r="C212" s="23" t="e">
        <f t="array" ref="C212">RANK($S212,IF(Combo_Species_Names=$N212,Combo_Gym_Offense),0)</f>
        <v>#VALUE!</v>
      </c>
      <c r="D212" s="24" t="e">
        <f t="array" ref="D212">$S212/MAX(IF(Combo_Species_Names=$N212,Combo_Gym_Offense))</f>
        <v>#VALUE!</v>
      </c>
      <c r="E212" s="23" t="e">
        <f t="array" ref="E212">RANK($Y212,IF(Combo_Species_Names=$N212,Combo_Gym_Defense),0)</f>
        <v>#VALUE!</v>
      </c>
      <c r="F212" s="25" t="e">
        <f t="array" ref="F212">$Y212/MAX(IF(Combo_Species_Names=$N212,Combo_Gym_Defense))</f>
        <v>#VALUE!</v>
      </c>
      <c r="G212" s="23" t="e">
        <f t="array" ref="G212">IF(OR(INDEX(Species_Availability,MATCH($N212,Species_Names,0))="No",INDEX(Species_Evo_Numbers,MATCH($N212,Species_Names,0))&lt;&gt;1),"N/A",RANK($R212,IF(NOT(ISNA(MATCH(Combo_Species_Names,IF(Species_Availability="Yes",IF(Species_Evo_Numbers=1,Species_Names)),0))),Combo_Duel_Ability),0))</f>
        <v>#VALUE!</v>
      </c>
      <c r="H212" s="24" t="e">
        <f t="array" ref="H212">IF(OR(INDEX(Species_Availability,MATCH($N212,Species_Names,0))="No",INDEX(Species_Evo_Numbers,MATCH($N212,Species_Names,0))&lt;&gt;1),"N/A",$R212/MAX(IF(NOT(ISNA(MATCH(Combo_Species_Names,IF(Species_Availability="Yes",IF(Species_Evo_Numbers=1,Species_Names)),0))),Combo_Duel_Ability)))</f>
        <v>#VALUE!</v>
      </c>
      <c r="I212" s="23" t="e">
        <f t="array" ref="I212">IF(OR(INDEX(Species_Availability,MATCH($N212,Species_Names,0))="No",INDEX(Species_Evo_Numbers,MATCH($N212,Species_Names,0))&lt;&gt;1),"N/A",RANK($S212,IF(NOT(ISNA(MATCH(Combo_Species_Names,IF(Species_Availability="Yes",IF(Species_Evo_Numbers=1,Species_Names)),0))),Combo_Gym_Offense),0))</f>
        <v>#VALUE!</v>
      </c>
      <c r="J212" s="24" t="e">
        <f t="array" ref="J212">IF(OR(INDEX(Species_Availability,MATCH($N212,Species_Names,0))="No",INDEX(Species_Evo_Numbers,MATCH($N212,Species_Names,0))&lt;&gt;1),"N/A",$S212/MAX(IF(NOT(ISNA(MATCH(Combo_Species_Names,IF(Species_Availability="Yes",IF(Species_Evo_Numbers=1,Species_Names)),0))),Combo_Gym_Offense)))</f>
        <v>#VALUE!</v>
      </c>
      <c r="K212" s="23" t="e">
        <f t="array" ref="K212">IF(OR(INDEX(Species_Availability,MATCH($N212,Species_Names,0))="No",INDEX(Species_Evo_Numbers,MATCH($N212,Species_Names,0))&lt;&gt;1),"N/A",RANK($Y212,IF(NOT(ISNA(MATCH(Combo_Species_Names,IF(Species_Availability="Yes",IF(Species_Evo_Numbers=1,Species_Names)),0))),Combo_Gym_Defense),0))</f>
        <v>#VALUE!</v>
      </c>
      <c r="L212" s="24" t="e">
        <f t="array" ref="L212">IF(OR(INDEX(Species_Availability,MATCH($N212,Species_Names,0))="No",INDEX(Species_Evo_Numbers,MATCH($N212,Species_Names,0))&lt;&gt;1),"N/A",$Y212/MAX(IF(NOT(ISNA(MATCH(Combo_Species_Names,IF(Species_Availability="Yes",IF(Species_Evo_Numbers=1,Species_Names)),0))),Combo_Gym_Defense)))</f>
        <v>#VALUE!</v>
      </c>
      <c r="M212" s="28">
        <f t="array" ref="M212">INDEX(Species_Pdex_Numbers,MATCH($N212,Species_Names,0))</f>
        <v>115</v>
      </c>
      <c r="N212" s="30" t="s">
        <v>328</v>
      </c>
      <c r="O212" s="31" t="s">
        <v>117</v>
      </c>
      <c r="P212" s="31" t="s">
        <v>241</v>
      </c>
      <c r="Q212" s="17" t="e">
        <f t="shared" si="6"/>
        <v>#VALUE!</v>
      </c>
      <c r="R212" s="32" t="e">
        <f t="array" ref="R212">IF(OR(AND(COUNTBLANK(Combo_Opponent_Type_1)=1,COUNTBLANK(Combo_Opponent_Type_2)=0),AND(AND(COUNTBLANK(Combo_Opponent_Type_1)=0,COUNTBLANK(Combo_Opponent_Type_2)=0),Combo_Opponent_Type_1=Combo_Opponent_Type_2)),
"Check Types",($S212*INDEX(Species_Tankiness,MATCH($N212,Species_Names,0)))/225)</f>
        <v>#VALUE!</v>
      </c>
      <c r="S212" s="32" t="e">
        <f t="array" ref="S212">IF(OR(AND(COUNTBLANK(Combo_Opponent_Type_1)=1,COUNTBLANK(Combo_Opponent_Type_2)=0),AND(AND(COUNTBLANK(Combo_Opponent_Type_1)=0,COUNTBLANK(Combo_Opponent_Type_2)=0),Combo_Opponent_Type_1=Combo_Opponent_Type_2)),
"Check Types",(
IF($W212&gt;=((1-Game_Weave_Human_Error)*$X212),$W212,$X212)*INDEX(Species_Attack,MATCH($N212,Species_Names,0)))/11)</f>
        <v>#VALUE!</v>
      </c>
      <c r="T212" s="33" t="e">
        <f t="shared" si="7"/>
        <v>#VALUE!</v>
      </c>
      <c r="U212" s="33">
        <f t="array" ref="U2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212,Quick_Names,0))),Type_Species)),0),1)*IF(COUNTBLANK(Combo_Opponent_Type_2)=0,INDEX(Type_Damage_Multipliers,MATCH(Combo_Opponent_Type_2,IF(Type_Move=(INDEX(Quick_Type,MATCH($O212,Quick_Names,0))),Type_Species)),0),1)*(IF(OR(INDEX(Quick_Type,MATCH($O212,Quick_Names,0))=INDEX(Species_Type_1,MATCH($N212,Species_Names,0)),INDEX(Quick_Type,MATCH($O212,Quick_Names,0))=INDEX(Species_Type_2,MATCH($N212,Species_Names,0))),Game_STAB_Multiplier,1)))</f>
        <v>1</v>
      </c>
      <c r="V212" s="33">
        <f t="array" ref="V2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212,Charge_Names,0))),Type_Species)),0),1)*IF(COUNTBLANK(Combo_Opponent_Type_2)=0,INDEX(Type_Damage_Multipliers,MATCH(Combo_Opponent_Type_2,IF(Type_Move=(INDEX(Charge_Type,MATCH($P212,Charge_Names,0))),Type_Species)),0),1)*
IF(OR(INDEX(Charge_Type,MATCH($P212,Charge_Names,0))=INDEX(Species_Type_1,MATCH($N212,Species_Names,0)),INDEX(Charge_Type,MATCH($P212,Charge_Names,0))=INDEX(Species_Type_2,MATCH($N212,Species_Names,0))),Game_STAB_Multiplier,1))</f>
        <v>1.25</v>
      </c>
      <c r="W212" s="33" t="s">
        <v>621</v>
      </c>
      <c r="X212" s="33" t="s">
        <v>714</v>
      </c>
      <c r="Y212" s="32" t="e">
        <f t="array" ref="Y212">((($Z212)*
INDEX(Species_Attack,MATCH($N212,Species_Names,0))*
INDEX(Species_Tankiness,MATCH($N212,Species_Names,0)))/1000)</f>
        <v>#VALUE!</v>
      </c>
      <c r="Z212" s="33" t="s">
        <v>612</v>
      </c>
    </row>
    <row r="213" spans="1:26" ht="14.25" customHeight="1" x14ac:dyDescent="0.2">
      <c r="A213" s="86"/>
      <c r="B213" s="22" t="str">
        <f t="array" ref="B213">CONCATENATE(TEXT($M213,"000"),".",TEXT(INDEX(Quick_Number,MATCH($O213,Quick_Names,0)),"000"),".",TEXT(INDEX(Charge_Number,MATCH($P213,Charge_Names,0)),"000"))</f>
        <v>108.212.014</v>
      </c>
      <c r="C213" s="23" t="e">
        <f t="array" ref="C213">RANK($S213,IF(Combo_Species_Names=$N213,Combo_Gym_Offense),0)</f>
        <v>#VALUE!</v>
      </c>
      <c r="D213" s="24" t="e">
        <f t="array" ref="D213">$S213/MAX(IF(Combo_Species_Names=$N213,Combo_Gym_Offense))</f>
        <v>#VALUE!</v>
      </c>
      <c r="E213" s="23" t="e">
        <f t="array" ref="E213">RANK($Y213,IF(Combo_Species_Names=$N213,Combo_Gym_Defense),0)</f>
        <v>#VALUE!</v>
      </c>
      <c r="F213" s="25" t="e">
        <f t="array" ref="F213">$Y213/MAX(IF(Combo_Species_Names=$N213,Combo_Gym_Defense))</f>
        <v>#VALUE!</v>
      </c>
      <c r="G213" s="23" t="e">
        <f t="array" ref="G213">IF(OR(INDEX(Species_Availability,MATCH($N213,Species_Names,0))="No",INDEX(Species_Evo_Numbers,MATCH($N213,Species_Names,0))&lt;&gt;1),"N/A",RANK($R213,IF(NOT(ISNA(MATCH(Combo_Species_Names,IF(Species_Availability="Yes",IF(Species_Evo_Numbers=1,Species_Names)),0))),Combo_Duel_Ability),0))</f>
        <v>#VALUE!</v>
      </c>
      <c r="H213" s="24" t="e">
        <f t="array" ref="H213">IF(OR(INDEX(Species_Availability,MATCH($N213,Species_Names,0))="No",INDEX(Species_Evo_Numbers,MATCH($N213,Species_Names,0))&lt;&gt;1),"N/A",$R213/MAX(IF(NOT(ISNA(MATCH(Combo_Species_Names,IF(Species_Availability="Yes",IF(Species_Evo_Numbers=1,Species_Names)),0))),Combo_Duel_Ability)))</f>
        <v>#VALUE!</v>
      </c>
      <c r="I213" s="23" t="e">
        <f t="array" ref="I213">IF(OR(INDEX(Species_Availability,MATCH($N213,Species_Names,0))="No",INDEX(Species_Evo_Numbers,MATCH($N213,Species_Names,0))&lt;&gt;1),"N/A",RANK($S213,IF(NOT(ISNA(MATCH(Combo_Species_Names,IF(Species_Availability="Yes",IF(Species_Evo_Numbers=1,Species_Names)),0))),Combo_Gym_Offense),0))</f>
        <v>#VALUE!</v>
      </c>
      <c r="J213" s="24" t="e">
        <f t="array" ref="J213">IF(OR(INDEX(Species_Availability,MATCH($N213,Species_Names,0))="No",INDEX(Species_Evo_Numbers,MATCH($N213,Species_Names,0))&lt;&gt;1),"N/A",$S213/MAX(IF(NOT(ISNA(MATCH(Combo_Species_Names,IF(Species_Availability="Yes",IF(Species_Evo_Numbers=1,Species_Names)),0))),Combo_Gym_Offense)))</f>
        <v>#VALUE!</v>
      </c>
      <c r="K213" s="23" t="e">
        <f t="array" ref="K213">IF(OR(INDEX(Species_Availability,MATCH($N213,Species_Names,0))="No",INDEX(Species_Evo_Numbers,MATCH($N213,Species_Names,0))&lt;&gt;1),"N/A",RANK($Y213,IF(NOT(ISNA(MATCH(Combo_Species_Names,IF(Species_Availability="Yes",IF(Species_Evo_Numbers=1,Species_Names)),0))),Combo_Gym_Defense),0))</f>
        <v>#VALUE!</v>
      </c>
      <c r="L213" s="24" t="e">
        <f t="array" ref="L213">IF(OR(INDEX(Species_Availability,MATCH($N213,Species_Names,0))="No",INDEX(Species_Evo_Numbers,MATCH($N213,Species_Names,0))&lt;&gt;1),"N/A",$Y213/MAX(IF(NOT(ISNA(MATCH(Combo_Species_Names,IF(Species_Availability="Yes",IF(Species_Evo_Numbers=1,Species_Names)),0))),Combo_Gym_Defense)))</f>
        <v>#VALUE!</v>
      </c>
      <c r="M213" s="28">
        <f t="array" ref="M213">INDEX(Species_Pdex_Numbers,MATCH($N213,Species_Names,0))</f>
        <v>108</v>
      </c>
      <c r="N213" s="30" t="s">
        <v>320</v>
      </c>
      <c r="O213" s="31" t="s">
        <v>105</v>
      </c>
      <c r="P213" s="31" t="s">
        <v>130</v>
      </c>
      <c r="Q213" s="17" t="e">
        <f t="shared" si="6"/>
        <v>#VALUE!</v>
      </c>
      <c r="R213" s="32" t="e">
        <f t="array" ref="R213">IF(OR(AND(COUNTBLANK(Combo_Opponent_Type_1)=1,COUNTBLANK(Combo_Opponent_Type_2)=0),AND(AND(COUNTBLANK(Combo_Opponent_Type_1)=0,COUNTBLANK(Combo_Opponent_Type_2)=0),Combo_Opponent_Type_1=Combo_Opponent_Type_2)),
"Check Types",($S213*INDEX(Species_Tankiness,MATCH($N213,Species_Names,0)))/225)</f>
        <v>#VALUE!</v>
      </c>
      <c r="S213" s="32" t="e">
        <f t="array" ref="S213">IF(OR(AND(COUNTBLANK(Combo_Opponent_Type_1)=1,COUNTBLANK(Combo_Opponent_Type_2)=0),AND(AND(COUNTBLANK(Combo_Opponent_Type_1)=0,COUNTBLANK(Combo_Opponent_Type_2)=0),Combo_Opponent_Type_1=Combo_Opponent_Type_2)),
"Check Types",(
IF($W213&gt;=((1-Game_Weave_Human_Error)*$X213),$W213,$X213)*INDEX(Species_Attack,MATCH($N213,Species_Names,0)))/11)</f>
        <v>#VALUE!</v>
      </c>
      <c r="T213" s="33" t="e">
        <f t="shared" si="7"/>
        <v>#VALUE!</v>
      </c>
      <c r="U213" s="33">
        <f t="array" ref="U2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213,Quick_Names,0))),Type_Species)),0),1)*IF(COUNTBLANK(Combo_Opponent_Type_2)=0,INDEX(Type_Damage_Multipliers,MATCH(Combo_Opponent_Type_2,IF(Type_Move=(INDEX(Quick_Type,MATCH($O213,Quick_Names,0))),Type_Species)),0),1)*(IF(OR(INDEX(Quick_Type,MATCH($O213,Quick_Names,0))=INDEX(Species_Type_1,MATCH($N213,Species_Names,0)),INDEX(Quick_Type,MATCH($O213,Quick_Names,0))=INDEX(Species_Type_2,MATCH($N213,Species_Names,0))),Game_STAB_Multiplier,1)))</f>
        <v>1</v>
      </c>
      <c r="V213" s="33">
        <f t="array" ref="V2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213,Charge_Names,0))),Type_Species)),0),1)*IF(COUNTBLANK(Combo_Opponent_Type_2)=0,INDEX(Type_Damage_Multipliers,MATCH(Combo_Opponent_Type_2,IF(Type_Move=(INDEX(Charge_Type,MATCH($P213,Charge_Names,0))),Type_Species)),0),1)*
IF(OR(INDEX(Charge_Type,MATCH($P213,Charge_Names,0))=INDEX(Species_Type_1,MATCH($N213,Species_Names,0)),INDEX(Charge_Type,MATCH($P213,Charge_Names,0))=INDEX(Species_Type_2,MATCH($N213,Species_Names,0))),Game_STAB_Multiplier,1))</f>
        <v>1.25</v>
      </c>
      <c r="W213" s="33" t="s">
        <v>409</v>
      </c>
      <c r="X213" s="33" t="s">
        <v>410</v>
      </c>
      <c r="Y213" s="32" t="e">
        <f t="array" ref="Y213">((($Z213)*
INDEX(Species_Attack,MATCH($N213,Species_Names,0))*
INDEX(Species_Tankiness,MATCH($N213,Species_Names,0)))/1000)</f>
        <v>#VALUE!</v>
      </c>
      <c r="Z213" s="33" t="s">
        <v>411</v>
      </c>
    </row>
    <row r="214" spans="1:26" ht="14.25" customHeight="1" x14ac:dyDescent="0.2">
      <c r="A214" s="86"/>
      <c r="B214" s="22" t="str">
        <f t="array" ref="B214">CONCATENATE(TEXT($M214,"000"),".",TEXT(INDEX(Quick_Number,MATCH($O214,Quick_Names,0)),"000"),".",TEXT(INDEX(Charge_Number,MATCH($P214,Charge_Names,0)),"000"))</f>
        <v>076.227.062</v>
      </c>
      <c r="C214" s="23" t="e">
        <f t="array" ref="C214">RANK($S214,IF(Combo_Species_Names=$N214,Combo_Gym_Offense),0)</f>
        <v>#VALUE!</v>
      </c>
      <c r="D214" s="24" t="e">
        <f t="array" ref="D214">$S214/MAX(IF(Combo_Species_Names=$N214,Combo_Gym_Offense))</f>
        <v>#VALUE!</v>
      </c>
      <c r="E214" s="23" t="e">
        <f t="array" ref="E214">RANK($Y214,IF(Combo_Species_Names=$N214,Combo_Gym_Defense),0)</f>
        <v>#VALUE!</v>
      </c>
      <c r="F214" s="25" t="e">
        <f t="array" ref="F214">$Y214/MAX(IF(Combo_Species_Names=$N214,Combo_Gym_Defense))</f>
        <v>#VALUE!</v>
      </c>
      <c r="G214" s="23" t="e">
        <f t="array" ref="G214">IF(OR(INDEX(Species_Availability,MATCH($N214,Species_Names,0))="No",INDEX(Species_Evo_Numbers,MATCH($N214,Species_Names,0))&lt;&gt;1),"N/A",RANK($R214,IF(NOT(ISNA(MATCH(Combo_Species_Names,IF(Species_Availability="Yes",IF(Species_Evo_Numbers=1,Species_Names)),0))),Combo_Duel_Ability),0))</f>
        <v>#VALUE!</v>
      </c>
      <c r="H214" s="24" t="e">
        <f t="array" ref="H214">IF(OR(INDEX(Species_Availability,MATCH($N214,Species_Names,0))="No",INDEX(Species_Evo_Numbers,MATCH($N214,Species_Names,0))&lt;&gt;1),"N/A",$R214/MAX(IF(NOT(ISNA(MATCH(Combo_Species_Names,IF(Species_Availability="Yes",IF(Species_Evo_Numbers=1,Species_Names)),0))),Combo_Duel_Ability)))</f>
        <v>#VALUE!</v>
      </c>
      <c r="I214" s="23" t="e">
        <f t="array" ref="I214">IF(OR(INDEX(Species_Availability,MATCH($N214,Species_Names,0))="No",INDEX(Species_Evo_Numbers,MATCH($N214,Species_Names,0))&lt;&gt;1),"N/A",RANK($S214,IF(NOT(ISNA(MATCH(Combo_Species_Names,IF(Species_Availability="Yes",IF(Species_Evo_Numbers=1,Species_Names)),0))),Combo_Gym_Offense),0))</f>
        <v>#VALUE!</v>
      </c>
      <c r="J214" s="24" t="e">
        <f t="array" ref="J214">IF(OR(INDEX(Species_Availability,MATCH($N214,Species_Names,0))="No",INDEX(Species_Evo_Numbers,MATCH($N214,Species_Names,0))&lt;&gt;1),"N/A",$S214/MAX(IF(NOT(ISNA(MATCH(Combo_Species_Names,IF(Species_Availability="Yes",IF(Species_Evo_Numbers=1,Species_Names)),0))),Combo_Gym_Offense)))</f>
        <v>#VALUE!</v>
      </c>
      <c r="K214" s="23" t="e">
        <f t="array" ref="K214">IF(OR(INDEX(Species_Availability,MATCH($N214,Species_Names,0))="No",INDEX(Species_Evo_Numbers,MATCH($N214,Species_Names,0))&lt;&gt;1),"N/A",RANK($Y214,IF(NOT(ISNA(MATCH(Combo_Species_Names,IF(Species_Availability="Yes",IF(Species_Evo_Numbers=1,Species_Names)),0))),Combo_Gym_Defense),0))</f>
        <v>#VALUE!</v>
      </c>
      <c r="L214" s="24" t="e">
        <f t="array" ref="L214">IF(OR(INDEX(Species_Availability,MATCH($N214,Species_Names,0))="No",INDEX(Species_Evo_Numbers,MATCH($N214,Species_Names,0))&lt;&gt;1),"N/A",$Y214/MAX(IF(NOT(ISNA(MATCH(Combo_Species_Names,IF(Species_Availability="Yes",IF(Species_Evo_Numbers=1,Species_Names)),0))),Combo_Gym_Defense)))</f>
        <v>#VALUE!</v>
      </c>
      <c r="M214" s="28">
        <f t="array" ref="M214">INDEX(Species_Pdex_Numbers,MATCH($N214,Species_Names,0))</f>
        <v>76</v>
      </c>
      <c r="N214" s="30" t="s">
        <v>244</v>
      </c>
      <c r="O214" s="31" t="s">
        <v>112</v>
      </c>
      <c r="P214" s="31" t="s">
        <v>297</v>
      </c>
      <c r="Q214" s="17" t="e">
        <f t="shared" si="6"/>
        <v>#VALUE!</v>
      </c>
      <c r="R214" s="32" t="e">
        <f t="array" ref="R214">IF(OR(AND(COUNTBLANK(Combo_Opponent_Type_1)=1,COUNTBLANK(Combo_Opponent_Type_2)=0),AND(AND(COUNTBLANK(Combo_Opponent_Type_1)=0,COUNTBLANK(Combo_Opponent_Type_2)=0),Combo_Opponent_Type_1=Combo_Opponent_Type_2)),
"Check Types",($S214*INDEX(Species_Tankiness,MATCH($N214,Species_Names,0)))/225)</f>
        <v>#VALUE!</v>
      </c>
      <c r="S214" s="32" t="e">
        <f t="array" ref="S214">IF(OR(AND(COUNTBLANK(Combo_Opponent_Type_1)=1,COUNTBLANK(Combo_Opponent_Type_2)=0),AND(AND(COUNTBLANK(Combo_Opponent_Type_1)=0,COUNTBLANK(Combo_Opponent_Type_2)=0),Combo_Opponent_Type_1=Combo_Opponent_Type_2)),
"Check Types",(
IF($W214&gt;=((1-Game_Weave_Human_Error)*$X214),$W214,$X214)*INDEX(Species_Attack,MATCH($N214,Species_Names,0)))/11)</f>
        <v>#VALUE!</v>
      </c>
      <c r="T214" s="33" t="e">
        <f t="shared" si="7"/>
        <v>#VALUE!</v>
      </c>
      <c r="U214" s="33">
        <f t="array" ref="U2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214,Quick_Names,0))),Type_Species)),0),1)*IF(COUNTBLANK(Combo_Opponent_Type_2)=0,INDEX(Type_Damage_Multipliers,MATCH(Combo_Opponent_Type_2,IF(Type_Move=(INDEX(Quick_Type,MATCH($O214,Quick_Names,0))),Type_Species)),0),1)*(IF(OR(INDEX(Quick_Type,MATCH($O214,Quick_Names,0))=INDEX(Species_Type_1,MATCH($N214,Species_Names,0)),INDEX(Quick_Type,MATCH($O214,Quick_Names,0))=INDEX(Species_Type_2,MATCH($N214,Species_Names,0))),Game_STAB_Multiplier,1)))</f>
        <v>1.25</v>
      </c>
      <c r="V214" s="33">
        <f t="array" ref="V2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214,Charge_Names,0))),Type_Species)),0),1)*IF(COUNTBLANK(Combo_Opponent_Type_2)=0,INDEX(Type_Damage_Multipliers,MATCH(Combo_Opponent_Type_2,IF(Type_Move=(INDEX(Charge_Type,MATCH($P214,Charge_Names,0))),Type_Species)),0),1)*
IF(OR(INDEX(Charge_Type,MATCH($P214,Charge_Names,0))=INDEX(Species_Type_1,MATCH($N214,Species_Names,0)),INDEX(Charge_Type,MATCH($P214,Charge_Names,0))=INDEX(Species_Type_2,MATCH($N214,Species_Names,0))),Game_STAB_Multiplier,1))</f>
        <v>1.25</v>
      </c>
      <c r="W214" s="33" t="s">
        <v>548</v>
      </c>
      <c r="X214" s="33" t="s">
        <v>715</v>
      </c>
      <c r="Y214" s="32" t="e">
        <f t="array" ref="Y214">((($Z214)*
INDEX(Species_Attack,MATCH($N214,Species_Names,0))*
INDEX(Species_Tankiness,MATCH($N214,Species_Names,0)))/1000)</f>
        <v>#VALUE!</v>
      </c>
      <c r="Z214" s="33" t="s">
        <v>716</v>
      </c>
    </row>
    <row r="215" spans="1:26" ht="14.25" customHeight="1" x14ac:dyDescent="0.2">
      <c r="A215" s="86"/>
      <c r="B215" s="22" t="str">
        <f t="array" ref="B215">CONCATENATE(TEXT($M215,"000"),".",TEXT(INDEX(Quick_Number,MATCH($O215,Quick_Names,0)),"000"),".",TEXT(INDEX(Charge_Number,MATCH($P215,Charge_Names,0)),"000"))</f>
        <v>115.207.123</v>
      </c>
      <c r="C215" s="23" t="e">
        <f t="array" ref="C215">RANK($S215,IF(Combo_Species_Names=$N215,Combo_Gym_Offense),0)</f>
        <v>#VALUE!</v>
      </c>
      <c r="D215" s="24" t="e">
        <f t="array" ref="D215">$S215/MAX(IF(Combo_Species_Names=$N215,Combo_Gym_Offense))</f>
        <v>#VALUE!</v>
      </c>
      <c r="E215" s="23" t="e">
        <f t="array" ref="E215">RANK($Y215,IF(Combo_Species_Names=$N215,Combo_Gym_Defense),0)</f>
        <v>#VALUE!</v>
      </c>
      <c r="F215" s="25" t="e">
        <f t="array" ref="F215">$Y215/MAX(IF(Combo_Species_Names=$N215,Combo_Gym_Defense))</f>
        <v>#VALUE!</v>
      </c>
      <c r="G215" s="23" t="e">
        <f t="array" ref="G215">IF(OR(INDEX(Species_Availability,MATCH($N215,Species_Names,0))="No",INDEX(Species_Evo_Numbers,MATCH($N215,Species_Names,0))&lt;&gt;1),"N/A",RANK($R215,IF(NOT(ISNA(MATCH(Combo_Species_Names,IF(Species_Availability="Yes",IF(Species_Evo_Numbers=1,Species_Names)),0))),Combo_Duel_Ability),0))</f>
        <v>#VALUE!</v>
      </c>
      <c r="H215" s="24" t="e">
        <f t="array" ref="H215">IF(OR(INDEX(Species_Availability,MATCH($N215,Species_Names,0))="No",INDEX(Species_Evo_Numbers,MATCH($N215,Species_Names,0))&lt;&gt;1),"N/A",$R215/MAX(IF(NOT(ISNA(MATCH(Combo_Species_Names,IF(Species_Availability="Yes",IF(Species_Evo_Numbers=1,Species_Names)),0))),Combo_Duel_Ability)))</f>
        <v>#VALUE!</v>
      </c>
      <c r="I215" s="23" t="e">
        <f t="array" ref="I215">IF(OR(INDEX(Species_Availability,MATCH($N215,Species_Names,0))="No",INDEX(Species_Evo_Numbers,MATCH($N215,Species_Names,0))&lt;&gt;1),"N/A",RANK($S215,IF(NOT(ISNA(MATCH(Combo_Species_Names,IF(Species_Availability="Yes",IF(Species_Evo_Numbers=1,Species_Names)),0))),Combo_Gym_Offense),0))</f>
        <v>#VALUE!</v>
      </c>
      <c r="J215" s="24" t="e">
        <f t="array" ref="J215">IF(OR(INDEX(Species_Availability,MATCH($N215,Species_Names,0))="No",INDEX(Species_Evo_Numbers,MATCH($N215,Species_Names,0))&lt;&gt;1),"N/A",$S215/MAX(IF(NOT(ISNA(MATCH(Combo_Species_Names,IF(Species_Availability="Yes",IF(Species_Evo_Numbers=1,Species_Names)),0))),Combo_Gym_Offense)))</f>
        <v>#VALUE!</v>
      </c>
      <c r="K215" s="23" t="e">
        <f t="array" ref="K215">IF(OR(INDEX(Species_Availability,MATCH($N215,Species_Names,0))="No",INDEX(Species_Evo_Numbers,MATCH($N215,Species_Names,0))&lt;&gt;1),"N/A",RANK($Y215,IF(NOT(ISNA(MATCH(Combo_Species_Names,IF(Species_Availability="Yes",IF(Species_Evo_Numbers=1,Species_Names)),0))),Combo_Gym_Defense),0))</f>
        <v>#VALUE!</v>
      </c>
      <c r="L215" s="24" t="e">
        <f t="array" ref="L215">IF(OR(INDEX(Species_Availability,MATCH($N215,Species_Names,0))="No",INDEX(Species_Evo_Numbers,MATCH($N215,Species_Names,0))&lt;&gt;1),"N/A",$Y215/MAX(IF(NOT(ISNA(MATCH(Combo_Species_Names,IF(Species_Availability="Yes",IF(Species_Evo_Numbers=1,Species_Names)),0))),Combo_Gym_Defense)))</f>
        <v>#VALUE!</v>
      </c>
      <c r="M215" s="28">
        <f t="array" ref="M215">INDEX(Species_Pdex_Numbers,MATCH($N215,Species_Names,0))</f>
        <v>115</v>
      </c>
      <c r="N215" s="30" t="s">
        <v>328</v>
      </c>
      <c r="O215" s="31" t="s">
        <v>117</v>
      </c>
      <c r="P215" s="31" t="s">
        <v>188</v>
      </c>
      <c r="Q215" s="17" t="e">
        <f t="shared" si="6"/>
        <v>#VALUE!</v>
      </c>
      <c r="R215" s="32" t="e">
        <f t="array" ref="R215">IF(OR(AND(COUNTBLANK(Combo_Opponent_Type_1)=1,COUNTBLANK(Combo_Opponent_Type_2)=0),AND(AND(COUNTBLANK(Combo_Opponent_Type_1)=0,COUNTBLANK(Combo_Opponent_Type_2)=0),Combo_Opponent_Type_1=Combo_Opponent_Type_2)),
"Check Types",($S215*INDEX(Species_Tankiness,MATCH($N215,Species_Names,0)))/225)</f>
        <v>#VALUE!</v>
      </c>
      <c r="S215" s="32" t="e">
        <f t="array" ref="S215">IF(OR(AND(COUNTBLANK(Combo_Opponent_Type_1)=1,COUNTBLANK(Combo_Opponent_Type_2)=0),AND(AND(COUNTBLANK(Combo_Opponent_Type_1)=0,COUNTBLANK(Combo_Opponent_Type_2)=0),Combo_Opponent_Type_1=Combo_Opponent_Type_2)),
"Check Types",(
IF($W215&gt;=((1-Game_Weave_Human_Error)*$X215),$W215,$X215)*INDEX(Species_Attack,MATCH($N215,Species_Names,0)))/11)</f>
        <v>#VALUE!</v>
      </c>
      <c r="T215" s="33" t="e">
        <f t="shared" si="7"/>
        <v>#VALUE!</v>
      </c>
      <c r="U215" s="33">
        <f t="array" ref="U2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215,Quick_Names,0))),Type_Species)),0),1)*IF(COUNTBLANK(Combo_Opponent_Type_2)=0,INDEX(Type_Damage_Multipliers,MATCH(Combo_Opponent_Type_2,IF(Type_Move=(INDEX(Quick_Type,MATCH($O215,Quick_Names,0))),Type_Species)),0),1)*(IF(OR(INDEX(Quick_Type,MATCH($O215,Quick_Names,0))=INDEX(Species_Type_1,MATCH($N215,Species_Names,0)),INDEX(Quick_Type,MATCH($O215,Quick_Names,0))=INDEX(Species_Type_2,MATCH($N215,Species_Names,0))),Game_STAB_Multiplier,1)))</f>
        <v>1</v>
      </c>
      <c r="V215" s="33">
        <f t="array" ref="V2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215,Charge_Names,0))),Type_Species)),0),1)*IF(COUNTBLANK(Combo_Opponent_Type_2)=0,INDEX(Type_Damage_Multipliers,MATCH(Combo_Opponent_Type_2,IF(Type_Move=(INDEX(Charge_Type,MATCH($P215,Charge_Names,0))),Type_Species)),0),1)*
IF(OR(INDEX(Charge_Type,MATCH($P215,Charge_Names,0))=INDEX(Species_Type_1,MATCH($N215,Species_Names,0)),INDEX(Charge_Type,MATCH($P215,Charge_Names,0))=INDEX(Species_Type_2,MATCH($N215,Species_Names,0))),Game_STAB_Multiplier,1))</f>
        <v>1</v>
      </c>
      <c r="W215" s="33" t="s">
        <v>621</v>
      </c>
      <c r="X215" s="33" t="s">
        <v>717</v>
      </c>
      <c r="Y215" s="32" t="e">
        <f t="array" ref="Y215">((($Z215)*
INDEX(Species_Attack,MATCH($N215,Species_Names,0))*
INDEX(Species_Tankiness,MATCH($N215,Species_Names,0)))/1000)</f>
        <v>#VALUE!</v>
      </c>
      <c r="Z215" s="33" t="s">
        <v>718</v>
      </c>
    </row>
    <row r="216" spans="1:26" ht="14.25" customHeight="1" x14ac:dyDescent="0.2">
      <c r="A216" s="86"/>
      <c r="B216" s="22" t="str">
        <f t="array" ref="B216">CONCATENATE(TEXT($M216,"000"),".",TEXT(INDEX(Quick_Number,MATCH($O216,Quick_Names,0)),"000"),".",TEXT(INDEX(Charge_Number,MATCH($P216,Charge_Names,0)),"000"))</f>
        <v>042.210.121</v>
      </c>
      <c r="C216" s="23" t="e">
        <f t="array" ref="C216">RANK($S216,IF(Combo_Species_Names=$N216,Combo_Gym_Offense),0)</f>
        <v>#VALUE!</v>
      </c>
      <c r="D216" s="24" t="e">
        <f t="array" ref="D216">$S216/MAX(IF(Combo_Species_Names=$N216,Combo_Gym_Offense))</f>
        <v>#VALUE!</v>
      </c>
      <c r="E216" s="23" t="e">
        <f t="array" ref="E216">RANK($Y216,IF(Combo_Species_Names=$N216,Combo_Gym_Defense),0)</f>
        <v>#VALUE!</v>
      </c>
      <c r="F216" s="25" t="e">
        <f t="array" ref="F216">$Y216/MAX(IF(Combo_Species_Names=$N216,Combo_Gym_Defense))</f>
        <v>#VALUE!</v>
      </c>
      <c r="G216" s="23" t="e">
        <f t="array" ref="G216">IF(OR(INDEX(Species_Availability,MATCH($N216,Species_Names,0))="No",INDEX(Species_Evo_Numbers,MATCH($N216,Species_Names,0))&lt;&gt;1),"N/A",RANK($R216,IF(NOT(ISNA(MATCH(Combo_Species_Names,IF(Species_Availability="Yes",IF(Species_Evo_Numbers=1,Species_Names)),0))),Combo_Duel_Ability),0))</f>
        <v>#VALUE!</v>
      </c>
      <c r="H216" s="24" t="e">
        <f t="array" ref="H216">IF(OR(INDEX(Species_Availability,MATCH($N216,Species_Names,0))="No",INDEX(Species_Evo_Numbers,MATCH($N216,Species_Names,0))&lt;&gt;1),"N/A",$R216/MAX(IF(NOT(ISNA(MATCH(Combo_Species_Names,IF(Species_Availability="Yes",IF(Species_Evo_Numbers=1,Species_Names)),0))),Combo_Duel_Ability)))</f>
        <v>#VALUE!</v>
      </c>
      <c r="I216" s="23" t="e">
        <f t="array" ref="I216">IF(OR(INDEX(Species_Availability,MATCH($N216,Species_Names,0))="No",INDEX(Species_Evo_Numbers,MATCH($N216,Species_Names,0))&lt;&gt;1),"N/A",RANK($S216,IF(NOT(ISNA(MATCH(Combo_Species_Names,IF(Species_Availability="Yes",IF(Species_Evo_Numbers=1,Species_Names)),0))),Combo_Gym_Offense),0))</f>
        <v>#VALUE!</v>
      </c>
      <c r="J216" s="24" t="e">
        <f t="array" ref="J216">IF(OR(INDEX(Species_Availability,MATCH($N216,Species_Names,0))="No",INDEX(Species_Evo_Numbers,MATCH($N216,Species_Names,0))&lt;&gt;1),"N/A",$S216/MAX(IF(NOT(ISNA(MATCH(Combo_Species_Names,IF(Species_Availability="Yes",IF(Species_Evo_Numbers=1,Species_Names)),0))),Combo_Gym_Offense)))</f>
        <v>#VALUE!</v>
      </c>
      <c r="K216" s="23" t="e">
        <f t="array" ref="K216">IF(OR(INDEX(Species_Availability,MATCH($N216,Species_Names,0))="No",INDEX(Species_Evo_Numbers,MATCH($N216,Species_Names,0))&lt;&gt;1),"N/A",RANK($Y216,IF(NOT(ISNA(MATCH(Combo_Species_Names,IF(Species_Availability="Yes",IF(Species_Evo_Numbers=1,Species_Names)),0))),Combo_Gym_Defense),0))</f>
        <v>#VALUE!</v>
      </c>
      <c r="L216" s="24" t="e">
        <f t="array" ref="L216">IF(OR(INDEX(Species_Availability,MATCH($N216,Species_Names,0))="No",INDEX(Species_Evo_Numbers,MATCH($N216,Species_Names,0))&lt;&gt;1),"N/A",$Y216/MAX(IF(NOT(ISNA(MATCH(Combo_Species_Names,IF(Species_Availability="Yes",IF(Species_Evo_Numbers=1,Species_Names)),0))),Combo_Gym_Defense)))</f>
        <v>#VALUE!</v>
      </c>
      <c r="M216" s="28">
        <f t="array" ref="M216">INDEX(Species_Pdex_Numbers,MATCH($N216,Species_Names,0))</f>
        <v>42</v>
      </c>
      <c r="N216" s="30" t="s">
        <v>175</v>
      </c>
      <c r="O216" s="31" t="s">
        <v>69</v>
      </c>
      <c r="P216" s="31" t="s">
        <v>294</v>
      </c>
      <c r="Q216" s="17" t="e">
        <f t="shared" si="6"/>
        <v>#VALUE!</v>
      </c>
      <c r="R216" s="32" t="e">
        <f t="array" ref="R216">IF(OR(AND(COUNTBLANK(Combo_Opponent_Type_1)=1,COUNTBLANK(Combo_Opponent_Type_2)=0),AND(AND(COUNTBLANK(Combo_Opponent_Type_1)=0,COUNTBLANK(Combo_Opponent_Type_2)=0),Combo_Opponent_Type_1=Combo_Opponent_Type_2)),
"Check Types",($S216*INDEX(Species_Tankiness,MATCH($N216,Species_Names,0)))/225)</f>
        <v>#VALUE!</v>
      </c>
      <c r="S216" s="32" t="e">
        <f t="array" ref="S216">IF(OR(AND(COUNTBLANK(Combo_Opponent_Type_1)=1,COUNTBLANK(Combo_Opponent_Type_2)=0),AND(AND(COUNTBLANK(Combo_Opponent_Type_1)=0,COUNTBLANK(Combo_Opponent_Type_2)=0),Combo_Opponent_Type_1=Combo_Opponent_Type_2)),
"Check Types",(
IF($W216&gt;=((1-Game_Weave_Human_Error)*$X216),$W216,$X216)*INDEX(Species_Attack,MATCH($N216,Species_Names,0)))/11)</f>
        <v>#VALUE!</v>
      </c>
      <c r="T216" s="33" t="e">
        <f t="shared" si="7"/>
        <v>#VALUE!</v>
      </c>
      <c r="U216" s="33">
        <f t="array" ref="U2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216,Quick_Names,0))),Type_Species)),0),1)*IF(COUNTBLANK(Combo_Opponent_Type_2)=0,INDEX(Type_Damage_Multipliers,MATCH(Combo_Opponent_Type_2,IF(Type_Move=(INDEX(Quick_Type,MATCH($O216,Quick_Names,0))),Type_Species)),0),1)*(IF(OR(INDEX(Quick_Type,MATCH($O216,Quick_Names,0))=INDEX(Species_Type_1,MATCH($N216,Species_Names,0)),INDEX(Quick_Type,MATCH($O216,Quick_Names,0))=INDEX(Species_Type_2,MATCH($N216,Species_Names,0))),Game_STAB_Multiplier,1)))</f>
        <v>1.25</v>
      </c>
      <c r="V216" s="33">
        <f t="array" ref="V2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216,Charge_Names,0))),Type_Species)),0),1)*IF(COUNTBLANK(Combo_Opponent_Type_2)=0,INDEX(Type_Damage_Multipliers,MATCH(Combo_Opponent_Type_2,IF(Type_Move=(INDEX(Charge_Type,MATCH($P216,Charge_Names,0))),Type_Species)),0),1)*
IF(OR(INDEX(Charge_Type,MATCH($P216,Charge_Names,0))=INDEX(Species_Type_1,MATCH($N216,Species_Names,0)),INDEX(Charge_Type,MATCH($P216,Charge_Names,0))=INDEX(Species_Type_2,MATCH($N216,Species_Names,0))),Game_STAB_Multiplier,1))</f>
        <v>1.25</v>
      </c>
      <c r="W216" s="33" t="s">
        <v>489</v>
      </c>
      <c r="X216" s="33" t="s">
        <v>670</v>
      </c>
      <c r="Y216" s="32" t="e">
        <f t="array" ref="Y216">((($Z216)*
INDEX(Species_Attack,MATCH($N216,Species_Names,0))*
INDEX(Species_Tankiness,MATCH($N216,Species_Names,0)))/1000)</f>
        <v>#VALUE!</v>
      </c>
      <c r="Z216" s="33" t="s">
        <v>671</v>
      </c>
    </row>
    <row r="217" spans="1:26" ht="14.25" customHeight="1" x14ac:dyDescent="0.2">
      <c r="A217" s="86"/>
      <c r="B217" s="22" t="str">
        <f t="array" ref="B217">CONCATENATE(TEXT($M217,"000"),".",TEXT(INDEX(Quick_Number,MATCH($O217,Quick_Names,0)),"000"),".",TEXT(INDEX(Charge_Number,MATCH($P217,Charge_Names,0)),"000"))</f>
        <v>042.210.050</v>
      </c>
      <c r="C217" s="23" t="e">
        <f t="array" ref="C217">RANK($S217,IF(Combo_Species_Names=$N217,Combo_Gym_Offense),0)</f>
        <v>#VALUE!</v>
      </c>
      <c r="D217" s="24" t="e">
        <f t="array" ref="D217">$S217/MAX(IF(Combo_Species_Names=$N217,Combo_Gym_Offense))</f>
        <v>#VALUE!</v>
      </c>
      <c r="E217" s="23" t="e">
        <f t="array" ref="E217">RANK($Y217,IF(Combo_Species_Names=$N217,Combo_Gym_Defense),0)</f>
        <v>#VALUE!</v>
      </c>
      <c r="F217" s="25" t="e">
        <f t="array" ref="F217">$Y217/MAX(IF(Combo_Species_Names=$N217,Combo_Gym_Defense))</f>
        <v>#VALUE!</v>
      </c>
      <c r="G217" s="23" t="e">
        <f t="array" ref="G217">IF(OR(INDEX(Species_Availability,MATCH($N217,Species_Names,0))="No",INDEX(Species_Evo_Numbers,MATCH($N217,Species_Names,0))&lt;&gt;1),"N/A",RANK($R217,IF(NOT(ISNA(MATCH(Combo_Species_Names,IF(Species_Availability="Yes",IF(Species_Evo_Numbers=1,Species_Names)),0))),Combo_Duel_Ability),0))</f>
        <v>#VALUE!</v>
      </c>
      <c r="H217" s="24" t="e">
        <f t="array" ref="H217">IF(OR(INDEX(Species_Availability,MATCH($N217,Species_Names,0))="No",INDEX(Species_Evo_Numbers,MATCH($N217,Species_Names,0))&lt;&gt;1),"N/A",$R217/MAX(IF(NOT(ISNA(MATCH(Combo_Species_Names,IF(Species_Availability="Yes",IF(Species_Evo_Numbers=1,Species_Names)),0))),Combo_Duel_Ability)))</f>
        <v>#VALUE!</v>
      </c>
      <c r="I217" s="23" t="e">
        <f t="array" ref="I217">IF(OR(INDEX(Species_Availability,MATCH($N217,Species_Names,0))="No",INDEX(Species_Evo_Numbers,MATCH($N217,Species_Names,0))&lt;&gt;1),"N/A",RANK($S217,IF(NOT(ISNA(MATCH(Combo_Species_Names,IF(Species_Availability="Yes",IF(Species_Evo_Numbers=1,Species_Names)),0))),Combo_Gym_Offense),0))</f>
        <v>#VALUE!</v>
      </c>
      <c r="J217" s="24" t="e">
        <f t="array" ref="J217">IF(OR(INDEX(Species_Availability,MATCH($N217,Species_Names,0))="No",INDEX(Species_Evo_Numbers,MATCH($N217,Species_Names,0))&lt;&gt;1),"N/A",$S217/MAX(IF(NOT(ISNA(MATCH(Combo_Species_Names,IF(Species_Availability="Yes",IF(Species_Evo_Numbers=1,Species_Names)),0))),Combo_Gym_Offense)))</f>
        <v>#VALUE!</v>
      </c>
      <c r="K217" s="23" t="e">
        <f t="array" ref="K217">IF(OR(INDEX(Species_Availability,MATCH($N217,Species_Names,0))="No",INDEX(Species_Evo_Numbers,MATCH($N217,Species_Names,0))&lt;&gt;1),"N/A",RANK($Y217,IF(NOT(ISNA(MATCH(Combo_Species_Names,IF(Species_Availability="Yes",IF(Species_Evo_Numbers=1,Species_Names)),0))),Combo_Gym_Defense),0))</f>
        <v>#VALUE!</v>
      </c>
      <c r="L217" s="24" t="e">
        <f t="array" ref="L217">IF(OR(INDEX(Species_Availability,MATCH($N217,Species_Names,0))="No",INDEX(Species_Evo_Numbers,MATCH($N217,Species_Names,0))&lt;&gt;1),"N/A",$Y217/MAX(IF(NOT(ISNA(MATCH(Combo_Species_Names,IF(Species_Availability="Yes",IF(Species_Evo_Numbers=1,Species_Names)),0))),Combo_Gym_Defense)))</f>
        <v>#VALUE!</v>
      </c>
      <c r="M217" s="28">
        <f t="array" ref="M217">INDEX(Species_Pdex_Numbers,MATCH($N217,Species_Names,0))</f>
        <v>42</v>
      </c>
      <c r="N217" s="30" t="s">
        <v>175</v>
      </c>
      <c r="O217" s="31" t="s">
        <v>69</v>
      </c>
      <c r="P217" s="31" t="s">
        <v>285</v>
      </c>
      <c r="Q217" s="17" t="e">
        <f t="shared" si="6"/>
        <v>#VALUE!</v>
      </c>
      <c r="R217" s="32" t="e">
        <f t="array" ref="R217">IF(OR(AND(COUNTBLANK(Combo_Opponent_Type_1)=1,COUNTBLANK(Combo_Opponent_Type_2)=0),AND(AND(COUNTBLANK(Combo_Opponent_Type_1)=0,COUNTBLANK(Combo_Opponent_Type_2)=0),Combo_Opponent_Type_1=Combo_Opponent_Type_2)),
"Check Types",($S217*INDEX(Species_Tankiness,MATCH($N217,Species_Names,0)))/225)</f>
        <v>#VALUE!</v>
      </c>
      <c r="S217" s="32" t="e">
        <f t="array" ref="S217">IF(OR(AND(COUNTBLANK(Combo_Opponent_Type_1)=1,COUNTBLANK(Combo_Opponent_Type_2)=0),AND(AND(COUNTBLANK(Combo_Opponent_Type_1)=0,COUNTBLANK(Combo_Opponent_Type_2)=0),Combo_Opponent_Type_1=Combo_Opponent_Type_2)),
"Check Types",(
IF($W217&gt;=((1-Game_Weave_Human_Error)*$X217),$W217,$X217)*INDEX(Species_Attack,MATCH($N217,Species_Names,0)))/11)</f>
        <v>#VALUE!</v>
      </c>
      <c r="T217" s="33" t="e">
        <f t="shared" si="7"/>
        <v>#VALUE!</v>
      </c>
      <c r="U217" s="33">
        <f t="array" ref="U2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217,Quick_Names,0))),Type_Species)),0),1)*IF(COUNTBLANK(Combo_Opponent_Type_2)=0,INDEX(Type_Damage_Multipliers,MATCH(Combo_Opponent_Type_2,IF(Type_Move=(INDEX(Quick_Type,MATCH($O217,Quick_Names,0))),Type_Species)),0),1)*(IF(OR(INDEX(Quick_Type,MATCH($O217,Quick_Names,0))=INDEX(Species_Type_1,MATCH($N217,Species_Names,0)),INDEX(Quick_Type,MATCH($O217,Quick_Names,0))=INDEX(Species_Type_2,MATCH($N217,Species_Names,0))),Game_STAB_Multiplier,1)))</f>
        <v>1.25</v>
      </c>
      <c r="V217" s="33">
        <f t="array" ref="V2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217,Charge_Names,0))),Type_Species)),0),1)*IF(COUNTBLANK(Combo_Opponent_Type_2)=0,INDEX(Type_Damage_Multipliers,MATCH(Combo_Opponent_Type_2,IF(Type_Move=(INDEX(Charge_Type,MATCH($P217,Charge_Names,0))),Type_Species)),0),1)*
IF(OR(INDEX(Charge_Type,MATCH($P217,Charge_Names,0))=INDEX(Species_Type_1,MATCH($N217,Species_Names,0)),INDEX(Charge_Type,MATCH($P217,Charge_Names,0))=INDEX(Species_Type_2,MATCH($N217,Species_Names,0))),Game_STAB_Multiplier,1))</f>
        <v>1.25</v>
      </c>
      <c r="W217" s="33" t="s">
        <v>489</v>
      </c>
      <c r="X217" s="33" t="s">
        <v>719</v>
      </c>
      <c r="Y217" s="32" t="e">
        <f t="array" ref="Y217">((($Z217)*
INDEX(Species_Attack,MATCH($N217,Species_Names,0))*
INDEX(Species_Tankiness,MATCH($N217,Species_Names,0)))/1000)</f>
        <v>#VALUE!</v>
      </c>
      <c r="Z217" s="33" t="s">
        <v>649</v>
      </c>
    </row>
    <row r="218" spans="1:26" ht="14.25" customHeight="1" x14ac:dyDescent="0.2">
      <c r="A218" s="86"/>
      <c r="B218" s="22" t="str">
        <f t="array" ref="B218">CONCATENATE(TEXT($M218,"000"),".",TEXT(INDEX(Quick_Number,MATCH($O218,Quick_Names,0)),"000"),".",TEXT(INDEX(Charge_Number,MATCH($P218,Charge_Names,0)),"000"))</f>
        <v>042.210.069</v>
      </c>
      <c r="C218" s="23" t="e">
        <f t="array" ref="C218">RANK($S218,IF(Combo_Species_Names=$N218,Combo_Gym_Offense),0)</f>
        <v>#VALUE!</v>
      </c>
      <c r="D218" s="24" t="e">
        <f t="array" ref="D218">$S218/MAX(IF(Combo_Species_Names=$N218,Combo_Gym_Offense))</f>
        <v>#VALUE!</v>
      </c>
      <c r="E218" s="23" t="e">
        <f t="array" ref="E218">RANK($Y218,IF(Combo_Species_Names=$N218,Combo_Gym_Defense),0)</f>
        <v>#VALUE!</v>
      </c>
      <c r="F218" s="25" t="e">
        <f t="array" ref="F218">$Y218/MAX(IF(Combo_Species_Names=$N218,Combo_Gym_Defense))</f>
        <v>#VALUE!</v>
      </c>
      <c r="G218" s="23" t="e">
        <f t="array" ref="G218">IF(OR(INDEX(Species_Availability,MATCH($N218,Species_Names,0))="No",INDEX(Species_Evo_Numbers,MATCH($N218,Species_Names,0))&lt;&gt;1),"N/A",RANK($R218,IF(NOT(ISNA(MATCH(Combo_Species_Names,IF(Species_Availability="Yes",IF(Species_Evo_Numbers=1,Species_Names)),0))),Combo_Duel_Ability),0))</f>
        <v>#VALUE!</v>
      </c>
      <c r="H218" s="24" t="e">
        <f t="array" ref="H218">IF(OR(INDEX(Species_Availability,MATCH($N218,Species_Names,0))="No",INDEX(Species_Evo_Numbers,MATCH($N218,Species_Names,0))&lt;&gt;1),"N/A",$R218/MAX(IF(NOT(ISNA(MATCH(Combo_Species_Names,IF(Species_Availability="Yes",IF(Species_Evo_Numbers=1,Species_Names)),0))),Combo_Duel_Ability)))</f>
        <v>#VALUE!</v>
      </c>
      <c r="I218" s="23" t="e">
        <f t="array" ref="I218">IF(OR(INDEX(Species_Availability,MATCH($N218,Species_Names,0))="No",INDEX(Species_Evo_Numbers,MATCH($N218,Species_Names,0))&lt;&gt;1),"N/A",RANK($S218,IF(NOT(ISNA(MATCH(Combo_Species_Names,IF(Species_Availability="Yes",IF(Species_Evo_Numbers=1,Species_Names)),0))),Combo_Gym_Offense),0))</f>
        <v>#VALUE!</v>
      </c>
      <c r="J218" s="24" t="e">
        <f t="array" ref="J218">IF(OR(INDEX(Species_Availability,MATCH($N218,Species_Names,0))="No",INDEX(Species_Evo_Numbers,MATCH($N218,Species_Names,0))&lt;&gt;1),"N/A",$S218/MAX(IF(NOT(ISNA(MATCH(Combo_Species_Names,IF(Species_Availability="Yes",IF(Species_Evo_Numbers=1,Species_Names)),0))),Combo_Gym_Offense)))</f>
        <v>#VALUE!</v>
      </c>
      <c r="K218" s="23" t="e">
        <f t="array" ref="K218">IF(OR(INDEX(Species_Availability,MATCH($N218,Species_Names,0))="No",INDEX(Species_Evo_Numbers,MATCH($N218,Species_Names,0))&lt;&gt;1),"N/A",RANK($Y218,IF(NOT(ISNA(MATCH(Combo_Species_Names,IF(Species_Availability="Yes",IF(Species_Evo_Numbers=1,Species_Names)),0))),Combo_Gym_Defense),0))</f>
        <v>#VALUE!</v>
      </c>
      <c r="L218" s="24" t="e">
        <f t="array" ref="L218">IF(OR(INDEX(Species_Availability,MATCH($N218,Species_Names,0))="No",INDEX(Species_Evo_Numbers,MATCH($N218,Species_Names,0))&lt;&gt;1),"N/A",$Y218/MAX(IF(NOT(ISNA(MATCH(Combo_Species_Names,IF(Species_Availability="Yes",IF(Species_Evo_Numbers=1,Species_Names)),0))),Combo_Gym_Defense)))</f>
        <v>#VALUE!</v>
      </c>
      <c r="M218" s="28">
        <f t="array" ref="M218">INDEX(Species_Pdex_Numbers,MATCH($N218,Species_Names,0))</f>
        <v>42</v>
      </c>
      <c r="N218" s="30" t="s">
        <v>175</v>
      </c>
      <c r="O218" s="31" t="s">
        <v>69</v>
      </c>
      <c r="P218" s="31" t="s">
        <v>300</v>
      </c>
      <c r="Q218" s="17" t="e">
        <f t="shared" si="6"/>
        <v>#VALUE!</v>
      </c>
      <c r="R218" s="32" t="e">
        <f t="array" ref="R218">IF(OR(AND(COUNTBLANK(Combo_Opponent_Type_1)=1,COUNTBLANK(Combo_Opponent_Type_2)=0),AND(AND(COUNTBLANK(Combo_Opponent_Type_1)=0,COUNTBLANK(Combo_Opponent_Type_2)=0),Combo_Opponent_Type_1=Combo_Opponent_Type_2)),
"Check Types",($S218*INDEX(Species_Tankiness,MATCH($N218,Species_Names,0)))/225)</f>
        <v>#VALUE!</v>
      </c>
      <c r="S218" s="32" t="e">
        <f t="array" ref="S218">IF(OR(AND(COUNTBLANK(Combo_Opponent_Type_1)=1,COUNTBLANK(Combo_Opponent_Type_2)=0),AND(AND(COUNTBLANK(Combo_Opponent_Type_1)=0,COUNTBLANK(Combo_Opponent_Type_2)=0),Combo_Opponent_Type_1=Combo_Opponent_Type_2)),
"Check Types",(
IF($W218&gt;=((1-Game_Weave_Human_Error)*$X218),$W218,$X218)*INDEX(Species_Attack,MATCH($N218,Species_Names,0)))/11)</f>
        <v>#VALUE!</v>
      </c>
      <c r="T218" s="33" t="e">
        <f t="shared" si="7"/>
        <v>#VALUE!</v>
      </c>
      <c r="U218" s="33">
        <f t="array" ref="U2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218,Quick_Names,0))),Type_Species)),0),1)*IF(COUNTBLANK(Combo_Opponent_Type_2)=0,INDEX(Type_Damage_Multipliers,MATCH(Combo_Opponent_Type_2,IF(Type_Move=(INDEX(Quick_Type,MATCH($O218,Quick_Names,0))),Type_Species)),0),1)*(IF(OR(INDEX(Quick_Type,MATCH($O218,Quick_Names,0))=INDEX(Species_Type_1,MATCH($N218,Species_Names,0)),INDEX(Quick_Type,MATCH($O218,Quick_Names,0))=INDEX(Species_Type_2,MATCH($N218,Species_Names,0))),Game_STAB_Multiplier,1)))</f>
        <v>1.25</v>
      </c>
      <c r="V218" s="33">
        <f t="array" ref="V2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218,Charge_Names,0))),Type_Species)),0),1)*IF(COUNTBLANK(Combo_Opponent_Type_2)=0,INDEX(Type_Damage_Multipliers,MATCH(Combo_Opponent_Type_2,IF(Type_Move=(INDEX(Charge_Type,MATCH($P218,Charge_Names,0))),Type_Species)),0),1)*
IF(OR(INDEX(Charge_Type,MATCH($P218,Charge_Names,0))=INDEX(Species_Type_1,MATCH($N218,Species_Names,0)),INDEX(Charge_Type,MATCH($P218,Charge_Names,0))=INDEX(Species_Type_2,MATCH($N218,Species_Names,0))),Game_STAB_Multiplier,1))</f>
        <v>1</v>
      </c>
      <c r="W218" s="33" t="s">
        <v>489</v>
      </c>
      <c r="X218" s="33" t="s">
        <v>720</v>
      </c>
      <c r="Y218" s="32" t="e">
        <f t="array" ref="Y218">((($Z218)*
INDEX(Species_Attack,MATCH($N218,Species_Names,0))*
INDEX(Species_Tankiness,MATCH($N218,Species_Names,0)))/1000)</f>
        <v>#VALUE!</v>
      </c>
      <c r="Z218" s="33" t="s">
        <v>721</v>
      </c>
    </row>
    <row r="219" spans="1:26" ht="14.25" customHeight="1" x14ac:dyDescent="0.2">
      <c r="A219" s="86"/>
      <c r="B219" s="22" t="str">
        <f t="array" ref="B219">CONCATENATE(TEXT($M219,"000"),".",TEXT(INDEX(Quick_Number,MATCH($O219,Quick_Names,0)),"000"),".",TEXT(INDEX(Charge_Number,MATCH($P219,Charge_Names,0)),"000"))</f>
        <v>127.200.100</v>
      </c>
      <c r="C219" s="23" t="e">
        <f t="array" ref="C219">RANK($S219,IF(Combo_Species_Names=$N219,Combo_Gym_Offense),0)</f>
        <v>#VALUE!</v>
      </c>
      <c r="D219" s="24" t="e">
        <f t="array" ref="D219">$S219/MAX(IF(Combo_Species_Names=$N219,Combo_Gym_Offense))</f>
        <v>#VALUE!</v>
      </c>
      <c r="E219" s="23" t="e">
        <f t="array" ref="E219">RANK($Y219,IF(Combo_Species_Names=$N219,Combo_Gym_Defense),0)</f>
        <v>#VALUE!</v>
      </c>
      <c r="F219" s="25" t="e">
        <f t="array" ref="F219">$Y219/MAX(IF(Combo_Species_Names=$N219,Combo_Gym_Defense))</f>
        <v>#VALUE!</v>
      </c>
      <c r="G219" s="23" t="e">
        <f t="array" ref="G219">IF(OR(INDEX(Species_Availability,MATCH($N219,Species_Names,0))="No",INDEX(Species_Evo_Numbers,MATCH($N219,Species_Names,0))&lt;&gt;1),"N/A",RANK($R219,IF(NOT(ISNA(MATCH(Combo_Species_Names,IF(Species_Availability="Yes",IF(Species_Evo_Numbers=1,Species_Names)),0))),Combo_Duel_Ability),0))</f>
        <v>#VALUE!</v>
      </c>
      <c r="H219" s="24" t="e">
        <f t="array" ref="H219">IF(OR(INDEX(Species_Availability,MATCH($N219,Species_Names,0))="No",INDEX(Species_Evo_Numbers,MATCH($N219,Species_Names,0))&lt;&gt;1),"N/A",$R219/MAX(IF(NOT(ISNA(MATCH(Combo_Species_Names,IF(Species_Availability="Yes",IF(Species_Evo_Numbers=1,Species_Names)),0))),Combo_Duel_Ability)))</f>
        <v>#VALUE!</v>
      </c>
      <c r="I219" s="23" t="e">
        <f t="array" ref="I219">IF(OR(INDEX(Species_Availability,MATCH($N219,Species_Names,0))="No",INDEX(Species_Evo_Numbers,MATCH($N219,Species_Names,0))&lt;&gt;1),"N/A",RANK($S219,IF(NOT(ISNA(MATCH(Combo_Species_Names,IF(Species_Availability="Yes",IF(Species_Evo_Numbers=1,Species_Names)),0))),Combo_Gym_Offense),0))</f>
        <v>#VALUE!</v>
      </c>
      <c r="J219" s="24" t="e">
        <f t="array" ref="J219">IF(OR(INDEX(Species_Availability,MATCH($N219,Species_Names,0))="No",INDEX(Species_Evo_Numbers,MATCH($N219,Species_Names,0))&lt;&gt;1),"N/A",$S219/MAX(IF(NOT(ISNA(MATCH(Combo_Species_Names,IF(Species_Availability="Yes",IF(Species_Evo_Numbers=1,Species_Names)),0))),Combo_Gym_Offense)))</f>
        <v>#VALUE!</v>
      </c>
      <c r="K219" s="23" t="e">
        <f t="array" ref="K219">IF(OR(INDEX(Species_Availability,MATCH($N219,Species_Names,0))="No",INDEX(Species_Evo_Numbers,MATCH($N219,Species_Names,0))&lt;&gt;1),"N/A",RANK($Y219,IF(NOT(ISNA(MATCH(Combo_Species_Names,IF(Species_Availability="Yes",IF(Species_Evo_Numbers=1,Species_Names)),0))),Combo_Gym_Defense),0))</f>
        <v>#VALUE!</v>
      </c>
      <c r="L219" s="24" t="e">
        <f t="array" ref="L219">IF(OR(INDEX(Species_Availability,MATCH($N219,Species_Names,0))="No",INDEX(Species_Evo_Numbers,MATCH($N219,Species_Names,0))&lt;&gt;1),"N/A",$Y219/MAX(IF(NOT(ISNA(MATCH(Combo_Species_Names,IF(Species_Availability="Yes",IF(Species_Evo_Numbers=1,Species_Names)),0))),Combo_Gym_Defense)))</f>
        <v>#VALUE!</v>
      </c>
      <c r="M219" s="28">
        <f t="array" ref="M219">INDEX(Species_Pdex_Numbers,MATCH($N219,Species_Names,0))</f>
        <v>127</v>
      </c>
      <c r="N219" s="30" t="s">
        <v>344</v>
      </c>
      <c r="O219" s="31" t="s">
        <v>121</v>
      </c>
      <c r="P219" s="31" t="s">
        <v>218</v>
      </c>
      <c r="Q219" s="17" t="e">
        <f t="shared" si="6"/>
        <v>#VALUE!</v>
      </c>
      <c r="R219" s="32" t="e">
        <f t="array" ref="R219">IF(OR(AND(COUNTBLANK(Combo_Opponent_Type_1)=1,COUNTBLANK(Combo_Opponent_Type_2)=0),AND(AND(COUNTBLANK(Combo_Opponent_Type_1)=0,COUNTBLANK(Combo_Opponent_Type_2)=0),Combo_Opponent_Type_1=Combo_Opponent_Type_2)),
"Check Types",($S219*INDEX(Species_Tankiness,MATCH($N219,Species_Names,0)))/225)</f>
        <v>#VALUE!</v>
      </c>
      <c r="S219" s="32" t="e">
        <f t="array" ref="S219">IF(OR(AND(COUNTBLANK(Combo_Opponent_Type_1)=1,COUNTBLANK(Combo_Opponent_Type_2)=0),AND(AND(COUNTBLANK(Combo_Opponent_Type_1)=0,COUNTBLANK(Combo_Opponent_Type_2)=0),Combo_Opponent_Type_1=Combo_Opponent_Type_2)),
"Check Types",(
IF($W219&gt;=((1-Game_Weave_Human_Error)*$X219),$W219,$X219)*INDEX(Species_Attack,MATCH($N219,Species_Names,0)))/11)</f>
        <v>#VALUE!</v>
      </c>
      <c r="T219" s="33" t="e">
        <f t="shared" si="7"/>
        <v>#VALUE!</v>
      </c>
      <c r="U219" s="33">
        <f t="array" ref="U2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219,Quick_Names,0))),Type_Species)),0),1)*IF(COUNTBLANK(Combo_Opponent_Type_2)=0,INDEX(Type_Damage_Multipliers,MATCH(Combo_Opponent_Type_2,IF(Type_Move=(INDEX(Quick_Type,MATCH($O219,Quick_Names,0))),Type_Species)),0),1)*(IF(OR(INDEX(Quick_Type,MATCH($O219,Quick_Names,0))=INDEX(Species_Type_1,MATCH($N219,Species_Names,0)),INDEX(Quick_Type,MATCH($O219,Quick_Names,0))=INDEX(Species_Type_2,MATCH($N219,Species_Names,0))),Game_STAB_Multiplier,1)))</f>
        <v>1.25</v>
      </c>
      <c r="V219" s="33">
        <f t="array" ref="V2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219,Charge_Names,0))),Type_Species)),0),1)*IF(COUNTBLANK(Combo_Opponent_Type_2)=0,INDEX(Type_Damage_Multipliers,MATCH(Combo_Opponent_Type_2,IF(Type_Move=(INDEX(Charge_Type,MATCH($P219,Charge_Names,0))),Type_Species)),0),1)*
IF(OR(INDEX(Charge_Type,MATCH($P219,Charge_Names,0))=INDEX(Species_Type_1,MATCH($N219,Species_Names,0)),INDEX(Charge_Type,MATCH($P219,Charge_Names,0))=INDEX(Species_Type_2,MATCH($N219,Species_Names,0))),Game_STAB_Multiplier,1))</f>
        <v>1.25</v>
      </c>
      <c r="W219" s="33" t="s">
        <v>564</v>
      </c>
      <c r="X219" s="33" t="s">
        <v>722</v>
      </c>
      <c r="Y219" s="32" t="e">
        <f t="array" ref="Y219">((($Z219)*
INDEX(Species_Attack,MATCH($N219,Species_Names,0))*
INDEX(Species_Tankiness,MATCH($N219,Species_Names,0)))/1000)</f>
        <v>#VALUE!</v>
      </c>
      <c r="Z219" s="33" t="s">
        <v>723</v>
      </c>
    </row>
    <row r="220" spans="1:26" ht="14.25" customHeight="1" x14ac:dyDescent="0.2">
      <c r="A220" s="86"/>
      <c r="B220" s="22" t="str">
        <f t="array" ref="B220">CONCATENATE(TEXT($M220,"000"),".",TEXT(INDEX(Quick_Number,MATCH($O220,Quick_Names,0)),"000"),".",TEXT(INDEX(Charge_Number,MATCH($P220,Charge_Names,0)),"000"))</f>
        <v>123.239.100</v>
      </c>
      <c r="C220" s="23" t="e">
        <f t="array" ref="C220">RANK($S220,IF(Combo_Species_Names=$N220,Combo_Gym_Offense),0)</f>
        <v>#VALUE!</v>
      </c>
      <c r="D220" s="24" t="e">
        <f t="array" ref="D220">$S220/MAX(IF(Combo_Species_Names=$N220,Combo_Gym_Offense))</f>
        <v>#VALUE!</v>
      </c>
      <c r="E220" s="23" t="e">
        <f t="array" ref="E220">RANK($Y220,IF(Combo_Species_Names=$N220,Combo_Gym_Defense),0)</f>
        <v>#VALUE!</v>
      </c>
      <c r="F220" s="25" t="e">
        <f t="array" ref="F220">$Y220/MAX(IF(Combo_Species_Names=$N220,Combo_Gym_Defense))</f>
        <v>#VALUE!</v>
      </c>
      <c r="G220" s="23" t="e">
        <f t="array" ref="G220">IF(OR(INDEX(Species_Availability,MATCH($N220,Species_Names,0))="No",INDEX(Species_Evo_Numbers,MATCH($N220,Species_Names,0))&lt;&gt;1),"N/A",RANK($R220,IF(NOT(ISNA(MATCH(Combo_Species_Names,IF(Species_Availability="Yes",IF(Species_Evo_Numbers=1,Species_Names)),0))),Combo_Duel_Ability),0))</f>
        <v>#VALUE!</v>
      </c>
      <c r="H220" s="24" t="e">
        <f t="array" ref="H220">IF(OR(INDEX(Species_Availability,MATCH($N220,Species_Names,0))="No",INDEX(Species_Evo_Numbers,MATCH($N220,Species_Names,0))&lt;&gt;1),"N/A",$R220/MAX(IF(NOT(ISNA(MATCH(Combo_Species_Names,IF(Species_Availability="Yes",IF(Species_Evo_Numbers=1,Species_Names)),0))),Combo_Duel_Ability)))</f>
        <v>#VALUE!</v>
      </c>
      <c r="I220" s="23" t="e">
        <f t="array" ref="I220">IF(OR(INDEX(Species_Availability,MATCH($N220,Species_Names,0))="No",INDEX(Species_Evo_Numbers,MATCH($N220,Species_Names,0))&lt;&gt;1),"N/A",RANK($S220,IF(NOT(ISNA(MATCH(Combo_Species_Names,IF(Species_Availability="Yes",IF(Species_Evo_Numbers=1,Species_Names)),0))),Combo_Gym_Offense),0))</f>
        <v>#VALUE!</v>
      </c>
      <c r="J220" s="24" t="e">
        <f t="array" ref="J220">IF(OR(INDEX(Species_Availability,MATCH($N220,Species_Names,0))="No",INDEX(Species_Evo_Numbers,MATCH($N220,Species_Names,0))&lt;&gt;1),"N/A",$S220/MAX(IF(NOT(ISNA(MATCH(Combo_Species_Names,IF(Species_Availability="Yes",IF(Species_Evo_Numbers=1,Species_Names)),0))),Combo_Gym_Offense)))</f>
        <v>#VALUE!</v>
      </c>
      <c r="K220" s="23" t="e">
        <f t="array" ref="K220">IF(OR(INDEX(Species_Availability,MATCH($N220,Species_Names,0))="No",INDEX(Species_Evo_Numbers,MATCH($N220,Species_Names,0))&lt;&gt;1),"N/A",RANK($Y220,IF(NOT(ISNA(MATCH(Combo_Species_Names,IF(Species_Availability="Yes",IF(Species_Evo_Numbers=1,Species_Names)),0))),Combo_Gym_Defense),0))</f>
        <v>#VALUE!</v>
      </c>
      <c r="L220" s="24" t="e">
        <f t="array" ref="L220">IF(OR(INDEX(Species_Availability,MATCH($N220,Species_Names,0))="No",INDEX(Species_Evo_Numbers,MATCH($N220,Species_Names,0))&lt;&gt;1),"N/A",$Y220/MAX(IF(NOT(ISNA(MATCH(Combo_Species_Names,IF(Species_Availability="Yes",IF(Species_Evo_Numbers=1,Species_Names)),0))),Combo_Gym_Defense)))</f>
        <v>#VALUE!</v>
      </c>
      <c r="M220" s="28">
        <f t="array" ref="M220">INDEX(Species_Pdex_Numbers,MATCH($N220,Species_Names,0))</f>
        <v>123</v>
      </c>
      <c r="N220" s="30" t="s">
        <v>340</v>
      </c>
      <c r="O220" s="31" t="s">
        <v>80</v>
      </c>
      <c r="P220" s="31" t="s">
        <v>218</v>
      </c>
      <c r="Q220" s="17" t="e">
        <f t="shared" si="6"/>
        <v>#VALUE!</v>
      </c>
      <c r="R220" s="32" t="e">
        <f t="array" ref="R220">IF(OR(AND(COUNTBLANK(Combo_Opponent_Type_1)=1,COUNTBLANK(Combo_Opponent_Type_2)=0),AND(AND(COUNTBLANK(Combo_Opponent_Type_1)=0,COUNTBLANK(Combo_Opponent_Type_2)=0),Combo_Opponent_Type_1=Combo_Opponent_Type_2)),
"Check Types",($S220*INDEX(Species_Tankiness,MATCH($N220,Species_Names,0)))/225)</f>
        <v>#VALUE!</v>
      </c>
      <c r="S220" s="32" t="e">
        <f t="array" ref="S220">IF(OR(AND(COUNTBLANK(Combo_Opponent_Type_1)=1,COUNTBLANK(Combo_Opponent_Type_2)=0),AND(AND(COUNTBLANK(Combo_Opponent_Type_1)=0,COUNTBLANK(Combo_Opponent_Type_2)=0),Combo_Opponent_Type_1=Combo_Opponent_Type_2)),
"Check Types",(
IF($W220&gt;=((1-Game_Weave_Human_Error)*$X220),$W220,$X220)*INDEX(Species_Attack,MATCH($N220,Species_Names,0)))/11)</f>
        <v>#VALUE!</v>
      </c>
      <c r="T220" s="33" t="e">
        <f t="shared" si="7"/>
        <v>#VALUE!</v>
      </c>
      <c r="U220" s="33">
        <f t="array" ref="U2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220,Quick_Names,0))),Type_Species)),0),1)*IF(COUNTBLANK(Combo_Opponent_Type_2)=0,INDEX(Type_Damage_Multipliers,MATCH(Combo_Opponent_Type_2,IF(Type_Move=(INDEX(Quick_Type,MATCH($O220,Quick_Names,0))),Type_Species)),0),1)*(IF(OR(INDEX(Quick_Type,MATCH($O220,Quick_Names,0))=INDEX(Species_Type_1,MATCH($N220,Species_Names,0)),INDEX(Quick_Type,MATCH($O220,Quick_Names,0))=INDEX(Species_Type_2,MATCH($N220,Species_Names,0))),Game_STAB_Multiplier,1)))</f>
        <v>1</v>
      </c>
      <c r="V220" s="33">
        <f t="array" ref="V2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220,Charge_Names,0))),Type_Species)),0),1)*IF(COUNTBLANK(Combo_Opponent_Type_2)=0,INDEX(Type_Damage_Multipliers,MATCH(Combo_Opponent_Type_2,IF(Type_Move=(INDEX(Charge_Type,MATCH($P220,Charge_Names,0))),Type_Species)),0),1)*
IF(OR(INDEX(Charge_Type,MATCH($P220,Charge_Names,0))=INDEX(Species_Type_1,MATCH($N220,Species_Names,0)),INDEX(Charge_Type,MATCH($P220,Charge_Names,0))=INDEX(Species_Type_2,MATCH($N220,Species_Names,0))),Game_STAB_Multiplier,1))</f>
        <v>1.25</v>
      </c>
      <c r="W220" s="33" t="s">
        <v>441</v>
      </c>
      <c r="X220" s="33" t="s">
        <v>724</v>
      </c>
      <c r="Y220" s="32" t="e">
        <f t="array" ref="Y220">((($Z220)*
INDEX(Species_Attack,MATCH($N220,Species_Names,0))*
INDEX(Species_Tankiness,MATCH($N220,Species_Names,0)))/1000)</f>
        <v>#VALUE!</v>
      </c>
      <c r="Z220" s="33" t="s">
        <v>725</v>
      </c>
    </row>
    <row r="221" spans="1:26" ht="14.25" customHeight="1" x14ac:dyDescent="0.2">
      <c r="A221" s="86"/>
      <c r="B221" s="22" t="str">
        <f t="array" ref="B221">CONCATENATE(TEXT($M221,"000"),".",TEXT(INDEX(Quick_Number,MATCH($O221,Quick_Names,0)),"000"),".",TEXT(INDEX(Charge_Number,MATCH($P221,Charge_Names,0)),"000"))</f>
        <v>123.200.100</v>
      </c>
      <c r="C221" s="23" t="e">
        <f t="array" ref="C221">RANK($S221,IF(Combo_Species_Names=$N221,Combo_Gym_Offense),0)</f>
        <v>#VALUE!</v>
      </c>
      <c r="D221" s="24" t="e">
        <f t="array" ref="D221">$S221/MAX(IF(Combo_Species_Names=$N221,Combo_Gym_Offense))</f>
        <v>#VALUE!</v>
      </c>
      <c r="E221" s="23" t="e">
        <f t="array" ref="E221">RANK($Y221,IF(Combo_Species_Names=$N221,Combo_Gym_Defense),0)</f>
        <v>#VALUE!</v>
      </c>
      <c r="F221" s="25" t="e">
        <f t="array" ref="F221">$Y221/MAX(IF(Combo_Species_Names=$N221,Combo_Gym_Defense))</f>
        <v>#VALUE!</v>
      </c>
      <c r="G221" s="23" t="e">
        <f t="array" ref="G221">IF(OR(INDEX(Species_Availability,MATCH($N221,Species_Names,0))="No",INDEX(Species_Evo_Numbers,MATCH($N221,Species_Names,0))&lt;&gt;1),"N/A",RANK($R221,IF(NOT(ISNA(MATCH(Combo_Species_Names,IF(Species_Availability="Yes",IF(Species_Evo_Numbers=1,Species_Names)),0))),Combo_Duel_Ability),0))</f>
        <v>#VALUE!</v>
      </c>
      <c r="H221" s="24" t="e">
        <f t="array" ref="H221">IF(OR(INDEX(Species_Availability,MATCH($N221,Species_Names,0))="No",INDEX(Species_Evo_Numbers,MATCH($N221,Species_Names,0))&lt;&gt;1),"N/A",$R221/MAX(IF(NOT(ISNA(MATCH(Combo_Species_Names,IF(Species_Availability="Yes",IF(Species_Evo_Numbers=1,Species_Names)),0))),Combo_Duel_Ability)))</f>
        <v>#VALUE!</v>
      </c>
      <c r="I221" s="23" t="e">
        <f t="array" ref="I221">IF(OR(INDEX(Species_Availability,MATCH($N221,Species_Names,0))="No",INDEX(Species_Evo_Numbers,MATCH($N221,Species_Names,0))&lt;&gt;1),"N/A",RANK($S221,IF(NOT(ISNA(MATCH(Combo_Species_Names,IF(Species_Availability="Yes",IF(Species_Evo_Numbers=1,Species_Names)),0))),Combo_Gym_Offense),0))</f>
        <v>#VALUE!</v>
      </c>
      <c r="J221" s="24" t="e">
        <f t="array" ref="J221">IF(OR(INDEX(Species_Availability,MATCH($N221,Species_Names,0))="No",INDEX(Species_Evo_Numbers,MATCH($N221,Species_Names,0))&lt;&gt;1),"N/A",$S221/MAX(IF(NOT(ISNA(MATCH(Combo_Species_Names,IF(Species_Availability="Yes",IF(Species_Evo_Numbers=1,Species_Names)),0))),Combo_Gym_Offense)))</f>
        <v>#VALUE!</v>
      </c>
      <c r="K221" s="23" t="e">
        <f t="array" ref="K221">IF(OR(INDEX(Species_Availability,MATCH($N221,Species_Names,0))="No",INDEX(Species_Evo_Numbers,MATCH($N221,Species_Names,0))&lt;&gt;1),"N/A",RANK($Y221,IF(NOT(ISNA(MATCH(Combo_Species_Names,IF(Species_Availability="Yes",IF(Species_Evo_Numbers=1,Species_Names)),0))),Combo_Gym_Defense),0))</f>
        <v>#VALUE!</v>
      </c>
      <c r="L221" s="24" t="e">
        <f t="array" ref="L221">IF(OR(INDEX(Species_Availability,MATCH($N221,Species_Names,0))="No",INDEX(Species_Evo_Numbers,MATCH($N221,Species_Names,0))&lt;&gt;1),"N/A",$Y221/MAX(IF(NOT(ISNA(MATCH(Combo_Species_Names,IF(Species_Availability="Yes",IF(Species_Evo_Numbers=1,Species_Names)),0))),Combo_Gym_Defense)))</f>
        <v>#VALUE!</v>
      </c>
      <c r="M221" s="28">
        <f t="array" ref="M221">INDEX(Species_Pdex_Numbers,MATCH($N221,Species_Names,0))</f>
        <v>123</v>
      </c>
      <c r="N221" s="30" t="s">
        <v>340</v>
      </c>
      <c r="O221" s="31" t="s">
        <v>121</v>
      </c>
      <c r="P221" s="31" t="s">
        <v>218</v>
      </c>
      <c r="Q221" s="17" t="e">
        <f t="shared" si="6"/>
        <v>#VALUE!</v>
      </c>
      <c r="R221" s="32" t="e">
        <f t="array" ref="R221">IF(OR(AND(COUNTBLANK(Combo_Opponent_Type_1)=1,COUNTBLANK(Combo_Opponent_Type_2)=0),AND(AND(COUNTBLANK(Combo_Opponent_Type_1)=0,COUNTBLANK(Combo_Opponent_Type_2)=0),Combo_Opponent_Type_1=Combo_Opponent_Type_2)),
"Check Types",($S221*INDEX(Species_Tankiness,MATCH($N221,Species_Names,0)))/225)</f>
        <v>#VALUE!</v>
      </c>
      <c r="S221" s="32" t="e">
        <f t="array" ref="S221">IF(OR(AND(COUNTBLANK(Combo_Opponent_Type_1)=1,COUNTBLANK(Combo_Opponent_Type_2)=0),AND(AND(COUNTBLANK(Combo_Opponent_Type_1)=0,COUNTBLANK(Combo_Opponent_Type_2)=0),Combo_Opponent_Type_1=Combo_Opponent_Type_2)),
"Check Types",(
IF($W221&gt;=((1-Game_Weave_Human_Error)*$X221),$W221,$X221)*INDEX(Species_Attack,MATCH($N221,Species_Names,0)))/11)</f>
        <v>#VALUE!</v>
      </c>
      <c r="T221" s="33" t="e">
        <f t="shared" si="7"/>
        <v>#VALUE!</v>
      </c>
      <c r="U221" s="33">
        <f t="array" ref="U2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221,Quick_Names,0))),Type_Species)),0),1)*IF(COUNTBLANK(Combo_Opponent_Type_2)=0,INDEX(Type_Damage_Multipliers,MATCH(Combo_Opponent_Type_2,IF(Type_Move=(INDEX(Quick_Type,MATCH($O221,Quick_Names,0))),Type_Species)),0),1)*(IF(OR(INDEX(Quick_Type,MATCH($O221,Quick_Names,0))=INDEX(Species_Type_1,MATCH($N221,Species_Names,0)),INDEX(Quick_Type,MATCH($O221,Quick_Names,0))=INDEX(Species_Type_2,MATCH($N221,Species_Names,0))),Game_STAB_Multiplier,1)))</f>
        <v>1.25</v>
      </c>
      <c r="V221" s="33">
        <f t="array" ref="V2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221,Charge_Names,0))),Type_Species)),0),1)*IF(COUNTBLANK(Combo_Opponent_Type_2)=0,INDEX(Type_Damage_Multipliers,MATCH(Combo_Opponent_Type_2,IF(Type_Move=(INDEX(Charge_Type,MATCH($P221,Charge_Names,0))),Type_Species)),0),1)*
IF(OR(INDEX(Charge_Type,MATCH($P221,Charge_Names,0))=INDEX(Species_Type_1,MATCH($N221,Species_Names,0)),INDEX(Charge_Type,MATCH($P221,Charge_Names,0))=INDEX(Species_Type_2,MATCH($N221,Species_Names,0))),Game_STAB_Multiplier,1))</f>
        <v>1.25</v>
      </c>
      <c r="W221" s="33" t="s">
        <v>564</v>
      </c>
      <c r="X221" s="33" t="s">
        <v>722</v>
      </c>
      <c r="Y221" s="32" t="e">
        <f t="array" ref="Y221">((($Z221)*
INDEX(Species_Attack,MATCH($N221,Species_Names,0))*
INDEX(Species_Tankiness,MATCH($N221,Species_Names,0)))/1000)</f>
        <v>#VALUE!</v>
      </c>
      <c r="Z221" s="33" t="s">
        <v>723</v>
      </c>
    </row>
    <row r="222" spans="1:26" ht="14.25" customHeight="1" x14ac:dyDescent="0.2">
      <c r="A222" s="86"/>
      <c r="B222" s="22" t="str">
        <f t="array" ref="B222">CONCATENATE(TEXT($M222,"000"),".",TEXT(INDEX(Quick_Number,MATCH($O222,Quick_Names,0)),"000"),".",TEXT(INDEX(Charge_Number,MATCH($P222,Charge_Names,0)),"000"))</f>
        <v>125.207.078</v>
      </c>
      <c r="C222" s="23" t="e">
        <f t="array" ref="C222">RANK($S222,IF(Combo_Species_Names=$N222,Combo_Gym_Offense),0)</f>
        <v>#VALUE!</v>
      </c>
      <c r="D222" s="24" t="e">
        <f t="array" ref="D222">$S222/MAX(IF(Combo_Species_Names=$N222,Combo_Gym_Offense))</f>
        <v>#VALUE!</v>
      </c>
      <c r="E222" s="23" t="e">
        <f t="array" ref="E222">RANK($Y222,IF(Combo_Species_Names=$N222,Combo_Gym_Defense),0)</f>
        <v>#VALUE!</v>
      </c>
      <c r="F222" s="25" t="e">
        <f t="array" ref="F222">$Y222/MAX(IF(Combo_Species_Names=$N222,Combo_Gym_Defense))</f>
        <v>#VALUE!</v>
      </c>
      <c r="G222" s="23" t="e">
        <f t="array" ref="G222">IF(OR(INDEX(Species_Availability,MATCH($N222,Species_Names,0))="No",INDEX(Species_Evo_Numbers,MATCH($N222,Species_Names,0))&lt;&gt;1),"N/A",RANK($R222,IF(NOT(ISNA(MATCH(Combo_Species_Names,IF(Species_Availability="Yes",IF(Species_Evo_Numbers=1,Species_Names)),0))),Combo_Duel_Ability),0))</f>
        <v>#VALUE!</v>
      </c>
      <c r="H222" s="24" t="e">
        <f t="array" ref="H222">IF(OR(INDEX(Species_Availability,MATCH($N222,Species_Names,0))="No",INDEX(Species_Evo_Numbers,MATCH($N222,Species_Names,0))&lt;&gt;1),"N/A",$R222/MAX(IF(NOT(ISNA(MATCH(Combo_Species_Names,IF(Species_Availability="Yes",IF(Species_Evo_Numbers=1,Species_Names)),0))),Combo_Duel_Ability)))</f>
        <v>#VALUE!</v>
      </c>
      <c r="I222" s="23" t="e">
        <f t="array" ref="I222">IF(OR(INDEX(Species_Availability,MATCH($N222,Species_Names,0))="No",INDEX(Species_Evo_Numbers,MATCH($N222,Species_Names,0))&lt;&gt;1),"N/A",RANK($S222,IF(NOT(ISNA(MATCH(Combo_Species_Names,IF(Species_Availability="Yes",IF(Species_Evo_Numbers=1,Species_Names)),0))),Combo_Gym_Offense),0))</f>
        <v>#VALUE!</v>
      </c>
      <c r="J222" s="24" t="e">
        <f t="array" ref="J222">IF(OR(INDEX(Species_Availability,MATCH($N222,Species_Names,0))="No",INDEX(Species_Evo_Numbers,MATCH($N222,Species_Names,0))&lt;&gt;1),"N/A",$S222/MAX(IF(NOT(ISNA(MATCH(Combo_Species_Names,IF(Species_Availability="Yes",IF(Species_Evo_Numbers=1,Species_Names)),0))),Combo_Gym_Offense)))</f>
        <v>#VALUE!</v>
      </c>
      <c r="K222" s="23" t="e">
        <f t="array" ref="K222">IF(OR(INDEX(Species_Availability,MATCH($N222,Species_Names,0))="No",INDEX(Species_Evo_Numbers,MATCH($N222,Species_Names,0))&lt;&gt;1),"N/A",RANK($Y222,IF(NOT(ISNA(MATCH(Combo_Species_Names,IF(Species_Availability="Yes",IF(Species_Evo_Numbers=1,Species_Names)),0))),Combo_Gym_Defense),0))</f>
        <v>#VALUE!</v>
      </c>
      <c r="L222" s="24" t="e">
        <f t="array" ref="L222">IF(OR(INDEX(Species_Availability,MATCH($N222,Species_Names,0))="No",INDEX(Species_Evo_Numbers,MATCH($N222,Species_Names,0))&lt;&gt;1),"N/A",$Y222/MAX(IF(NOT(ISNA(MATCH(Combo_Species_Names,IF(Species_Availability="Yes",IF(Species_Evo_Numbers=1,Species_Names)),0))),Combo_Gym_Defense)))</f>
        <v>#VALUE!</v>
      </c>
      <c r="M222" s="28">
        <f t="array" ref="M222">INDEX(Species_Pdex_Numbers,MATCH($N222,Species_Names,0))</f>
        <v>125</v>
      </c>
      <c r="N222" s="30" t="s">
        <v>342</v>
      </c>
      <c r="O222" s="31" t="s">
        <v>117</v>
      </c>
      <c r="P222" s="31" t="s">
        <v>174</v>
      </c>
      <c r="Q222" s="17" t="e">
        <f t="shared" si="6"/>
        <v>#VALUE!</v>
      </c>
      <c r="R222" s="32" t="e">
        <f t="array" ref="R222">IF(OR(AND(COUNTBLANK(Combo_Opponent_Type_1)=1,COUNTBLANK(Combo_Opponent_Type_2)=0),AND(AND(COUNTBLANK(Combo_Opponent_Type_1)=0,COUNTBLANK(Combo_Opponent_Type_2)=0),Combo_Opponent_Type_1=Combo_Opponent_Type_2)),
"Check Types",($S222*INDEX(Species_Tankiness,MATCH($N222,Species_Names,0)))/225)</f>
        <v>#VALUE!</v>
      </c>
      <c r="S222" s="32" t="e">
        <f t="array" ref="S222">IF(OR(AND(COUNTBLANK(Combo_Opponent_Type_1)=1,COUNTBLANK(Combo_Opponent_Type_2)=0),AND(AND(COUNTBLANK(Combo_Opponent_Type_1)=0,COUNTBLANK(Combo_Opponent_Type_2)=0),Combo_Opponent_Type_1=Combo_Opponent_Type_2)),
"Check Types",(
IF($W222&gt;=((1-Game_Weave_Human_Error)*$X222),$W222,$X222)*INDEX(Species_Attack,MATCH($N222,Species_Names,0)))/11)</f>
        <v>#VALUE!</v>
      </c>
      <c r="T222" s="33" t="e">
        <f t="shared" si="7"/>
        <v>#VALUE!</v>
      </c>
      <c r="U222" s="33">
        <f t="array" ref="U2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222,Quick_Names,0))),Type_Species)),0),1)*IF(COUNTBLANK(Combo_Opponent_Type_2)=0,INDEX(Type_Damage_Multipliers,MATCH(Combo_Opponent_Type_2,IF(Type_Move=(INDEX(Quick_Type,MATCH($O222,Quick_Names,0))),Type_Species)),0),1)*(IF(OR(INDEX(Quick_Type,MATCH($O222,Quick_Names,0))=INDEX(Species_Type_1,MATCH($N222,Species_Names,0)),INDEX(Quick_Type,MATCH($O222,Quick_Names,0))=INDEX(Species_Type_2,MATCH($N222,Species_Names,0))),Game_STAB_Multiplier,1)))</f>
        <v>1</v>
      </c>
      <c r="V222" s="33">
        <f t="array" ref="V2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222,Charge_Names,0))),Type_Species)),0),1)*IF(COUNTBLANK(Combo_Opponent_Type_2)=0,INDEX(Type_Damage_Multipliers,MATCH(Combo_Opponent_Type_2,IF(Type_Move=(INDEX(Charge_Type,MATCH($P222,Charge_Names,0))),Type_Species)),0),1)*
IF(OR(INDEX(Charge_Type,MATCH($P222,Charge_Names,0))=INDEX(Species_Type_1,MATCH($N222,Species_Names,0)),INDEX(Charge_Type,MATCH($P222,Charge_Names,0))=INDEX(Species_Type_2,MATCH($N222,Species_Names,0))),Game_STAB_Multiplier,1))</f>
        <v>1.25</v>
      </c>
      <c r="W222" s="33" t="s">
        <v>621</v>
      </c>
      <c r="X222" s="33" t="s">
        <v>726</v>
      </c>
      <c r="Y222" s="32" t="e">
        <f t="array" ref="Y222">((($Z222)*
INDEX(Species_Attack,MATCH($N222,Species_Names,0))*
INDEX(Species_Tankiness,MATCH($N222,Species_Names,0)))/1000)</f>
        <v>#VALUE!</v>
      </c>
      <c r="Z222" s="33" t="s">
        <v>705</v>
      </c>
    </row>
    <row r="223" spans="1:26" ht="14.25" customHeight="1" x14ac:dyDescent="0.2">
      <c r="A223" s="86"/>
      <c r="B223" s="22" t="str">
        <f t="array" ref="B223">CONCATENATE(TEXT($M223,"000"),".",TEXT(INDEX(Quick_Number,MATCH($O223,Quick_Names,0)),"000"),".",TEXT(INDEX(Charge_Number,MATCH($P223,Charge_Names,0)),"000"))</f>
        <v>114.214.116</v>
      </c>
      <c r="C223" s="23" t="e">
        <f t="array" ref="C223">RANK($S223,IF(Combo_Species_Names=$N223,Combo_Gym_Offense),0)</f>
        <v>#VALUE!</v>
      </c>
      <c r="D223" s="24" t="e">
        <f t="array" ref="D223">$S223/MAX(IF(Combo_Species_Names=$N223,Combo_Gym_Offense))</f>
        <v>#VALUE!</v>
      </c>
      <c r="E223" s="23" t="e">
        <f t="array" ref="E223">RANK($Y223,IF(Combo_Species_Names=$N223,Combo_Gym_Defense),0)</f>
        <v>#VALUE!</v>
      </c>
      <c r="F223" s="25" t="e">
        <f t="array" ref="F223">$Y223/MAX(IF(Combo_Species_Names=$N223,Combo_Gym_Defense))</f>
        <v>#VALUE!</v>
      </c>
      <c r="G223" s="23" t="e">
        <f t="array" ref="G223">IF(OR(INDEX(Species_Availability,MATCH($N223,Species_Names,0))="No",INDEX(Species_Evo_Numbers,MATCH($N223,Species_Names,0))&lt;&gt;1),"N/A",RANK($R223,IF(NOT(ISNA(MATCH(Combo_Species_Names,IF(Species_Availability="Yes",IF(Species_Evo_Numbers=1,Species_Names)),0))),Combo_Duel_Ability),0))</f>
        <v>#VALUE!</v>
      </c>
      <c r="H223" s="24" t="e">
        <f t="array" ref="H223">IF(OR(INDEX(Species_Availability,MATCH($N223,Species_Names,0))="No",INDEX(Species_Evo_Numbers,MATCH($N223,Species_Names,0))&lt;&gt;1),"N/A",$R223/MAX(IF(NOT(ISNA(MATCH(Combo_Species_Names,IF(Species_Availability="Yes",IF(Species_Evo_Numbers=1,Species_Names)),0))),Combo_Duel_Ability)))</f>
        <v>#VALUE!</v>
      </c>
      <c r="I223" s="23" t="e">
        <f t="array" ref="I223">IF(OR(INDEX(Species_Availability,MATCH($N223,Species_Names,0))="No",INDEX(Species_Evo_Numbers,MATCH($N223,Species_Names,0))&lt;&gt;1),"N/A",RANK($S223,IF(NOT(ISNA(MATCH(Combo_Species_Names,IF(Species_Availability="Yes",IF(Species_Evo_Numbers=1,Species_Names)),0))),Combo_Gym_Offense),0))</f>
        <v>#VALUE!</v>
      </c>
      <c r="J223" s="24" t="e">
        <f t="array" ref="J223">IF(OR(INDEX(Species_Availability,MATCH($N223,Species_Names,0))="No",INDEX(Species_Evo_Numbers,MATCH($N223,Species_Names,0))&lt;&gt;1),"N/A",$S223/MAX(IF(NOT(ISNA(MATCH(Combo_Species_Names,IF(Species_Availability="Yes",IF(Species_Evo_Numbers=1,Species_Names)),0))),Combo_Gym_Offense)))</f>
        <v>#VALUE!</v>
      </c>
      <c r="K223" s="23" t="e">
        <f t="array" ref="K223">IF(OR(INDEX(Species_Availability,MATCH($N223,Species_Names,0))="No",INDEX(Species_Evo_Numbers,MATCH($N223,Species_Names,0))&lt;&gt;1),"N/A",RANK($Y223,IF(NOT(ISNA(MATCH(Combo_Species_Names,IF(Species_Availability="Yes",IF(Species_Evo_Numbers=1,Species_Names)),0))),Combo_Gym_Defense),0))</f>
        <v>#VALUE!</v>
      </c>
      <c r="L223" s="24" t="e">
        <f t="array" ref="L223">IF(OR(INDEX(Species_Availability,MATCH($N223,Species_Names,0))="No",INDEX(Species_Evo_Numbers,MATCH($N223,Species_Names,0))&lt;&gt;1),"N/A",$Y223/MAX(IF(NOT(ISNA(MATCH(Combo_Species_Names,IF(Species_Availability="Yes",IF(Species_Evo_Numbers=1,Species_Names)),0))),Combo_Gym_Defense)))</f>
        <v>#VALUE!</v>
      </c>
      <c r="M223" s="28">
        <f t="array" ref="M223">INDEX(Species_Pdex_Numbers,MATCH($N223,Species_Names,0))</f>
        <v>114</v>
      </c>
      <c r="N223" s="30" t="s">
        <v>327</v>
      </c>
      <c r="O223" s="31" t="s">
        <v>94</v>
      </c>
      <c r="P223" s="31" t="s">
        <v>160</v>
      </c>
      <c r="Q223" s="17" t="e">
        <f t="shared" si="6"/>
        <v>#VALUE!</v>
      </c>
      <c r="R223" s="32" t="e">
        <f t="array" ref="R223">IF(OR(AND(COUNTBLANK(Combo_Opponent_Type_1)=1,COUNTBLANK(Combo_Opponent_Type_2)=0),AND(AND(COUNTBLANK(Combo_Opponent_Type_1)=0,COUNTBLANK(Combo_Opponent_Type_2)=0),Combo_Opponent_Type_1=Combo_Opponent_Type_2)),
"Check Types",($S223*INDEX(Species_Tankiness,MATCH($N223,Species_Names,0)))/225)</f>
        <v>#VALUE!</v>
      </c>
      <c r="S223" s="32" t="e">
        <f t="array" ref="S223">IF(OR(AND(COUNTBLANK(Combo_Opponent_Type_1)=1,COUNTBLANK(Combo_Opponent_Type_2)=0),AND(AND(COUNTBLANK(Combo_Opponent_Type_1)=0,COUNTBLANK(Combo_Opponent_Type_2)=0),Combo_Opponent_Type_1=Combo_Opponent_Type_2)),
"Check Types",(
IF($W223&gt;=((1-Game_Weave_Human_Error)*$X223),$W223,$X223)*INDEX(Species_Attack,MATCH($N223,Species_Names,0)))/11)</f>
        <v>#VALUE!</v>
      </c>
      <c r="T223" s="33" t="e">
        <f t="shared" si="7"/>
        <v>#VALUE!</v>
      </c>
      <c r="U223" s="33">
        <f t="array" ref="U2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223,Quick_Names,0))),Type_Species)),0),1)*IF(COUNTBLANK(Combo_Opponent_Type_2)=0,INDEX(Type_Damage_Multipliers,MATCH(Combo_Opponent_Type_2,IF(Type_Move=(INDEX(Quick_Type,MATCH($O223,Quick_Names,0))),Type_Species)),0),1)*(IF(OR(INDEX(Quick_Type,MATCH($O223,Quick_Names,0))=INDEX(Species_Type_1,MATCH($N223,Species_Names,0)),INDEX(Quick_Type,MATCH($O223,Quick_Names,0))=INDEX(Species_Type_2,MATCH($N223,Species_Names,0))),Game_STAB_Multiplier,1)))</f>
        <v>1.25</v>
      </c>
      <c r="V223" s="33">
        <f t="array" ref="V2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223,Charge_Names,0))),Type_Species)),0),1)*IF(COUNTBLANK(Combo_Opponent_Type_2)=0,INDEX(Type_Damage_Multipliers,MATCH(Combo_Opponent_Type_2,IF(Type_Move=(INDEX(Charge_Type,MATCH($P223,Charge_Names,0))),Type_Species)),0),1)*
IF(OR(INDEX(Charge_Type,MATCH($P223,Charge_Names,0))=INDEX(Species_Type_1,MATCH($N223,Species_Names,0)),INDEX(Charge_Type,MATCH($P223,Charge_Names,0))=INDEX(Species_Type_2,MATCH($N223,Species_Names,0))),Game_STAB_Multiplier,1))</f>
        <v>1.25</v>
      </c>
      <c r="W223" s="33" t="s">
        <v>476</v>
      </c>
      <c r="X223" s="33" t="s">
        <v>477</v>
      </c>
      <c r="Y223" s="32" t="e">
        <f t="array" ref="Y223">((($Z223)*
INDEX(Species_Attack,MATCH($N223,Species_Names,0))*
INDEX(Species_Tankiness,MATCH($N223,Species_Names,0)))/1000)</f>
        <v>#VALUE!</v>
      </c>
      <c r="Z223" s="33" t="s">
        <v>478</v>
      </c>
    </row>
    <row r="224" spans="1:26" ht="14.25" customHeight="1" x14ac:dyDescent="0.2">
      <c r="A224" s="86"/>
      <c r="B224" s="22" t="str">
        <f t="array" ref="B224">CONCATENATE(TEXT($M224,"000"),".",TEXT(INDEX(Quick_Number,MATCH($O224,Quick_Names,0)),"000"),".",TEXT(INDEX(Charge_Number,MATCH($P224,Charge_Names,0)),"000"))</f>
        <v>126.209.115</v>
      </c>
      <c r="C224" s="23" t="e">
        <f t="array" ref="C224">RANK($S224,IF(Combo_Species_Names=$N224,Combo_Gym_Offense),0)</f>
        <v>#VALUE!</v>
      </c>
      <c r="D224" s="24" t="e">
        <f t="array" ref="D224">$S224/MAX(IF(Combo_Species_Names=$N224,Combo_Gym_Offense))</f>
        <v>#VALUE!</v>
      </c>
      <c r="E224" s="23" t="e">
        <f t="array" ref="E224">RANK($Y224,IF(Combo_Species_Names=$N224,Combo_Gym_Defense),0)</f>
        <v>#VALUE!</v>
      </c>
      <c r="F224" s="25" t="e">
        <f t="array" ref="F224">$Y224/MAX(IF(Combo_Species_Names=$N224,Combo_Gym_Defense))</f>
        <v>#VALUE!</v>
      </c>
      <c r="G224" s="23" t="e">
        <f t="array" ref="G224">IF(OR(INDEX(Species_Availability,MATCH($N224,Species_Names,0))="No",INDEX(Species_Evo_Numbers,MATCH($N224,Species_Names,0))&lt;&gt;1),"N/A",RANK($R224,IF(NOT(ISNA(MATCH(Combo_Species_Names,IF(Species_Availability="Yes",IF(Species_Evo_Numbers=1,Species_Names)),0))),Combo_Duel_Ability),0))</f>
        <v>#VALUE!</v>
      </c>
      <c r="H224" s="24" t="e">
        <f t="array" ref="H224">IF(OR(INDEX(Species_Availability,MATCH($N224,Species_Names,0))="No",INDEX(Species_Evo_Numbers,MATCH($N224,Species_Names,0))&lt;&gt;1),"N/A",$R224/MAX(IF(NOT(ISNA(MATCH(Combo_Species_Names,IF(Species_Availability="Yes",IF(Species_Evo_Numbers=1,Species_Names)),0))),Combo_Duel_Ability)))</f>
        <v>#VALUE!</v>
      </c>
      <c r="I224" s="23" t="e">
        <f t="array" ref="I224">IF(OR(INDEX(Species_Availability,MATCH($N224,Species_Names,0))="No",INDEX(Species_Evo_Numbers,MATCH($N224,Species_Names,0))&lt;&gt;1),"N/A",RANK($S224,IF(NOT(ISNA(MATCH(Combo_Species_Names,IF(Species_Availability="Yes",IF(Species_Evo_Numbers=1,Species_Names)),0))),Combo_Gym_Offense),0))</f>
        <v>#VALUE!</v>
      </c>
      <c r="J224" s="24" t="e">
        <f t="array" ref="J224">IF(OR(INDEX(Species_Availability,MATCH($N224,Species_Names,0))="No",INDEX(Species_Evo_Numbers,MATCH($N224,Species_Names,0))&lt;&gt;1),"N/A",$S224/MAX(IF(NOT(ISNA(MATCH(Combo_Species_Names,IF(Species_Availability="Yes",IF(Species_Evo_Numbers=1,Species_Names)),0))),Combo_Gym_Offense)))</f>
        <v>#VALUE!</v>
      </c>
      <c r="K224" s="23" t="e">
        <f t="array" ref="K224">IF(OR(INDEX(Species_Availability,MATCH($N224,Species_Names,0))="No",INDEX(Species_Evo_Numbers,MATCH($N224,Species_Names,0))&lt;&gt;1),"N/A",RANK($Y224,IF(NOT(ISNA(MATCH(Combo_Species_Names,IF(Species_Availability="Yes",IF(Species_Evo_Numbers=1,Species_Names)),0))),Combo_Gym_Defense),0))</f>
        <v>#VALUE!</v>
      </c>
      <c r="L224" s="24" t="e">
        <f t="array" ref="L224">IF(OR(INDEX(Species_Availability,MATCH($N224,Species_Names,0))="No",INDEX(Species_Evo_Numbers,MATCH($N224,Species_Names,0))&lt;&gt;1),"N/A",$Y224/MAX(IF(NOT(ISNA(MATCH(Combo_Species_Names,IF(Species_Availability="Yes",IF(Species_Evo_Numbers=1,Species_Names)),0))),Combo_Gym_Defense)))</f>
        <v>#VALUE!</v>
      </c>
      <c r="M224" s="28">
        <f t="array" ref="M224">INDEX(Species_Pdex_Numbers,MATCH($N224,Species_Names,0))</f>
        <v>126</v>
      </c>
      <c r="N224" s="30" t="s">
        <v>343</v>
      </c>
      <c r="O224" s="31" t="s">
        <v>111</v>
      </c>
      <c r="P224" s="31" t="s">
        <v>238</v>
      </c>
      <c r="Q224" s="17" t="e">
        <f t="shared" si="6"/>
        <v>#VALUE!</v>
      </c>
      <c r="R224" s="32" t="e">
        <f t="array" ref="R224">IF(OR(AND(COUNTBLANK(Combo_Opponent_Type_1)=1,COUNTBLANK(Combo_Opponent_Type_2)=0),AND(AND(COUNTBLANK(Combo_Opponent_Type_1)=0,COUNTBLANK(Combo_Opponent_Type_2)=0),Combo_Opponent_Type_1=Combo_Opponent_Type_2)),
"Check Types",($S224*INDEX(Species_Tankiness,MATCH($N224,Species_Names,0)))/225)</f>
        <v>#VALUE!</v>
      </c>
      <c r="S224" s="32" t="e">
        <f t="array" ref="S224">IF(OR(AND(COUNTBLANK(Combo_Opponent_Type_1)=1,COUNTBLANK(Combo_Opponent_Type_2)=0),AND(AND(COUNTBLANK(Combo_Opponent_Type_1)=0,COUNTBLANK(Combo_Opponent_Type_2)=0),Combo_Opponent_Type_1=Combo_Opponent_Type_2)),
"Check Types",(
IF($W224&gt;=((1-Game_Weave_Human_Error)*$X224),$W224,$X224)*INDEX(Species_Attack,MATCH($N224,Species_Names,0)))/11)</f>
        <v>#VALUE!</v>
      </c>
      <c r="T224" s="33" t="e">
        <f t="shared" si="7"/>
        <v>#VALUE!</v>
      </c>
      <c r="U224" s="33">
        <f t="array" ref="U2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224,Quick_Names,0))),Type_Species)),0),1)*IF(COUNTBLANK(Combo_Opponent_Type_2)=0,INDEX(Type_Damage_Multipliers,MATCH(Combo_Opponent_Type_2,IF(Type_Move=(INDEX(Quick_Type,MATCH($O224,Quick_Names,0))),Type_Species)),0),1)*(IF(OR(INDEX(Quick_Type,MATCH($O224,Quick_Names,0))=INDEX(Species_Type_1,MATCH($N224,Species_Names,0)),INDEX(Quick_Type,MATCH($O224,Quick_Names,0))=INDEX(Species_Type_2,MATCH($N224,Species_Names,0))),Game_STAB_Multiplier,1)))</f>
        <v>1.25</v>
      </c>
      <c r="V224" s="33">
        <f t="array" ref="V2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224,Charge_Names,0))),Type_Species)),0),1)*IF(COUNTBLANK(Combo_Opponent_Type_2)=0,INDEX(Type_Damage_Multipliers,MATCH(Combo_Opponent_Type_2,IF(Type_Move=(INDEX(Charge_Type,MATCH($P224,Charge_Names,0))),Type_Species)),0),1)*
IF(OR(INDEX(Charge_Type,MATCH($P224,Charge_Names,0))=INDEX(Species_Type_1,MATCH($N224,Species_Names,0)),INDEX(Charge_Type,MATCH($P224,Charge_Names,0))=INDEX(Species_Type_2,MATCH($N224,Species_Names,0))),Game_STAB_Multiplier,1))</f>
        <v>1.25</v>
      </c>
      <c r="W224" s="33" t="s">
        <v>511</v>
      </c>
      <c r="X224" s="33" t="s">
        <v>727</v>
      </c>
      <c r="Y224" s="32" t="e">
        <f t="array" ref="Y224">((($Z224)*
INDEX(Species_Attack,MATCH($N224,Species_Names,0))*
INDEX(Species_Tankiness,MATCH($N224,Species_Names,0)))/1000)</f>
        <v>#VALUE!</v>
      </c>
      <c r="Z224" s="33" t="s">
        <v>728</v>
      </c>
    </row>
    <row r="225" spans="1:26" ht="14.25" customHeight="1" x14ac:dyDescent="0.2">
      <c r="A225" s="86"/>
      <c r="B225" s="22" t="str">
        <f t="array" ref="B225">CONCATENATE(TEXT($M225,"000"),".",TEXT(INDEX(Quick_Number,MATCH($O225,Quick_Names,0)),"000"),".",TEXT(INDEX(Charge_Number,MATCH($P225,Charge_Names,0)),"000"))</f>
        <v>026.205.078</v>
      </c>
      <c r="C225" s="23" t="e">
        <f t="array" ref="C225">RANK($S225,IF(Combo_Species_Names=$N225,Combo_Gym_Offense),0)</f>
        <v>#VALUE!</v>
      </c>
      <c r="D225" s="24" t="e">
        <f t="array" ref="D225">$S225/MAX(IF(Combo_Species_Names=$N225,Combo_Gym_Offense))</f>
        <v>#VALUE!</v>
      </c>
      <c r="E225" s="23" t="e">
        <f t="array" ref="E225">RANK($Y225,IF(Combo_Species_Names=$N225,Combo_Gym_Defense),0)</f>
        <v>#VALUE!</v>
      </c>
      <c r="F225" s="25" t="e">
        <f t="array" ref="F225">$Y225/MAX(IF(Combo_Species_Names=$N225,Combo_Gym_Defense))</f>
        <v>#VALUE!</v>
      </c>
      <c r="G225" s="23" t="e">
        <f t="array" ref="G225">IF(OR(INDEX(Species_Availability,MATCH($N225,Species_Names,0))="No",INDEX(Species_Evo_Numbers,MATCH($N225,Species_Names,0))&lt;&gt;1),"N/A",RANK($R225,IF(NOT(ISNA(MATCH(Combo_Species_Names,IF(Species_Availability="Yes",IF(Species_Evo_Numbers=1,Species_Names)),0))),Combo_Duel_Ability),0))</f>
        <v>#VALUE!</v>
      </c>
      <c r="H225" s="24" t="e">
        <f t="array" ref="H225">IF(OR(INDEX(Species_Availability,MATCH($N225,Species_Names,0))="No",INDEX(Species_Evo_Numbers,MATCH($N225,Species_Names,0))&lt;&gt;1),"N/A",$R225/MAX(IF(NOT(ISNA(MATCH(Combo_Species_Names,IF(Species_Availability="Yes",IF(Species_Evo_Numbers=1,Species_Names)),0))),Combo_Duel_Ability)))</f>
        <v>#VALUE!</v>
      </c>
      <c r="I225" s="23" t="e">
        <f t="array" ref="I225">IF(OR(INDEX(Species_Availability,MATCH($N225,Species_Names,0))="No",INDEX(Species_Evo_Numbers,MATCH($N225,Species_Names,0))&lt;&gt;1),"N/A",RANK($S225,IF(NOT(ISNA(MATCH(Combo_Species_Names,IF(Species_Availability="Yes",IF(Species_Evo_Numbers=1,Species_Names)),0))),Combo_Gym_Offense),0))</f>
        <v>#VALUE!</v>
      </c>
      <c r="J225" s="24" t="e">
        <f t="array" ref="J225">IF(OR(INDEX(Species_Availability,MATCH($N225,Species_Names,0))="No",INDEX(Species_Evo_Numbers,MATCH($N225,Species_Names,0))&lt;&gt;1),"N/A",$S225/MAX(IF(NOT(ISNA(MATCH(Combo_Species_Names,IF(Species_Availability="Yes",IF(Species_Evo_Numbers=1,Species_Names)),0))),Combo_Gym_Offense)))</f>
        <v>#VALUE!</v>
      </c>
      <c r="K225" s="23" t="e">
        <f t="array" ref="K225">IF(OR(INDEX(Species_Availability,MATCH($N225,Species_Names,0))="No",INDEX(Species_Evo_Numbers,MATCH($N225,Species_Names,0))&lt;&gt;1),"N/A",RANK($Y225,IF(NOT(ISNA(MATCH(Combo_Species_Names,IF(Species_Availability="Yes",IF(Species_Evo_Numbers=1,Species_Names)),0))),Combo_Gym_Defense),0))</f>
        <v>#VALUE!</v>
      </c>
      <c r="L225" s="24" t="e">
        <f t="array" ref="L225">IF(OR(INDEX(Species_Availability,MATCH($N225,Species_Names,0))="No",INDEX(Species_Evo_Numbers,MATCH($N225,Species_Names,0))&lt;&gt;1),"N/A",$Y225/MAX(IF(NOT(ISNA(MATCH(Combo_Species_Names,IF(Species_Availability="Yes",IF(Species_Evo_Numbers=1,Species_Names)),0))),Combo_Gym_Defense)))</f>
        <v>#VALUE!</v>
      </c>
      <c r="M225" s="28">
        <f t="array" ref="M225">INDEX(Species_Pdex_Numbers,MATCH($N225,Species_Names,0))</f>
        <v>26</v>
      </c>
      <c r="N225" s="30" t="s">
        <v>136</v>
      </c>
      <c r="O225" s="31" t="s">
        <v>115</v>
      </c>
      <c r="P225" s="31" t="s">
        <v>174</v>
      </c>
      <c r="Q225" s="17" t="e">
        <f t="shared" si="6"/>
        <v>#VALUE!</v>
      </c>
      <c r="R225" s="32" t="e">
        <f t="array" ref="R225">IF(OR(AND(COUNTBLANK(Combo_Opponent_Type_1)=1,COUNTBLANK(Combo_Opponent_Type_2)=0),AND(AND(COUNTBLANK(Combo_Opponent_Type_1)=0,COUNTBLANK(Combo_Opponent_Type_2)=0),Combo_Opponent_Type_1=Combo_Opponent_Type_2)),
"Check Types",($S225*INDEX(Species_Tankiness,MATCH($N225,Species_Names,0)))/225)</f>
        <v>#VALUE!</v>
      </c>
      <c r="S225" s="32" t="e">
        <f t="array" ref="S225">IF(OR(AND(COUNTBLANK(Combo_Opponent_Type_1)=1,COUNTBLANK(Combo_Opponent_Type_2)=0),AND(AND(COUNTBLANK(Combo_Opponent_Type_1)=0,COUNTBLANK(Combo_Opponent_Type_2)=0),Combo_Opponent_Type_1=Combo_Opponent_Type_2)),
"Check Types",(
IF($W225&gt;=((1-Game_Weave_Human_Error)*$X225),$W225,$X225)*INDEX(Species_Attack,MATCH($N225,Species_Names,0)))/11)</f>
        <v>#VALUE!</v>
      </c>
      <c r="T225" s="33" t="e">
        <f t="shared" si="7"/>
        <v>#VALUE!</v>
      </c>
      <c r="U225" s="33">
        <f t="array" ref="U2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225,Quick_Names,0))),Type_Species)),0),1)*IF(COUNTBLANK(Combo_Opponent_Type_2)=0,INDEX(Type_Damage_Multipliers,MATCH(Combo_Opponent_Type_2,IF(Type_Move=(INDEX(Quick_Type,MATCH($O225,Quick_Names,0))),Type_Species)),0),1)*(IF(OR(INDEX(Quick_Type,MATCH($O225,Quick_Names,0))=INDEX(Species_Type_1,MATCH($N225,Species_Names,0)),INDEX(Quick_Type,MATCH($O225,Quick_Names,0))=INDEX(Species_Type_2,MATCH($N225,Species_Names,0))),Game_STAB_Multiplier,1)))</f>
        <v>1.25</v>
      </c>
      <c r="V225" s="33">
        <f t="array" ref="V2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225,Charge_Names,0))),Type_Species)),0),1)*IF(COUNTBLANK(Combo_Opponent_Type_2)=0,INDEX(Type_Damage_Multipliers,MATCH(Combo_Opponent_Type_2,IF(Type_Move=(INDEX(Charge_Type,MATCH($P225,Charge_Names,0))),Type_Species)),0),1)*
IF(OR(INDEX(Charge_Type,MATCH($P225,Charge_Names,0))=INDEX(Species_Type_1,MATCH($N225,Species_Names,0)),INDEX(Charge_Type,MATCH($P225,Charge_Names,0))=INDEX(Species_Type_2,MATCH($N225,Species_Names,0))),Game_STAB_Multiplier,1))</f>
        <v>1.25</v>
      </c>
      <c r="W225" s="33" t="s">
        <v>678</v>
      </c>
      <c r="X225" s="33" t="s">
        <v>679</v>
      </c>
      <c r="Y225" s="32" t="e">
        <f t="array" ref="Y225">((($Z225)*
INDEX(Species_Attack,MATCH($N225,Species_Names,0))*
INDEX(Species_Tankiness,MATCH($N225,Species_Names,0)))/1000)</f>
        <v>#VALUE!</v>
      </c>
      <c r="Z225" s="33" t="s">
        <v>680</v>
      </c>
    </row>
    <row r="226" spans="1:26" ht="14.25" customHeight="1" x14ac:dyDescent="0.2">
      <c r="A226" s="86"/>
      <c r="B226" s="22" t="str">
        <f t="array" ref="B226">CONCATENATE(TEXT($M226,"000"),".",TEXT(INDEX(Quick_Number,MATCH($O226,Quick_Names,0)),"000"),".",TEXT(INDEX(Charge_Number,MATCH($P226,Charge_Names,0)),"000"))</f>
        <v>047.200.116</v>
      </c>
      <c r="C226" s="23" t="e">
        <f t="array" ref="C226">RANK($S226,IF(Combo_Species_Names=$N226,Combo_Gym_Offense),0)</f>
        <v>#VALUE!</v>
      </c>
      <c r="D226" s="24" t="e">
        <f t="array" ref="D226">$S226/MAX(IF(Combo_Species_Names=$N226,Combo_Gym_Offense))</f>
        <v>#VALUE!</v>
      </c>
      <c r="E226" s="23" t="e">
        <f t="array" ref="E226">RANK($Y226,IF(Combo_Species_Names=$N226,Combo_Gym_Defense),0)</f>
        <v>#VALUE!</v>
      </c>
      <c r="F226" s="25" t="e">
        <f t="array" ref="F226">$Y226/MAX(IF(Combo_Species_Names=$N226,Combo_Gym_Defense))</f>
        <v>#VALUE!</v>
      </c>
      <c r="G226" s="23" t="e">
        <f t="array" ref="G226">IF(OR(INDEX(Species_Availability,MATCH($N226,Species_Names,0))="No",INDEX(Species_Evo_Numbers,MATCH($N226,Species_Names,0))&lt;&gt;1),"N/A",RANK($R226,IF(NOT(ISNA(MATCH(Combo_Species_Names,IF(Species_Availability="Yes",IF(Species_Evo_Numbers=1,Species_Names)),0))),Combo_Duel_Ability),0))</f>
        <v>#VALUE!</v>
      </c>
      <c r="H226" s="24" t="e">
        <f t="array" ref="H226">IF(OR(INDEX(Species_Availability,MATCH($N226,Species_Names,0))="No",INDEX(Species_Evo_Numbers,MATCH($N226,Species_Names,0))&lt;&gt;1),"N/A",$R226/MAX(IF(NOT(ISNA(MATCH(Combo_Species_Names,IF(Species_Availability="Yes",IF(Species_Evo_Numbers=1,Species_Names)),0))),Combo_Duel_Ability)))</f>
        <v>#VALUE!</v>
      </c>
      <c r="I226" s="23" t="e">
        <f t="array" ref="I226">IF(OR(INDEX(Species_Availability,MATCH($N226,Species_Names,0))="No",INDEX(Species_Evo_Numbers,MATCH($N226,Species_Names,0))&lt;&gt;1),"N/A",RANK($S226,IF(NOT(ISNA(MATCH(Combo_Species_Names,IF(Species_Availability="Yes",IF(Species_Evo_Numbers=1,Species_Names)),0))),Combo_Gym_Offense),0))</f>
        <v>#VALUE!</v>
      </c>
      <c r="J226" s="24" t="e">
        <f t="array" ref="J226">IF(OR(INDEX(Species_Availability,MATCH($N226,Species_Names,0))="No",INDEX(Species_Evo_Numbers,MATCH($N226,Species_Names,0))&lt;&gt;1),"N/A",$S226/MAX(IF(NOT(ISNA(MATCH(Combo_Species_Names,IF(Species_Availability="Yes",IF(Species_Evo_Numbers=1,Species_Names)),0))),Combo_Gym_Offense)))</f>
        <v>#VALUE!</v>
      </c>
      <c r="K226" s="23" t="e">
        <f t="array" ref="K226">IF(OR(INDEX(Species_Availability,MATCH($N226,Species_Names,0))="No",INDEX(Species_Evo_Numbers,MATCH($N226,Species_Names,0))&lt;&gt;1),"N/A",RANK($Y226,IF(NOT(ISNA(MATCH(Combo_Species_Names,IF(Species_Availability="Yes",IF(Species_Evo_Numbers=1,Species_Names)),0))),Combo_Gym_Defense),0))</f>
        <v>#VALUE!</v>
      </c>
      <c r="L226" s="24" t="e">
        <f t="array" ref="L226">IF(OR(INDEX(Species_Availability,MATCH($N226,Species_Names,0))="No",INDEX(Species_Evo_Numbers,MATCH($N226,Species_Names,0))&lt;&gt;1),"N/A",$Y226/MAX(IF(NOT(ISNA(MATCH(Combo_Species_Names,IF(Species_Availability="Yes",IF(Species_Evo_Numbers=1,Species_Names)),0))),Combo_Gym_Defense)))</f>
        <v>#VALUE!</v>
      </c>
      <c r="M226" s="28">
        <f t="array" ref="M226">INDEX(Species_Pdex_Numbers,MATCH($N226,Species_Names,0))</f>
        <v>47</v>
      </c>
      <c r="N226" s="30" t="s">
        <v>184</v>
      </c>
      <c r="O226" s="31" t="s">
        <v>121</v>
      </c>
      <c r="P226" s="31" t="s">
        <v>160</v>
      </c>
      <c r="Q226" s="17" t="e">
        <f t="shared" si="6"/>
        <v>#VALUE!</v>
      </c>
      <c r="R226" s="32" t="e">
        <f t="array" ref="R226">IF(OR(AND(COUNTBLANK(Combo_Opponent_Type_1)=1,COUNTBLANK(Combo_Opponent_Type_2)=0),AND(AND(COUNTBLANK(Combo_Opponent_Type_1)=0,COUNTBLANK(Combo_Opponent_Type_2)=0),Combo_Opponent_Type_1=Combo_Opponent_Type_2)),
"Check Types",($S226*INDEX(Species_Tankiness,MATCH($N226,Species_Names,0)))/225)</f>
        <v>#VALUE!</v>
      </c>
      <c r="S226" s="32" t="e">
        <f t="array" ref="S226">IF(OR(AND(COUNTBLANK(Combo_Opponent_Type_1)=1,COUNTBLANK(Combo_Opponent_Type_2)=0),AND(AND(COUNTBLANK(Combo_Opponent_Type_1)=0,COUNTBLANK(Combo_Opponent_Type_2)=0),Combo_Opponent_Type_1=Combo_Opponent_Type_2)),
"Check Types",(
IF($W226&gt;=((1-Game_Weave_Human_Error)*$X226),$W226,$X226)*INDEX(Species_Attack,MATCH($N226,Species_Names,0)))/11)</f>
        <v>#VALUE!</v>
      </c>
      <c r="T226" s="33" t="e">
        <f t="shared" si="7"/>
        <v>#VALUE!</v>
      </c>
      <c r="U226" s="33">
        <f t="array" ref="U2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226,Quick_Names,0))),Type_Species)),0),1)*IF(COUNTBLANK(Combo_Opponent_Type_2)=0,INDEX(Type_Damage_Multipliers,MATCH(Combo_Opponent_Type_2,IF(Type_Move=(INDEX(Quick_Type,MATCH($O226,Quick_Names,0))),Type_Species)),0),1)*(IF(OR(INDEX(Quick_Type,MATCH($O226,Quick_Names,0))=INDEX(Species_Type_1,MATCH($N226,Species_Names,0)),INDEX(Quick_Type,MATCH($O226,Quick_Names,0))=INDEX(Species_Type_2,MATCH($N226,Species_Names,0))),Game_STAB_Multiplier,1)))</f>
        <v>1.25</v>
      </c>
      <c r="V226" s="33">
        <f t="array" ref="V2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226,Charge_Names,0))),Type_Species)),0),1)*IF(COUNTBLANK(Combo_Opponent_Type_2)=0,INDEX(Type_Damage_Multipliers,MATCH(Combo_Opponent_Type_2,IF(Type_Move=(INDEX(Charge_Type,MATCH($P226,Charge_Names,0))),Type_Species)),0),1)*
IF(OR(INDEX(Charge_Type,MATCH($P226,Charge_Names,0))=INDEX(Species_Type_1,MATCH($N226,Species_Names,0)),INDEX(Charge_Type,MATCH($P226,Charge_Names,0))=INDEX(Species_Type_2,MATCH($N226,Species_Names,0))),Game_STAB_Multiplier,1))</f>
        <v>1.25</v>
      </c>
      <c r="W226" s="33" t="s">
        <v>564</v>
      </c>
      <c r="X226" s="33" t="s">
        <v>729</v>
      </c>
      <c r="Y226" s="32" t="e">
        <f t="array" ref="Y226">((($Z226)*
INDEX(Species_Attack,MATCH($N226,Species_Names,0))*
INDEX(Species_Tankiness,MATCH($N226,Species_Names,0)))/1000)</f>
        <v>#VALUE!</v>
      </c>
      <c r="Z226" s="33" t="s">
        <v>730</v>
      </c>
    </row>
    <row r="227" spans="1:26" ht="14.25" customHeight="1" x14ac:dyDescent="0.2">
      <c r="A227" s="86"/>
      <c r="B227" s="22" t="str">
        <f t="array" ref="B227">CONCATENATE(TEXT($M227,"000"),".",TEXT(INDEX(Quick_Number,MATCH($O227,Quick_Names,0)),"000"),".",TEXT(INDEX(Charge_Number,MATCH($P227,Charge_Names,0)),"000"))</f>
        <v>110.225.016</v>
      </c>
      <c r="C227" s="23" t="e">
        <f t="array" ref="C227">RANK($S227,IF(Combo_Species_Names=$N227,Combo_Gym_Offense),0)</f>
        <v>#VALUE!</v>
      </c>
      <c r="D227" s="24" t="e">
        <f t="array" ref="D227">$S227/MAX(IF(Combo_Species_Names=$N227,Combo_Gym_Offense))</f>
        <v>#VALUE!</v>
      </c>
      <c r="E227" s="23" t="e">
        <f t="array" ref="E227">RANK($Y227,IF(Combo_Species_Names=$N227,Combo_Gym_Defense),0)</f>
        <v>#VALUE!</v>
      </c>
      <c r="F227" s="25" t="e">
        <f t="array" ref="F227">$Y227/MAX(IF(Combo_Species_Names=$N227,Combo_Gym_Defense))</f>
        <v>#VALUE!</v>
      </c>
      <c r="G227" s="23" t="e">
        <f t="array" ref="G227">IF(OR(INDEX(Species_Availability,MATCH($N227,Species_Names,0))="No",INDEX(Species_Evo_Numbers,MATCH($N227,Species_Names,0))&lt;&gt;1),"N/A",RANK($R227,IF(NOT(ISNA(MATCH(Combo_Species_Names,IF(Species_Availability="Yes",IF(Species_Evo_Numbers=1,Species_Names)),0))),Combo_Duel_Ability),0))</f>
        <v>#VALUE!</v>
      </c>
      <c r="H227" s="24" t="e">
        <f t="array" ref="H227">IF(OR(INDEX(Species_Availability,MATCH($N227,Species_Names,0))="No",INDEX(Species_Evo_Numbers,MATCH($N227,Species_Names,0))&lt;&gt;1),"N/A",$R227/MAX(IF(NOT(ISNA(MATCH(Combo_Species_Names,IF(Species_Availability="Yes",IF(Species_Evo_Numbers=1,Species_Names)),0))),Combo_Duel_Ability)))</f>
        <v>#VALUE!</v>
      </c>
      <c r="I227" s="23" t="e">
        <f t="array" ref="I227">IF(OR(INDEX(Species_Availability,MATCH($N227,Species_Names,0))="No",INDEX(Species_Evo_Numbers,MATCH($N227,Species_Names,0))&lt;&gt;1),"N/A",RANK($S227,IF(NOT(ISNA(MATCH(Combo_Species_Names,IF(Species_Availability="Yes",IF(Species_Evo_Numbers=1,Species_Names)),0))),Combo_Gym_Offense),0))</f>
        <v>#VALUE!</v>
      </c>
      <c r="J227" s="24" t="e">
        <f t="array" ref="J227">IF(OR(INDEX(Species_Availability,MATCH($N227,Species_Names,0))="No",INDEX(Species_Evo_Numbers,MATCH($N227,Species_Names,0))&lt;&gt;1),"N/A",$S227/MAX(IF(NOT(ISNA(MATCH(Combo_Species_Names,IF(Species_Availability="Yes",IF(Species_Evo_Numbers=1,Species_Names)),0))),Combo_Gym_Offense)))</f>
        <v>#VALUE!</v>
      </c>
      <c r="K227" s="23" t="e">
        <f t="array" ref="K227">IF(OR(INDEX(Species_Availability,MATCH($N227,Species_Names,0))="No",INDEX(Species_Evo_Numbers,MATCH($N227,Species_Names,0))&lt;&gt;1),"N/A",RANK($Y227,IF(NOT(ISNA(MATCH(Combo_Species_Names,IF(Species_Availability="Yes",IF(Species_Evo_Numbers=1,Species_Names)),0))),Combo_Gym_Defense),0))</f>
        <v>#VALUE!</v>
      </c>
      <c r="L227" s="24" t="e">
        <f t="array" ref="L227">IF(OR(INDEX(Species_Availability,MATCH($N227,Species_Names,0))="No",INDEX(Species_Evo_Numbers,MATCH($N227,Species_Names,0))&lt;&gt;1),"N/A",$Y227/MAX(IF(NOT(ISNA(MATCH(Combo_Species_Names,IF(Species_Availability="Yes",IF(Species_Evo_Numbers=1,Species_Names)),0))),Combo_Gym_Defense)))</f>
        <v>#VALUE!</v>
      </c>
      <c r="M227" s="28">
        <f t="array" ref="M227">INDEX(Species_Pdex_Numbers,MATCH($N227,Species_Names,0))</f>
        <v>110</v>
      </c>
      <c r="N227" s="30" t="s">
        <v>323</v>
      </c>
      <c r="O227" s="31" t="s">
        <v>110</v>
      </c>
      <c r="P227" s="31" t="s">
        <v>258</v>
      </c>
      <c r="Q227" s="17" t="e">
        <f t="shared" si="6"/>
        <v>#VALUE!</v>
      </c>
      <c r="R227" s="32" t="e">
        <f t="array" ref="R227">IF(OR(AND(COUNTBLANK(Combo_Opponent_Type_1)=1,COUNTBLANK(Combo_Opponent_Type_2)=0),AND(AND(COUNTBLANK(Combo_Opponent_Type_1)=0,COUNTBLANK(Combo_Opponent_Type_2)=0),Combo_Opponent_Type_1=Combo_Opponent_Type_2)),
"Check Types",($S227*INDEX(Species_Tankiness,MATCH($N227,Species_Names,0)))/225)</f>
        <v>#VALUE!</v>
      </c>
      <c r="S227" s="32" t="e">
        <f t="array" ref="S227">IF(OR(AND(COUNTBLANK(Combo_Opponent_Type_1)=1,COUNTBLANK(Combo_Opponent_Type_2)=0),AND(AND(COUNTBLANK(Combo_Opponent_Type_1)=0,COUNTBLANK(Combo_Opponent_Type_2)=0),Combo_Opponent_Type_1=Combo_Opponent_Type_2)),
"Check Types",(
IF($W227&gt;=((1-Game_Weave_Human_Error)*$X227),$W227,$X227)*INDEX(Species_Attack,MATCH($N227,Species_Names,0)))/11)</f>
        <v>#VALUE!</v>
      </c>
      <c r="T227" s="33" t="e">
        <f t="shared" si="7"/>
        <v>#VALUE!</v>
      </c>
      <c r="U227" s="33">
        <f t="array" ref="U2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227,Quick_Names,0))),Type_Species)),0),1)*IF(COUNTBLANK(Combo_Opponent_Type_2)=0,INDEX(Type_Damage_Multipliers,MATCH(Combo_Opponent_Type_2,IF(Type_Move=(INDEX(Quick_Type,MATCH($O227,Quick_Names,0))),Type_Species)),0),1)*(IF(OR(INDEX(Quick_Type,MATCH($O227,Quick_Names,0))=INDEX(Species_Type_1,MATCH($N227,Species_Names,0)),INDEX(Quick_Type,MATCH($O227,Quick_Names,0))=INDEX(Species_Type_2,MATCH($N227,Species_Names,0))),Game_STAB_Multiplier,1)))</f>
        <v>1.25</v>
      </c>
      <c r="V227" s="33">
        <f t="array" ref="V2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227,Charge_Names,0))),Type_Species)),0),1)*IF(COUNTBLANK(Combo_Opponent_Type_2)=0,INDEX(Type_Damage_Multipliers,MATCH(Combo_Opponent_Type_2,IF(Type_Move=(INDEX(Charge_Type,MATCH($P227,Charge_Names,0))),Type_Species)),0),1)*
IF(OR(INDEX(Charge_Type,MATCH($P227,Charge_Names,0))=INDEX(Species_Type_1,MATCH($N227,Species_Names,0)),INDEX(Charge_Type,MATCH($P227,Charge_Names,0))=INDEX(Species_Type_2,MATCH($N227,Species_Names,0))),Game_STAB_Multiplier,1))</f>
        <v>1</v>
      </c>
      <c r="W227" s="33" t="s">
        <v>511</v>
      </c>
      <c r="X227" s="33" t="s">
        <v>598</v>
      </c>
      <c r="Y227" s="32" t="e">
        <f t="array" ref="Y227">((($Z227)*
INDEX(Species_Attack,MATCH($N227,Species_Names,0))*
INDEX(Species_Tankiness,MATCH($N227,Species_Names,0)))/1000)</f>
        <v>#VALUE!</v>
      </c>
      <c r="Z227" s="33" t="s">
        <v>599</v>
      </c>
    </row>
    <row r="228" spans="1:26" ht="14.25" customHeight="1" x14ac:dyDescent="0.2">
      <c r="A228" s="86"/>
      <c r="B228" s="22" t="str">
        <f t="array" ref="B228">CONCATENATE(TEXT($M228,"000"),".",TEXT(INDEX(Quick_Number,MATCH($O228,Quick_Names,0)),"000"),".",TEXT(INDEX(Charge_Number,MATCH($P228,Charge_Names,0)),"000"))</f>
        <v>110.225.070</v>
      </c>
      <c r="C228" s="23" t="e">
        <f t="array" ref="C228">RANK($S228,IF(Combo_Species_Names=$N228,Combo_Gym_Offense),0)</f>
        <v>#VALUE!</v>
      </c>
      <c r="D228" s="24" t="e">
        <f t="array" ref="D228">$S228/MAX(IF(Combo_Species_Names=$N228,Combo_Gym_Offense))</f>
        <v>#VALUE!</v>
      </c>
      <c r="E228" s="23" t="e">
        <f t="array" ref="E228">RANK($Y228,IF(Combo_Species_Names=$N228,Combo_Gym_Defense),0)</f>
        <v>#VALUE!</v>
      </c>
      <c r="F228" s="25" t="e">
        <f t="array" ref="F228">$Y228/MAX(IF(Combo_Species_Names=$N228,Combo_Gym_Defense))</f>
        <v>#VALUE!</v>
      </c>
      <c r="G228" s="23" t="e">
        <f t="array" ref="G228">IF(OR(INDEX(Species_Availability,MATCH($N228,Species_Names,0))="No",INDEX(Species_Evo_Numbers,MATCH($N228,Species_Names,0))&lt;&gt;1),"N/A",RANK($R228,IF(NOT(ISNA(MATCH(Combo_Species_Names,IF(Species_Availability="Yes",IF(Species_Evo_Numbers=1,Species_Names)),0))),Combo_Duel_Ability),0))</f>
        <v>#VALUE!</v>
      </c>
      <c r="H228" s="24" t="e">
        <f t="array" ref="H228">IF(OR(INDEX(Species_Availability,MATCH($N228,Species_Names,0))="No",INDEX(Species_Evo_Numbers,MATCH($N228,Species_Names,0))&lt;&gt;1),"N/A",$R228/MAX(IF(NOT(ISNA(MATCH(Combo_Species_Names,IF(Species_Availability="Yes",IF(Species_Evo_Numbers=1,Species_Names)),0))),Combo_Duel_Ability)))</f>
        <v>#VALUE!</v>
      </c>
      <c r="I228" s="23" t="e">
        <f t="array" ref="I228">IF(OR(INDEX(Species_Availability,MATCH($N228,Species_Names,0))="No",INDEX(Species_Evo_Numbers,MATCH($N228,Species_Names,0))&lt;&gt;1),"N/A",RANK($S228,IF(NOT(ISNA(MATCH(Combo_Species_Names,IF(Species_Availability="Yes",IF(Species_Evo_Numbers=1,Species_Names)),0))),Combo_Gym_Offense),0))</f>
        <v>#VALUE!</v>
      </c>
      <c r="J228" s="24" t="e">
        <f t="array" ref="J228">IF(OR(INDEX(Species_Availability,MATCH($N228,Species_Names,0))="No",INDEX(Species_Evo_Numbers,MATCH($N228,Species_Names,0))&lt;&gt;1),"N/A",$S228/MAX(IF(NOT(ISNA(MATCH(Combo_Species_Names,IF(Species_Availability="Yes",IF(Species_Evo_Numbers=1,Species_Names)),0))),Combo_Gym_Offense)))</f>
        <v>#VALUE!</v>
      </c>
      <c r="K228" s="23" t="e">
        <f t="array" ref="K228">IF(OR(INDEX(Species_Availability,MATCH($N228,Species_Names,0))="No",INDEX(Species_Evo_Numbers,MATCH($N228,Species_Names,0))&lt;&gt;1),"N/A",RANK($Y228,IF(NOT(ISNA(MATCH(Combo_Species_Names,IF(Species_Availability="Yes",IF(Species_Evo_Numbers=1,Species_Names)),0))),Combo_Gym_Defense),0))</f>
        <v>#VALUE!</v>
      </c>
      <c r="L228" s="24" t="e">
        <f t="array" ref="L228">IF(OR(INDEX(Species_Availability,MATCH($N228,Species_Names,0))="No",INDEX(Species_Evo_Numbers,MATCH($N228,Species_Names,0))&lt;&gt;1),"N/A",$Y228/MAX(IF(NOT(ISNA(MATCH(Combo_Species_Names,IF(Species_Availability="Yes",IF(Species_Evo_Numbers=1,Species_Names)),0))),Combo_Gym_Defense)))</f>
        <v>#VALUE!</v>
      </c>
      <c r="M228" s="28">
        <f t="array" ref="M228">INDEX(Species_Pdex_Numbers,MATCH($N228,Species_Names,0))</f>
        <v>110</v>
      </c>
      <c r="N228" s="30" t="s">
        <v>323</v>
      </c>
      <c r="O228" s="31" t="s">
        <v>110</v>
      </c>
      <c r="P228" s="31" t="s">
        <v>234</v>
      </c>
      <c r="Q228" s="17" t="e">
        <f t="shared" si="6"/>
        <v>#VALUE!</v>
      </c>
      <c r="R228" s="32" t="e">
        <f t="array" ref="R228">IF(OR(AND(COUNTBLANK(Combo_Opponent_Type_1)=1,COUNTBLANK(Combo_Opponent_Type_2)=0),AND(AND(COUNTBLANK(Combo_Opponent_Type_1)=0,COUNTBLANK(Combo_Opponent_Type_2)=0),Combo_Opponent_Type_1=Combo_Opponent_Type_2)),
"Check Types",($S228*INDEX(Species_Tankiness,MATCH($N228,Species_Names,0)))/225)</f>
        <v>#VALUE!</v>
      </c>
      <c r="S228" s="32" t="e">
        <f t="array" ref="S228">IF(OR(AND(COUNTBLANK(Combo_Opponent_Type_1)=1,COUNTBLANK(Combo_Opponent_Type_2)=0),AND(AND(COUNTBLANK(Combo_Opponent_Type_1)=0,COUNTBLANK(Combo_Opponent_Type_2)=0),Combo_Opponent_Type_1=Combo_Opponent_Type_2)),
"Check Types",(
IF($W228&gt;=((1-Game_Weave_Human_Error)*$X228),$W228,$X228)*INDEX(Species_Attack,MATCH($N228,Species_Names,0)))/11)</f>
        <v>#VALUE!</v>
      </c>
      <c r="T228" s="33" t="e">
        <f t="shared" si="7"/>
        <v>#VALUE!</v>
      </c>
      <c r="U228" s="33">
        <f t="array" ref="U2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228,Quick_Names,0))),Type_Species)),0),1)*IF(COUNTBLANK(Combo_Opponent_Type_2)=0,INDEX(Type_Damage_Multipliers,MATCH(Combo_Opponent_Type_2,IF(Type_Move=(INDEX(Quick_Type,MATCH($O228,Quick_Names,0))),Type_Species)),0),1)*(IF(OR(INDEX(Quick_Type,MATCH($O228,Quick_Names,0))=INDEX(Species_Type_1,MATCH($N228,Species_Names,0)),INDEX(Quick_Type,MATCH($O228,Quick_Names,0))=INDEX(Species_Type_2,MATCH($N228,Species_Names,0))),Game_STAB_Multiplier,1)))</f>
        <v>1.25</v>
      </c>
      <c r="V228" s="33">
        <f t="array" ref="V2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228,Charge_Names,0))),Type_Species)),0),1)*IF(COUNTBLANK(Combo_Opponent_Type_2)=0,INDEX(Type_Damage_Multipliers,MATCH(Combo_Opponent_Type_2,IF(Type_Move=(INDEX(Charge_Type,MATCH($P228,Charge_Names,0))),Type_Species)),0),1)*
IF(OR(INDEX(Charge_Type,MATCH($P228,Charge_Names,0))=INDEX(Species_Type_1,MATCH($N228,Species_Names,0)),INDEX(Charge_Type,MATCH($P228,Charge_Names,0))=INDEX(Species_Type_2,MATCH($N228,Species_Names,0))),Game_STAB_Multiplier,1))</f>
        <v>1</v>
      </c>
      <c r="W228" s="33" t="s">
        <v>511</v>
      </c>
      <c r="X228" s="33" t="s">
        <v>731</v>
      </c>
      <c r="Y228" s="32" t="e">
        <f t="array" ref="Y228">((($Z228)*
INDEX(Species_Attack,MATCH($N228,Species_Names,0))*
INDEX(Species_Tankiness,MATCH($N228,Species_Names,0)))/1000)</f>
        <v>#VALUE!</v>
      </c>
      <c r="Z228" s="33" t="s">
        <v>699</v>
      </c>
    </row>
    <row r="229" spans="1:26" ht="14.25" customHeight="1" x14ac:dyDescent="0.2">
      <c r="A229" s="86"/>
      <c r="B229" s="22" t="str">
        <f t="array" ref="B229">CONCATENATE(TEXT($M229,"000"),".",TEXT(INDEX(Quick_Number,MATCH($O229,Quick_Names,0)),"000"),".",TEXT(INDEX(Charge_Number,MATCH($P229,Charge_Names,0)),"000"))</f>
        <v>127.241.100</v>
      </c>
      <c r="C229" s="23" t="e">
        <f t="array" ref="C229">RANK($S229,IF(Combo_Species_Names=$N229,Combo_Gym_Offense),0)</f>
        <v>#VALUE!</v>
      </c>
      <c r="D229" s="24" t="e">
        <f t="array" ref="D229">$S229/MAX(IF(Combo_Species_Names=$N229,Combo_Gym_Offense))</f>
        <v>#VALUE!</v>
      </c>
      <c r="E229" s="23" t="e">
        <f t="array" ref="E229">RANK($Y229,IF(Combo_Species_Names=$N229,Combo_Gym_Defense),0)</f>
        <v>#VALUE!</v>
      </c>
      <c r="F229" s="25" t="e">
        <f t="array" ref="F229">$Y229/MAX(IF(Combo_Species_Names=$N229,Combo_Gym_Defense))</f>
        <v>#VALUE!</v>
      </c>
      <c r="G229" s="23" t="e">
        <f t="array" ref="G229">IF(OR(INDEX(Species_Availability,MATCH($N229,Species_Names,0))="No",INDEX(Species_Evo_Numbers,MATCH($N229,Species_Names,0))&lt;&gt;1),"N/A",RANK($R229,IF(NOT(ISNA(MATCH(Combo_Species_Names,IF(Species_Availability="Yes",IF(Species_Evo_Numbers=1,Species_Names)),0))),Combo_Duel_Ability),0))</f>
        <v>#VALUE!</v>
      </c>
      <c r="H229" s="24" t="e">
        <f t="array" ref="H229">IF(OR(INDEX(Species_Availability,MATCH($N229,Species_Names,0))="No",INDEX(Species_Evo_Numbers,MATCH($N229,Species_Names,0))&lt;&gt;1),"N/A",$R229/MAX(IF(NOT(ISNA(MATCH(Combo_Species_Names,IF(Species_Availability="Yes",IF(Species_Evo_Numbers=1,Species_Names)),0))),Combo_Duel_Ability)))</f>
        <v>#VALUE!</v>
      </c>
      <c r="I229" s="23" t="e">
        <f t="array" ref="I229">IF(OR(INDEX(Species_Availability,MATCH($N229,Species_Names,0))="No",INDEX(Species_Evo_Numbers,MATCH($N229,Species_Names,0))&lt;&gt;1),"N/A",RANK($S229,IF(NOT(ISNA(MATCH(Combo_Species_Names,IF(Species_Availability="Yes",IF(Species_Evo_Numbers=1,Species_Names)),0))),Combo_Gym_Offense),0))</f>
        <v>#VALUE!</v>
      </c>
      <c r="J229" s="24" t="e">
        <f t="array" ref="J229">IF(OR(INDEX(Species_Availability,MATCH($N229,Species_Names,0))="No",INDEX(Species_Evo_Numbers,MATCH($N229,Species_Names,0))&lt;&gt;1),"N/A",$S229/MAX(IF(NOT(ISNA(MATCH(Combo_Species_Names,IF(Species_Availability="Yes",IF(Species_Evo_Numbers=1,Species_Names)),0))),Combo_Gym_Offense)))</f>
        <v>#VALUE!</v>
      </c>
      <c r="K229" s="23" t="e">
        <f t="array" ref="K229">IF(OR(INDEX(Species_Availability,MATCH($N229,Species_Names,0))="No",INDEX(Species_Evo_Numbers,MATCH($N229,Species_Names,0))&lt;&gt;1),"N/A",RANK($Y229,IF(NOT(ISNA(MATCH(Combo_Species_Names,IF(Species_Availability="Yes",IF(Species_Evo_Numbers=1,Species_Names)),0))),Combo_Gym_Defense),0))</f>
        <v>#VALUE!</v>
      </c>
      <c r="L229" s="24" t="e">
        <f t="array" ref="L229">IF(OR(INDEX(Species_Availability,MATCH($N229,Species_Names,0))="No",INDEX(Species_Evo_Numbers,MATCH($N229,Species_Names,0))&lt;&gt;1),"N/A",$Y229/MAX(IF(NOT(ISNA(MATCH(Combo_Species_Names,IF(Species_Availability="Yes",IF(Species_Evo_Numbers=1,Species_Names)),0))),Combo_Gym_Defense)))</f>
        <v>#VALUE!</v>
      </c>
      <c r="M229" s="28">
        <f t="array" ref="M229">INDEX(Species_Pdex_Numbers,MATCH($N229,Species_Names,0))</f>
        <v>127</v>
      </c>
      <c r="N229" s="30" t="s">
        <v>344</v>
      </c>
      <c r="O229" s="31" t="s">
        <v>97</v>
      </c>
      <c r="P229" s="31" t="s">
        <v>218</v>
      </c>
      <c r="Q229" s="17" t="e">
        <f t="shared" si="6"/>
        <v>#VALUE!</v>
      </c>
      <c r="R229" s="32" t="e">
        <f t="array" ref="R229">IF(OR(AND(COUNTBLANK(Combo_Opponent_Type_1)=1,COUNTBLANK(Combo_Opponent_Type_2)=0),AND(AND(COUNTBLANK(Combo_Opponent_Type_1)=0,COUNTBLANK(Combo_Opponent_Type_2)=0),Combo_Opponent_Type_1=Combo_Opponent_Type_2)),
"Check Types",($S229*INDEX(Species_Tankiness,MATCH($N229,Species_Names,0)))/225)</f>
        <v>#VALUE!</v>
      </c>
      <c r="S229" s="32" t="e">
        <f t="array" ref="S229">IF(OR(AND(COUNTBLANK(Combo_Opponent_Type_1)=1,COUNTBLANK(Combo_Opponent_Type_2)=0),AND(AND(COUNTBLANK(Combo_Opponent_Type_1)=0,COUNTBLANK(Combo_Opponent_Type_2)=0),Combo_Opponent_Type_1=Combo_Opponent_Type_2)),
"Check Types",(
IF($W229&gt;=((1-Game_Weave_Human_Error)*$X229),$W229,$X229)*INDEX(Species_Attack,MATCH($N229,Species_Names,0)))/11)</f>
        <v>#VALUE!</v>
      </c>
      <c r="T229" s="33" t="e">
        <f t="shared" si="7"/>
        <v>#VALUE!</v>
      </c>
      <c r="U229" s="33">
        <f t="array" ref="U2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229,Quick_Names,0))),Type_Species)),0),1)*IF(COUNTBLANK(Combo_Opponent_Type_2)=0,INDEX(Type_Damage_Multipliers,MATCH(Combo_Opponent_Type_2,IF(Type_Move=(INDEX(Quick_Type,MATCH($O229,Quick_Names,0))),Type_Species)),0),1)*(IF(OR(INDEX(Quick_Type,MATCH($O229,Quick_Names,0))=INDEX(Species_Type_1,MATCH($N229,Species_Names,0)),INDEX(Quick_Type,MATCH($O229,Quick_Names,0))=INDEX(Species_Type_2,MATCH($N229,Species_Names,0))),Game_STAB_Multiplier,1)))</f>
        <v>1</v>
      </c>
      <c r="V229" s="33">
        <f t="array" ref="V2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229,Charge_Names,0))),Type_Species)),0),1)*IF(COUNTBLANK(Combo_Opponent_Type_2)=0,INDEX(Type_Damage_Multipliers,MATCH(Combo_Opponent_Type_2,IF(Type_Move=(INDEX(Charge_Type,MATCH($P229,Charge_Names,0))),Type_Species)),0),1)*
IF(OR(INDEX(Charge_Type,MATCH($P229,Charge_Names,0))=INDEX(Species_Type_1,MATCH($N229,Species_Names,0)),INDEX(Charge_Type,MATCH($P229,Charge_Names,0))=INDEX(Species_Type_2,MATCH($N229,Species_Names,0))),Game_STAB_Multiplier,1))</f>
        <v>1.25</v>
      </c>
      <c r="W229" s="33" t="s">
        <v>577</v>
      </c>
      <c r="X229" s="33" t="s">
        <v>732</v>
      </c>
      <c r="Y229" s="32" t="e">
        <f t="array" ref="Y229">((($Z229)*
INDEX(Species_Attack,MATCH($N229,Species_Names,0))*
INDEX(Species_Tankiness,MATCH($N229,Species_Names,0)))/1000)</f>
        <v>#VALUE!</v>
      </c>
      <c r="Z229" s="33" t="s">
        <v>733</v>
      </c>
    </row>
    <row r="230" spans="1:26" ht="14.25" customHeight="1" x14ac:dyDescent="0.2">
      <c r="A230" s="86"/>
      <c r="B230" s="22" t="str">
        <f t="array" ref="B230">CONCATENATE(TEXT($M230,"000"),".",TEXT(INDEX(Quick_Number,MATCH($O230,Quick_Names,0)),"000"),".",TEXT(INDEX(Charge_Number,MATCH($P230,Charge_Names,0)),"000"))</f>
        <v>108.234.014</v>
      </c>
      <c r="C230" s="23" t="e">
        <f t="array" ref="C230">RANK($S230,IF(Combo_Species_Names=$N230,Combo_Gym_Offense),0)</f>
        <v>#VALUE!</v>
      </c>
      <c r="D230" s="24" t="e">
        <f t="array" ref="D230">$S230/MAX(IF(Combo_Species_Names=$N230,Combo_Gym_Offense))</f>
        <v>#VALUE!</v>
      </c>
      <c r="E230" s="23" t="e">
        <f t="array" ref="E230">RANK($Y230,IF(Combo_Species_Names=$N230,Combo_Gym_Defense),0)</f>
        <v>#VALUE!</v>
      </c>
      <c r="F230" s="25" t="e">
        <f t="array" ref="F230">$Y230/MAX(IF(Combo_Species_Names=$N230,Combo_Gym_Defense))</f>
        <v>#VALUE!</v>
      </c>
      <c r="G230" s="23" t="e">
        <f t="array" ref="G230">IF(OR(INDEX(Species_Availability,MATCH($N230,Species_Names,0))="No",INDEX(Species_Evo_Numbers,MATCH($N230,Species_Names,0))&lt;&gt;1),"N/A",RANK($R230,IF(NOT(ISNA(MATCH(Combo_Species_Names,IF(Species_Availability="Yes",IF(Species_Evo_Numbers=1,Species_Names)),0))),Combo_Duel_Ability),0))</f>
        <v>#VALUE!</v>
      </c>
      <c r="H230" s="24" t="e">
        <f t="array" ref="H230">IF(OR(INDEX(Species_Availability,MATCH($N230,Species_Names,0))="No",INDEX(Species_Evo_Numbers,MATCH($N230,Species_Names,0))&lt;&gt;1),"N/A",$R230/MAX(IF(NOT(ISNA(MATCH(Combo_Species_Names,IF(Species_Availability="Yes",IF(Species_Evo_Numbers=1,Species_Names)),0))),Combo_Duel_Ability)))</f>
        <v>#VALUE!</v>
      </c>
      <c r="I230" s="23" t="e">
        <f t="array" ref="I230">IF(OR(INDEX(Species_Availability,MATCH($N230,Species_Names,0))="No",INDEX(Species_Evo_Numbers,MATCH($N230,Species_Names,0))&lt;&gt;1),"N/A",RANK($S230,IF(NOT(ISNA(MATCH(Combo_Species_Names,IF(Species_Availability="Yes",IF(Species_Evo_Numbers=1,Species_Names)),0))),Combo_Gym_Offense),0))</f>
        <v>#VALUE!</v>
      </c>
      <c r="J230" s="24" t="e">
        <f t="array" ref="J230">IF(OR(INDEX(Species_Availability,MATCH($N230,Species_Names,0))="No",INDEX(Species_Evo_Numbers,MATCH($N230,Species_Names,0))&lt;&gt;1),"N/A",$S230/MAX(IF(NOT(ISNA(MATCH(Combo_Species_Names,IF(Species_Availability="Yes",IF(Species_Evo_Numbers=1,Species_Names)),0))),Combo_Gym_Offense)))</f>
        <v>#VALUE!</v>
      </c>
      <c r="K230" s="23" t="e">
        <f t="array" ref="K230">IF(OR(INDEX(Species_Availability,MATCH($N230,Species_Names,0))="No",INDEX(Species_Evo_Numbers,MATCH($N230,Species_Names,0))&lt;&gt;1),"N/A",RANK($Y230,IF(NOT(ISNA(MATCH(Combo_Species_Names,IF(Species_Availability="Yes",IF(Species_Evo_Numbers=1,Species_Names)),0))),Combo_Gym_Defense),0))</f>
        <v>#VALUE!</v>
      </c>
      <c r="L230" s="24" t="e">
        <f t="array" ref="L230">IF(OR(INDEX(Species_Availability,MATCH($N230,Species_Names,0))="No",INDEX(Species_Evo_Numbers,MATCH($N230,Species_Names,0))&lt;&gt;1),"N/A",$Y230/MAX(IF(NOT(ISNA(MATCH(Combo_Species_Names,IF(Species_Availability="Yes",IF(Species_Evo_Numbers=1,Species_Names)),0))),Combo_Gym_Defense)))</f>
        <v>#VALUE!</v>
      </c>
      <c r="M230" s="28">
        <f t="array" ref="M230">INDEX(Species_Pdex_Numbers,MATCH($N230,Species_Names,0))</f>
        <v>108</v>
      </c>
      <c r="N230" s="30" t="s">
        <v>320</v>
      </c>
      <c r="O230" s="31" t="s">
        <v>79</v>
      </c>
      <c r="P230" s="31" t="s">
        <v>130</v>
      </c>
      <c r="Q230" s="17" t="e">
        <f t="shared" si="6"/>
        <v>#VALUE!</v>
      </c>
      <c r="R230" s="32" t="e">
        <f t="array" ref="R230">IF(OR(AND(COUNTBLANK(Combo_Opponent_Type_1)=1,COUNTBLANK(Combo_Opponent_Type_2)=0),AND(AND(COUNTBLANK(Combo_Opponent_Type_1)=0,COUNTBLANK(Combo_Opponent_Type_2)=0),Combo_Opponent_Type_1=Combo_Opponent_Type_2)),
"Check Types",($S230*INDEX(Species_Tankiness,MATCH($N230,Species_Names,0)))/225)</f>
        <v>#VALUE!</v>
      </c>
      <c r="S230" s="32" t="e">
        <f t="array" ref="S230">IF(OR(AND(COUNTBLANK(Combo_Opponent_Type_1)=1,COUNTBLANK(Combo_Opponent_Type_2)=0),AND(AND(COUNTBLANK(Combo_Opponent_Type_1)=0,COUNTBLANK(Combo_Opponent_Type_2)=0),Combo_Opponent_Type_1=Combo_Opponent_Type_2)),
"Check Types",(
IF($W230&gt;=((1-Game_Weave_Human_Error)*$X230),$W230,$X230)*INDEX(Species_Attack,MATCH($N230,Species_Names,0)))/11)</f>
        <v>#VALUE!</v>
      </c>
      <c r="T230" s="33" t="e">
        <f t="shared" si="7"/>
        <v>#VALUE!</v>
      </c>
      <c r="U230" s="33">
        <f t="array" ref="U2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230,Quick_Names,0))),Type_Species)),0),1)*IF(COUNTBLANK(Combo_Opponent_Type_2)=0,INDEX(Type_Damage_Multipliers,MATCH(Combo_Opponent_Type_2,IF(Type_Move=(INDEX(Quick_Type,MATCH($O230,Quick_Names,0))),Type_Species)),0),1)*(IF(OR(INDEX(Quick_Type,MATCH($O230,Quick_Names,0))=INDEX(Species_Type_1,MATCH($N230,Species_Names,0)),INDEX(Quick_Type,MATCH($O230,Quick_Names,0))=INDEX(Species_Type_2,MATCH($N230,Species_Names,0))),Game_STAB_Multiplier,1)))</f>
        <v>1</v>
      </c>
      <c r="V230" s="33">
        <f t="array" ref="V2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230,Charge_Names,0))),Type_Species)),0),1)*IF(COUNTBLANK(Combo_Opponent_Type_2)=0,INDEX(Type_Damage_Multipliers,MATCH(Combo_Opponent_Type_2,IF(Type_Move=(INDEX(Charge_Type,MATCH($P230,Charge_Names,0))),Type_Species)),0),1)*
IF(OR(INDEX(Charge_Type,MATCH($P230,Charge_Names,0))=INDEX(Species_Type_1,MATCH($N230,Species_Names,0)),INDEX(Charge_Type,MATCH($P230,Charge_Names,0))=INDEX(Species_Type_2,MATCH($N230,Species_Names,0))),Game_STAB_Multiplier,1))</f>
        <v>1.25</v>
      </c>
      <c r="W230" s="33" t="s">
        <v>419</v>
      </c>
      <c r="X230" s="33" t="s">
        <v>420</v>
      </c>
      <c r="Y230" s="32" t="e">
        <f t="array" ref="Y230">((($Z230)*
INDEX(Species_Attack,MATCH($N230,Species_Names,0))*
INDEX(Species_Tankiness,MATCH($N230,Species_Names,0)))/1000)</f>
        <v>#VALUE!</v>
      </c>
      <c r="Z230" s="33" t="s">
        <v>421</v>
      </c>
    </row>
    <row r="231" spans="1:26" ht="14.25" customHeight="1" x14ac:dyDescent="0.2">
      <c r="A231" s="86"/>
      <c r="B231" s="22" t="str">
        <f t="array" ref="B231">CONCATENATE(TEXT($M231,"000"),".",TEXT(INDEX(Quick_Number,MATCH($O231,Quick_Names,0)),"000"),".",TEXT(INDEX(Charge_Number,MATCH($P231,Charge_Names,0)),"000"))</f>
        <v>126.208.103</v>
      </c>
      <c r="C231" s="23" t="e">
        <f t="array" ref="C231">RANK($S231,IF(Combo_Species_Names=$N231,Combo_Gym_Offense),0)</f>
        <v>#VALUE!</v>
      </c>
      <c r="D231" s="24" t="e">
        <f t="array" ref="D231">$S231/MAX(IF(Combo_Species_Names=$N231,Combo_Gym_Offense))</f>
        <v>#VALUE!</v>
      </c>
      <c r="E231" s="23" t="e">
        <f t="array" ref="E231">RANK($Y231,IF(Combo_Species_Names=$N231,Combo_Gym_Defense),0)</f>
        <v>#VALUE!</v>
      </c>
      <c r="F231" s="25" t="e">
        <f t="array" ref="F231">$Y231/MAX(IF(Combo_Species_Names=$N231,Combo_Gym_Defense))</f>
        <v>#VALUE!</v>
      </c>
      <c r="G231" s="23" t="e">
        <f t="array" ref="G231">IF(OR(INDEX(Species_Availability,MATCH($N231,Species_Names,0))="No",INDEX(Species_Evo_Numbers,MATCH($N231,Species_Names,0))&lt;&gt;1),"N/A",RANK($R231,IF(NOT(ISNA(MATCH(Combo_Species_Names,IF(Species_Availability="Yes",IF(Species_Evo_Numbers=1,Species_Names)),0))),Combo_Duel_Ability),0))</f>
        <v>#VALUE!</v>
      </c>
      <c r="H231" s="24" t="e">
        <f t="array" ref="H231">IF(OR(INDEX(Species_Availability,MATCH($N231,Species_Names,0))="No",INDEX(Species_Evo_Numbers,MATCH($N231,Species_Names,0))&lt;&gt;1),"N/A",$R231/MAX(IF(NOT(ISNA(MATCH(Combo_Species_Names,IF(Species_Availability="Yes",IF(Species_Evo_Numbers=1,Species_Names)),0))),Combo_Duel_Ability)))</f>
        <v>#VALUE!</v>
      </c>
      <c r="I231" s="23" t="e">
        <f t="array" ref="I231">IF(OR(INDEX(Species_Availability,MATCH($N231,Species_Names,0))="No",INDEX(Species_Evo_Numbers,MATCH($N231,Species_Names,0))&lt;&gt;1),"N/A",RANK($S231,IF(NOT(ISNA(MATCH(Combo_Species_Names,IF(Species_Availability="Yes",IF(Species_Evo_Numbers=1,Species_Names)),0))),Combo_Gym_Offense),0))</f>
        <v>#VALUE!</v>
      </c>
      <c r="J231" s="24" t="e">
        <f t="array" ref="J231">IF(OR(INDEX(Species_Availability,MATCH($N231,Species_Names,0))="No",INDEX(Species_Evo_Numbers,MATCH($N231,Species_Names,0))&lt;&gt;1),"N/A",$S231/MAX(IF(NOT(ISNA(MATCH(Combo_Species_Names,IF(Species_Availability="Yes",IF(Species_Evo_Numbers=1,Species_Names)),0))),Combo_Gym_Offense)))</f>
        <v>#VALUE!</v>
      </c>
      <c r="K231" s="23" t="e">
        <f t="array" ref="K231">IF(OR(INDEX(Species_Availability,MATCH($N231,Species_Names,0))="No",INDEX(Species_Evo_Numbers,MATCH($N231,Species_Names,0))&lt;&gt;1),"N/A",RANK($Y231,IF(NOT(ISNA(MATCH(Combo_Species_Names,IF(Species_Availability="Yes",IF(Species_Evo_Numbers=1,Species_Names)),0))),Combo_Gym_Defense),0))</f>
        <v>#VALUE!</v>
      </c>
      <c r="L231" s="24" t="e">
        <f t="array" ref="L231">IF(OR(INDEX(Species_Availability,MATCH($N231,Species_Names,0))="No",INDEX(Species_Evo_Numbers,MATCH($N231,Species_Names,0))&lt;&gt;1),"N/A",$Y231/MAX(IF(NOT(ISNA(MATCH(Combo_Species_Names,IF(Species_Availability="Yes",IF(Species_Evo_Numbers=1,Species_Names)),0))),Combo_Gym_Defense)))</f>
        <v>#VALUE!</v>
      </c>
      <c r="M231" s="28">
        <f t="array" ref="M231">INDEX(Species_Pdex_Numbers,MATCH($N231,Species_Names,0))</f>
        <v>126</v>
      </c>
      <c r="N231" s="30" t="s">
        <v>343</v>
      </c>
      <c r="O231" s="31" t="s">
        <v>122</v>
      </c>
      <c r="P231" s="31" t="s">
        <v>163</v>
      </c>
      <c r="Q231" s="17" t="e">
        <f t="shared" si="6"/>
        <v>#VALUE!</v>
      </c>
      <c r="R231" s="32" t="e">
        <f t="array" ref="R231">IF(OR(AND(COUNTBLANK(Combo_Opponent_Type_1)=1,COUNTBLANK(Combo_Opponent_Type_2)=0),AND(AND(COUNTBLANK(Combo_Opponent_Type_1)=0,COUNTBLANK(Combo_Opponent_Type_2)=0),Combo_Opponent_Type_1=Combo_Opponent_Type_2)),
"Check Types",($S231*INDEX(Species_Tankiness,MATCH($N231,Species_Names,0)))/225)</f>
        <v>#VALUE!</v>
      </c>
      <c r="S231" s="32" t="e">
        <f t="array" ref="S231">IF(OR(AND(COUNTBLANK(Combo_Opponent_Type_1)=1,COUNTBLANK(Combo_Opponent_Type_2)=0),AND(AND(COUNTBLANK(Combo_Opponent_Type_1)=0,COUNTBLANK(Combo_Opponent_Type_2)=0),Combo_Opponent_Type_1=Combo_Opponent_Type_2)),
"Check Types",(
IF($W231&gt;=((1-Game_Weave_Human_Error)*$X231),$W231,$X231)*INDEX(Species_Attack,MATCH($N231,Species_Names,0)))/11)</f>
        <v>#VALUE!</v>
      </c>
      <c r="T231" s="33" t="e">
        <f t="shared" si="7"/>
        <v>#VALUE!</v>
      </c>
      <c r="U231" s="33">
        <f t="array" ref="U2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231,Quick_Names,0))),Type_Species)),0),1)*IF(COUNTBLANK(Combo_Opponent_Type_2)=0,INDEX(Type_Damage_Multipliers,MATCH(Combo_Opponent_Type_2,IF(Type_Move=(INDEX(Quick_Type,MATCH($O231,Quick_Names,0))),Type_Species)),0),1)*(IF(OR(INDEX(Quick_Type,MATCH($O231,Quick_Names,0))=INDEX(Species_Type_1,MATCH($N231,Species_Names,0)),INDEX(Quick_Type,MATCH($O231,Quick_Names,0))=INDEX(Species_Type_2,MATCH($N231,Species_Names,0))),Game_STAB_Multiplier,1)))</f>
        <v>1</v>
      </c>
      <c r="V231" s="33">
        <f t="array" ref="V2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231,Charge_Names,0))),Type_Species)),0),1)*IF(COUNTBLANK(Combo_Opponent_Type_2)=0,INDEX(Type_Damage_Multipliers,MATCH(Combo_Opponent_Type_2,IF(Type_Move=(INDEX(Charge_Type,MATCH($P231,Charge_Names,0))),Type_Species)),0),1)*
IF(OR(INDEX(Charge_Type,MATCH($P231,Charge_Names,0))=INDEX(Species_Type_1,MATCH($N231,Species_Names,0)),INDEX(Charge_Type,MATCH($P231,Charge_Names,0))=INDEX(Species_Type_2,MATCH($N231,Species_Names,0))),Game_STAB_Multiplier,1))</f>
        <v>1.25</v>
      </c>
      <c r="W231" s="33" t="s">
        <v>600</v>
      </c>
      <c r="X231" s="33" t="s">
        <v>734</v>
      </c>
      <c r="Y231" s="32" t="e">
        <f t="array" ref="Y231">((($Z231)*
INDEX(Species_Attack,MATCH($N231,Species_Names,0))*
INDEX(Species_Tankiness,MATCH($N231,Species_Names,0)))/1000)</f>
        <v>#VALUE!</v>
      </c>
      <c r="Z231" s="33" t="s">
        <v>735</v>
      </c>
    </row>
    <row r="232" spans="1:26" ht="14.25" customHeight="1" x14ac:dyDescent="0.2">
      <c r="A232" s="86"/>
      <c r="B232" s="22" t="str">
        <f t="array" ref="B232">CONCATENATE(TEXT($M232,"000"),".",TEXT(INDEX(Quick_Number,MATCH($O232,Quick_Names,0)),"000"),".",TEXT(INDEX(Charge_Number,MATCH($P232,Charge_Names,0)),"000"))</f>
        <v>078.209.046</v>
      </c>
      <c r="C232" s="23" t="e">
        <f t="array" ref="C232">RANK($S232,IF(Combo_Species_Names=$N232,Combo_Gym_Offense),0)</f>
        <v>#VALUE!</v>
      </c>
      <c r="D232" s="24" t="e">
        <f t="array" ref="D232">$S232/MAX(IF(Combo_Species_Names=$N232,Combo_Gym_Offense))</f>
        <v>#VALUE!</v>
      </c>
      <c r="E232" s="23" t="e">
        <f t="array" ref="E232">RANK($Y232,IF(Combo_Species_Names=$N232,Combo_Gym_Defense),0)</f>
        <v>#VALUE!</v>
      </c>
      <c r="F232" s="25" t="e">
        <f t="array" ref="F232">$Y232/MAX(IF(Combo_Species_Names=$N232,Combo_Gym_Defense))</f>
        <v>#VALUE!</v>
      </c>
      <c r="G232" s="23" t="e">
        <f t="array" ref="G232">IF(OR(INDEX(Species_Availability,MATCH($N232,Species_Names,0))="No",INDEX(Species_Evo_Numbers,MATCH($N232,Species_Names,0))&lt;&gt;1),"N/A",RANK($R232,IF(NOT(ISNA(MATCH(Combo_Species_Names,IF(Species_Availability="Yes",IF(Species_Evo_Numbers=1,Species_Names)),0))),Combo_Duel_Ability),0))</f>
        <v>#VALUE!</v>
      </c>
      <c r="H232" s="24" t="e">
        <f t="array" ref="H232">IF(OR(INDEX(Species_Availability,MATCH($N232,Species_Names,0))="No",INDEX(Species_Evo_Numbers,MATCH($N232,Species_Names,0))&lt;&gt;1),"N/A",$R232/MAX(IF(NOT(ISNA(MATCH(Combo_Species_Names,IF(Species_Availability="Yes",IF(Species_Evo_Numbers=1,Species_Names)),0))),Combo_Duel_Ability)))</f>
        <v>#VALUE!</v>
      </c>
      <c r="I232" s="23" t="e">
        <f t="array" ref="I232">IF(OR(INDEX(Species_Availability,MATCH($N232,Species_Names,0))="No",INDEX(Species_Evo_Numbers,MATCH($N232,Species_Names,0))&lt;&gt;1),"N/A",RANK($S232,IF(NOT(ISNA(MATCH(Combo_Species_Names,IF(Species_Availability="Yes",IF(Species_Evo_Numbers=1,Species_Names)),0))),Combo_Gym_Offense),0))</f>
        <v>#VALUE!</v>
      </c>
      <c r="J232" s="24" t="e">
        <f t="array" ref="J232">IF(OR(INDEX(Species_Availability,MATCH($N232,Species_Names,0))="No",INDEX(Species_Evo_Numbers,MATCH($N232,Species_Names,0))&lt;&gt;1),"N/A",$S232/MAX(IF(NOT(ISNA(MATCH(Combo_Species_Names,IF(Species_Availability="Yes",IF(Species_Evo_Numbers=1,Species_Names)),0))),Combo_Gym_Offense)))</f>
        <v>#VALUE!</v>
      </c>
      <c r="K232" s="23" t="e">
        <f t="array" ref="K232">IF(OR(INDEX(Species_Availability,MATCH($N232,Species_Names,0))="No",INDEX(Species_Evo_Numbers,MATCH($N232,Species_Names,0))&lt;&gt;1),"N/A",RANK($Y232,IF(NOT(ISNA(MATCH(Combo_Species_Names,IF(Species_Availability="Yes",IF(Species_Evo_Numbers=1,Species_Names)),0))),Combo_Gym_Defense),0))</f>
        <v>#VALUE!</v>
      </c>
      <c r="L232" s="24" t="e">
        <f t="array" ref="L232">IF(OR(INDEX(Species_Availability,MATCH($N232,Species_Names,0))="No",INDEX(Species_Evo_Numbers,MATCH($N232,Species_Names,0))&lt;&gt;1),"N/A",$Y232/MAX(IF(NOT(ISNA(MATCH(Combo_Species_Names,IF(Species_Availability="Yes",IF(Species_Evo_Numbers=1,Species_Names)),0))),Combo_Gym_Defense)))</f>
        <v>#VALUE!</v>
      </c>
      <c r="M232" s="28">
        <f t="array" ref="M232">INDEX(Species_Pdex_Numbers,MATCH($N232,Species_Names,0))</f>
        <v>78</v>
      </c>
      <c r="N232" s="30" t="s">
        <v>248</v>
      </c>
      <c r="O232" s="31" t="s">
        <v>111</v>
      </c>
      <c r="P232" s="31" t="s">
        <v>220</v>
      </c>
      <c r="Q232" s="17" t="e">
        <f t="shared" si="6"/>
        <v>#VALUE!</v>
      </c>
      <c r="R232" s="32" t="e">
        <f t="array" ref="R232">IF(OR(AND(COUNTBLANK(Combo_Opponent_Type_1)=1,COUNTBLANK(Combo_Opponent_Type_2)=0),AND(AND(COUNTBLANK(Combo_Opponent_Type_1)=0,COUNTBLANK(Combo_Opponent_Type_2)=0),Combo_Opponent_Type_1=Combo_Opponent_Type_2)),
"Check Types",($S232*INDEX(Species_Tankiness,MATCH($N232,Species_Names,0)))/225)</f>
        <v>#VALUE!</v>
      </c>
      <c r="S232" s="32" t="e">
        <f t="array" ref="S232">IF(OR(AND(COUNTBLANK(Combo_Opponent_Type_1)=1,COUNTBLANK(Combo_Opponent_Type_2)=0),AND(AND(COUNTBLANK(Combo_Opponent_Type_1)=0,COUNTBLANK(Combo_Opponent_Type_2)=0),Combo_Opponent_Type_1=Combo_Opponent_Type_2)),
"Check Types",(
IF($W232&gt;=((1-Game_Weave_Human_Error)*$X232),$W232,$X232)*INDEX(Species_Attack,MATCH($N232,Species_Names,0)))/11)</f>
        <v>#VALUE!</v>
      </c>
      <c r="T232" s="33" t="e">
        <f t="shared" si="7"/>
        <v>#VALUE!</v>
      </c>
      <c r="U232" s="33">
        <f t="array" ref="U2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232,Quick_Names,0))),Type_Species)),0),1)*IF(COUNTBLANK(Combo_Opponent_Type_2)=0,INDEX(Type_Damage_Multipliers,MATCH(Combo_Opponent_Type_2,IF(Type_Move=(INDEX(Quick_Type,MATCH($O232,Quick_Names,0))),Type_Species)),0),1)*(IF(OR(INDEX(Quick_Type,MATCH($O232,Quick_Names,0))=INDEX(Species_Type_1,MATCH($N232,Species_Names,0)),INDEX(Quick_Type,MATCH($O232,Quick_Names,0))=INDEX(Species_Type_2,MATCH($N232,Species_Names,0))),Game_STAB_Multiplier,1)))</f>
        <v>1.25</v>
      </c>
      <c r="V232" s="33">
        <f t="array" ref="V2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232,Charge_Names,0))),Type_Species)),0),1)*IF(COUNTBLANK(Combo_Opponent_Type_2)=0,INDEX(Type_Damage_Multipliers,MATCH(Combo_Opponent_Type_2,IF(Type_Move=(INDEX(Charge_Type,MATCH($P232,Charge_Names,0))),Type_Species)),0),1)*
IF(OR(INDEX(Charge_Type,MATCH($P232,Charge_Names,0))=INDEX(Species_Type_1,MATCH($N232,Species_Names,0)),INDEX(Charge_Type,MATCH($P232,Charge_Names,0))=INDEX(Species_Type_2,MATCH($N232,Species_Names,0))),Game_STAB_Multiplier,1))</f>
        <v>1</v>
      </c>
      <c r="W232" s="33" t="s">
        <v>511</v>
      </c>
      <c r="X232" s="33" t="s">
        <v>736</v>
      </c>
      <c r="Y232" s="32" t="e">
        <f t="array" ref="Y232">((($Z232)*
INDEX(Species_Attack,MATCH($N232,Species_Names,0))*
INDEX(Species_Tankiness,MATCH($N232,Species_Names,0)))/1000)</f>
        <v>#VALUE!</v>
      </c>
      <c r="Z232" s="33" t="s">
        <v>737</v>
      </c>
    </row>
    <row r="233" spans="1:26" ht="14.25" customHeight="1" x14ac:dyDescent="0.2">
      <c r="A233" s="86"/>
      <c r="B233" s="22" t="str">
        <f t="array" ref="B233">CONCATENATE(TEXT($M233,"000"),".",TEXT(INDEX(Quick_Number,MATCH($O233,Quick_Names,0)),"000"),".",TEXT(INDEX(Charge_Number,MATCH($P233,Charge_Names,0)),"000"))</f>
        <v>105.233.031</v>
      </c>
      <c r="C233" s="23" t="e">
        <f t="array" ref="C233">RANK($S233,IF(Combo_Species_Names=$N233,Combo_Gym_Offense),0)</f>
        <v>#VALUE!</v>
      </c>
      <c r="D233" s="24" t="e">
        <f t="array" ref="D233">$S233/MAX(IF(Combo_Species_Names=$N233,Combo_Gym_Offense))</f>
        <v>#VALUE!</v>
      </c>
      <c r="E233" s="23" t="e">
        <f t="array" ref="E233">RANK($Y233,IF(Combo_Species_Names=$N233,Combo_Gym_Defense),0)</f>
        <v>#VALUE!</v>
      </c>
      <c r="F233" s="25" t="e">
        <f t="array" ref="F233">$Y233/MAX(IF(Combo_Species_Names=$N233,Combo_Gym_Defense))</f>
        <v>#VALUE!</v>
      </c>
      <c r="G233" s="23" t="e">
        <f t="array" ref="G233">IF(OR(INDEX(Species_Availability,MATCH($N233,Species_Names,0))="No",INDEX(Species_Evo_Numbers,MATCH($N233,Species_Names,0))&lt;&gt;1),"N/A",RANK($R233,IF(NOT(ISNA(MATCH(Combo_Species_Names,IF(Species_Availability="Yes",IF(Species_Evo_Numbers=1,Species_Names)),0))),Combo_Duel_Ability),0))</f>
        <v>#VALUE!</v>
      </c>
      <c r="H233" s="24" t="e">
        <f t="array" ref="H233">IF(OR(INDEX(Species_Availability,MATCH($N233,Species_Names,0))="No",INDEX(Species_Evo_Numbers,MATCH($N233,Species_Names,0))&lt;&gt;1),"N/A",$R233/MAX(IF(NOT(ISNA(MATCH(Combo_Species_Names,IF(Species_Availability="Yes",IF(Species_Evo_Numbers=1,Species_Names)),0))),Combo_Duel_Ability)))</f>
        <v>#VALUE!</v>
      </c>
      <c r="I233" s="23" t="e">
        <f t="array" ref="I233">IF(OR(INDEX(Species_Availability,MATCH($N233,Species_Names,0))="No",INDEX(Species_Evo_Numbers,MATCH($N233,Species_Names,0))&lt;&gt;1),"N/A",RANK($S233,IF(NOT(ISNA(MATCH(Combo_Species_Names,IF(Species_Availability="Yes",IF(Species_Evo_Numbers=1,Species_Names)),0))),Combo_Gym_Offense),0))</f>
        <v>#VALUE!</v>
      </c>
      <c r="J233" s="24" t="e">
        <f t="array" ref="J233">IF(OR(INDEX(Species_Availability,MATCH($N233,Species_Names,0))="No",INDEX(Species_Evo_Numbers,MATCH($N233,Species_Names,0))&lt;&gt;1),"N/A",$S233/MAX(IF(NOT(ISNA(MATCH(Combo_Species_Names,IF(Species_Availability="Yes",IF(Species_Evo_Numbers=1,Species_Names)),0))),Combo_Gym_Offense)))</f>
        <v>#VALUE!</v>
      </c>
      <c r="K233" s="23" t="e">
        <f t="array" ref="K233">IF(OR(INDEX(Species_Availability,MATCH($N233,Species_Names,0))="No",INDEX(Species_Evo_Numbers,MATCH($N233,Species_Names,0))&lt;&gt;1),"N/A",RANK($Y233,IF(NOT(ISNA(MATCH(Combo_Species_Names,IF(Species_Availability="Yes",IF(Species_Evo_Numbers=1,Species_Names)),0))),Combo_Gym_Defense),0))</f>
        <v>#VALUE!</v>
      </c>
      <c r="L233" s="24" t="e">
        <f t="array" ref="L233">IF(OR(INDEX(Species_Availability,MATCH($N233,Species_Names,0))="No",INDEX(Species_Evo_Numbers,MATCH($N233,Species_Names,0))&lt;&gt;1),"N/A",$Y233/MAX(IF(NOT(ISNA(MATCH(Combo_Species_Names,IF(Species_Availability="Yes",IF(Species_Evo_Numbers=1,Species_Names)),0))),Combo_Gym_Defense)))</f>
        <v>#VALUE!</v>
      </c>
      <c r="M233" s="28">
        <f t="array" ref="M233">INDEX(Species_Pdex_Numbers,MATCH($N233,Species_Names,0))</f>
        <v>105</v>
      </c>
      <c r="N233" s="30" t="s">
        <v>313</v>
      </c>
      <c r="O233" s="31" t="s">
        <v>84</v>
      </c>
      <c r="P233" s="31" t="s">
        <v>169</v>
      </c>
      <c r="Q233" s="17" t="e">
        <f t="shared" si="6"/>
        <v>#VALUE!</v>
      </c>
      <c r="R233" s="32" t="e">
        <f t="array" ref="R233">IF(OR(AND(COUNTBLANK(Combo_Opponent_Type_1)=1,COUNTBLANK(Combo_Opponent_Type_2)=0),AND(AND(COUNTBLANK(Combo_Opponent_Type_1)=0,COUNTBLANK(Combo_Opponent_Type_2)=0),Combo_Opponent_Type_1=Combo_Opponent_Type_2)),
"Check Types",($S233*INDEX(Species_Tankiness,MATCH($N233,Species_Names,0)))/225)</f>
        <v>#VALUE!</v>
      </c>
      <c r="S233" s="32" t="e">
        <f t="array" ref="S233">IF(OR(AND(COUNTBLANK(Combo_Opponent_Type_1)=1,COUNTBLANK(Combo_Opponent_Type_2)=0),AND(AND(COUNTBLANK(Combo_Opponent_Type_1)=0,COUNTBLANK(Combo_Opponent_Type_2)=0),Combo_Opponent_Type_1=Combo_Opponent_Type_2)),
"Check Types",(
IF($W233&gt;=((1-Game_Weave_Human_Error)*$X233),$W233,$X233)*INDEX(Species_Attack,MATCH($N233,Species_Names,0)))/11)</f>
        <v>#VALUE!</v>
      </c>
      <c r="T233" s="33" t="e">
        <f t="shared" si="7"/>
        <v>#VALUE!</v>
      </c>
      <c r="U233" s="33">
        <f t="array" ref="U2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233,Quick_Names,0))),Type_Species)),0),1)*IF(COUNTBLANK(Combo_Opponent_Type_2)=0,INDEX(Type_Damage_Multipliers,MATCH(Combo_Opponent_Type_2,IF(Type_Move=(INDEX(Quick_Type,MATCH($O233,Quick_Names,0))),Type_Species)),0),1)*(IF(OR(INDEX(Quick_Type,MATCH($O233,Quick_Names,0))=INDEX(Species_Type_1,MATCH($N233,Species_Names,0)),INDEX(Quick_Type,MATCH($O233,Quick_Names,0))=INDEX(Species_Type_2,MATCH($N233,Species_Names,0))),Game_STAB_Multiplier,1)))</f>
        <v>1.25</v>
      </c>
      <c r="V233" s="33">
        <f t="array" ref="V2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233,Charge_Names,0))),Type_Species)),0),1)*IF(COUNTBLANK(Combo_Opponent_Type_2)=0,INDEX(Type_Damage_Multipliers,MATCH(Combo_Opponent_Type_2,IF(Type_Move=(INDEX(Charge_Type,MATCH($P233,Charge_Names,0))),Type_Species)),0),1)*
IF(OR(INDEX(Charge_Type,MATCH($P233,Charge_Names,0))=INDEX(Species_Type_1,MATCH($N233,Species_Names,0)),INDEX(Charge_Type,MATCH($P233,Charge_Names,0))=INDEX(Species_Type_2,MATCH($N233,Species_Names,0))),Game_STAB_Multiplier,1))</f>
        <v>1.25</v>
      </c>
      <c r="W233" s="33" t="s">
        <v>436</v>
      </c>
      <c r="X233" s="33" t="s">
        <v>410</v>
      </c>
      <c r="Y233" s="32" t="e">
        <f t="array" ref="Y233">((($Z233)*
INDEX(Species_Attack,MATCH($N233,Species_Names,0))*
INDEX(Species_Tankiness,MATCH($N233,Species_Names,0)))/1000)</f>
        <v>#VALUE!</v>
      </c>
      <c r="Z233" s="33" t="s">
        <v>429</v>
      </c>
    </row>
    <row r="234" spans="1:26" ht="14.25" customHeight="1" x14ac:dyDescent="0.2">
      <c r="A234" s="86"/>
      <c r="B234" s="22" t="str">
        <f t="array" ref="B234">CONCATENATE(TEXT($M234,"000"),".",TEXT(INDEX(Quick_Number,MATCH($O234,Quick_Names,0)),"000"),".",TEXT(INDEX(Charge_Number,MATCH($P234,Charge_Names,0)),"000"))</f>
        <v>078.207.042</v>
      </c>
      <c r="C234" s="23" t="e">
        <f t="array" ref="C234">RANK($S234,IF(Combo_Species_Names=$N234,Combo_Gym_Offense),0)</f>
        <v>#VALUE!</v>
      </c>
      <c r="D234" s="24" t="e">
        <f t="array" ref="D234">$S234/MAX(IF(Combo_Species_Names=$N234,Combo_Gym_Offense))</f>
        <v>#VALUE!</v>
      </c>
      <c r="E234" s="23" t="e">
        <f t="array" ref="E234">RANK($Y234,IF(Combo_Species_Names=$N234,Combo_Gym_Defense),0)</f>
        <v>#VALUE!</v>
      </c>
      <c r="F234" s="25" t="e">
        <f t="array" ref="F234">$Y234/MAX(IF(Combo_Species_Names=$N234,Combo_Gym_Defense))</f>
        <v>#VALUE!</v>
      </c>
      <c r="G234" s="23" t="e">
        <f t="array" ref="G234">IF(OR(INDEX(Species_Availability,MATCH($N234,Species_Names,0))="No",INDEX(Species_Evo_Numbers,MATCH($N234,Species_Names,0))&lt;&gt;1),"N/A",RANK($R234,IF(NOT(ISNA(MATCH(Combo_Species_Names,IF(Species_Availability="Yes",IF(Species_Evo_Numbers=1,Species_Names)),0))),Combo_Duel_Ability),0))</f>
        <v>#VALUE!</v>
      </c>
      <c r="H234" s="24" t="e">
        <f t="array" ref="H234">IF(OR(INDEX(Species_Availability,MATCH($N234,Species_Names,0))="No",INDEX(Species_Evo_Numbers,MATCH($N234,Species_Names,0))&lt;&gt;1),"N/A",$R234/MAX(IF(NOT(ISNA(MATCH(Combo_Species_Names,IF(Species_Availability="Yes",IF(Species_Evo_Numbers=1,Species_Names)),0))),Combo_Duel_Ability)))</f>
        <v>#VALUE!</v>
      </c>
      <c r="I234" s="23" t="e">
        <f t="array" ref="I234">IF(OR(INDEX(Species_Availability,MATCH($N234,Species_Names,0))="No",INDEX(Species_Evo_Numbers,MATCH($N234,Species_Names,0))&lt;&gt;1),"N/A",RANK($S234,IF(NOT(ISNA(MATCH(Combo_Species_Names,IF(Species_Availability="Yes",IF(Species_Evo_Numbers=1,Species_Names)),0))),Combo_Gym_Offense),0))</f>
        <v>#VALUE!</v>
      </c>
      <c r="J234" s="24" t="e">
        <f t="array" ref="J234">IF(OR(INDEX(Species_Availability,MATCH($N234,Species_Names,0))="No",INDEX(Species_Evo_Numbers,MATCH($N234,Species_Names,0))&lt;&gt;1),"N/A",$S234/MAX(IF(NOT(ISNA(MATCH(Combo_Species_Names,IF(Species_Availability="Yes",IF(Species_Evo_Numbers=1,Species_Names)),0))),Combo_Gym_Offense)))</f>
        <v>#VALUE!</v>
      </c>
      <c r="K234" s="23" t="e">
        <f t="array" ref="K234">IF(OR(INDEX(Species_Availability,MATCH($N234,Species_Names,0))="No",INDEX(Species_Evo_Numbers,MATCH($N234,Species_Names,0))&lt;&gt;1),"N/A",RANK($Y234,IF(NOT(ISNA(MATCH(Combo_Species_Names,IF(Species_Availability="Yes",IF(Species_Evo_Numbers=1,Species_Names)),0))),Combo_Gym_Defense),0))</f>
        <v>#VALUE!</v>
      </c>
      <c r="L234" s="24" t="e">
        <f t="array" ref="L234">IF(OR(INDEX(Species_Availability,MATCH($N234,Species_Names,0))="No",INDEX(Species_Evo_Numbers,MATCH($N234,Species_Names,0))&lt;&gt;1),"N/A",$Y234/MAX(IF(NOT(ISNA(MATCH(Combo_Species_Names,IF(Species_Availability="Yes",IF(Species_Evo_Numbers=1,Species_Names)),0))),Combo_Gym_Defense)))</f>
        <v>#VALUE!</v>
      </c>
      <c r="M234" s="28">
        <f t="array" ref="M234">INDEX(Species_Pdex_Numbers,MATCH($N234,Species_Names,0))</f>
        <v>78</v>
      </c>
      <c r="N234" s="30" t="s">
        <v>248</v>
      </c>
      <c r="O234" s="31" t="s">
        <v>117</v>
      </c>
      <c r="P234" s="31" t="s">
        <v>183</v>
      </c>
      <c r="Q234" s="17" t="e">
        <f t="shared" si="6"/>
        <v>#VALUE!</v>
      </c>
      <c r="R234" s="32" t="e">
        <f t="array" ref="R234">IF(OR(AND(COUNTBLANK(Combo_Opponent_Type_1)=1,COUNTBLANK(Combo_Opponent_Type_2)=0),AND(AND(COUNTBLANK(Combo_Opponent_Type_1)=0,COUNTBLANK(Combo_Opponent_Type_2)=0),Combo_Opponent_Type_1=Combo_Opponent_Type_2)),
"Check Types",($S234*INDEX(Species_Tankiness,MATCH($N234,Species_Names,0)))/225)</f>
        <v>#VALUE!</v>
      </c>
      <c r="S234" s="32" t="e">
        <f t="array" ref="S234">IF(OR(AND(COUNTBLANK(Combo_Opponent_Type_1)=1,COUNTBLANK(Combo_Opponent_Type_2)=0),AND(AND(COUNTBLANK(Combo_Opponent_Type_1)=0,COUNTBLANK(Combo_Opponent_Type_2)=0),Combo_Opponent_Type_1=Combo_Opponent_Type_2)),
"Check Types",(
IF($W234&gt;=((1-Game_Weave_Human_Error)*$X234),$W234,$X234)*INDEX(Species_Attack,MATCH($N234,Species_Names,0)))/11)</f>
        <v>#VALUE!</v>
      </c>
      <c r="T234" s="33" t="e">
        <f t="shared" si="7"/>
        <v>#VALUE!</v>
      </c>
      <c r="U234" s="33">
        <f t="array" ref="U2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234,Quick_Names,0))),Type_Species)),0),1)*IF(COUNTBLANK(Combo_Opponent_Type_2)=0,INDEX(Type_Damage_Multipliers,MATCH(Combo_Opponent_Type_2,IF(Type_Move=(INDEX(Quick_Type,MATCH($O234,Quick_Names,0))),Type_Species)),0),1)*(IF(OR(INDEX(Quick_Type,MATCH($O234,Quick_Names,0))=INDEX(Species_Type_1,MATCH($N234,Species_Names,0)),INDEX(Quick_Type,MATCH($O234,Quick_Names,0))=INDEX(Species_Type_2,MATCH($N234,Species_Names,0))),Game_STAB_Multiplier,1)))</f>
        <v>1</v>
      </c>
      <c r="V234" s="33">
        <f t="array" ref="V2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234,Charge_Names,0))),Type_Species)),0),1)*IF(COUNTBLANK(Combo_Opponent_Type_2)=0,INDEX(Type_Damage_Multipliers,MATCH(Combo_Opponent_Type_2,IF(Type_Move=(INDEX(Charge_Type,MATCH($P234,Charge_Names,0))),Type_Species)),0),1)*
IF(OR(INDEX(Charge_Type,MATCH($P234,Charge_Names,0))=INDEX(Species_Type_1,MATCH($N234,Species_Names,0)),INDEX(Charge_Type,MATCH($P234,Charge_Names,0))=INDEX(Species_Type_2,MATCH($N234,Species_Names,0))),Game_STAB_Multiplier,1))</f>
        <v>1.25</v>
      </c>
      <c r="W234" s="33" t="s">
        <v>621</v>
      </c>
      <c r="X234" s="33" t="s">
        <v>738</v>
      </c>
      <c r="Y234" s="32" t="e">
        <f t="array" ref="Y234">((($Z234)*
INDEX(Species_Attack,MATCH($N234,Species_Names,0))*
INDEX(Species_Tankiness,MATCH($N234,Species_Names,0)))/1000)</f>
        <v>#VALUE!</v>
      </c>
      <c r="Z234" s="33" t="s">
        <v>683</v>
      </c>
    </row>
    <row r="235" spans="1:26" ht="14.25" customHeight="1" x14ac:dyDescent="0.2">
      <c r="A235" s="86"/>
      <c r="B235" s="22" t="str">
        <f t="array" ref="B235">CONCATENATE(TEXT($M235,"000"),".",TEXT(INDEX(Quick_Number,MATCH($O235,Quick_Names,0)),"000"),".",TEXT(INDEX(Charge_Number,MATCH($P235,Charge_Names,0)),"000"))</f>
        <v>110.221.070</v>
      </c>
      <c r="C235" s="23" t="e">
        <f t="array" ref="C235">RANK($S235,IF(Combo_Species_Names=$N235,Combo_Gym_Offense),0)</f>
        <v>#VALUE!</v>
      </c>
      <c r="D235" s="24" t="e">
        <f t="array" ref="D235">$S235/MAX(IF(Combo_Species_Names=$N235,Combo_Gym_Offense))</f>
        <v>#VALUE!</v>
      </c>
      <c r="E235" s="23" t="e">
        <f t="array" ref="E235">RANK($Y235,IF(Combo_Species_Names=$N235,Combo_Gym_Defense),0)</f>
        <v>#VALUE!</v>
      </c>
      <c r="F235" s="25" t="e">
        <f t="array" ref="F235">$Y235/MAX(IF(Combo_Species_Names=$N235,Combo_Gym_Defense))</f>
        <v>#VALUE!</v>
      </c>
      <c r="G235" s="23" t="e">
        <f t="array" ref="G235">IF(OR(INDEX(Species_Availability,MATCH($N235,Species_Names,0))="No",INDEX(Species_Evo_Numbers,MATCH($N235,Species_Names,0))&lt;&gt;1),"N/A",RANK($R235,IF(NOT(ISNA(MATCH(Combo_Species_Names,IF(Species_Availability="Yes",IF(Species_Evo_Numbers=1,Species_Names)),0))),Combo_Duel_Ability),0))</f>
        <v>#VALUE!</v>
      </c>
      <c r="H235" s="24" t="e">
        <f t="array" ref="H235">IF(OR(INDEX(Species_Availability,MATCH($N235,Species_Names,0))="No",INDEX(Species_Evo_Numbers,MATCH($N235,Species_Names,0))&lt;&gt;1),"N/A",$R235/MAX(IF(NOT(ISNA(MATCH(Combo_Species_Names,IF(Species_Availability="Yes",IF(Species_Evo_Numbers=1,Species_Names)),0))),Combo_Duel_Ability)))</f>
        <v>#VALUE!</v>
      </c>
      <c r="I235" s="23" t="e">
        <f t="array" ref="I235">IF(OR(INDEX(Species_Availability,MATCH($N235,Species_Names,0))="No",INDEX(Species_Evo_Numbers,MATCH($N235,Species_Names,0))&lt;&gt;1),"N/A",RANK($S235,IF(NOT(ISNA(MATCH(Combo_Species_Names,IF(Species_Availability="Yes",IF(Species_Evo_Numbers=1,Species_Names)),0))),Combo_Gym_Offense),0))</f>
        <v>#VALUE!</v>
      </c>
      <c r="J235" s="24" t="e">
        <f t="array" ref="J235">IF(OR(INDEX(Species_Availability,MATCH($N235,Species_Names,0))="No",INDEX(Species_Evo_Numbers,MATCH($N235,Species_Names,0))&lt;&gt;1),"N/A",$S235/MAX(IF(NOT(ISNA(MATCH(Combo_Species_Names,IF(Species_Availability="Yes",IF(Species_Evo_Numbers=1,Species_Names)),0))),Combo_Gym_Offense)))</f>
        <v>#VALUE!</v>
      </c>
      <c r="K235" s="23" t="e">
        <f t="array" ref="K235">IF(OR(INDEX(Species_Availability,MATCH($N235,Species_Names,0))="No",INDEX(Species_Evo_Numbers,MATCH($N235,Species_Names,0))&lt;&gt;1),"N/A",RANK($Y235,IF(NOT(ISNA(MATCH(Combo_Species_Names,IF(Species_Availability="Yes",IF(Species_Evo_Numbers=1,Species_Names)),0))),Combo_Gym_Defense),0))</f>
        <v>#VALUE!</v>
      </c>
      <c r="L235" s="24" t="e">
        <f t="array" ref="L235">IF(OR(INDEX(Species_Availability,MATCH($N235,Species_Names,0))="No",INDEX(Species_Evo_Numbers,MATCH($N235,Species_Names,0))&lt;&gt;1),"N/A",$Y235/MAX(IF(NOT(ISNA(MATCH(Combo_Species_Names,IF(Species_Availability="Yes",IF(Species_Evo_Numbers=1,Species_Names)),0))),Combo_Gym_Defense)))</f>
        <v>#VALUE!</v>
      </c>
      <c r="M235" s="28">
        <f t="array" ref="M235">INDEX(Species_Pdex_Numbers,MATCH($N235,Species_Names,0))</f>
        <v>110</v>
      </c>
      <c r="N235" s="30" t="s">
        <v>323</v>
      </c>
      <c r="O235" s="31" t="s">
        <v>91</v>
      </c>
      <c r="P235" s="31" t="s">
        <v>234</v>
      </c>
      <c r="Q235" s="17" t="e">
        <f t="shared" si="6"/>
        <v>#VALUE!</v>
      </c>
      <c r="R235" s="32" t="e">
        <f t="array" ref="R235">IF(OR(AND(COUNTBLANK(Combo_Opponent_Type_1)=1,COUNTBLANK(Combo_Opponent_Type_2)=0),AND(AND(COUNTBLANK(Combo_Opponent_Type_1)=0,COUNTBLANK(Combo_Opponent_Type_2)=0),Combo_Opponent_Type_1=Combo_Opponent_Type_2)),
"Check Types",($S235*INDEX(Species_Tankiness,MATCH($N235,Species_Names,0)))/225)</f>
        <v>#VALUE!</v>
      </c>
      <c r="S235" s="32" t="e">
        <f t="array" ref="S235">IF(OR(AND(COUNTBLANK(Combo_Opponent_Type_1)=1,COUNTBLANK(Combo_Opponent_Type_2)=0),AND(AND(COUNTBLANK(Combo_Opponent_Type_1)=0,COUNTBLANK(Combo_Opponent_Type_2)=0),Combo_Opponent_Type_1=Combo_Opponent_Type_2)),
"Check Types",(
IF($W235&gt;=((1-Game_Weave_Human_Error)*$X235),$W235,$X235)*INDEX(Species_Attack,MATCH($N235,Species_Names,0)))/11)</f>
        <v>#VALUE!</v>
      </c>
      <c r="T235" s="33" t="e">
        <f t="shared" si="7"/>
        <v>#VALUE!</v>
      </c>
      <c r="U235" s="33">
        <f t="array" ref="U2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235,Quick_Names,0))),Type_Species)),0),1)*IF(COUNTBLANK(Combo_Opponent_Type_2)=0,INDEX(Type_Damage_Multipliers,MATCH(Combo_Opponent_Type_2,IF(Type_Move=(INDEX(Quick_Type,MATCH($O235,Quick_Names,0))),Type_Species)),0),1)*(IF(OR(INDEX(Quick_Type,MATCH($O235,Quick_Names,0))=INDEX(Species_Type_1,MATCH($N235,Species_Names,0)),INDEX(Quick_Type,MATCH($O235,Quick_Names,0))=INDEX(Species_Type_2,MATCH($N235,Species_Names,0))),Game_STAB_Multiplier,1)))</f>
        <v>1</v>
      </c>
      <c r="V235" s="33">
        <f t="array" ref="V2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235,Charge_Names,0))),Type_Species)),0),1)*IF(COUNTBLANK(Combo_Opponent_Type_2)=0,INDEX(Type_Damage_Multipliers,MATCH(Combo_Opponent_Type_2,IF(Type_Move=(INDEX(Charge_Type,MATCH($P235,Charge_Names,0))),Type_Species)),0),1)*
IF(OR(INDEX(Charge_Type,MATCH($P235,Charge_Names,0))=INDEX(Species_Type_1,MATCH($N235,Species_Names,0)),INDEX(Charge_Type,MATCH($P235,Charge_Names,0))=INDEX(Species_Type_2,MATCH($N235,Species_Names,0))),Game_STAB_Multiplier,1))</f>
        <v>1</v>
      </c>
      <c r="W235" s="33" t="s">
        <v>658</v>
      </c>
      <c r="X235" s="33" t="s">
        <v>598</v>
      </c>
      <c r="Y235" s="32" t="e">
        <f t="array" ref="Y235">((($Z235)*
INDEX(Species_Attack,MATCH($N235,Species_Names,0))*
INDEX(Species_Tankiness,MATCH($N235,Species_Names,0)))/1000)</f>
        <v>#VALUE!</v>
      </c>
      <c r="Z235" s="33" t="s">
        <v>739</v>
      </c>
    </row>
    <row r="236" spans="1:26" ht="14.25" customHeight="1" x14ac:dyDescent="0.2">
      <c r="A236" s="86"/>
      <c r="B236" s="22" t="str">
        <f t="array" ref="B236">CONCATENATE(TEXT($M236,"000"),".",TEXT(INDEX(Quick_Number,MATCH($O236,Quick_Names,0)),"000"),".",TEXT(INDEX(Charge_Number,MATCH($P236,Charge_Names,0)),"000"))</f>
        <v>049.201.108</v>
      </c>
      <c r="C236" s="23" t="e">
        <f t="array" ref="C236">RANK($S236,IF(Combo_Species_Names=$N236,Combo_Gym_Offense),0)</f>
        <v>#VALUE!</v>
      </c>
      <c r="D236" s="24" t="e">
        <f t="array" ref="D236">$S236/MAX(IF(Combo_Species_Names=$N236,Combo_Gym_Offense))</f>
        <v>#VALUE!</v>
      </c>
      <c r="E236" s="23" t="e">
        <f t="array" ref="E236">RANK($Y236,IF(Combo_Species_Names=$N236,Combo_Gym_Defense),0)</f>
        <v>#VALUE!</v>
      </c>
      <c r="F236" s="25" t="e">
        <f t="array" ref="F236">$Y236/MAX(IF(Combo_Species_Names=$N236,Combo_Gym_Defense))</f>
        <v>#VALUE!</v>
      </c>
      <c r="G236" s="23" t="e">
        <f t="array" ref="G236">IF(OR(INDEX(Species_Availability,MATCH($N236,Species_Names,0))="No",INDEX(Species_Evo_Numbers,MATCH($N236,Species_Names,0))&lt;&gt;1),"N/A",RANK($R236,IF(NOT(ISNA(MATCH(Combo_Species_Names,IF(Species_Availability="Yes",IF(Species_Evo_Numbers=1,Species_Names)),0))),Combo_Duel_Ability),0))</f>
        <v>#VALUE!</v>
      </c>
      <c r="H236" s="24" t="e">
        <f t="array" ref="H236">IF(OR(INDEX(Species_Availability,MATCH($N236,Species_Names,0))="No",INDEX(Species_Evo_Numbers,MATCH($N236,Species_Names,0))&lt;&gt;1),"N/A",$R236/MAX(IF(NOT(ISNA(MATCH(Combo_Species_Names,IF(Species_Availability="Yes",IF(Species_Evo_Numbers=1,Species_Names)),0))),Combo_Duel_Ability)))</f>
        <v>#VALUE!</v>
      </c>
      <c r="I236" s="23" t="e">
        <f t="array" ref="I236">IF(OR(INDEX(Species_Availability,MATCH($N236,Species_Names,0))="No",INDEX(Species_Evo_Numbers,MATCH($N236,Species_Names,0))&lt;&gt;1),"N/A",RANK($S236,IF(NOT(ISNA(MATCH(Combo_Species_Names,IF(Species_Availability="Yes",IF(Species_Evo_Numbers=1,Species_Names)),0))),Combo_Gym_Offense),0))</f>
        <v>#VALUE!</v>
      </c>
      <c r="J236" s="24" t="e">
        <f t="array" ref="J236">IF(OR(INDEX(Species_Availability,MATCH($N236,Species_Names,0))="No",INDEX(Species_Evo_Numbers,MATCH($N236,Species_Names,0))&lt;&gt;1),"N/A",$S236/MAX(IF(NOT(ISNA(MATCH(Combo_Species_Names,IF(Species_Availability="Yes",IF(Species_Evo_Numbers=1,Species_Names)),0))),Combo_Gym_Offense)))</f>
        <v>#VALUE!</v>
      </c>
      <c r="K236" s="23" t="e">
        <f t="array" ref="K236">IF(OR(INDEX(Species_Availability,MATCH($N236,Species_Names,0))="No",INDEX(Species_Evo_Numbers,MATCH($N236,Species_Names,0))&lt;&gt;1),"N/A",RANK($Y236,IF(NOT(ISNA(MATCH(Combo_Species_Names,IF(Species_Availability="Yes",IF(Species_Evo_Numbers=1,Species_Names)),0))),Combo_Gym_Defense),0))</f>
        <v>#VALUE!</v>
      </c>
      <c r="L236" s="24" t="e">
        <f t="array" ref="L236">IF(OR(INDEX(Species_Availability,MATCH($N236,Species_Names,0))="No",INDEX(Species_Evo_Numbers,MATCH($N236,Species_Names,0))&lt;&gt;1),"N/A",$Y236/MAX(IF(NOT(ISNA(MATCH(Combo_Species_Names,IF(Species_Availability="Yes",IF(Species_Evo_Numbers=1,Species_Names)),0))),Combo_Gym_Defense)))</f>
        <v>#VALUE!</v>
      </c>
      <c r="M236" s="28">
        <f t="array" ref="M236">INDEX(Species_Pdex_Numbers,MATCH($N236,Species_Names,0))</f>
        <v>49</v>
      </c>
      <c r="N236" s="30" t="s">
        <v>189</v>
      </c>
      <c r="O236" s="31" t="s">
        <v>82</v>
      </c>
      <c r="P236" s="31" t="s">
        <v>58</v>
      </c>
      <c r="Q236" s="17" t="e">
        <f t="shared" si="6"/>
        <v>#VALUE!</v>
      </c>
      <c r="R236" s="32" t="e">
        <f t="array" ref="R236">IF(OR(AND(COUNTBLANK(Combo_Opponent_Type_1)=1,COUNTBLANK(Combo_Opponent_Type_2)=0),AND(AND(COUNTBLANK(Combo_Opponent_Type_1)=0,COUNTBLANK(Combo_Opponent_Type_2)=0),Combo_Opponent_Type_1=Combo_Opponent_Type_2)),
"Check Types",($S236*INDEX(Species_Tankiness,MATCH($N236,Species_Names,0)))/225)</f>
        <v>#VALUE!</v>
      </c>
      <c r="S236" s="32" t="e">
        <f t="array" ref="S236">IF(OR(AND(COUNTBLANK(Combo_Opponent_Type_1)=1,COUNTBLANK(Combo_Opponent_Type_2)=0),AND(AND(COUNTBLANK(Combo_Opponent_Type_1)=0,COUNTBLANK(Combo_Opponent_Type_2)=0),Combo_Opponent_Type_1=Combo_Opponent_Type_2)),
"Check Types",(
IF($W236&gt;=((1-Game_Weave_Human_Error)*$X236),$W236,$X236)*INDEX(Species_Attack,MATCH($N236,Species_Names,0)))/11)</f>
        <v>#VALUE!</v>
      </c>
      <c r="T236" s="33" t="e">
        <f t="shared" si="7"/>
        <v>#VALUE!</v>
      </c>
      <c r="U236" s="33">
        <f t="array" ref="U2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236,Quick_Names,0))),Type_Species)),0),1)*IF(COUNTBLANK(Combo_Opponent_Type_2)=0,INDEX(Type_Damage_Multipliers,MATCH(Combo_Opponent_Type_2,IF(Type_Move=(INDEX(Quick_Type,MATCH($O236,Quick_Names,0))),Type_Species)),0),1)*(IF(OR(INDEX(Quick_Type,MATCH($O236,Quick_Names,0))=INDEX(Species_Type_1,MATCH($N236,Species_Names,0)),INDEX(Quick_Type,MATCH($O236,Quick_Names,0))=INDEX(Species_Type_2,MATCH($N236,Species_Names,0))),Game_STAB_Multiplier,1)))</f>
        <v>1.25</v>
      </c>
      <c r="V236" s="33">
        <f t="array" ref="V2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236,Charge_Names,0))),Type_Species)),0),1)*IF(COUNTBLANK(Combo_Opponent_Type_2)=0,INDEX(Type_Damage_Multipliers,MATCH(Combo_Opponent_Type_2,IF(Type_Move=(INDEX(Charge_Type,MATCH($P236,Charge_Names,0))),Type_Species)),0),1)*
IF(OR(INDEX(Charge_Type,MATCH($P236,Charge_Names,0))=INDEX(Species_Type_1,MATCH($N236,Species_Names,0)),INDEX(Charge_Type,MATCH($P236,Charge_Names,0))=INDEX(Species_Type_2,MATCH($N236,Species_Names,0))),Game_STAB_Multiplier,1))</f>
        <v>1</v>
      </c>
      <c r="W236" s="33" t="s">
        <v>436</v>
      </c>
      <c r="X236" s="33" t="s">
        <v>740</v>
      </c>
      <c r="Y236" s="32" t="e">
        <f t="array" ref="Y236">((($Z236)*
INDEX(Species_Attack,MATCH($N236,Species_Names,0))*
INDEX(Species_Tankiness,MATCH($N236,Species_Names,0)))/1000)</f>
        <v>#VALUE!</v>
      </c>
      <c r="Z236" s="33" t="s">
        <v>741</v>
      </c>
    </row>
    <row r="237" spans="1:26" ht="14.25" customHeight="1" x14ac:dyDescent="0.2">
      <c r="A237" s="86"/>
      <c r="B237" s="22" t="str">
        <f t="array" ref="B237">CONCATENATE(TEXT($M237,"000"),".",TEXT(INDEX(Quick_Number,MATCH($O237,Quick_Names,0)),"000"),".",TEXT(INDEX(Charge_Number,MATCH($P237,Charge_Names,0)),"000"))</f>
        <v>125.205.077</v>
      </c>
      <c r="C237" s="23" t="e">
        <f t="array" ref="C237">RANK($S237,IF(Combo_Species_Names=$N237,Combo_Gym_Offense),0)</f>
        <v>#VALUE!</v>
      </c>
      <c r="D237" s="24" t="e">
        <f t="array" ref="D237">$S237/MAX(IF(Combo_Species_Names=$N237,Combo_Gym_Offense))</f>
        <v>#VALUE!</v>
      </c>
      <c r="E237" s="23" t="e">
        <f t="array" ref="E237">RANK($Y237,IF(Combo_Species_Names=$N237,Combo_Gym_Defense),0)</f>
        <v>#VALUE!</v>
      </c>
      <c r="F237" s="25" t="e">
        <f t="array" ref="F237">$Y237/MAX(IF(Combo_Species_Names=$N237,Combo_Gym_Defense))</f>
        <v>#VALUE!</v>
      </c>
      <c r="G237" s="23" t="e">
        <f t="array" ref="G237">IF(OR(INDEX(Species_Availability,MATCH($N237,Species_Names,0))="No",INDEX(Species_Evo_Numbers,MATCH($N237,Species_Names,0))&lt;&gt;1),"N/A",RANK($R237,IF(NOT(ISNA(MATCH(Combo_Species_Names,IF(Species_Availability="Yes",IF(Species_Evo_Numbers=1,Species_Names)),0))),Combo_Duel_Ability),0))</f>
        <v>#VALUE!</v>
      </c>
      <c r="H237" s="24" t="e">
        <f t="array" ref="H237">IF(OR(INDEX(Species_Availability,MATCH($N237,Species_Names,0))="No",INDEX(Species_Evo_Numbers,MATCH($N237,Species_Names,0))&lt;&gt;1),"N/A",$R237/MAX(IF(NOT(ISNA(MATCH(Combo_Species_Names,IF(Species_Availability="Yes",IF(Species_Evo_Numbers=1,Species_Names)),0))),Combo_Duel_Ability)))</f>
        <v>#VALUE!</v>
      </c>
      <c r="I237" s="23" t="e">
        <f t="array" ref="I237">IF(OR(INDEX(Species_Availability,MATCH($N237,Species_Names,0))="No",INDEX(Species_Evo_Numbers,MATCH($N237,Species_Names,0))&lt;&gt;1),"N/A",RANK($S237,IF(NOT(ISNA(MATCH(Combo_Species_Names,IF(Species_Availability="Yes",IF(Species_Evo_Numbers=1,Species_Names)),0))),Combo_Gym_Offense),0))</f>
        <v>#VALUE!</v>
      </c>
      <c r="J237" s="24" t="e">
        <f t="array" ref="J237">IF(OR(INDEX(Species_Availability,MATCH($N237,Species_Names,0))="No",INDEX(Species_Evo_Numbers,MATCH($N237,Species_Names,0))&lt;&gt;1),"N/A",$S237/MAX(IF(NOT(ISNA(MATCH(Combo_Species_Names,IF(Species_Availability="Yes",IF(Species_Evo_Numbers=1,Species_Names)),0))),Combo_Gym_Offense)))</f>
        <v>#VALUE!</v>
      </c>
      <c r="K237" s="23" t="e">
        <f t="array" ref="K237">IF(OR(INDEX(Species_Availability,MATCH($N237,Species_Names,0))="No",INDEX(Species_Evo_Numbers,MATCH($N237,Species_Names,0))&lt;&gt;1),"N/A",RANK($Y237,IF(NOT(ISNA(MATCH(Combo_Species_Names,IF(Species_Availability="Yes",IF(Species_Evo_Numbers=1,Species_Names)),0))),Combo_Gym_Defense),0))</f>
        <v>#VALUE!</v>
      </c>
      <c r="L237" s="24" t="e">
        <f t="array" ref="L237">IF(OR(INDEX(Species_Availability,MATCH($N237,Species_Names,0))="No",INDEX(Species_Evo_Numbers,MATCH($N237,Species_Names,0))&lt;&gt;1),"N/A",$Y237/MAX(IF(NOT(ISNA(MATCH(Combo_Species_Names,IF(Species_Availability="Yes",IF(Species_Evo_Numbers=1,Species_Names)),0))),Combo_Gym_Defense)))</f>
        <v>#VALUE!</v>
      </c>
      <c r="M237" s="28">
        <f t="array" ref="M237">INDEX(Species_Pdex_Numbers,MATCH($N237,Species_Names,0))</f>
        <v>125</v>
      </c>
      <c r="N237" s="30" t="s">
        <v>342</v>
      </c>
      <c r="O237" s="31" t="s">
        <v>115</v>
      </c>
      <c r="P237" s="31" t="s">
        <v>214</v>
      </c>
      <c r="Q237" s="17" t="e">
        <f t="shared" si="6"/>
        <v>#VALUE!</v>
      </c>
      <c r="R237" s="32" t="e">
        <f t="array" ref="R237">IF(OR(AND(COUNTBLANK(Combo_Opponent_Type_1)=1,COUNTBLANK(Combo_Opponent_Type_2)=0),AND(AND(COUNTBLANK(Combo_Opponent_Type_1)=0,COUNTBLANK(Combo_Opponent_Type_2)=0),Combo_Opponent_Type_1=Combo_Opponent_Type_2)),
"Check Types",($S237*INDEX(Species_Tankiness,MATCH($N237,Species_Names,0)))/225)</f>
        <v>#VALUE!</v>
      </c>
      <c r="S237" s="32" t="e">
        <f t="array" ref="S237">IF(OR(AND(COUNTBLANK(Combo_Opponent_Type_1)=1,COUNTBLANK(Combo_Opponent_Type_2)=0),AND(AND(COUNTBLANK(Combo_Opponent_Type_1)=0,COUNTBLANK(Combo_Opponent_Type_2)=0),Combo_Opponent_Type_1=Combo_Opponent_Type_2)),
"Check Types",(
IF($W237&gt;=((1-Game_Weave_Human_Error)*$X237),$W237,$X237)*INDEX(Species_Attack,MATCH($N237,Species_Names,0)))/11)</f>
        <v>#VALUE!</v>
      </c>
      <c r="T237" s="33" t="e">
        <f t="shared" si="7"/>
        <v>#VALUE!</v>
      </c>
      <c r="U237" s="33">
        <f t="array" ref="U2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237,Quick_Names,0))),Type_Species)),0),1)*IF(COUNTBLANK(Combo_Opponent_Type_2)=0,INDEX(Type_Damage_Multipliers,MATCH(Combo_Opponent_Type_2,IF(Type_Move=(INDEX(Quick_Type,MATCH($O237,Quick_Names,0))),Type_Species)),0),1)*(IF(OR(INDEX(Quick_Type,MATCH($O237,Quick_Names,0))=INDEX(Species_Type_1,MATCH($N237,Species_Names,0)),INDEX(Quick_Type,MATCH($O237,Quick_Names,0))=INDEX(Species_Type_2,MATCH($N237,Species_Names,0))),Game_STAB_Multiplier,1)))</f>
        <v>1.25</v>
      </c>
      <c r="V237" s="33">
        <f t="array" ref="V2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237,Charge_Names,0))),Type_Species)),0),1)*IF(COUNTBLANK(Combo_Opponent_Type_2)=0,INDEX(Type_Damage_Multipliers,MATCH(Combo_Opponent_Type_2,IF(Type_Move=(INDEX(Charge_Type,MATCH($P237,Charge_Names,0))),Type_Species)),0),1)*
IF(OR(INDEX(Charge_Type,MATCH($P237,Charge_Names,0))=INDEX(Species_Type_1,MATCH($N237,Species_Names,0)),INDEX(Charge_Type,MATCH($P237,Charge_Names,0))=INDEX(Species_Type_2,MATCH($N237,Species_Names,0))),Game_STAB_Multiplier,1))</f>
        <v>1.25</v>
      </c>
      <c r="W237" s="33" t="s">
        <v>678</v>
      </c>
      <c r="X237" s="33" t="s">
        <v>742</v>
      </c>
      <c r="Y237" s="32" t="e">
        <f t="array" ref="Y237">((($Z237)*
INDEX(Species_Attack,MATCH($N237,Species_Names,0))*
INDEX(Species_Tankiness,MATCH($N237,Species_Names,0)))/1000)</f>
        <v>#VALUE!</v>
      </c>
      <c r="Z237" s="33" t="s">
        <v>426</v>
      </c>
    </row>
    <row r="238" spans="1:26" ht="14.25" customHeight="1" x14ac:dyDescent="0.2">
      <c r="A238" s="86"/>
      <c r="B238" s="22" t="str">
        <f t="array" ref="B238">CONCATENATE(TEXT($M238,"000"),".",TEXT(INDEX(Quick_Number,MATCH($O238,Quick_Names,0)),"000"),".",TEXT(INDEX(Charge_Number,MATCH($P238,Charge_Names,0)),"000"))</f>
        <v>142.202.074</v>
      </c>
      <c r="C238" s="23" t="e">
        <f t="array" ref="C238">RANK($S238,IF(Combo_Species_Names=$N238,Combo_Gym_Offense),0)</f>
        <v>#VALUE!</v>
      </c>
      <c r="D238" s="24" t="e">
        <f t="array" ref="D238">$S238/MAX(IF(Combo_Species_Names=$N238,Combo_Gym_Offense))</f>
        <v>#VALUE!</v>
      </c>
      <c r="E238" s="23" t="e">
        <f t="array" ref="E238">RANK($Y238,IF(Combo_Species_Names=$N238,Combo_Gym_Defense),0)</f>
        <v>#VALUE!</v>
      </c>
      <c r="F238" s="25" t="e">
        <f t="array" ref="F238">$Y238/MAX(IF(Combo_Species_Names=$N238,Combo_Gym_Defense))</f>
        <v>#VALUE!</v>
      </c>
      <c r="G238" s="23" t="e">
        <f t="array" ref="G238">IF(OR(INDEX(Species_Availability,MATCH($N238,Species_Names,0))="No",INDEX(Species_Evo_Numbers,MATCH($N238,Species_Names,0))&lt;&gt;1),"N/A",RANK($R238,IF(NOT(ISNA(MATCH(Combo_Species_Names,IF(Species_Availability="Yes",IF(Species_Evo_Numbers=1,Species_Names)),0))),Combo_Duel_Ability),0))</f>
        <v>#VALUE!</v>
      </c>
      <c r="H238" s="24" t="e">
        <f t="array" ref="H238">IF(OR(INDEX(Species_Availability,MATCH($N238,Species_Names,0))="No",INDEX(Species_Evo_Numbers,MATCH($N238,Species_Names,0))&lt;&gt;1),"N/A",$R238/MAX(IF(NOT(ISNA(MATCH(Combo_Species_Names,IF(Species_Availability="Yes",IF(Species_Evo_Numbers=1,Species_Names)),0))),Combo_Duel_Ability)))</f>
        <v>#VALUE!</v>
      </c>
      <c r="I238" s="23" t="e">
        <f t="array" ref="I238">IF(OR(INDEX(Species_Availability,MATCH($N238,Species_Names,0))="No",INDEX(Species_Evo_Numbers,MATCH($N238,Species_Names,0))&lt;&gt;1),"N/A",RANK($S238,IF(NOT(ISNA(MATCH(Combo_Species_Names,IF(Species_Availability="Yes",IF(Species_Evo_Numbers=1,Species_Names)),0))),Combo_Gym_Offense),0))</f>
        <v>#VALUE!</v>
      </c>
      <c r="J238" s="24" t="e">
        <f t="array" ref="J238">IF(OR(INDEX(Species_Availability,MATCH($N238,Species_Names,0))="No",INDEX(Species_Evo_Numbers,MATCH($N238,Species_Names,0))&lt;&gt;1),"N/A",$S238/MAX(IF(NOT(ISNA(MATCH(Combo_Species_Names,IF(Species_Availability="Yes",IF(Species_Evo_Numbers=1,Species_Names)),0))),Combo_Gym_Offense)))</f>
        <v>#VALUE!</v>
      </c>
      <c r="K238" s="23" t="e">
        <f t="array" ref="K238">IF(OR(INDEX(Species_Availability,MATCH($N238,Species_Names,0))="No",INDEX(Species_Evo_Numbers,MATCH($N238,Species_Names,0))&lt;&gt;1),"N/A",RANK($Y238,IF(NOT(ISNA(MATCH(Combo_Species_Names,IF(Species_Availability="Yes",IF(Species_Evo_Numbers=1,Species_Names)),0))),Combo_Gym_Defense),0))</f>
        <v>#VALUE!</v>
      </c>
      <c r="L238" s="24" t="e">
        <f t="array" ref="L238">IF(OR(INDEX(Species_Availability,MATCH($N238,Species_Names,0))="No",INDEX(Species_Evo_Numbers,MATCH($N238,Species_Names,0))&lt;&gt;1),"N/A",$Y238/MAX(IF(NOT(ISNA(MATCH(Combo_Species_Names,IF(Species_Availability="Yes",IF(Species_Evo_Numbers=1,Species_Names)),0))),Combo_Gym_Defense)))</f>
        <v>#VALUE!</v>
      </c>
      <c r="M238" s="28">
        <f t="array" ref="M238">INDEX(Species_Pdex_Numbers,MATCH($N238,Species_Names,0))</f>
        <v>142</v>
      </c>
      <c r="N238" s="30" t="s">
        <v>360</v>
      </c>
      <c r="O238" s="31" t="s">
        <v>59</v>
      </c>
      <c r="P238" s="31" t="s">
        <v>228</v>
      </c>
      <c r="Q238" s="17" t="e">
        <f t="shared" si="6"/>
        <v>#VALUE!</v>
      </c>
      <c r="R238" s="32" t="e">
        <f t="array" ref="R238">IF(OR(AND(COUNTBLANK(Combo_Opponent_Type_1)=1,COUNTBLANK(Combo_Opponent_Type_2)=0),AND(AND(COUNTBLANK(Combo_Opponent_Type_1)=0,COUNTBLANK(Combo_Opponent_Type_2)=0),Combo_Opponent_Type_1=Combo_Opponent_Type_2)),
"Check Types",($S238*INDEX(Species_Tankiness,MATCH($N238,Species_Names,0)))/225)</f>
        <v>#VALUE!</v>
      </c>
      <c r="S238" s="32" t="e">
        <f t="array" ref="S238">IF(OR(AND(COUNTBLANK(Combo_Opponent_Type_1)=1,COUNTBLANK(Combo_Opponent_Type_2)=0),AND(AND(COUNTBLANK(Combo_Opponent_Type_1)=0,COUNTBLANK(Combo_Opponent_Type_2)=0),Combo_Opponent_Type_1=Combo_Opponent_Type_2)),
"Check Types",(
IF($W238&gt;=((1-Game_Weave_Human_Error)*$X238),$W238,$X238)*INDEX(Species_Attack,MATCH($N238,Species_Names,0)))/11)</f>
        <v>#VALUE!</v>
      </c>
      <c r="T238" s="33" t="e">
        <f t="shared" si="7"/>
        <v>#VALUE!</v>
      </c>
      <c r="U238" s="33">
        <f t="array" ref="U2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238,Quick_Names,0))),Type_Species)),0),1)*IF(COUNTBLANK(Combo_Opponent_Type_2)=0,INDEX(Type_Damage_Multipliers,MATCH(Combo_Opponent_Type_2,IF(Type_Move=(INDEX(Quick_Type,MATCH($O238,Quick_Names,0))),Type_Species)),0),1)*(IF(OR(INDEX(Quick_Type,MATCH($O238,Quick_Names,0))=INDEX(Species_Type_1,MATCH($N238,Species_Names,0)),INDEX(Quick_Type,MATCH($O238,Quick_Names,0))=INDEX(Species_Type_2,MATCH($N238,Species_Names,0))),Game_STAB_Multiplier,1)))</f>
        <v>1</v>
      </c>
      <c r="V238" s="33">
        <f t="array" ref="V2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238,Charge_Names,0))),Type_Species)),0),1)*IF(COUNTBLANK(Combo_Opponent_Type_2)=0,INDEX(Type_Damage_Multipliers,MATCH(Combo_Opponent_Type_2,IF(Type_Move=(INDEX(Charge_Type,MATCH($P238,Charge_Names,0))),Type_Species)),0),1)*
IF(OR(INDEX(Charge_Type,MATCH($P238,Charge_Names,0))=INDEX(Species_Type_1,MATCH($N238,Species_Names,0)),INDEX(Charge_Type,MATCH($P238,Charge_Names,0))=INDEX(Species_Type_2,MATCH($N238,Species_Names,0))),Game_STAB_Multiplier,1))</f>
        <v>1</v>
      </c>
      <c r="W238" s="33" t="s">
        <v>453</v>
      </c>
      <c r="X238" s="33" t="s">
        <v>694</v>
      </c>
      <c r="Y238" s="32" t="e">
        <f t="array" ref="Y238">((($Z238)*
INDEX(Species_Attack,MATCH($N238,Species_Names,0))*
INDEX(Species_Tankiness,MATCH($N238,Species_Names,0)))/1000)</f>
        <v>#VALUE!</v>
      </c>
      <c r="Z238" s="33" t="s">
        <v>743</v>
      </c>
    </row>
    <row r="239" spans="1:26" ht="14.25" customHeight="1" x14ac:dyDescent="0.2">
      <c r="A239" s="86"/>
      <c r="B239" s="22" t="str">
        <f t="array" ref="B239">CONCATENATE(TEXT($M239,"000"),".",TEXT(INDEX(Quick_Number,MATCH($O239,Quick_Names,0)),"000"),".",TEXT(INDEX(Charge_Number,MATCH($P239,Charge_Names,0)),"000"))</f>
        <v>142.202.062</v>
      </c>
      <c r="C239" s="23" t="e">
        <f t="array" ref="C239">RANK($S239,IF(Combo_Species_Names=$N239,Combo_Gym_Offense),0)</f>
        <v>#VALUE!</v>
      </c>
      <c r="D239" s="24" t="e">
        <f t="array" ref="D239">$S239/MAX(IF(Combo_Species_Names=$N239,Combo_Gym_Offense))</f>
        <v>#VALUE!</v>
      </c>
      <c r="E239" s="23" t="e">
        <f t="array" ref="E239">RANK($Y239,IF(Combo_Species_Names=$N239,Combo_Gym_Defense),0)</f>
        <v>#VALUE!</v>
      </c>
      <c r="F239" s="25" t="e">
        <f t="array" ref="F239">$Y239/MAX(IF(Combo_Species_Names=$N239,Combo_Gym_Defense))</f>
        <v>#VALUE!</v>
      </c>
      <c r="G239" s="23" t="e">
        <f t="array" ref="G239">IF(OR(INDEX(Species_Availability,MATCH($N239,Species_Names,0))="No",INDEX(Species_Evo_Numbers,MATCH($N239,Species_Names,0))&lt;&gt;1),"N/A",RANK($R239,IF(NOT(ISNA(MATCH(Combo_Species_Names,IF(Species_Availability="Yes",IF(Species_Evo_Numbers=1,Species_Names)),0))),Combo_Duel_Ability),0))</f>
        <v>#VALUE!</v>
      </c>
      <c r="H239" s="24" t="e">
        <f t="array" ref="H239">IF(OR(INDEX(Species_Availability,MATCH($N239,Species_Names,0))="No",INDEX(Species_Evo_Numbers,MATCH($N239,Species_Names,0))&lt;&gt;1),"N/A",$R239/MAX(IF(NOT(ISNA(MATCH(Combo_Species_Names,IF(Species_Availability="Yes",IF(Species_Evo_Numbers=1,Species_Names)),0))),Combo_Duel_Ability)))</f>
        <v>#VALUE!</v>
      </c>
      <c r="I239" s="23" t="e">
        <f t="array" ref="I239">IF(OR(INDEX(Species_Availability,MATCH($N239,Species_Names,0))="No",INDEX(Species_Evo_Numbers,MATCH($N239,Species_Names,0))&lt;&gt;1),"N/A",RANK($S239,IF(NOT(ISNA(MATCH(Combo_Species_Names,IF(Species_Availability="Yes",IF(Species_Evo_Numbers=1,Species_Names)),0))),Combo_Gym_Offense),0))</f>
        <v>#VALUE!</v>
      </c>
      <c r="J239" s="24" t="e">
        <f t="array" ref="J239">IF(OR(INDEX(Species_Availability,MATCH($N239,Species_Names,0))="No",INDEX(Species_Evo_Numbers,MATCH($N239,Species_Names,0))&lt;&gt;1),"N/A",$S239/MAX(IF(NOT(ISNA(MATCH(Combo_Species_Names,IF(Species_Availability="Yes",IF(Species_Evo_Numbers=1,Species_Names)),0))),Combo_Gym_Offense)))</f>
        <v>#VALUE!</v>
      </c>
      <c r="K239" s="23" t="e">
        <f t="array" ref="K239">IF(OR(INDEX(Species_Availability,MATCH($N239,Species_Names,0))="No",INDEX(Species_Evo_Numbers,MATCH($N239,Species_Names,0))&lt;&gt;1),"N/A",RANK($Y239,IF(NOT(ISNA(MATCH(Combo_Species_Names,IF(Species_Availability="Yes",IF(Species_Evo_Numbers=1,Species_Names)),0))),Combo_Gym_Defense),0))</f>
        <v>#VALUE!</v>
      </c>
      <c r="L239" s="24" t="e">
        <f t="array" ref="L239">IF(OR(INDEX(Species_Availability,MATCH($N239,Species_Names,0))="No",INDEX(Species_Evo_Numbers,MATCH($N239,Species_Names,0))&lt;&gt;1),"N/A",$Y239/MAX(IF(NOT(ISNA(MATCH(Combo_Species_Names,IF(Species_Availability="Yes",IF(Species_Evo_Numbers=1,Species_Names)),0))),Combo_Gym_Defense)))</f>
        <v>#VALUE!</v>
      </c>
      <c r="M239" s="28">
        <f t="array" ref="M239">INDEX(Species_Pdex_Numbers,MATCH($N239,Species_Names,0))</f>
        <v>142</v>
      </c>
      <c r="N239" s="30" t="s">
        <v>360</v>
      </c>
      <c r="O239" s="31" t="s">
        <v>59</v>
      </c>
      <c r="P239" s="31" t="s">
        <v>297</v>
      </c>
      <c r="Q239" s="17" t="e">
        <f t="shared" si="6"/>
        <v>#VALUE!</v>
      </c>
      <c r="R239" s="32" t="e">
        <f t="array" ref="R239">IF(OR(AND(COUNTBLANK(Combo_Opponent_Type_1)=1,COUNTBLANK(Combo_Opponent_Type_2)=0),AND(AND(COUNTBLANK(Combo_Opponent_Type_1)=0,COUNTBLANK(Combo_Opponent_Type_2)=0),Combo_Opponent_Type_1=Combo_Opponent_Type_2)),
"Check Types",($S239*INDEX(Species_Tankiness,MATCH($N239,Species_Names,0)))/225)</f>
        <v>#VALUE!</v>
      </c>
      <c r="S239" s="32" t="e">
        <f t="array" ref="S239">IF(OR(AND(COUNTBLANK(Combo_Opponent_Type_1)=1,COUNTBLANK(Combo_Opponent_Type_2)=0),AND(AND(COUNTBLANK(Combo_Opponent_Type_1)=0,COUNTBLANK(Combo_Opponent_Type_2)=0),Combo_Opponent_Type_1=Combo_Opponent_Type_2)),
"Check Types",(
IF($W239&gt;=((1-Game_Weave_Human_Error)*$X239),$W239,$X239)*INDEX(Species_Attack,MATCH($N239,Species_Names,0)))/11)</f>
        <v>#VALUE!</v>
      </c>
      <c r="T239" s="33" t="e">
        <f t="shared" si="7"/>
        <v>#VALUE!</v>
      </c>
      <c r="U239" s="33">
        <f t="array" ref="U2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239,Quick_Names,0))),Type_Species)),0),1)*IF(COUNTBLANK(Combo_Opponent_Type_2)=0,INDEX(Type_Damage_Multipliers,MATCH(Combo_Opponent_Type_2,IF(Type_Move=(INDEX(Quick_Type,MATCH($O239,Quick_Names,0))),Type_Species)),0),1)*(IF(OR(INDEX(Quick_Type,MATCH($O239,Quick_Names,0))=INDEX(Species_Type_1,MATCH($N239,Species_Names,0)),INDEX(Quick_Type,MATCH($O239,Quick_Names,0))=INDEX(Species_Type_2,MATCH($N239,Species_Names,0))),Game_STAB_Multiplier,1)))</f>
        <v>1</v>
      </c>
      <c r="V239" s="33">
        <f t="array" ref="V2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239,Charge_Names,0))),Type_Species)),0),1)*IF(COUNTBLANK(Combo_Opponent_Type_2)=0,INDEX(Type_Damage_Multipliers,MATCH(Combo_Opponent_Type_2,IF(Type_Move=(INDEX(Charge_Type,MATCH($P239,Charge_Names,0))),Type_Species)),0),1)*
IF(OR(INDEX(Charge_Type,MATCH($P239,Charge_Names,0))=INDEX(Species_Type_1,MATCH($N239,Species_Names,0)),INDEX(Charge_Type,MATCH($P239,Charge_Names,0))=INDEX(Species_Type_2,MATCH($N239,Species_Names,0))),Game_STAB_Multiplier,1))</f>
        <v>1.25</v>
      </c>
      <c r="W239" s="33" t="s">
        <v>453</v>
      </c>
      <c r="X239" s="33" t="s">
        <v>667</v>
      </c>
      <c r="Y239" s="32" t="e">
        <f t="array" ref="Y239">((($Z239)*
INDEX(Species_Attack,MATCH($N239,Species_Names,0))*
INDEX(Species_Tankiness,MATCH($N239,Species_Names,0)))/1000)</f>
        <v>#VALUE!</v>
      </c>
      <c r="Z239" s="33" t="s">
        <v>411</v>
      </c>
    </row>
    <row r="240" spans="1:26" ht="14.25" customHeight="1" x14ac:dyDescent="0.2">
      <c r="A240" s="86"/>
      <c r="B240" s="22" t="str">
        <f t="array" ref="B240">CONCATENATE(TEXT($M240,"000"),".",TEXT(INDEX(Quick_Number,MATCH($O240,Quick_Names,0)),"000"),".",TEXT(INDEX(Charge_Number,MATCH($P240,Charge_Names,0)),"000"))</f>
        <v>128.234.031</v>
      </c>
      <c r="C240" s="23" t="e">
        <f t="array" ref="C240">RANK($S240,IF(Combo_Species_Names=$N240,Combo_Gym_Offense),0)</f>
        <v>#VALUE!</v>
      </c>
      <c r="D240" s="24" t="e">
        <f t="array" ref="D240">$S240/MAX(IF(Combo_Species_Names=$N240,Combo_Gym_Offense))</f>
        <v>#VALUE!</v>
      </c>
      <c r="E240" s="23" t="e">
        <f t="array" ref="E240">RANK($Y240,IF(Combo_Species_Names=$N240,Combo_Gym_Defense),0)</f>
        <v>#VALUE!</v>
      </c>
      <c r="F240" s="25" t="e">
        <f t="array" ref="F240">$Y240/MAX(IF(Combo_Species_Names=$N240,Combo_Gym_Defense))</f>
        <v>#VALUE!</v>
      </c>
      <c r="G240" s="23" t="e">
        <f t="array" ref="G240">IF(OR(INDEX(Species_Availability,MATCH($N240,Species_Names,0))="No",INDEX(Species_Evo_Numbers,MATCH($N240,Species_Names,0))&lt;&gt;1),"N/A",RANK($R240,IF(NOT(ISNA(MATCH(Combo_Species_Names,IF(Species_Availability="Yes",IF(Species_Evo_Numbers=1,Species_Names)),0))),Combo_Duel_Ability),0))</f>
        <v>#VALUE!</v>
      </c>
      <c r="H240" s="24" t="e">
        <f t="array" ref="H240">IF(OR(INDEX(Species_Availability,MATCH($N240,Species_Names,0))="No",INDEX(Species_Evo_Numbers,MATCH($N240,Species_Names,0))&lt;&gt;1),"N/A",$R240/MAX(IF(NOT(ISNA(MATCH(Combo_Species_Names,IF(Species_Availability="Yes",IF(Species_Evo_Numbers=1,Species_Names)),0))),Combo_Duel_Ability)))</f>
        <v>#VALUE!</v>
      </c>
      <c r="I240" s="23" t="e">
        <f t="array" ref="I240">IF(OR(INDEX(Species_Availability,MATCH($N240,Species_Names,0))="No",INDEX(Species_Evo_Numbers,MATCH($N240,Species_Names,0))&lt;&gt;1),"N/A",RANK($S240,IF(NOT(ISNA(MATCH(Combo_Species_Names,IF(Species_Availability="Yes",IF(Species_Evo_Numbers=1,Species_Names)),0))),Combo_Gym_Offense),0))</f>
        <v>#VALUE!</v>
      </c>
      <c r="J240" s="24" t="e">
        <f t="array" ref="J240">IF(OR(INDEX(Species_Availability,MATCH($N240,Species_Names,0))="No",INDEX(Species_Evo_Numbers,MATCH($N240,Species_Names,0))&lt;&gt;1),"N/A",$S240/MAX(IF(NOT(ISNA(MATCH(Combo_Species_Names,IF(Species_Availability="Yes",IF(Species_Evo_Numbers=1,Species_Names)),0))),Combo_Gym_Offense)))</f>
        <v>#VALUE!</v>
      </c>
      <c r="K240" s="23" t="e">
        <f t="array" ref="K240">IF(OR(INDEX(Species_Availability,MATCH($N240,Species_Names,0))="No",INDEX(Species_Evo_Numbers,MATCH($N240,Species_Names,0))&lt;&gt;1),"N/A",RANK($Y240,IF(NOT(ISNA(MATCH(Combo_Species_Names,IF(Species_Availability="Yes",IF(Species_Evo_Numbers=1,Species_Names)),0))),Combo_Gym_Defense),0))</f>
        <v>#VALUE!</v>
      </c>
      <c r="L240" s="24" t="e">
        <f t="array" ref="L240">IF(OR(INDEX(Species_Availability,MATCH($N240,Species_Names,0))="No",INDEX(Species_Evo_Numbers,MATCH($N240,Species_Names,0))&lt;&gt;1),"N/A",$Y240/MAX(IF(NOT(ISNA(MATCH(Combo_Species_Names,IF(Species_Availability="Yes",IF(Species_Evo_Numbers=1,Species_Names)),0))),Combo_Gym_Defense)))</f>
        <v>#VALUE!</v>
      </c>
      <c r="M240" s="28">
        <f t="array" ref="M240">INDEX(Species_Pdex_Numbers,MATCH($N240,Species_Names,0))</f>
        <v>128</v>
      </c>
      <c r="N240" s="30" t="s">
        <v>345</v>
      </c>
      <c r="O240" s="31" t="s">
        <v>79</v>
      </c>
      <c r="P240" s="31" t="s">
        <v>169</v>
      </c>
      <c r="Q240" s="17" t="e">
        <f t="shared" si="6"/>
        <v>#VALUE!</v>
      </c>
      <c r="R240" s="32" t="e">
        <f t="array" ref="R240">IF(OR(AND(COUNTBLANK(Combo_Opponent_Type_1)=1,COUNTBLANK(Combo_Opponent_Type_2)=0),AND(AND(COUNTBLANK(Combo_Opponent_Type_1)=0,COUNTBLANK(Combo_Opponent_Type_2)=0),Combo_Opponent_Type_1=Combo_Opponent_Type_2)),
"Check Types",($S240*INDEX(Species_Tankiness,MATCH($N240,Species_Names,0)))/225)</f>
        <v>#VALUE!</v>
      </c>
      <c r="S240" s="32" t="e">
        <f t="array" ref="S240">IF(OR(AND(COUNTBLANK(Combo_Opponent_Type_1)=1,COUNTBLANK(Combo_Opponent_Type_2)=0),AND(AND(COUNTBLANK(Combo_Opponent_Type_1)=0,COUNTBLANK(Combo_Opponent_Type_2)=0),Combo_Opponent_Type_1=Combo_Opponent_Type_2)),
"Check Types",(
IF($W240&gt;=((1-Game_Weave_Human_Error)*$X240),$W240,$X240)*INDEX(Species_Attack,MATCH($N240,Species_Names,0)))/11)</f>
        <v>#VALUE!</v>
      </c>
      <c r="T240" s="33" t="e">
        <f t="shared" si="7"/>
        <v>#VALUE!</v>
      </c>
      <c r="U240" s="33">
        <f t="array" ref="U2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240,Quick_Names,0))),Type_Species)),0),1)*IF(COUNTBLANK(Combo_Opponent_Type_2)=0,INDEX(Type_Damage_Multipliers,MATCH(Combo_Opponent_Type_2,IF(Type_Move=(INDEX(Quick_Type,MATCH($O240,Quick_Names,0))),Type_Species)),0),1)*(IF(OR(INDEX(Quick_Type,MATCH($O240,Quick_Names,0))=INDEX(Species_Type_1,MATCH($N240,Species_Names,0)),INDEX(Quick_Type,MATCH($O240,Quick_Names,0))=INDEX(Species_Type_2,MATCH($N240,Species_Names,0))),Game_STAB_Multiplier,1)))</f>
        <v>1</v>
      </c>
      <c r="V240" s="33">
        <f t="array" ref="V2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240,Charge_Names,0))),Type_Species)),0),1)*IF(COUNTBLANK(Combo_Opponent_Type_2)=0,INDEX(Type_Damage_Multipliers,MATCH(Combo_Opponent_Type_2,IF(Type_Move=(INDEX(Charge_Type,MATCH($P240,Charge_Names,0))),Type_Species)),0),1)*
IF(OR(INDEX(Charge_Type,MATCH($P240,Charge_Names,0))=INDEX(Species_Type_1,MATCH($N240,Species_Names,0)),INDEX(Charge_Type,MATCH($P240,Charge_Names,0))=INDEX(Species_Type_2,MATCH($N240,Species_Names,0))),Game_STAB_Multiplier,1))</f>
        <v>1</v>
      </c>
      <c r="W240" s="33" t="s">
        <v>419</v>
      </c>
      <c r="X240" s="33" t="s">
        <v>437</v>
      </c>
      <c r="Y240" s="32" t="e">
        <f t="array" ref="Y240">((($Z240)*
INDEX(Species_Attack,MATCH($N240,Species_Names,0))*
INDEX(Species_Tankiness,MATCH($N240,Species_Names,0)))/1000)</f>
        <v>#VALUE!</v>
      </c>
      <c r="Z240" s="33" t="s">
        <v>438</v>
      </c>
    </row>
    <row r="241" spans="1:26" ht="14.25" customHeight="1" x14ac:dyDescent="0.2">
      <c r="A241" s="86"/>
      <c r="B241" s="22" t="str">
        <f t="array" ref="B241">CONCATENATE(TEXT($M241,"000"),".",TEXT(INDEX(Quick_Number,MATCH($O241,Quick_Names,0)),"000"),".",TEXT(INDEX(Charge_Number,MATCH($P241,Charge_Names,0)),"000"))</f>
        <v>119.224.046</v>
      </c>
      <c r="C241" s="23" t="e">
        <f t="array" ref="C241">RANK($S241,IF(Combo_Species_Names=$N241,Combo_Gym_Offense),0)</f>
        <v>#VALUE!</v>
      </c>
      <c r="D241" s="24" t="e">
        <f t="array" ref="D241">$S241/MAX(IF(Combo_Species_Names=$N241,Combo_Gym_Offense))</f>
        <v>#VALUE!</v>
      </c>
      <c r="E241" s="23" t="e">
        <f t="array" ref="E241">RANK($Y241,IF(Combo_Species_Names=$N241,Combo_Gym_Defense),0)</f>
        <v>#VALUE!</v>
      </c>
      <c r="F241" s="25" t="e">
        <f t="array" ref="F241">$Y241/MAX(IF(Combo_Species_Names=$N241,Combo_Gym_Defense))</f>
        <v>#VALUE!</v>
      </c>
      <c r="G241" s="23" t="e">
        <f t="array" ref="G241">IF(OR(INDEX(Species_Availability,MATCH($N241,Species_Names,0))="No",INDEX(Species_Evo_Numbers,MATCH($N241,Species_Names,0))&lt;&gt;1),"N/A",RANK($R241,IF(NOT(ISNA(MATCH(Combo_Species_Names,IF(Species_Availability="Yes",IF(Species_Evo_Numbers=1,Species_Names)),0))),Combo_Duel_Ability),0))</f>
        <v>#VALUE!</v>
      </c>
      <c r="H241" s="24" t="e">
        <f t="array" ref="H241">IF(OR(INDEX(Species_Availability,MATCH($N241,Species_Names,0))="No",INDEX(Species_Evo_Numbers,MATCH($N241,Species_Names,0))&lt;&gt;1),"N/A",$R241/MAX(IF(NOT(ISNA(MATCH(Combo_Species_Names,IF(Species_Availability="Yes",IF(Species_Evo_Numbers=1,Species_Names)),0))),Combo_Duel_Ability)))</f>
        <v>#VALUE!</v>
      </c>
      <c r="I241" s="23" t="e">
        <f t="array" ref="I241">IF(OR(INDEX(Species_Availability,MATCH($N241,Species_Names,0))="No",INDEX(Species_Evo_Numbers,MATCH($N241,Species_Names,0))&lt;&gt;1),"N/A",RANK($S241,IF(NOT(ISNA(MATCH(Combo_Species_Names,IF(Species_Availability="Yes",IF(Species_Evo_Numbers=1,Species_Names)),0))),Combo_Gym_Offense),0))</f>
        <v>#VALUE!</v>
      </c>
      <c r="J241" s="24" t="e">
        <f t="array" ref="J241">IF(OR(INDEX(Species_Availability,MATCH($N241,Species_Names,0))="No",INDEX(Species_Evo_Numbers,MATCH($N241,Species_Names,0))&lt;&gt;1),"N/A",$S241/MAX(IF(NOT(ISNA(MATCH(Combo_Species_Names,IF(Species_Availability="Yes",IF(Species_Evo_Numbers=1,Species_Names)),0))),Combo_Gym_Offense)))</f>
        <v>#VALUE!</v>
      </c>
      <c r="K241" s="23" t="e">
        <f t="array" ref="K241">IF(OR(INDEX(Species_Availability,MATCH($N241,Species_Names,0))="No",INDEX(Species_Evo_Numbers,MATCH($N241,Species_Names,0))&lt;&gt;1),"N/A",RANK($Y241,IF(NOT(ISNA(MATCH(Combo_Species_Names,IF(Species_Availability="Yes",IF(Species_Evo_Numbers=1,Species_Names)),0))),Combo_Gym_Defense),0))</f>
        <v>#VALUE!</v>
      </c>
      <c r="L241" s="24" t="e">
        <f t="array" ref="L241">IF(OR(INDEX(Species_Availability,MATCH($N241,Species_Names,0))="No",INDEX(Species_Evo_Numbers,MATCH($N241,Species_Names,0))&lt;&gt;1),"N/A",$Y241/MAX(IF(NOT(ISNA(MATCH(Combo_Species_Names,IF(Species_Availability="Yes",IF(Species_Evo_Numbers=1,Species_Names)),0))),Combo_Gym_Defense)))</f>
        <v>#VALUE!</v>
      </c>
      <c r="M241" s="28">
        <f t="array" ref="M241">INDEX(Species_Pdex_Numbers,MATCH($N241,Species_Names,0))</f>
        <v>119</v>
      </c>
      <c r="N241" s="30" t="s">
        <v>332</v>
      </c>
      <c r="O241" s="31" t="s">
        <v>77</v>
      </c>
      <c r="P241" s="31" t="s">
        <v>220</v>
      </c>
      <c r="Q241" s="17" t="e">
        <f t="shared" si="6"/>
        <v>#VALUE!</v>
      </c>
      <c r="R241" s="32" t="e">
        <f t="array" ref="R241">IF(OR(AND(COUNTBLANK(Combo_Opponent_Type_1)=1,COUNTBLANK(Combo_Opponent_Type_2)=0),AND(AND(COUNTBLANK(Combo_Opponent_Type_1)=0,COUNTBLANK(Combo_Opponent_Type_2)=0),Combo_Opponent_Type_1=Combo_Opponent_Type_2)),
"Check Types",($S241*INDEX(Species_Tankiness,MATCH($N241,Species_Names,0)))/225)</f>
        <v>#VALUE!</v>
      </c>
      <c r="S241" s="32" t="e">
        <f t="array" ref="S241">IF(OR(AND(COUNTBLANK(Combo_Opponent_Type_1)=1,COUNTBLANK(Combo_Opponent_Type_2)=0),AND(AND(COUNTBLANK(Combo_Opponent_Type_1)=0,COUNTBLANK(Combo_Opponent_Type_2)=0),Combo_Opponent_Type_1=Combo_Opponent_Type_2)),
"Check Types",(
IF($W241&gt;=((1-Game_Weave_Human_Error)*$X241),$W241,$X241)*INDEX(Species_Attack,MATCH($N241,Species_Names,0)))/11)</f>
        <v>#VALUE!</v>
      </c>
      <c r="T241" s="33" t="e">
        <f t="shared" si="7"/>
        <v>#VALUE!</v>
      </c>
      <c r="U241" s="33">
        <f t="array" ref="U2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241,Quick_Names,0))),Type_Species)),0),1)*IF(COUNTBLANK(Combo_Opponent_Type_2)=0,INDEX(Type_Damage_Multipliers,MATCH(Combo_Opponent_Type_2,IF(Type_Move=(INDEX(Quick_Type,MATCH($O241,Quick_Names,0))),Type_Species)),0),1)*(IF(OR(INDEX(Quick_Type,MATCH($O241,Quick_Names,0))=INDEX(Species_Type_1,MATCH($N241,Species_Names,0)),INDEX(Quick_Type,MATCH($O241,Quick_Names,0))=INDEX(Species_Type_2,MATCH($N241,Species_Names,0))),Game_STAB_Multiplier,1)))</f>
        <v>1</v>
      </c>
      <c r="V241" s="33">
        <f t="array" ref="V2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241,Charge_Names,0))),Type_Species)),0),1)*IF(COUNTBLANK(Combo_Opponent_Type_2)=0,INDEX(Type_Damage_Multipliers,MATCH(Combo_Opponent_Type_2,IF(Type_Move=(INDEX(Charge_Type,MATCH($P241,Charge_Names,0))),Type_Species)),0),1)*
IF(OR(INDEX(Charge_Type,MATCH($P241,Charge_Names,0))=INDEX(Species_Type_1,MATCH($N241,Species_Names,0)),INDEX(Charge_Type,MATCH($P241,Charge_Names,0))=INDEX(Species_Type_2,MATCH($N241,Species_Names,0))),Game_STAB_Multiplier,1))</f>
        <v>1</v>
      </c>
      <c r="W241" s="33" t="s">
        <v>419</v>
      </c>
      <c r="X241" s="33" t="s">
        <v>501</v>
      </c>
      <c r="Y241" s="32" t="e">
        <f t="array" ref="Y241">((($Z241)*
INDEX(Species_Attack,MATCH($N241,Species_Names,0))*
INDEX(Species_Tankiness,MATCH($N241,Species_Names,0)))/1000)</f>
        <v>#VALUE!</v>
      </c>
      <c r="Z241" s="33" t="s">
        <v>744</v>
      </c>
    </row>
    <row r="242" spans="1:26" ht="14.25" customHeight="1" x14ac:dyDescent="0.2">
      <c r="A242" s="86"/>
      <c r="B242" s="22" t="str">
        <f t="array" ref="B242">CONCATENATE(TEXT($M242,"000"),".",TEXT(INDEX(Quick_Number,MATCH($O242,Quick_Names,0)),"000"),".",TEXT(INDEX(Charge_Number,MATCH($P242,Charge_Names,0)),"000"))</f>
        <v>125.207.079</v>
      </c>
      <c r="C242" s="23" t="e">
        <f t="array" ref="C242">RANK($S242,IF(Combo_Species_Names=$N242,Combo_Gym_Offense),0)</f>
        <v>#VALUE!</v>
      </c>
      <c r="D242" s="24" t="e">
        <f t="array" ref="D242">$S242/MAX(IF(Combo_Species_Names=$N242,Combo_Gym_Offense))</f>
        <v>#VALUE!</v>
      </c>
      <c r="E242" s="23" t="e">
        <f t="array" ref="E242">RANK($Y242,IF(Combo_Species_Names=$N242,Combo_Gym_Defense),0)</f>
        <v>#VALUE!</v>
      </c>
      <c r="F242" s="25" t="e">
        <f t="array" ref="F242">$Y242/MAX(IF(Combo_Species_Names=$N242,Combo_Gym_Defense))</f>
        <v>#VALUE!</v>
      </c>
      <c r="G242" s="23" t="e">
        <f t="array" ref="G242">IF(OR(INDEX(Species_Availability,MATCH($N242,Species_Names,0))="No",INDEX(Species_Evo_Numbers,MATCH($N242,Species_Names,0))&lt;&gt;1),"N/A",RANK($R242,IF(NOT(ISNA(MATCH(Combo_Species_Names,IF(Species_Availability="Yes",IF(Species_Evo_Numbers=1,Species_Names)),0))),Combo_Duel_Ability),0))</f>
        <v>#VALUE!</v>
      </c>
      <c r="H242" s="24" t="e">
        <f t="array" ref="H242">IF(OR(INDEX(Species_Availability,MATCH($N242,Species_Names,0))="No",INDEX(Species_Evo_Numbers,MATCH($N242,Species_Names,0))&lt;&gt;1),"N/A",$R242/MAX(IF(NOT(ISNA(MATCH(Combo_Species_Names,IF(Species_Availability="Yes",IF(Species_Evo_Numbers=1,Species_Names)),0))),Combo_Duel_Ability)))</f>
        <v>#VALUE!</v>
      </c>
      <c r="I242" s="23" t="e">
        <f t="array" ref="I242">IF(OR(INDEX(Species_Availability,MATCH($N242,Species_Names,0))="No",INDEX(Species_Evo_Numbers,MATCH($N242,Species_Names,0))&lt;&gt;1),"N/A",RANK($S242,IF(NOT(ISNA(MATCH(Combo_Species_Names,IF(Species_Availability="Yes",IF(Species_Evo_Numbers=1,Species_Names)),0))),Combo_Gym_Offense),0))</f>
        <v>#VALUE!</v>
      </c>
      <c r="J242" s="24" t="e">
        <f t="array" ref="J242">IF(OR(INDEX(Species_Availability,MATCH($N242,Species_Names,0))="No",INDEX(Species_Evo_Numbers,MATCH($N242,Species_Names,0))&lt;&gt;1),"N/A",$S242/MAX(IF(NOT(ISNA(MATCH(Combo_Species_Names,IF(Species_Availability="Yes",IF(Species_Evo_Numbers=1,Species_Names)),0))),Combo_Gym_Offense)))</f>
        <v>#VALUE!</v>
      </c>
      <c r="K242" s="23" t="e">
        <f t="array" ref="K242">IF(OR(INDEX(Species_Availability,MATCH($N242,Species_Names,0))="No",INDEX(Species_Evo_Numbers,MATCH($N242,Species_Names,0))&lt;&gt;1),"N/A",RANK($Y242,IF(NOT(ISNA(MATCH(Combo_Species_Names,IF(Species_Availability="Yes",IF(Species_Evo_Numbers=1,Species_Names)),0))),Combo_Gym_Defense),0))</f>
        <v>#VALUE!</v>
      </c>
      <c r="L242" s="24" t="e">
        <f t="array" ref="L242">IF(OR(INDEX(Species_Availability,MATCH($N242,Species_Names,0))="No",INDEX(Species_Evo_Numbers,MATCH($N242,Species_Names,0))&lt;&gt;1),"N/A",$Y242/MAX(IF(NOT(ISNA(MATCH(Combo_Species_Names,IF(Species_Availability="Yes",IF(Species_Evo_Numbers=1,Species_Names)),0))),Combo_Gym_Defense)))</f>
        <v>#VALUE!</v>
      </c>
      <c r="M242" s="28">
        <f t="array" ref="M242">INDEX(Species_Pdex_Numbers,MATCH($N242,Species_Names,0))</f>
        <v>125</v>
      </c>
      <c r="N242" s="30" t="s">
        <v>342</v>
      </c>
      <c r="O242" s="31" t="s">
        <v>117</v>
      </c>
      <c r="P242" s="31" t="s">
        <v>190</v>
      </c>
      <c r="Q242" s="17" t="e">
        <f t="shared" si="6"/>
        <v>#VALUE!</v>
      </c>
      <c r="R242" s="32" t="e">
        <f t="array" ref="R242">IF(OR(AND(COUNTBLANK(Combo_Opponent_Type_1)=1,COUNTBLANK(Combo_Opponent_Type_2)=0),AND(AND(COUNTBLANK(Combo_Opponent_Type_1)=0,COUNTBLANK(Combo_Opponent_Type_2)=0),Combo_Opponent_Type_1=Combo_Opponent_Type_2)),
"Check Types",($S242*INDEX(Species_Tankiness,MATCH($N242,Species_Names,0)))/225)</f>
        <v>#VALUE!</v>
      </c>
      <c r="S242" s="32" t="e">
        <f t="array" ref="S242">IF(OR(AND(COUNTBLANK(Combo_Opponent_Type_1)=1,COUNTBLANK(Combo_Opponent_Type_2)=0),AND(AND(COUNTBLANK(Combo_Opponent_Type_1)=0,COUNTBLANK(Combo_Opponent_Type_2)=0),Combo_Opponent_Type_1=Combo_Opponent_Type_2)),
"Check Types",(
IF($W242&gt;=((1-Game_Weave_Human_Error)*$X242),$W242,$X242)*INDEX(Species_Attack,MATCH($N242,Species_Names,0)))/11)</f>
        <v>#VALUE!</v>
      </c>
      <c r="T242" s="33" t="e">
        <f t="shared" si="7"/>
        <v>#VALUE!</v>
      </c>
      <c r="U242" s="33">
        <f t="array" ref="U2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242,Quick_Names,0))),Type_Species)),0),1)*IF(COUNTBLANK(Combo_Opponent_Type_2)=0,INDEX(Type_Damage_Multipliers,MATCH(Combo_Opponent_Type_2,IF(Type_Move=(INDEX(Quick_Type,MATCH($O242,Quick_Names,0))),Type_Species)),0),1)*(IF(OR(INDEX(Quick_Type,MATCH($O242,Quick_Names,0))=INDEX(Species_Type_1,MATCH($N242,Species_Names,0)),INDEX(Quick_Type,MATCH($O242,Quick_Names,0))=INDEX(Species_Type_2,MATCH($N242,Species_Names,0))),Game_STAB_Multiplier,1)))</f>
        <v>1</v>
      </c>
      <c r="V242" s="33">
        <f t="array" ref="V2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242,Charge_Names,0))),Type_Species)),0),1)*IF(COUNTBLANK(Combo_Opponent_Type_2)=0,INDEX(Type_Damage_Multipliers,MATCH(Combo_Opponent_Type_2,IF(Type_Move=(INDEX(Charge_Type,MATCH($P242,Charge_Names,0))),Type_Species)),0),1)*
IF(OR(INDEX(Charge_Type,MATCH($P242,Charge_Names,0))=INDEX(Species_Type_1,MATCH($N242,Species_Names,0)),INDEX(Charge_Type,MATCH($P242,Charge_Names,0))=INDEX(Species_Type_2,MATCH($N242,Species_Names,0))),Game_STAB_Multiplier,1))</f>
        <v>1.25</v>
      </c>
      <c r="W242" s="33" t="s">
        <v>621</v>
      </c>
      <c r="X242" s="33" t="s">
        <v>745</v>
      </c>
      <c r="Y242" s="32" t="e">
        <f t="array" ref="Y242">((($Z242)*
INDEX(Species_Attack,MATCH($N242,Species_Names,0))*
INDEX(Species_Tankiness,MATCH($N242,Species_Names,0)))/1000)</f>
        <v>#VALUE!</v>
      </c>
      <c r="Z242" s="33" t="s">
        <v>746</v>
      </c>
    </row>
    <row r="243" spans="1:26" ht="14.25" customHeight="1" x14ac:dyDescent="0.2">
      <c r="A243" s="86"/>
      <c r="B243" s="22" t="str">
        <f t="array" ref="B243">CONCATENATE(TEXT($M243,"000"),".",TEXT(INDEX(Quick_Number,MATCH($O243,Quick_Names,0)),"000"),".",TEXT(INDEX(Charge_Number,MATCH($P243,Charge_Names,0)),"000"))</f>
        <v>139.227.062</v>
      </c>
      <c r="C243" s="23" t="e">
        <f t="array" ref="C243">RANK($S243,IF(Combo_Species_Names=$N243,Combo_Gym_Offense),0)</f>
        <v>#VALUE!</v>
      </c>
      <c r="D243" s="24" t="e">
        <f t="array" ref="D243">$S243/MAX(IF(Combo_Species_Names=$N243,Combo_Gym_Offense))</f>
        <v>#VALUE!</v>
      </c>
      <c r="E243" s="23" t="e">
        <f t="array" ref="E243">RANK($Y243,IF(Combo_Species_Names=$N243,Combo_Gym_Defense),0)</f>
        <v>#VALUE!</v>
      </c>
      <c r="F243" s="25" t="e">
        <f t="array" ref="F243">$Y243/MAX(IF(Combo_Species_Names=$N243,Combo_Gym_Defense))</f>
        <v>#VALUE!</v>
      </c>
      <c r="G243" s="23" t="e">
        <f t="array" ref="G243">IF(OR(INDEX(Species_Availability,MATCH($N243,Species_Names,0))="No",INDEX(Species_Evo_Numbers,MATCH($N243,Species_Names,0))&lt;&gt;1),"N/A",RANK($R243,IF(NOT(ISNA(MATCH(Combo_Species_Names,IF(Species_Availability="Yes",IF(Species_Evo_Numbers=1,Species_Names)),0))),Combo_Duel_Ability),0))</f>
        <v>#VALUE!</v>
      </c>
      <c r="H243" s="24" t="e">
        <f t="array" ref="H243">IF(OR(INDEX(Species_Availability,MATCH($N243,Species_Names,0))="No",INDEX(Species_Evo_Numbers,MATCH($N243,Species_Names,0))&lt;&gt;1),"N/A",$R243/MAX(IF(NOT(ISNA(MATCH(Combo_Species_Names,IF(Species_Availability="Yes",IF(Species_Evo_Numbers=1,Species_Names)),0))),Combo_Duel_Ability)))</f>
        <v>#VALUE!</v>
      </c>
      <c r="I243" s="23" t="e">
        <f t="array" ref="I243">IF(OR(INDEX(Species_Availability,MATCH($N243,Species_Names,0))="No",INDEX(Species_Evo_Numbers,MATCH($N243,Species_Names,0))&lt;&gt;1),"N/A",RANK($S243,IF(NOT(ISNA(MATCH(Combo_Species_Names,IF(Species_Availability="Yes",IF(Species_Evo_Numbers=1,Species_Names)),0))),Combo_Gym_Offense),0))</f>
        <v>#VALUE!</v>
      </c>
      <c r="J243" s="24" t="e">
        <f t="array" ref="J243">IF(OR(INDEX(Species_Availability,MATCH($N243,Species_Names,0))="No",INDEX(Species_Evo_Numbers,MATCH($N243,Species_Names,0))&lt;&gt;1),"N/A",$S243/MAX(IF(NOT(ISNA(MATCH(Combo_Species_Names,IF(Species_Availability="Yes",IF(Species_Evo_Numbers=1,Species_Names)),0))),Combo_Gym_Offense)))</f>
        <v>#VALUE!</v>
      </c>
      <c r="K243" s="23" t="e">
        <f t="array" ref="K243">IF(OR(INDEX(Species_Availability,MATCH($N243,Species_Names,0))="No",INDEX(Species_Evo_Numbers,MATCH($N243,Species_Names,0))&lt;&gt;1),"N/A",RANK($Y243,IF(NOT(ISNA(MATCH(Combo_Species_Names,IF(Species_Availability="Yes",IF(Species_Evo_Numbers=1,Species_Names)),0))),Combo_Gym_Defense),0))</f>
        <v>#VALUE!</v>
      </c>
      <c r="L243" s="24" t="e">
        <f t="array" ref="L243">IF(OR(INDEX(Species_Availability,MATCH($N243,Species_Names,0))="No",INDEX(Species_Evo_Numbers,MATCH($N243,Species_Names,0))&lt;&gt;1),"N/A",$Y243/MAX(IF(NOT(ISNA(MATCH(Combo_Species_Names,IF(Species_Availability="Yes",IF(Species_Evo_Numbers=1,Species_Names)),0))),Combo_Gym_Defense)))</f>
        <v>#VALUE!</v>
      </c>
      <c r="M243" s="28">
        <f t="array" ref="M243">INDEX(Species_Pdex_Numbers,MATCH($N243,Species_Names,0))</f>
        <v>139</v>
      </c>
      <c r="N243" s="30" t="s">
        <v>357</v>
      </c>
      <c r="O243" s="31" t="s">
        <v>112</v>
      </c>
      <c r="P243" s="31" t="s">
        <v>297</v>
      </c>
      <c r="Q243" s="17" t="e">
        <f t="shared" si="6"/>
        <v>#VALUE!</v>
      </c>
      <c r="R243" s="32" t="e">
        <f t="array" ref="R243">IF(OR(AND(COUNTBLANK(Combo_Opponent_Type_1)=1,COUNTBLANK(Combo_Opponent_Type_2)=0),AND(AND(COUNTBLANK(Combo_Opponent_Type_1)=0,COUNTBLANK(Combo_Opponent_Type_2)=0),Combo_Opponent_Type_1=Combo_Opponent_Type_2)),
"Check Types",($S243*INDEX(Species_Tankiness,MATCH($N243,Species_Names,0)))/225)</f>
        <v>#VALUE!</v>
      </c>
      <c r="S243" s="32" t="e">
        <f t="array" ref="S243">IF(OR(AND(COUNTBLANK(Combo_Opponent_Type_1)=1,COUNTBLANK(Combo_Opponent_Type_2)=0),AND(AND(COUNTBLANK(Combo_Opponent_Type_1)=0,COUNTBLANK(Combo_Opponent_Type_2)=0),Combo_Opponent_Type_1=Combo_Opponent_Type_2)),
"Check Types",(
IF($W243&gt;=((1-Game_Weave_Human_Error)*$X243),$W243,$X243)*INDEX(Species_Attack,MATCH($N243,Species_Names,0)))/11)</f>
        <v>#VALUE!</v>
      </c>
      <c r="T243" s="33" t="e">
        <f t="shared" si="7"/>
        <v>#VALUE!</v>
      </c>
      <c r="U243" s="33">
        <f t="array" ref="U2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243,Quick_Names,0))),Type_Species)),0),1)*IF(COUNTBLANK(Combo_Opponent_Type_2)=0,INDEX(Type_Damage_Multipliers,MATCH(Combo_Opponent_Type_2,IF(Type_Move=(INDEX(Quick_Type,MATCH($O243,Quick_Names,0))),Type_Species)),0),1)*(IF(OR(INDEX(Quick_Type,MATCH($O243,Quick_Names,0))=INDEX(Species_Type_1,MATCH($N243,Species_Names,0)),INDEX(Quick_Type,MATCH($O243,Quick_Names,0))=INDEX(Species_Type_2,MATCH($N243,Species_Names,0))),Game_STAB_Multiplier,1)))</f>
        <v>1.25</v>
      </c>
      <c r="V243" s="33">
        <f t="array" ref="V2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243,Charge_Names,0))),Type_Species)),0),1)*IF(COUNTBLANK(Combo_Opponent_Type_2)=0,INDEX(Type_Damage_Multipliers,MATCH(Combo_Opponent_Type_2,IF(Type_Move=(INDEX(Charge_Type,MATCH($P243,Charge_Names,0))),Type_Species)),0),1)*
IF(OR(INDEX(Charge_Type,MATCH($P243,Charge_Names,0))=INDEX(Species_Type_1,MATCH($N243,Species_Names,0)),INDEX(Charge_Type,MATCH($P243,Charge_Names,0))=INDEX(Species_Type_2,MATCH($N243,Species_Names,0))),Game_STAB_Multiplier,1))</f>
        <v>1.25</v>
      </c>
      <c r="W243" s="33" t="s">
        <v>548</v>
      </c>
      <c r="X243" s="33" t="s">
        <v>715</v>
      </c>
      <c r="Y243" s="32" t="e">
        <f t="array" ref="Y243">((($Z243)*
INDEX(Species_Attack,MATCH($N243,Species_Names,0))*
INDEX(Species_Tankiness,MATCH($N243,Species_Names,0)))/1000)</f>
        <v>#VALUE!</v>
      </c>
      <c r="Z243" s="33" t="s">
        <v>716</v>
      </c>
    </row>
    <row r="244" spans="1:26" ht="14.25" customHeight="1" x14ac:dyDescent="0.2">
      <c r="A244" s="86"/>
      <c r="B244" s="22" t="str">
        <f t="array" ref="B244">CONCATENATE(TEXT($M244,"000"),".",TEXT(INDEX(Quick_Number,MATCH($O244,Quick_Names,0)),"000"),".",TEXT(INDEX(Charge_Number,MATCH($P244,Charge_Names,0)),"000"))</f>
        <v>121.219.107</v>
      </c>
      <c r="C244" s="23" t="e">
        <f t="array" ref="C244">RANK($S244,IF(Combo_Species_Names=$N244,Combo_Gym_Offense),0)</f>
        <v>#VALUE!</v>
      </c>
      <c r="D244" s="24" t="e">
        <f t="array" ref="D244">$S244/MAX(IF(Combo_Species_Names=$N244,Combo_Gym_Offense))</f>
        <v>#VALUE!</v>
      </c>
      <c r="E244" s="23" t="e">
        <f t="array" ref="E244">RANK($Y244,IF(Combo_Species_Names=$N244,Combo_Gym_Defense),0)</f>
        <v>#VALUE!</v>
      </c>
      <c r="F244" s="25" t="e">
        <f t="array" ref="F244">$Y244/MAX(IF(Combo_Species_Names=$N244,Combo_Gym_Defense))</f>
        <v>#VALUE!</v>
      </c>
      <c r="G244" s="23" t="e">
        <f t="array" ref="G244">IF(OR(INDEX(Species_Availability,MATCH($N244,Species_Names,0))="No",INDEX(Species_Evo_Numbers,MATCH($N244,Species_Names,0))&lt;&gt;1),"N/A",RANK($R244,IF(NOT(ISNA(MATCH(Combo_Species_Names,IF(Species_Availability="Yes",IF(Species_Evo_Numbers=1,Species_Names)),0))),Combo_Duel_Ability),0))</f>
        <v>#VALUE!</v>
      </c>
      <c r="H244" s="24" t="e">
        <f t="array" ref="H244">IF(OR(INDEX(Species_Availability,MATCH($N244,Species_Names,0))="No",INDEX(Species_Evo_Numbers,MATCH($N244,Species_Names,0))&lt;&gt;1),"N/A",$R244/MAX(IF(NOT(ISNA(MATCH(Combo_Species_Names,IF(Species_Availability="Yes",IF(Species_Evo_Numbers=1,Species_Names)),0))),Combo_Duel_Ability)))</f>
        <v>#VALUE!</v>
      </c>
      <c r="I244" s="23" t="e">
        <f t="array" ref="I244">IF(OR(INDEX(Species_Availability,MATCH($N244,Species_Names,0))="No",INDEX(Species_Evo_Numbers,MATCH($N244,Species_Names,0))&lt;&gt;1),"N/A",RANK($S244,IF(NOT(ISNA(MATCH(Combo_Species_Names,IF(Species_Availability="Yes",IF(Species_Evo_Numbers=1,Species_Names)),0))),Combo_Gym_Offense),0))</f>
        <v>#VALUE!</v>
      </c>
      <c r="J244" s="24" t="e">
        <f t="array" ref="J244">IF(OR(INDEX(Species_Availability,MATCH($N244,Species_Names,0))="No",INDEX(Species_Evo_Numbers,MATCH($N244,Species_Names,0))&lt;&gt;1),"N/A",$S244/MAX(IF(NOT(ISNA(MATCH(Combo_Species_Names,IF(Species_Availability="Yes",IF(Species_Evo_Numbers=1,Species_Names)),0))),Combo_Gym_Offense)))</f>
        <v>#VALUE!</v>
      </c>
      <c r="K244" s="23" t="e">
        <f t="array" ref="K244">IF(OR(INDEX(Species_Availability,MATCH($N244,Species_Names,0))="No",INDEX(Species_Evo_Numbers,MATCH($N244,Species_Names,0))&lt;&gt;1),"N/A",RANK($Y244,IF(NOT(ISNA(MATCH(Combo_Species_Names,IF(Species_Availability="Yes",IF(Species_Evo_Numbers=1,Species_Names)),0))),Combo_Gym_Defense),0))</f>
        <v>#VALUE!</v>
      </c>
      <c r="L244" s="24" t="e">
        <f t="array" ref="L244">IF(OR(INDEX(Species_Availability,MATCH($N244,Species_Names,0))="No",INDEX(Species_Evo_Numbers,MATCH($N244,Species_Names,0))&lt;&gt;1),"N/A",$Y244/MAX(IF(NOT(ISNA(MATCH(Combo_Species_Names,IF(Species_Availability="Yes",IF(Species_Evo_Numbers=1,Species_Names)),0))),Combo_Gym_Defense)))</f>
        <v>#VALUE!</v>
      </c>
      <c r="M244" s="28">
        <f t="array" ref="M244">INDEX(Species_Pdex_Numbers,MATCH($N244,Species_Names,0))</f>
        <v>121</v>
      </c>
      <c r="N244" s="30" t="s">
        <v>338</v>
      </c>
      <c r="O244" s="31" t="s">
        <v>119</v>
      </c>
      <c r="P244" s="31" t="s">
        <v>170</v>
      </c>
      <c r="Q244" s="17" t="e">
        <f t="shared" si="6"/>
        <v>#VALUE!</v>
      </c>
      <c r="R244" s="32" t="e">
        <f t="array" ref="R244">IF(OR(AND(COUNTBLANK(Combo_Opponent_Type_1)=1,COUNTBLANK(Combo_Opponent_Type_2)=0),AND(AND(COUNTBLANK(Combo_Opponent_Type_1)=0,COUNTBLANK(Combo_Opponent_Type_2)=0),Combo_Opponent_Type_1=Combo_Opponent_Type_2)),
"Check Types",($S244*INDEX(Species_Tankiness,MATCH($N244,Species_Names,0)))/225)</f>
        <v>#VALUE!</v>
      </c>
      <c r="S244" s="32" t="e">
        <f t="array" ref="S244">IF(OR(AND(COUNTBLANK(Combo_Opponent_Type_1)=1,COUNTBLANK(Combo_Opponent_Type_2)=0),AND(AND(COUNTBLANK(Combo_Opponent_Type_1)=0,COUNTBLANK(Combo_Opponent_Type_2)=0),Combo_Opponent_Type_1=Combo_Opponent_Type_2)),
"Check Types",(
IF($W244&gt;=((1-Game_Weave_Human_Error)*$X244),$W244,$X244)*INDEX(Species_Attack,MATCH($N244,Species_Names,0)))/11)</f>
        <v>#VALUE!</v>
      </c>
      <c r="T244" s="33" t="e">
        <f t="shared" si="7"/>
        <v>#VALUE!</v>
      </c>
      <c r="U244" s="33">
        <f t="array" ref="U2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244,Quick_Names,0))),Type_Species)),0),1)*IF(COUNTBLANK(Combo_Opponent_Type_2)=0,INDEX(Type_Damage_Multipliers,MATCH(Combo_Opponent_Type_2,IF(Type_Move=(INDEX(Quick_Type,MATCH($O244,Quick_Names,0))),Type_Species)),0),1)*(IF(OR(INDEX(Quick_Type,MATCH($O244,Quick_Names,0))=INDEX(Species_Type_1,MATCH($N244,Species_Names,0)),INDEX(Quick_Type,MATCH($O244,Quick_Names,0))=INDEX(Species_Type_2,MATCH($N244,Species_Names,0))),Game_STAB_Multiplier,1)))</f>
        <v>1</v>
      </c>
      <c r="V244" s="33">
        <f t="array" ref="V2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244,Charge_Names,0))),Type_Species)),0),1)*IF(COUNTBLANK(Combo_Opponent_Type_2)=0,INDEX(Type_Damage_Multipliers,MATCH(Combo_Opponent_Type_2,IF(Type_Move=(INDEX(Charge_Type,MATCH($P244,Charge_Names,0))),Type_Species)),0),1)*
IF(OR(INDEX(Charge_Type,MATCH($P244,Charge_Names,0))=INDEX(Species_Type_1,MATCH($N244,Species_Names,0)),INDEX(Charge_Type,MATCH($P244,Charge_Names,0))=INDEX(Species_Type_2,MATCH($N244,Species_Names,0))),Game_STAB_Multiplier,1))</f>
        <v>1.25</v>
      </c>
      <c r="W244" s="33" t="s">
        <v>600</v>
      </c>
      <c r="X244" s="33" t="s">
        <v>747</v>
      </c>
      <c r="Y244" s="32" t="e">
        <f t="array" ref="Y244">((($Z244)*
INDEX(Species_Attack,MATCH($N244,Species_Names,0))*
INDEX(Species_Tankiness,MATCH($N244,Species_Names,0)))/1000)</f>
        <v>#VALUE!</v>
      </c>
      <c r="Z244" s="33" t="s">
        <v>721</v>
      </c>
    </row>
    <row r="245" spans="1:26" ht="14.25" customHeight="1" x14ac:dyDescent="0.2">
      <c r="A245" s="86"/>
      <c r="B245" s="22" t="str">
        <f t="array" ref="B245">CONCATENATE(TEXT($M245,"000"),".",TEXT(INDEX(Quick_Number,MATCH($O245,Quick_Names,0)),"000"),".",TEXT(INDEX(Charge_Number,MATCH($P245,Charge_Names,0)),"000"))</f>
        <v>117.230.107</v>
      </c>
      <c r="C245" s="23" t="e">
        <f t="array" ref="C245">RANK($S245,IF(Combo_Species_Names=$N245,Combo_Gym_Offense),0)</f>
        <v>#VALUE!</v>
      </c>
      <c r="D245" s="24" t="e">
        <f t="array" ref="D245">$S245/MAX(IF(Combo_Species_Names=$N245,Combo_Gym_Offense))</f>
        <v>#VALUE!</v>
      </c>
      <c r="E245" s="23" t="e">
        <f t="array" ref="E245">RANK($Y245,IF(Combo_Species_Names=$N245,Combo_Gym_Defense),0)</f>
        <v>#VALUE!</v>
      </c>
      <c r="F245" s="25" t="e">
        <f t="array" ref="F245">$Y245/MAX(IF(Combo_Species_Names=$N245,Combo_Gym_Defense))</f>
        <v>#VALUE!</v>
      </c>
      <c r="G245" s="23" t="e">
        <f t="array" ref="G245">IF(OR(INDEX(Species_Availability,MATCH($N245,Species_Names,0))="No",INDEX(Species_Evo_Numbers,MATCH($N245,Species_Names,0))&lt;&gt;1),"N/A",RANK($R245,IF(NOT(ISNA(MATCH(Combo_Species_Names,IF(Species_Availability="Yes",IF(Species_Evo_Numbers=1,Species_Names)),0))),Combo_Duel_Ability),0))</f>
        <v>#VALUE!</v>
      </c>
      <c r="H245" s="24" t="e">
        <f t="array" ref="H245">IF(OR(INDEX(Species_Availability,MATCH($N245,Species_Names,0))="No",INDEX(Species_Evo_Numbers,MATCH($N245,Species_Names,0))&lt;&gt;1),"N/A",$R245/MAX(IF(NOT(ISNA(MATCH(Combo_Species_Names,IF(Species_Availability="Yes",IF(Species_Evo_Numbers=1,Species_Names)),0))),Combo_Duel_Ability)))</f>
        <v>#VALUE!</v>
      </c>
      <c r="I245" s="23" t="e">
        <f t="array" ref="I245">IF(OR(INDEX(Species_Availability,MATCH($N245,Species_Names,0))="No",INDEX(Species_Evo_Numbers,MATCH($N245,Species_Names,0))&lt;&gt;1),"N/A",RANK($S245,IF(NOT(ISNA(MATCH(Combo_Species_Names,IF(Species_Availability="Yes",IF(Species_Evo_Numbers=1,Species_Names)),0))),Combo_Gym_Offense),0))</f>
        <v>#VALUE!</v>
      </c>
      <c r="J245" s="24" t="e">
        <f t="array" ref="J245">IF(OR(INDEX(Species_Availability,MATCH($N245,Species_Names,0))="No",INDEX(Species_Evo_Numbers,MATCH($N245,Species_Names,0))&lt;&gt;1),"N/A",$S245/MAX(IF(NOT(ISNA(MATCH(Combo_Species_Names,IF(Species_Availability="Yes",IF(Species_Evo_Numbers=1,Species_Names)),0))),Combo_Gym_Offense)))</f>
        <v>#VALUE!</v>
      </c>
      <c r="K245" s="23" t="e">
        <f t="array" ref="K245">IF(OR(INDEX(Species_Availability,MATCH($N245,Species_Names,0))="No",INDEX(Species_Evo_Numbers,MATCH($N245,Species_Names,0))&lt;&gt;1),"N/A",RANK($Y245,IF(NOT(ISNA(MATCH(Combo_Species_Names,IF(Species_Availability="Yes",IF(Species_Evo_Numbers=1,Species_Names)),0))),Combo_Gym_Defense),0))</f>
        <v>#VALUE!</v>
      </c>
      <c r="L245" s="24" t="e">
        <f t="array" ref="L245">IF(OR(INDEX(Species_Availability,MATCH($N245,Species_Names,0))="No",INDEX(Species_Evo_Numbers,MATCH($N245,Species_Names,0))&lt;&gt;1),"N/A",$Y245/MAX(IF(NOT(ISNA(MATCH(Combo_Species_Names,IF(Species_Availability="Yes",IF(Species_Evo_Numbers=1,Species_Names)),0))),Combo_Gym_Defense)))</f>
        <v>#VALUE!</v>
      </c>
      <c r="M245" s="28">
        <f t="array" ref="M245">INDEX(Species_Pdex_Numbers,MATCH($N245,Species_Names,0))</f>
        <v>117</v>
      </c>
      <c r="N245" s="30" t="s">
        <v>330</v>
      </c>
      <c r="O245" s="31" t="s">
        <v>65</v>
      </c>
      <c r="P245" s="31" t="s">
        <v>170</v>
      </c>
      <c r="Q245" s="17" t="e">
        <f t="shared" si="6"/>
        <v>#VALUE!</v>
      </c>
      <c r="R245" s="32" t="e">
        <f t="array" ref="R245">IF(OR(AND(COUNTBLANK(Combo_Opponent_Type_1)=1,COUNTBLANK(Combo_Opponent_Type_2)=0),AND(AND(COUNTBLANK(Combo_Opponent_Type_1)=0,COUNTBLANK(Combo_Opponent_Type_2)=0),Combo_Opponent_Type_1=Combo_Opponent_Type_2)),
"Check Types",($S245*INDEX(Species_Tankiness,MATCH($N245,Species_Names,0)))/225)</f>
        <v>#VALUE!</v>
      </c>
      <c r="S245" s="32" t="e">
        <f t="array" ref="S245">IF(OR(AND(COUNTBLANK(Combo_Opponent_Type_1)=1,COUNTBLANK(Combo_Opponent_Type_2)=0),AND(AND(COUNTBLANK(Combo_Opponent_Type_1)=0,COUNTBLANK(Combo_Opponent_Type_2)=0),Combo_Opponent_Type_1=Combo_Opponent_Type_2)),
"Check Types",(
IF($W245&gt;=((1-Game_Weave_Human_Error)*$X245),$W245,$X245)*INDEX(Species_Attack,MATCH($N245,Species_Names,0)))/11)</f>
        <v>#VALUE!</v>
      </c>
      <c r="T245" s="33" t="e">
        <f t="shared" si="7"/>
        <v>#VALUE!</v>
      </c>
      <c r="U245" s="33">
        <f t="array" ref="U2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245,Quick_Names,0))),Type_Species)),0),1)*IF(COUNTBLANK(Combo_Opponent_Type_2)=0,INDEX(Type_Damage_Multipliers,MATCH(Combo_Opponent_Type_2,IF(Type_Move=(INDEX(Quick_Type,MATCH($O245,Quick_Names,0))),Type_Species)),0),1)*(IF(OR(INDEX(Quick_Type,MATCH($O245,Quick_Names,0))=INDEX(Species_Type_1,MATCH($N245,Species_Names,0)),INDEX(Quick_Type,MATCH($O245,Quick_Names,0))=INDEX(Species_Type_2,MATCH($N245,Species_Names,0))),Game_STAB_Multiplier,1)))</f>
        <v>1.25</v>
      </c>
      <c r="V245" s="33">
        <f t="array" ref="V2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245,Charge_Names,0))),Type_Species)),0),1)*IF(COUNTBLANK(Combo_Opponent_Type_2)=0,INDEX(Type_Damage_Multipliers,MATCH(Combo_Opponent_Type_2,IF(Type_Move=(INDEX(Charge_Type,MATCH($P245,Charge_Names,0))),Type_Species)),0),1)*
IF(OR(INDEX(Charge_Type,MATCH($P245,Charge_Names,0))=INDEX(Species_Type_1,MATCH($N245,Species_Names,0)),INDEX(Charge_Type,MATCH($P245,Charge_Names,0))=INDEX(Species_Type_2,MATCH($N245,Species_Names,0))),Game_STAB_Multiplier,1))</f>
        <v>1.25</v>
      </c>
      <c r="W245" s="33" t="s">
        <v>412</v>
      </c>
      <c r="X245" s="33" t="s">
        <v>425</v>
      </c>
      <c r="Y245" s="32" t="e">
        <f t="array" ref="Y245">((($Z245)*
INDEX(Species_Attack,MATCH($N245,Species_Names,0))*
INDEX(Species_Tankiness,MATCH($N245,Species_Names,0)))/1000)</f>
        <v>#VALUE!</v>
      </c>
      <c r="Z245" s="33" t="s">
        <v>426</v>
      </c>
    </row>
    <row r="246" spans="1:26" ht="14.25" customHeight="1" x14ac:dyDescent="0.2">
      <c r="A246" s="86"/>
      <c r="B246" s="22" t="str">
        <f t="array" ref="B246">CONCATENATE(TEXT($M246,"000"),".",TEXT(INDEX(Quick_Number,MATCH($O246,Quick_Names,0)),"000"),".",TEXT(INDEX(Charge_Number,MATCH($P246,Charge_Names,0)),"000"))</f>
        <v>128.221.126</v>
      </c>
      <c r="C246" s="23" t="e">
        <f t="array" ref="C246">RANK($S246,IF(Combo_Species_Names=$N246,Combo_Gym_Offense),0)</f>
        <v>#VALUE!</v>
      </c>
      <c r="D246" s="24" t="e">
        <f t="array" ref="D246">$S246/MAX(IF(Combo_Species_Names=$N246,Combo_Gym_Offense))</f>
        <v>#VALUE!</v>
      </c>
      <c r="E246" s="23" t="e">
        <f t="array" ref="E246">RANK($Y246,IF(Combo_Species_Names=$N246,Combo_Gym_Defense),0)</f>
        <v>#VALUE!</v>
      </c>
      <c r="F246" s="25" t="e">
        <f t="array" ref="F246">$Y246/MAX(IF(Combo_Species_Names=$N246,Combo_Gym_Defense))</f>
        <v>#VALUE!</v>
      </c>
      <c r="G246" s="23" t="e">
        <f t="array" ref="G246">IF(OR(INDEX(Species_Availability,MATCH($N246,Species_Names,0))="No",INDEX(Species_Evo_Numbers,MATCH($N246,Species_Names,0))&lt;&gt;1),"N/A",RANK($R246,IF(NOT(ISNA(MATCH(Combo_Species_Names,IF(Species_Availability="Yes",IF(Species_Evo_Numbers=1,Species_Names)),0))),Combo_Duel_Ability),0))</f>
        <v>#VALUE!</v>
      </c>
      <c r="H246" s="24" t="e">
        <f t="array" ref="H246">IF(OR(INDEX(Species_Availability,MATCH($N246,Species_Names,0))="No",INDEX(Species_Evo_Numbers,MATCH($N246,Species_Names,0))&lt;&gt;1),"N/A",$R246/MAX(IF(NOT(ISNA(MATCH(Combo_Species_Names,IF(Species_Availability="Yes",IF(Species_Evo_Numbers=1,Species_Names)),0))),Combo_Duel_Ability)))</f>
        <v>#VALUE!</v>
      </c>
      <c r="I246" s="23" t="e">
        <f t="array" ref="I246">IF(OR(INDEX(Species_Availability,MATCH($N246,Species_Names,0))="No",INDEX(Species_Evo_Numbers,MATCH($N246,Species_Names,0))&lt;&gt;1),"N/A",RANK($S246,IF(NOT(ISNA(MATCH(Combo_Species_Names,IF(Species_Availability="Yes",IF(Species_Evo_Numbers=1,Species_Names)),0))),Combo_Gym_Offense),0))</f>
        <v>#VALUE!</v>
      </c>
      <c r="J246" s="24" t="e">
        <f t="array" ref="J246">IF(OR(INDEX(Species_Availability,MATCH($N246,Species_Names,0))="No",INDEX(Species_Evo_Numbers,MATCH($N246,Species_Names,0))&lt;&gt;1),"N/A",$S246/MAX(IF(NOT(ISNA(MATCH(Combo_Species_Names,IF(Species_Availability="Yes",IF(Species_Evo_Numbers=1,Species_Names)),0))),Combo_Gym_Offense)))</f>
        <v>#VALUE!</v>
      </c>
      <c r="K246" s="23" t="e">
        <f t="array" ref="K246">IF(OR(INDEX(Species_Availability,MATCH($N246,Species_Names,0))="No",INDEX(Species_Evo_Numbers,MATCH($N246,Species_Names,0))&lt;&gt;1),"N/A",RANK($Y246,IF(NOT(ISNA(MATCH(Combo_Species_Names,IF(Species_Availability="Yes",IF(Species_Evo_Numbers=1,Species_Names)),0))),Combo_Gym_Defense),0))</f>
        <v>#VALUE!</v>
      </c>
      <c r="L246" s="24" t="e">
        <f t="array" ref="L246">IF(OR(INDEX(Species_Availability,MATCH($N246,Species_Names,0))="No",INDEX(Species_Evo_Numbers,MATCH($N246,Species_Names,0))&lt;&gt;1),"N/A",$Y246/MAX(IF(NOT(ISNA(MATCH(Combo_Species_Names,IF(Species_Availability="Yes",IF(Species_Evo_Numbers=1,Species_Names)),0))),Combo_Gym_Defense)))</f>
        <v>#VALUE!</v>
      </c>
      <c r="M246" s="28">
        <f t="array" ref="M246">INDEX(Species_Pdex_Numbers,MATCH($N246,Species_Names,0))</f>
        <v>128</v>
      </c>
      <c r="N246" s="30" t="s">
        <v>345</v>
      </c>
      <c r="O246" s="31" t="s">
        <v>91</v>
      </c>
      <c r="P246" s="31" t="s">
        <v>275</v>
      </c>
      <c r="Q246" s="17" t="e">
        <f t="shared" si="6"/>
        <v>#VALUE!</v>
      </c>
      <c r="R246" s="32" t="e">
        <f t="array" ref="R246">IF(OR(AND(COUNTBLANK(Combo_Opponent_Type_1)=1,COUNTBLANK(Combo_Opponent_Type_2)=0),AND(AND(COUNTBLANK(Combo_Opponent_Type_1)=0,COUNTBLANK(Combo_Opponent_Type_2)=0),Combo_Opponent_Type_1=Combo_Opponent_Type_2)),
"Check Types",($S246*INDEX(Species_Tankiness,MATCH($N246,Species_Names,0)))/225)</f>
        <v>#VALUE!</v>
      </c>
      <c r="S246" s="32" t="e">
        <f t="array" ref="S246">IF(OR(AND(COUNTBLANK(Combo_Opponent_Type_1)=1,COUNTBLANK(Combo_Opponent_Type_2)=0),AND(AND(COUNTBLANK(Combo_Opponent_Type_1)=0,COUNTBLANK(Combo_Opponent_Type_2)=0),Combo_Opponent_Type_1=Combo_Opponent_Type_2)),
"Check Types",(
IF($W246&gt;=((1-Game_Weave_Human_Error)*$X246),$W246,$X246)*INDEX(Species_Attack,MATCH($N246,Species_Names,0)))/11)</f>
        <v>#VALUE!</v>
      </c>
      <c r="T246" s="33" t="e">
        <f t="shared" si="7"/>
        <v>#VALUE!</v>
      </c>
      <c r="U246" s="33">
        <f t="array" ref="U2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246,Quick_Names,0))),Type_Species)),0),1)*IF(COUNTBLANK(Combo_Opponent_Type_2)=0,INDEX(Type_Damage_Multipliers,MATCH(Combo_Opponent_Type_2,IF(Type_Move=(INDEX(Quick_Type,MATCH($O246,Quick_Names,0))),Type_Species)),0),1)*(IF(OR(INDEX(Quick_Type,MATCH($O246,Quick_Names,0))=INDEX(Species_Type_1,MATCH($N246,Species_Names,0)),INDEX(Quick_Type,MATCH($O246,Quick_Names,0))=INDEX(Species_Type_2,MATCH($N246,Species_Names,0))),Game_STAB_Multiplier,1)))</f>
        <v>1.25</v>
      </c>
      <c r="V246" s="33">
        <f t="array" ref="V2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246,Charge_Names,0))),Type_Species)),0),1)*IF(COUNTBLANK(Combo_Opponent_Type_2)=0,INDEX(Type_Damage_Multipliers,MATCH(Combo_Opponent_Type_2,IF(Type_Move=(INDEX(Charge_Type,MATCH($P246,Charge_Names,0))),Type_Species)),0),1)*
IF(OR(INDEX(Charge_Type,MATCH($P246,Charge_Names,0))=INDEX(Species_Type_1,MATCH($N246,Species_Names,0)),INDEX(Charge_Type,MATCH($P246,Charge_Names,0))=INDEX(Species_Type_2,MATCH($N246,Species_Names,0))),Game_STAB_Multiplier,1))</f>
        <v>1.25</v>
      </c>
      <c r="W246" s="33" t="s">
        <v>700</v>
      </c>
      <c r="X246" s="33" t="s">
        <v>748</v>
      </c>
      <c r="Y246" s="32" t="e">
        <f t="array" ref="Y246">((($Z246)*
INDEX(Species_Attack,MATCH($N246,Species_Names,0))*
INDEX(Species_Tankiness,MATCH($N246,Species_Names,0)))/1000)</f>
        <v>#VALUE!</v>
      </c>
      <c r="Z246" s="33" t="s">
        <v>543</v>
      </c>
    </row>
    <row r="247" spans="1:26" ht="14.25" customHeight="1" x14ac:dyDescent="0.2">
      <c r="A247" s="86"/>
      <c r="B247" s="22" t="str">
        <f t="array" ref="B247">CONCATENATE(TEXT($M247,"000"),".",TEXT(INDEX(Quick_Number,MATCH($O247,Quick_Names,0)),"000"),".",TEXT(INDEX(Charge_Number,MATCH($P247,Charge_Names,0)),"000"))</f>
        <v>128.221.074</v>
      </c>
      <c r="C247" s="23" t="e">
        <f t="array" ref="C247">RANK($S247,IF(Combo_Species_Names=$N247,Combo_Gym_Offense),0)</f>
        <v>#VALUE!</v>
      </c>
      <c r="D247" s="24" t="e">
        <f t="array" ref="D247">$S247/MAX(IF(Combo_Species_Names=$N247,Combo_Gym_Offense))</f>
        <v>#VALUE!</v>
      </c>
      <c r="E247" s="23" t="e">
        <f t="array" ref="E247">RANK($Y247,IF(Combo_Species_Names=$N247,Combo_Gym_Defense),0)</f>
        <v>#VALUE!</v>
      </c>
      <c r="F247" s="25" t="e">
        <f t="array" ref="F247">$Y247/MAX(IF(Combo_Species_Names=$N247,Combo_Gym_Defense))</f>
        <v>#VALUE!</v>
      </c>
      <c r="G247" s="23" t="e">
        <f t="array" ref="G247">IF(OR(INDEX(Species_Availability,MATCH($N247,Species_Names,0))="No",INDEX(Species_Evo_Numbers,MATCH($N247,Species_Names,0))&lt;&gt;1),"N/A",RANK($R247,IF(NOT(ISNA(MATCH(Combo_Species_Names,IF(Species_Availability="Yes",IF(Species_Evo_Numbers=1,Species_Names)),0))),Combo_Duel_Ability),0))</f>
        <v>#VALUE!</v>
      </c>
      <c r="H247" s="24" t="e">
        <f t="array" ref="H247">IF(OR(INDEX(Species_Availability,MATCH($N247,Species_Names,0))="No",INDEX(Species_Evo_Numbers,MATCH($N247,Species_Names,0))&lt;&gt;1),"N/A",$R247/MAX(IF(NOT(ISNA(MATCH(Combo_Species_Names,IF(Species_Availability="Yes",IF(Species_Evo_Numbers=1,Species_Names)),0))),Combo_Duel_Ability)))</f>
        <v>#VALUE!</v>
      </c>
      <c r="I247" s="23" t="e">
        <f t="array" ref="I247">IF(OR(INDEX(Species_Availability,MATCH($N247,Species_Names,0))="No",INDEX(Species_Evo_Numbers,MATCH($N247,Species_Names,0))&lt;&gt;1),"N/A",RANK($S247,IF(NOT(ISNA(MATCH(Combo_Species_Names,IF(Species_Availability="Yes",IF(Species_Evo_Numbers=1,Species_Names)),0))),Combo_Gym_Offense),0))</f>
        <v>#VALUE!</v>
      </c>
      <c r="J247" s="24" t="e">
        <f t="array" ref="J247">IF(OR(INDEX(Species_Availability,MATCH($N247,Species_Names,0))="No",INDEX(Species_Evo_Numbers,MATCH($N247,Species_Names,0))&lt;&gt;1),"N/A",$S247/MAX(IF(NOT(ISNA(MATCH(Combo_Species_Names,IF(Species_Availability="Yes",IF(Species_Evo_Numbers=1,Species_Names)),0))),Combo_Gym_Offense)))</f>
        <v>#VALUE!</v>
      </c>
      <c r="K247" s="23" t="e">
        <f t="array" ref="K247">IF(OR(INDEX(Species_Availability,MATCH($N247,Species_Names,0))="No",INDEX(Species_Evo_Numbers,MATCH($N247,Species_Names,0))&lt;&gt;1),"N/A",RANK($Y247,IF(NOT(ISNA(MATCH(Combo_Species_Names,IF(Species_Availability="Yes",IF(Species_Evo_Numbers=1,Species_Names)),0))),Combo_Gym_Defense),0))</f>
        <v>#VALUE!</v>
      </c>
      <c r="L247" s="24" t="e">
        <f t="array" ref="L247">IF(OR(INDEX(Species_Availability,MATCH($N247,Species_Names,0))="No",INDEX(Species_Evo_Numbers,MATCH($N247,Species_Names,0))&lt;&gt;1),"N/A",$Y247/MAX(IF(NOT(ISNA(MATCH(Combo_Species_Names,IF(Species_Availability="Yes",IF(Species_Evo_Numbers=1,Species_Names)),0))),Combo_Gym_Defense)))</f>
        <v>#VALUE!</v>
      </c>
      <c r="M247" s="28">
        <f t="array" ref="M247">INDEX(Species_Pdex_Numbers,MATCH($N247,Species_Names,0))</f>
        <v>128</v>
      </c>
      <c r="N247" s="30" t="s">
        <v>345</v>
      </c>
      <c r="O247" s="31" t="s">
        <v>91</v>
      </c>
      <c r="P247" s="31" t="s">
        <v>228</v>
      </c>
      <c r="Q247" s="17" t="e">
        <f t="shared" si="6"/>
        <v>#VALUE!</v>
      </c>
      <c r="R247" s="32" t="e">
        <f t="array" ref="R247">IF(OR(AND(COUNTBLANK(Combo_Opponent_Type_1)=1,COUNTBLANK(Combo_Opponent_Type_2)=0),AND(AND(COUNTBLANK(Combo_Opponent_Type_1)=0,COUNTBLANK(Combo_Opponent_Type_2)=0),Combo_Opponent_Type_1=Combo_Opponent_Type_2)),
"Check Types",($S247*INDEX(Species_Tankiness,MATCH($N247,Species_Names,0)))/225)</f>
        <v>#VALUE!</v>
      </c>
      <c r="S247" s="32" t="e">
        <f t="array" ref="S247">IF(OR(AND(COUNTBLANK(Combo_Opponent_Type_1)=1,COUNTBLANK(Combo_Opponent_Type_2)=0),AND(AND(COUNTBLANK(Combo_Opponent_Type_1)=0,COUNTBLANK(Combo_Opponent_Type_2)=0),Combo_Opponent_Type_1=Combo_Opponent_Type_2)),
"Check Types",(
IF($W247&gt;=((1-Game_Weave_Human_Error)*$X247),$W247,$X247)*INDEX(Species_Attack,MATCH($N247,Species_Names,0)))/11)</f>
        <v>#VALUE!</v>
      </c>
      <c r="T247" s="33" t="e">
        <f t="shared" si="7"/>
        <v>#VALUE!</v>
      </c>
      <c r="U247" s="33">
        <f t="array" ref="U2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247,Quick_Names,0))),Type_Species)),0),1)*IF(COUNTBLANK(Combo_Opponent_Type_2)=0,INDEX(Type_Damage_Multipliers,MATCH(Combo_Opponent_Type_2,IF(Type_Move=(INDEX(Quick_Type,MATCH($O247,Quick_Names,0))),Type_Species)),0),1)*(IF(OR(INDEX(Quick_Type,MATCH($O247,Quick_Names,0))=INDEX(Species_Type_1,MATCH($N247,Species_Names,0)),INDEX(Quick_Type,MATCH($O247,Quick_Names,0))=INDEX(Species_Type_2,MATCH($N247,Species_Names,0))),Game_STAB_Multiplier,1)))</f>
        <v>1.25</v>
      </c>
      <c r="V247" s="33">
        <f t="array" ref="V2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247,Charge_Names,0))),Type_Species)),0),1)*IF(COUNTBLANK(Combo_Opponent_Type_2)=0,INDEX(Type_Damage_Multipliers,MATCH(Combo_Opponent_Type_2,IF(Type_Move=(INDEX(Charge_Type,MATCH($P247,Charge_Names,0))),Type_Species)),0),1)*
IF(OR(INDEX(Charge_Type,MATCH($P247,Charge_Names,0))=INDEX(Species_Type_1,MATCH($N247,Species_Names,0)),INDEX(Charge_Type,MATCH($P247,Charge_Names,0))=INDEX(Species_Type_2,MATCH($N247,Species_Names,0))),Game_STAB_Multiplier,1))</f>
        <v>1</v>
      </c>
      <c r="W247" s="33" t="s">
        <v>700</v>
      </c>
      <c r="X247" s="33" t="s">
        <v>749</v>
      </c>
      <c r="Y247" s="32" t="e">
        <f t="array" ref="Y247">((($Z247)*
INDEX(Species_Attack,MATCH($N247,Species_Names,0))*
INDEX(Species_Tankiness,MATCH($N247,Species_Names,0)))/1000)</f>
        <v>#VALUE!</v>
      </c>
      <c r="Z247" s="33" t="s">
        <v>478</v>
      </c>
    </row>
    <row r="248" spans="1:26" ht="14.25" customHeight="1" x14ac:dyDescent="0.2">
      <c r="A248" s="86"/>
      <c r="B248" s="22" t="str">
        <f t="array" ref="B248">CONCATENATE(TEXT($M248,"000"),".",TEXT(INDEX(Quick_Number,MATCH($O248,Quick_Names,0)),"000"),".",TEXT(INDEX(Charge_Number,MATCH($P248,Charge_Names,0)),"000"))</f>
        <v>094.213.070</v>
      </c>
      <c r="C248" s="23" t="e">
        <f t="array" ref="C248">RANK($S248,IF(Combo_Species_Names=$N248,Combo_Gym_Offense),0)</f>
        <v>#VALUE!</v>
      </c>
      <c r="D248" s="24" t="e">
        <f t="array" ref="D248">$S248/MAX(IF(Combo_Species_Names=$N248,Combo_Gym_Offense))</f>
        <v>#VALUE!</v>
      </c>
      <c r="E248" s="23" t="e">
        <f t="array" ref="E248">RANK($Y248,IF(Combo_Species_Names=$N248,Combo_Gym_Defense),0)</f>
        <v>#VALUE!</v>
      </c>
      <c r="F248" s="25" t="e">
        <f t="array" ref="F248">$Y248/MAX(IF(Combo_Species_Names=$N248,Combo_Gym_Defense))</f>
        <v>#VALUE!</v>
      </c>
      <c r="G248" s="23" t="e">
        <f t="array" ref="G248">IF(OR(INDEX(Species_Availability,MATCH($N248,Species_Names,0))="No",INDEX(Species_Evo_Numbers,MATCH($N248,Species_Names,0))&lt;&gt;1),"N/A",RANK($R248,IF(NOT(ISNA(MATCH(Combo_Species_Names,IF(Species_Availability="Yes",IF(Species_Evo_Numbers=1,Species_Names)),0))),Combo_Duel_Ability),0))</f>
        <v>#VALUE!</v>
      </c>
      <c r="H248" s="24" t="e">
        <f t="array" ref="H248">IF(OR(INDEX(Species_Availability,MATCH($N248,Species_Names,0))="No",INDEX(Species_Evo_Numbers,MATCH($N248,Species_Names,0))&lt;&gt;1),"N/A",$R248/MAX(IF(NOT(ISNA(MATCH(Combo_Species_Names,IF(Species_Availability="Yes",IF(Species_Evo_Numbers=1,Species_Names)),0))),Combo_Duel_Ability)))</f>
        <v>#VALUE!</v>
      </c>
      <c r="I248" s="23" t="e">
        <f t="array" ref="I248">IF(OR(INDEX(Species_Availability,MATCH($N248,Species_Names,0))="No",INDEX(Species_Evo_Numbers,MATCH($N248,Species_Names,0))&lt;&gt;1),"N/A",RANK($S248,IF(NOT(ISNA(MATCH(Combo_Species_Names,IF(Species_Availability="Yes",IF(Species_Evo_Numbers=1,Species_Names)),0))),Combo_Gym_Offense),0))</f>
        <v>#VALUE!</v>
      </c>
      <c r="J248" s="24" t="e">
        <f t="array" ref="J248">IF(OR(INDEX(Species_Availability,MATCH($N248,Species_Names,0))="No",INDEX(Species_Evo_Numbers,MATCH($N248,Species_Names,0))&lt;&gt;1),"N/A",$S248/MAX(IF(NOT(ISNA(MATCH(Combo_Species_Names,IF(Species_Availability="Yes",IF(Species_Evo_Numbers=1,Species_Names)),0))),Combo_Gym_Offense)))</f>
        <v>#VALUE!</v>
      </c>
      <c r="K248" s="23" t="e">
        <f t="array" ref="K248">IF(OR(INDEX(Species_Availability,MATCH($N248,Species_Names,0))="No",INDEX(Species_Evo_Numbers,MATCH($N248,Species_Names,0))&lt;&gt;1),"N/A",RANK($Y248,IF(NOT(ISNA(MATCH(Combo_Species_Names,IF(Species_Availability="Yes",IF(Species_Evo_Numbers=1,Species_Names)),0))),Combo_Gym_Defense),0))</f>
        <v>#VALUE!</v>
      </c>
      <c r="L248" s="24" t="e">
        <f t="array" ref="L248">IF(OR(INDEX(Species_Availability,MATCH($N248,Species_Names,0))="No",INDEX(Species_Evo_Numbers,MATCH($N248,Species_Names,0))&lt;&gt;1),"N/A",$Y248/MAX(IF(NOT(ISNA(MATCH(Combo_Species_Names,IF(Species_Availability="Yes",IF(Species_Evo_Numbers=1,Species_Names)),0))),Combo_Gym_Defense)))</f>
        <v>#VALUE!</v>
      </c>
      <c r="M248" s="28">
        <f t="array" ref="M248">INDEX(Species_Pdex_Numbers,MATCH($N248,Species_Names,0))</f>
        <v>94</v>
      </c>
      <c r="N248" s="30" t="s">
        <v>284</v>
      </c>
      <c r="O248" s="31" t="s">
        <v>74</v>
      </c>
      <c r="P248" s="31" t="s">
        <v>234</v>
      </c>
      <c r="Q248" s="17" t="e">
        <f t="shared" si="6"/>
        <v>#VALUE!</v>
      </c>
      <c r="R248" s="32" t="e">
        <f t="array" ref="R248">IF(OR(AND(COUNTBLANK(Combo_Opponent_Type_1)=1,COUNTBLANK(Combo_Opponent_Type_2)=0),AND(AND(COUNTBLANK(Combo_Opponent_Type_1)=0,COUNTBLANK(Combo_Opponent_Type_2)=0),Combo_Opponent_Type_1=Combo_Opponent_Type_2)),
"Check Types",($S248*INDEX(Species_Tankiness,MATCH($N248,Species_Names,0)))/225)</f>
        <v>#VALUE!</v>
      </c>
      <c r="S248" s="32" t="e">
        <f t="array" ref="S248">IF(OR(AND(COUNTBLANK(Combo_Opponent_Type_1)=1,COUNTBLANK(Combo_Opponent_Type_2)=0),AND(AND(COUNTBLANK(Combo_Opponent_Type_1)=0,COUNTBLANK(Combo_Opponent_Type_2)=0),Combo_Opponent_Type_1=Combo_Opponent_Type_2)),
"Check Types",(
IF($W248&gt;=((1-Game_Weave_Human_Error)*$X248),$W248,$X248)*INDEX(Species_Attack,MATCH($N248,Species_Names,0)))/11)</f>
        <v>#VALUE!</v>
      </c>
      <c r="T248" s="33" t="e">
        <f t="shared" si="7"/>
        <v>#VALUE!</v>
      </c>
      <c r="U248" s="33">
        <f t="array" ref="U2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248,Quick_Names,0))),Type_Species)),0),1)*IF(COUNTBLANK(Combo_Opponent_Type_2)=0,INDEX(Type_Damage_Multipliers,MATCH(Combo_Opponent_Type_2,IF(Type_Move=(INDEX(Quick_Type,MATCH($O248,Quick_Names,0))),Type_Species)),0),1)*(IF(OR(INDEX(Quick_Type,MATCH($O248,Quick_Names,0))=INDEX(Species_Type_1,MATCH($N248,Species_Names,0)),INDEX(Quick_Type,MATCH($O248,Quick_Names,0))=INDEX(Species_Type_2,MATCH($N248,Species_Names,0))),Game_STAB_Multiplier,1)))</f>
        <v>1.25</v>
      </c>
      <c r="V248" s="33">
        <f t="array" ref="V2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248,Charge_Names,0))),Type_Species)),0),1)*IF(COUNTBLANK(Combo_Opponent_Type_2)=0,INDEX(Type_Damage_Multipliers,MATCH(Combo_Opponent_Type_2,IF(Type_Move=(INDEX(Charge_Type,MATCH($P248,Charge_Names,0))),Type_Species)),0),1)*
IF(OR(INDEX(Charge_Type,MATCH($P248,Charge_Names,0))=INDEX(Species_Type_1,MATCH($N248,Species_Names,0)),INDEX(Charge_Type,MATCH($P248,Charge_Names,0))=INDEX(Species_Type_2,MATCH($N248,Species_Names,0))),Game_STAB_Multiplier,1))</f>
        <v>1.25</v>
      </c>
      <c r="W248" s="33" t="s">
        <v>710</v>
      </c>
      <c r="X248" s="33" t="s">
        <v>750</v>
      </c>
      <c r="Y248" s="32" t="e">
        <f t="array" ref="Y248">((($Z248)*
INDEX(Species_Attack,MATCH($N248,Species_Names,0))*
INDEX(Species_Tankiness,MATCH($N248,Species_Names,0)))/1000)</f>
        <v>#VALUE!</v>
      </c>
      <c r="Z248" s="33" t="s">
        <v>751</v>
      </c>
    </row>
    <row r="249" spans="1:26" ht="14.25" customHeight="1" x14ac:dyDescent="0.2">
      <c r="A249" s="86"/>
      <c r="B249" s="22" t="str">
        <f t="array" ref="B249">CONCATENATE(TEXT($M249,"000"),".",TEXT(INDEX(Quick_Number,MATCH($O249,Quick_Names,0)),"000"),".",TEXT(INDEX(Charge_Number,MATCH($P249,Charge_Names,0)),"000"))</f>
        <v>094.213.016</v>
      </c>
      <c r="C249" s="23" t="e">
        <f t="array" ref="C249">RANK($S249,IF(Combo_Species_Names=$N249,Combo_Gym_Offense),0)</f>
        <v>#VALUE!</v>
      </c>
      <c r="D249" s="24" t="e">
        <f t="array" ref="D249">$S249/MAX(IF(Combo_Species_Names=$N249,Combo_Gym_Offense))</f>
        <v>#VALUE!</v>
      </c>
      <c r="E249" s="23" t="e">
        <f t="array" ref="E249">RANK($Y249,IF(Combo_Species_Names=$N249,Combo_Gym_Defense),0)</f>
        <v>#VALUE!</v>
      </c>
      <c r="F249" s="25" t="e">
        <f t="array" ref="F249">$Y249/MAX(IF(Combo_Species_Names=$N249,Combo_Gym_Defense))</f>
        <v>#VALUE!</v>
      </c>
      <c r="G249" s="23" t="e">
        <f t="array" ref="G249">IF(OR(INDEX(Species_Availability,MATCH($N249,Species_Names,0))="No",INDEX(Species_Evo_Numbers,MATCH($N249,Species_Names,0))&lt;&gt;1),"N/A",RANK($R249,IF(NOT(ISNA(MATCH(Combo_Species_Names,IF(Species_Availability="Yes",IF(Species_Evo_Numbers=1,Species_Names)),0))),Combo_Duel_Ability),0))</f>
        <v>#VALUE!</v>
      </c>
      <c r="H249" s="24" t="e">
        <f t="array" ref="H249">IF(OR(INDEX(Species_Availability,MATCH($N249,Species_Names,0))="No",INDEX(Species_Evo_Numbers,MATCH($N249,Species_Names,0))&lt;&gt;1),"N/A",$R249/MAX(IF(NOT(ISNA(MATCH(Combo_Species_Names,IF(Species_Availability="Yes",IF(Species_Evo_Numbers=1,Species_Names)),0))),Combo_Duel_Ability)))</f>
        <v>#VALUE!</v>
      </c>
      <c r="I249" s="23" t="e">
        <f t="array" ref="I249">IF(OR(INDEX(Species_Availability,MATCH($N249,Species_Names,0))="No",INDEX(Species_Evo_Numbers,MATCH($N249,Species_Names,0))&lt;&gt;1),"N/A",RANK($S249,IF(NOT(ISNA(MATCH(Combo_Species_Names,IF(Species_Availability="Yes",IF(Species_Evo_Numbers=1,Species_Names)),0))),Combo_Gym_Offense),0))</f>
        <v>#VALUE!</v>
      </c>
      <c r="J249" s="24" t="e">
        <f t="array" ref="J249">IF(OR(INDEX(Species_Availability,MATCH($N249,Species_Names,0))="No",INDEX(Species_Evo_Numbers,MATCH($N249,Species_Names,0))&lt;&gt;1),"N/A",$S249/MAX(IF(NOT(ISNA(MATCH(Combo_Species_Names,IF(Species_Availability="Yes",IF(Species_Evo_Numbers=1,Species_Names)),0))),Combo_Gym_Offense)))</f>
        <v>#VALUE!</v>
      </c>
      <c r="K249" s="23" t="e">
        <f t="array" ref="K249">IF(OR(INDEX(Species_Availability,MATCH($N249,Species_Names,0))="No",INDEX(Species_Evo_Numbers,MATCH($N249,Species_Names,0))&lt;&gt;1),"N/A",RANK($Y249,IF(NOT(ISNA(MATCH(Combo_Species_Names,IF(Species_Availability="Yes",IF(Species_Evo_Numbers=1,Species_Names)),0))),Combo_Gym_Defense),0))</f>
        <v>#VALUE!</v>
      </c>
      <c r="L249" s="24" t="e">
        <f t="array" ref="L249">IF(OR(INDEX(Species_Availability,MATCH($N249,Species_Names,0))="No",INDEX(Species_Evo_Numbers,MATCH($N249,Species_Names,0))&lt;&gt;1),"N/A",$Y249/MAX(IF(NOT(ISNA(MATCH(Combo_Species_Names,IF(Species_Availability="Yes",IF(Species_Evo_Numbers=1,Species_Names)),0))),Combo_Gym_Defense)))</f>
        <v>#VALUE!</v>
      </c>
      <c r="M249" s="28">
        <f t="array" ref="M249">INDEX(Species_Pdex_Numbers,MATCH($N249,Species_Names,0))</f>
        <v>94</v>
      </c>
      <c r="N249" s="30" t="s">
        <v>284</v>
      </c>
      <c r="O249" s="31" t="s">
        <v>74</v>
      </c>
      <c r="P249" s="31" t="s">
        <v>258</v>
      </c>
      <c r="Q249" s="17" t="e">
        <f t="shared" si="6"/>
        <v>#VALUE!</v>
      </c>
      <c r="R249" s="32" t="e">
        <f t="array" ref="R249">IF(OR(AND(COUNTBLANK(Combo_Opponent_Type_1)=1,COUNTBLANK(Combo_Opponent_Type_2)=0),AND(AND(COUNTBLANK(Combo_Opponent_Type_1)=0,COUNTBLANK(Combo_Opponent_Type_2)=0),Combo_Opponent_Type_1=Combo_Opponent_Type_2)),
"Check Types",($S249*INDEX(Species_Tankiness,MATCH($N249,Species_Names,0)))/225)</f>
        <v>#VALUE!</v>
      </c>
      <c r="S249" s="32" t="e">
        <f t="array" ref="S249">IF(OR(AND(COUNTBLANK(Combo_Opponent_Type_1)=1,COUNTBLANK(Combo_Opponent_Type_2)=0),AND(AND(COUNTBLANK(Combo_Opponent_Type_1)=0,COUNTBLANK(Combo_Opponent_Type_2)=0),Combo_Opponent_Type_1=Combo_Opponent_Type_2)),
"Check Types",(
IF($W249&gt;=((1-Game_Weave_Human_Error)*$X249),$W249,$X249)*INDEX(Species_Attack,MATCH($N249,Species_Names,0)))/11)</f>
        <v>#VALUE!</v>
      </c>
      <c r="T249" s="33" t="e">
        <f t="shared" si="7"/>
        <v>#VALUE!</v>
      </c>
      <c r="U249" s="33">
        <f t="array" ref="U2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249,Quick_Names,0))),Type_Species)),0),1)*IF(COUNTBLANK(Combo_Opponent_Type_2)=0,INDEX(Type_Damage_Multipliers,MATCH(Combo_Opponent_Type_2,IF(Type_Move=(INDEX(Quick_Type,MATCH($O249,Quick_Names,0))),Type_Species)),0),1)*(IF(OR(INDEX(Quick_Type,MATCH($O249,Quick_Names,0))=INDEX(Species_Type_1,MATCH($N249,Species_Names,0)),INDEX(Quick_Type,MATCH($O249,Quick_Names,0))=INDEX(Species_Type_2,MATCH($N249,Species_Names,0))),Game_STAB_Multiplier,1)))</f>
        <v>1.25</v>
      </c>
      <c r="V249" s="33">
        <f t="array" ref="V2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249,Charge_Names,0))),Type_Species)),0),1)*IF(COUNTBLANK(Combo_Opponent_Type_2)=0,INDEX(Type_Damage_Multipliers,MATCH(Combo_Opponent_Type_2,IF(Type_Move=(INDEX(Charge_Type,MATCH($P249,Charge_Names,0))),Type_Species)),0),1)*
IF(OR(INDEX(Charge_Type,MATCH($P249,Charge_Names,0))=INDEX(Species_Type_1,MATCH($N249,Species_Names,0)),INDEX(Charge_Type,MATCH($P249,Charge_Names,0))=INDEX(Species_Type_2,MATCH($N249,Species_Names,0))),Game_STAB_Multiplier,1))</f>
        <v>1</v>
      </c>
      <c r="W249" s="33" t="s">
        <v>710</v>
      </c>
      <c r="X249" s="33" t="s">
        <v>752</v>
      </c>
      <c r="Y249" s="32" t="e">
        <f t="array" ref="Y249">((($Z249)*
INDEX(Species_Attack,MATCH($N249,Species_Names,0))*
INDEX(Species_Tankiness,MATCH($N249,Species_Names,0)))/1000)</f>
        <v>#VALUE!</v>
      </c>
      <c r="Z249" s="33" t="s">
        <v>699</v>
      </c>
    </row>
    <row r="250" spans="1:26" ht="14.25" customHeight="1" x14ac:dyDescent="0.2">
      <c r="A250" s="86"/>
      <c r="B250" s="22" t="str">
        <f t="array" ref="B250">CONCATENATE(TEXT($M250,"000"),".",TEXT(INDEX(Quick_Number,MATCH($O250,Quick_Names,0)),"000"),".",TEXT(INDEX(Charge_Number,MATCH($P250,Charge_Names,0)),"000"))</f>
        <v>065.226.108</v>
      </c>
      <c r="C250" s="23" t="e">
        <f t="array" ref="C250">RANK($S250,IF(Combo_Species_Names=$N250,Combo_Gym_Offense),0)</f>
        <v>#VALUE!</v>
      </c>
      <c r="D250" s="24" t="e">
        <f t="array" ref="D250">$S250/MAX(IF(Combo_Species_Names=$N250,Combo_Gym_Offense))</f>
        <v>#VALUE!</v>
      </c>
      <c r="E250" s="23" t="e">
        <f t="array" ref="E250">RANK($Y250,IF(Combo_Species_Names=$N250,Combo_Gym_Defense),0)</f>
        <v>#VALUE!</v>
      </c>
      <c r="F250" s="25" t="e">
        <f t="array" ref="F250">$Y250/MAX(IF(Combo_Species_Names=$N250,Combo_Gym_Defense))</f>
        <v>#VALUE!</v>
      </c>
      <c r="G250" s="23" t="e">
        <f t="array" ref="G250">IF(OR(INDEX(Species_Availability,MATCH($N250,Species_Names,0))="No",INDEX(Species_Evo_Numbers,MATCH($N250,Species_Names,0))&lt;&gt;1),"N/A",RANK($R250,IF(NOT(ISNA(MATCH(Combo_Species_Names,IF(Species_Availability="Yes",IF(Species_Evo_Numbers=1,Species_Names)),0))),Combo_Duel_Ability),0))</f>
        <v>#VALUE!</v>
      </c>
      <c r="H250" s="24" t="e">
        <f t="array" ref="H250">IF(OR(INDEX(Species_Availability,MATCH($N250,Species_Names,0))="No",INDEX(Species_Evo_Numbers,MATCH($N250,Species_Names,0))&lt;&gt;1),"N/A",$R250/MAX(IF(NOT(ISNA(MATCH(Combo_Species_Names,IF(Species_Availability="Yes",IF(Species_Evo_Numbers=1,Species_Names)),0))),Combo_Duel_Ability)))</f>
        <v>#VALUE!</v>
      </c>
      <c r="I250" s="23" t="e">
        <f t="array" ref="I250">IF(OR(INDEX(Species_Availability,MATCH($N250,Species_Names,0))="No",INDEX(Species_Evo_Numbers,MATCH($N250,Species_Names,0))&lt;&gt;1),"N/A",RANK($S250,IF(NOT(ISNA(MATCH(Combo_Species_Names,IF(Species_Availability="Yes",IF(Species_Evo_Numbers=1,Species_Names)),0))),Combo_Gym_Offense),0))</f>
        <v>#VALUE!</v>
      </c>
      <c r="J250" s="24" t="e">
        <f t="array" ref="J250">IF(OR(INDEX(Species_Availability,MATCH($N250,Species_Names,0))="No",INDEX(Species_Evo_Numbers,MATCH($N250,Species_Names,0))&lt;&gt;1),"N/A",$S250/MAX(IF(NOT(ISNA(MATCH(Combo_Species_Names,IF(Species_Availability="Yes",IF(Species_Evo_Numbers=1,Species_Names)),0))),Combo_Gym_Offense)))</f>
        <v>#VALUE!</v>
      </c>
      <c r="K250" s="23" t="e">
        <f t="array" ref="K250">IF(OR(INDEX(Species_Availability,MATCH($N250,Species_Names,0))="No",INDEX(Species_Evo_Numbers,MATCH($N250,Species_Names,0))&lt;&gt;1),"N/A",RANK($Y250,IF(NOT(ISNA(MATCH(Combo_Species_Names,IF(Species_Availability="Yes",IF(Species_Evo_Numbers=1,Species_Names)),0))),Combo_Gym_Defense),0))</f>
        <v>#VALUE!</v>
      </c>
      <c r="L250" s="24" t="e">
        <f t="array" ref="L250">IF(OR(INDEX(Species_Availability,MATCH($N250,Species_Names,0))="No",INDEX(Species_Evo_Numbers,MATCH($N250,Species_Names,0))&lt;&gt;1),"N/A",$Y250/MAX(IF(NOT(ISNA(MATCH(Combo_Species_Names,IF(Species_Availability="Yes",IF(Species_Evo_Numbers=1,Species_Names)),0))),Combo_Gym_Defense)))</f>
        <v>#VALUE!</v>
      </c>
      <c r="M250" s="28">
        <f t="array" ref="M250">INDEX(Species_Pdex_Numbers,MATCH($N250,Species_Names,0))</f>
        <v>65</v>
      </c>
      <c r="N250" s="30" t="s">
        <v>221</v>
      </c>
      <c r="O250" s="31" t="s">
        <v>57</v>
      </c>
      <c r="P250" s="31" t="s">
        <v>58</v>
      </c>
      <c r="Q250" s="17" t="e">
        <f t="shared" si="6"/>
        <v>#VALUE!</v>
      </c>
      <c r="R250" s="32" t="e">
        <f t="array" ref="R250">IF(OR(AND(COUNTBLANK(Combo_Opponent_Type_1)=1,COUNTBLANK(Combo_Opponent_Type_2)=0),AND(AND(COUNTBLANK(Combo_Opponent_Type_1)=0,COUNTBLANK(Combo_Opponent_Type_2)=0),Combo_Opponent_Type_1=Combo_Opponent_Type_2)),
"Check Types",($S250*INDEX(Species_Tankiness,MATCH($N250,Species_Names,0)))/225)</f>
        <v>#VALUE!</v>
      </c>
      <c r="S250" s="32" t="e">
        <f t="array" ref="S250">IF(OR(AND(COUNTBLANK(Combo_Opponent_Type_1)=1,COUNTBLANK(Combo_Opponent_Type_2)=0),AND(AND(COUNTBLANK(Combo_Opponent_Type_1)=0,COUNTBLANK(Combo_Opponent_Type_2)=0),Combo_Opponent_Type_1=Combo_Opponent_Type_2)),
"Check Types",(
IF($W250&gt;=((1-Game_Weave_Human_Error)*$X250),$W250,$X250)*INDEX(Species_Attack,MATCH($N250,Species_Names,0)))/11)</f>
        <v>#VALUE!</v>
      </c>
      <c r="T250" s="33" t="e">
        <f t="shared" si="7"/>
        <v>#VALUE!</v>
      </c>
      <c r="U250" s="33">
        <f t="array" ref="U2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250,Quick_Names,0))),Type_Species)),0),1)*IF(COUNTBLANK(Combo_Opponent_Type_2)=0,INDEX(Type_Damage_Multipliers,MATCH(Combo_Opponent_Type_2,IF(Type_Move=(INDEX(Quick_Type,MATCH($O250,Quick_Names,0))),Type_Species)),0),1)*(IF(OR(INDEX(Quick_Type,MATCH($O250,Quick_Names,0))=INDEX(Species_Type_1,MATCH($N250,Species_Names,0)),INDEX(Quick_Type,MATCH($O250,Quick_Names,0))=INDEX(Species_Type_2,MATCH($N250,Species_Names,0))),Game_STAB_Multiplier,1)))</f>
        <v>1.25</v>
      </c>
      <c r="V250" s="33">
        <f t="array" ref="V2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250,Charge_Names,0))),Type_Species)),0),1)*IF(COUNTBLANK(Combo_Opponent_Type_2)=0,INDEX(Type_Damage_Multipliers,MATCH(Combo_Opponent_Type_2,IF(Type_Move=(INDEX(Charge_Type,MATCH($P250,Charge_Names,0))),Type_Species)),0),1)*
IF(OR(INDEX(Charge_Type,MATCH($P250,Charge_Names,0))=INDEX(Species_Type_1,MATCH($N250,Species_Names,0)),INDEX(Charge_Type,MATCH($P250,Charge_Names,0))=INDEX(Species_Type_2,MATCH($N250,Species_Names,0))),Game_STAB_Multiplier,1))</f>
        <v>1.25</v>
      </c>
      <c r="W250" s="33" t="s">
        <v>753</v>
      </c>
      <c r="X250" s="33" t="s">
        <v>754</v>
      </c>
      <c r="Y250" s="32" t="e">
        <f t="array" ref="Y250">((($Z250)*
INDEX(Species_Attack,MATCH($N250,Species_Names,0))*
INDEX(Species_Tankiness,MATCH($N250,Species_Names,0)))/1000)</f>
        <v>#VALUE!</v>
      </c>
      <c r="Z250" s="33" t="s">
        <v>557</v>
      </c>
    </row>
    <row r="251" spans="1:26" ht="14.25" customHeight="1" x14ac:dyDescent="0.2">
      <c r="A251" s="86"/>
      <c r="B251" s="22" t="str">
        <f t="array" ref="B251">CONCATENATE(TEXT($M251,"000"),".",TEXT(INDEX(Quick_Number,MATCH($O251,Quick_Names,0)),"000"),".",TEXT(INDEX(Charge_Number,MATCH($P251,Charge_Names,0)),"000"))</f>
        <v>126.208.024</v>
      </c>
      <c r="C251" s="23" t="e">
        <f t="array" ref="C251">RANK($S251,IF(Combo_Species_Names=$N251,Combo_Gym_Offense),0)</f>
        <v>#VALUE!</v>
      </c>
      <c r="D251" s="24" t="e">
        <f t="array" ref="D251">$S251/MAX(IF(Combo_Species_Names=$N251,Combo_Gym_Offense))</f>
        <v>#VALUE!</v>
      </c>
      <c r="E251" s="23" t="e">
        <f t="array" ref="E251">RANK($Y251,IF(Combo_Species_Names=$N251,Combo_Gym_Defense),0)</f>
        <v>#VALUE!</v>
      </c>
      <c r="F251" s="25" t="e">
        <f t="array" ref="F251">$Y251/MAX(IF(Combo_Species_Names=$N251,Combo_Gym_Defense))</f>
        <v>#VALUE!</v>
      </c>
      <c r="G251" s="23" t="e">
        <f t="array" ref="G251">IF(OR(INDEX(Species_Availability,MATCH($N251,Species_Names,0))="No",INDEX(Species_Evo_Numbers,MATCH($N251,Species_Names,0))&lt;&gt;1),"N/A",RANK($R251,IF(NOT(ISNA(MATCH(Combo_Species_Names,IF(Species_Availability="Yes",IF(Species_Evo_Numbers=1,Species_Names)),0))),Combo_Duel_Ability),0))</f>
        <v>#VALUE!</v>
      </c>
      <c r="H251" s="24" t="e">
        <f t="array" ref="H251">IF(OR(INDEX(Species_Availability,MATCH($N251,Species_Names,0))="No",INDEX(Species_Evo_Numbers,MATCH($N251,Species_Names,0))&lt;&gt;1),"N/A",$R251/MAX(IF(NOT(ISNA(MATCH(Combo_Species_Names,IF(Species_Availability="Yes",IF(Species_Evo_Numbers=1,Species_Names)),0))),Combo_Duel_Ability)))</f>
        <v>#VALUE!</v>
      </c>
      <c r="I251" s="23" t="e">
        <f t="array" ref="I251">IF(OR(INDEX(Species_Availability,MATCH($N251,Species_Names,0))="No",INDEX(Species_Evo_Numbers,MATCH($N251,Species_Names,0))&lt;&gt;1),"N/A",RANK($S251,IF(NOT(ISNA(MATCH(Combo_Species_Names,IF(Species_Availability="Yes",IF(Species_Evo_Numbers=1,Species_Names)),0))),Combo_Gym_Offense),0))</f>
        <v>#VALUE!</v>
      </c>
      <c r="J251" s="24" t="e">
        <f t="array" ref="J251">IF(OR(INDEX(Species_Availability,MATCH($N251,Species_Names,0))="No",INDEX(Species_Evo_Numbers,MATCH($N251,Species_Names,0))&lt;&gt;1),"N/A",$S251/MAX(IF(NOT(ISNA(MATCH(Combo_Species_Names,IF(Species_Availability="Yes",IF(Species_Evo_Numbers=1,Species_Names)),0))),Combo_Gym_Offense)))</f>
        <v>#VALUE!</v>
      </c>
      <c r="K251" s="23" t="e">
        <f t="array" ref="K251">IF(OR(INDEX(Species_Availability,MATCH($N251,Species_Names,0))="No",INDEX(Species_Evo_Numbers,MATCH($N251,Species_Names,0))&lt;&gt;1),"N/A",RANK($Y251,IF(NOT(ISNA(MATCH(Combo_Species_Names,IF(Species_Availability="Yes",IF(Species_Evo_Numbers=1,Species_Names)),0))),Combo_Gym_Defense),0))</f>
        <v>#VALUE!</v>
      </c>
      <c r="L251" s="24" t="e">
        <f t="array" ref="L251">IF(OR(INDEX(Species_Availability,MATCH($N251,Species_Names,0))="No",INDEX(Species_Evo_Numbers,MATCH($N251,Species_Names,0))&lt;&gt;1),"N/A",$Y251/MAX(IF(NOT(ISNA(MATCH(Combo_Species_Names,IF(Species_Availability="Yes",IF(Species_Evo_Numbers=1,Species_Names)),0))),Combo_Gym_Defense)))</f>
        <v>#VALUE!</v>
      </c>
      <c r="M251" s="28">
        <f t="array" ref="M251">INDEX(Species_Pdex_Numbers,MATCH($N251,Species_Names,0))</f>
        <v>126</v>
      </c>
      <c r="N251" s="30" t="s">
        <v>343</v>
      </c>
      <c r="O251" s="31" t="s">
        <v>122</v>
      </c>
      <c r="P251" s="31" t="s">
        <v>200</v>
      </c>
      <c r="Q251" s="17" t="e">
        <f t="shared" si="6"/>
        <v>#VALUE!</v>
      </c>
      <c r="R251" s="32" t="e">
        <f t="array" ref="R251">IF(OR(AND(COUNTBLANK(Combo_Opponent_Type_1)=1,COUNTBLANK(Combo_Opponent_Type_2)=0),AND(AND(COUNTBLANK(Combo_Opponent_Type_1)=0,COUNTBLANK(Combo_Opponent_Type_2)=0),Combo_Opponent_Type_1=Combo_Opponent_Type_2)),
"Check Types",($S251*INDEX(Species_Tankiness,MATCH($N251,Species_Names,0)))/225)</f>
        <v>#VALUE!</v>
      </c>
      <c r="S251" s="32" t="e">
        <f t="array" ref="S251">IF(OR(AND(COUNTBLANK(Combo_Opponent_Type_1)=1,COUNTBLANK(Combo_Opponent_Type_2)=0),AND(AND(COUNTBLANK(Combo_Opponent_Type_1)=0,COUNTBLANK(Combo_Opponent_Type_2)=0),Combo_Opponent_Type_1=Combo_Opponent_Type_2)),
"Check Types",(
IF($W251&gt;=((1-Game_Weave_Human_Error)*$X251),$W251,$X251)*INDEX(Species_Attack,MATCH($N251,Species_Names,0)))/11)</f>
        <v>#VALUE!</v>
      </c>
      <c r="T251" s="33" t="e">
        <f t="shared" si="7"/>
        <v>#VALUE!</v>
      </c>
      <c r="U251" s="33">
        <f t="array" ref="U2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251,Quick_Names,0))),Type_Species)),0),1)*IF(COUNTBLANK(Combo_Opponent_Type_2)=0,INDEX(Type_Damage_Multipliers,MATCH(Combo_Opponent_Type_2,IF(Type_Move=(INDEX(Quick_Type,MATCH($O251,Quick_Names,0))),Type_Species)),0),1)*(IF(OR(INDEX(Quick_Type,MATCH($O251,Quick_Names,0))=INDEX(Species_Type_1,MATCH($N251,Species_Names,0)),INDEX(Quick_Type,MATCH($O251,Quick_Names,0))=INDEX(Species_Type_2,MATCH($N251,Species_Names,0))),Game_STAB_Multiplier,1)))</f>
        <v>1</v>
      </c>
      <c r="V251" s="33">
        <f t="array" ref="V2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251,Charge_Names,0))),Type_Species)),0),1)*IF(COUNTBLANK(Combo_Opponent_Type_2)=0,INDEX(Type_Damage_Multipliers,MATCH(Combo_Opponent_Type_2,IF(Type_Move=(INDEX(Charge_Type,MATCH($P251,Charge_Names,0))),Type_Species)),0),1)*
IF(OR(INDEX(Charge_Type,MATCH($P251,Charge_Names,0))=INDEX(Species_Type_1,MATCH($N251,Species_Names,0)),INDEX(Charge_Type,MATCH($P251,Charge_Names,0))=INDEX(Species_Type_2,MATCH($N251,Species_Names,0))),Game_STAB_Multiplier,1))</f>
        <v>1.25</v>
      </c>
      <c r="W251" s="33" t="s">
        <v>600</v>
      </c>
      <c r="X251" s="33" t="s">
        <v>708</v>
      </c>
      <c r="Y251" s="32" t="e">
        <f t="array" ref="Y251">((($Z251)*
INDEX(Species_Attack,MATCH($N251,Species_Names,0))*
INDEX(Species_Tankiness,MATCH($N251,Species_Names,0)))/1000)</f>
        <v>#VALUE!</v>
      </c>
      <c r="Z251" s="33" t="s">
        <v>755</v>
      </c>
    </row>
    <row r="252" spans="1:26" ht="14.25" customHeight="1" x14ac:dyDescent="0.2">
      <c r="A252" s="86"/>
      <c r="B252" s="22" t="str">
        <f t="array" ref="B252">CONCATENATE(TEXT($M252,"000"),".",TEXT(INDEX(Quick_Number,MATCH($O252,Quick_Names,0)),"000"),".",TEXT(INDEX(Charge_Number,MATCH($P252,Charge_Names,0)),"000"))</f>
        <v>135.205.035</v>
      </c>
      <c r="C252" s="23" t="e">
        <f t="array" ref="C252">RANK($S252,IF(Combo_Species_Names=$N252,Combo_Gym_Offense),0)</f>
        <v>#VALUE!</v>
      </c>
      <c r="D252" s="24" t="e">
        <f t="array" ref="D252">$S252/MAX(IF(Combo_Species_Names=$N252,Combo_Gym_Offense))</f>
        <v>#VALUE!</v>
      </c>
      <c r="E252" s="23" t="e">
        <f t="array" ref="E252">RANK($Y252,IF(Combo_Species_Names=$N252,Combo_Gym_Defense),0)</f>
        <v>#VALUE!</v>
      </c>
      <c r="F252" s="25" t="e">
        <f t="array" ref="F252">$Y252/MAX(IF(Combo_Species_Names=$N252,Combo_Gym_Defense))</f>
        <v>#VALUE!</v>
      </c>
      <c r="G252" s="23" t="e">
        <f t="array" ref="G252">IF(OR(INDEX(Species_Availability,MATCH($N252,Species_Names,0))="No",INDEX(Species_Evo_Numbers,MATCH($N252,Species_Names,0))&lt;&gt;1),"N/A",RANK($R252,IF(NOT(ISNA(MATCH(Combo_Species_Names,IF(Species_Availability="Yes",IF(Species_Evo_Numbers=1,Species_Names)),0))),Combo_Duel_Ability),0))</f>
        <v>#VALUE!</v>
      </c>
      <c r="H252" s="24" t="e">
        <f t="array" ref="H252">IF(OR(INDEX(Species_Availability,MATCH($N252,Species_Names,0))="No",INDEX(Species_Evo_Numbers,MATCH($N252,Species_Names,0))&lt;&gt;1),"N/A",$R252/MAX(IF(NOT(ISNA(MATCH(Combo_Species_Names,IF(Species_Availability="Yes",IF(Species_Evo_Numbers=1,Species_Names)),0))),Combo_Duel_Ability)))</f>
        <v>#VALUE!</v>
      </c>
      <c r="I252" s="23" t="e">
        <f t="array" ref="I252">IF(OR(INDEX(Species_Availability,MATCH($N252,Species_Names,0))="No",INDEX(Species_Evo_Numbers,MATCH($N252,Species_Names,0))&lt;&gt;1),"N/A",RANK($S252,IF(NOT(ISNA(MATCH(Combo_Species_Names,IF(Species_Availability="Yes",IF(Species_Evo_Numbers=1,Species_Names)),0))),Combo_Gym_Offense),0))</f>
        <v>#VALUE!</v>
      </c>
      <c r="J252" s="24" t="e">
        <f t="array" ref="J252">IF(OR(INDEX(Species_Availability,MATCH($N252,Species_Names,0))="No",INDEX(Species_Evo_Numbers,MATCH($N252,Species_Names,0))&lt;&gt;1),"N/A",$S252/MAX(IF(NOT(ISNA(MATCH(Combo_Species_Names,IF(Species_Availability="Yes",IF(Species_Evo_Numbers=1,Species_Names)),0))),Combo_Gym_Offense)))</f>
        <v>#VALUE!</v>
      </c>
      <c r="K252" s="23" t="e">
        <f t="array" ref="K252">IF(OR(INDEX(Species_Availability,MATCH($N252,Species_Names,0))="No",INDEX(Species_Evo_Numbers,MATCH($N252,Species_Names,0))&lt;&gt;1),"N/A",RANK($Y252,IF(NOT(ISNA(MATCH(Combo_Species_Names,IF(Species_Availability="Yes",IF(Species_Evo_Numbers=1,Species_Names)),0))),Combo_Gym_Defense),0))</f>
        <v>#VALUE!</v>
      </c>
      <c r="L252" s="24" t="e">
        <f t="array" ref="L252">IF(OR(INDEX(Species_Availability,MATCH($N252,Species_Names,0))="No",INDEX(Species_Evo_Numbers,MATCH($N252,Species_Names,0))&lt;&gt;1),"N/A",$Y252/MAX(IF(NOT(ISNA(MATCH(Combo_Species_Names,IF(Species_Availability="Yes",IF(Species_Evo_Numbers=1,Species_Names)),0))),Combo_Gym_Defense)))</f>
        <v>#VALUE!</v>
      </c>
      <c r="M252" s="28">
        <f t="array" ref="M252">INDEX(Species_Pdex_Numbers,MATCH($N252,Species_Names,0))</f>
        <v>135</v>
      </c>
      <c r="N252" s="30" t="s">
        <v>353</v>
      </c>
      <c r="O252" s="31" t="s">
        <v>115</v>
      </c>
      <c r="P252" s="31" t="s">
        <v>245</v>
      </c>
      <c r="Q252" s="17" t="e">
        <f t="shared" si="6"/>
        <v>#VALUE!</v>
      </c>
      <c r="R252" s="32" t="e">
        <f t="array" ref="R252">IF(OR(AND(COUNTBLANK(Combo_Opponent_Type_1)=1,COUNTBLANK(Combo_Opponent_Type_2)=0),AND(AND(COUNTBLANK(Combo_Opponent_Type_1)=0,COUNTBLANK(Combo_Opponent_Type_2)=0),Combo_Opponent_Type_1=Combo_Opponent_Type_2)),
"Check Types",($S252*INDEX(Species_Tankiness,MATCH($N252,Species_Names,0)))/225)</f>
        <v>#VALUE!</v>
      </c>
      <c r="S252" s="32" t="e">
        <f t="array" ref="S252">IF(OR(AND(COUNTBLANK(Combo_Opponent_Type_1)=1,COUNTBLANK(Combo_Opponent_Type_2)=0),AND(AND(COUNTBLANK(Combo_Opponent_Type_1)=0,COUNTBLANK(Combo_Opponent_Type_2)=0),Combo_Opponent_Type_1=Combo_Opponent_Type_2)),
"Check Types",(
IF($W252&gt;=((1-Game_Weave_Human_Error)*$X252),$W252,$X252)*INDEX(Species_Attack,MATCH($N252,Species_Names,0)))/11)</f>
        <v>#VALUE!</v>
      </c>
      <c r="T252" s="33" t="e">
        <f t="shared" si="7"/>
        <v>#VALUE!</v>
      </c>
      <c r="U252" s="33">
        <f t="array" ref="U2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252,Quick_Names,0))),Type_Species)),0),1)*IF(COUNTBLANK(Combo_Opponent_Type_2)=0,INDEX(Type_Damage_Multipliers,MATCH(Combo_Opponent_Type_2,IF(Type_Move=(INDEX(Quick_Type,MATCH($O252,Quick_Names,0))),Type_Species)),0),1)*(IF(OR(INDEX(Quick_Type,MATCH($O252,Quick_Names,0))=INDEX(Species_Type_1,MATCH($N252,Species_Names,0)),INDEX(Quick_Type,MATCH($O252,Quick_Names,0))=INDEX(Species_Type_2,MATCH($N252,Species_Names,0))),Game_STAB_Multiplier,1)))</f>
        <v>1.25</v>
      </c>
      <c r="V252" s="33">
        <f t="array" ref="V2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252,Charge_Names,0))),Type_Species)),0),1)*IF(COUNTBLANK(Combo_Opponent_Type_2)=0,INDEX(Type_Damage_Multipliers,MATCH(Combo_Opponent_Type_2,IF(Type_Move=(INDEX(Charge_Type,MATCH($P252,Charge_Names,0))),Type_Species)),0),1)*
IF(OR(INDEX(Charge_Type,MATCH($P252,Charge_Names,0))=INDEX(Species_Type_1,MATCH($N252,Species_Names,0)),INDEX(Charge_Type,MATCH($P252,Charge_Names,0))=INDEX(Species_Type_2,MATCH($N252,Species_Names,0))),Game_STAB_Multiplier,1))</f>
        <v>1.25</v>
      </c>
      <c r="W252" s="33" t="s">
        <v>678</v>
      </c>
      <c r="X252" s="33" t="s">
        <v>756</v>
      </c>
      <c r="Y252" s="32" t="e">
        <f t="array" ref="Y252">((($Z252)*
INDEX(Species_Attack,MATCH($N252,Species_Names,0))*
INDEX(Species_Tankiness,MATCH($N252,Species_Names,0)))/1000)</f>
        <v>#VALUE!</v>
      </c>
      <c r="Z252" s="33" t="s">
        <v>635</v>
      </c>
    </row>
    <row r="253" spans="1:26" ht="14.25" customHeight="1" x14ac:dyDescent="0.2">
      <c r="A253" s="86"/>
      <c r="B253" s="22" t="str">
        <f t="array" ref="B253">CONCATENATE(TEXT($M253,"000"),".",TEXT(INDEX(Quick_Number,MATCH($O253,Quick_Names,0)),"000"),".",TEXT(INDEX(Charge_Number,MATCH($P253,Charge_Names,0)),"000"))</f>
        <v>026.206.077</v>
      </c>
      <c r="C253" s="23" t="e">
        <f t="array" ref="C253">RANK($S253,IF(Combo_Species_Names=$N253,Combo_Gym_Offense),0)</f>
        <v>#VALUE!</v>
      </c>
      <c r="D253" s="24" t="e">
        <f t="array" ref="D253">$S253/MAX(IF(Combo_Species_Names=$N253,Combo_Gym_Offense))</f>
        <v>#VALUE!</v>
      </c>
      <c r="E253" s="23" t="e">
        <f t="array" ref="E253">RANK($Y253,IF(Combo_Species_Names=$N253,Combo_Gym_Defense),0)</f>
        <v>#VALUE!</v>
      </c>
      <c r="F253" s="25" t="e">
        <f t="array" ref="F253">$Y253/MAX(IF(Combo_Species_Names=$N253,Combo_Gym_Defense))</f>
        <v>#VALUE!</v>
      </c>
      <c r="G253" s="23" t="e">
        <f t="array" ref="G253">IF(OR(INDEX(Species_Availability,MATCH($N253,Species_Names,0))="No",INDEX(Species_Evo_Numbers,MATCH($N253,Species_Names,0))&lt;&gt;1),"N/A",RANK($R253,IF(NOT(ISNA(MATCH(Combo_Species_Names,IF(Species_Availability="Yes",IF(Species_Evo_Numbers=1,Species_Names)),0))),Combo_Duel_Ability),0))</f>
        <v>#VALUE!</v>
      </c>
      <c r="H253" s="24" t="e">
        <f t="array" ref="H253">IF(OR(INDEX(Species_Availability,MATCH($N253,Species_Names,0))="No",INDEX(Species_Evo_Numbers,MATCH($N253,Species_Names,0))&lt;&gt;1),"N/A",$R253/MAX(IF(NOT(ISNA(MATCH(Combo_Species_Names,IF(Species_Availability="Yes",IF(Species_Evo_Numbers=1,Species_Names)),0))),Combo_Duel_Ability)))</f>
        <v>#VALUE!</v>
      </c>
      <c r="I253" s="23" t="e">
        <f t="array" ref="I253">IF(OR(INDEX(Species_Availability,MATCH($N253,Species_Names,0))="No",INDEX(Species_Evo_Numbers,MATCH($N253,Species_Names,0))&lt;&gt;1),"N/A",RANK($S253,IF(NOT(ISNA(MATCH(Combo_Species_Names,IF(Species_Availability="Yes",IF(Species_Evo_Numbers=1,Species_Names)),0))),Combo_Gym_Offense),0))</f>
        <v>#VALUE!</v>
      </c>
      <c r="J253" s="24" t="e">
        <f t="array" ref="J253">IF(OR(INDEX(Species_Availability,MATCH($N253,Species_Names,0))="No",INDEX(Species_Evo_Numbers,MATCH($N253,Species_Names,0))&lt;&gt;1),"N/A",$S253/MAX(IF(NOT(ISNA(MATCH(Combo_Species_Names,IF(Species_Availability="Yes",IF(Species_Evo_Numbers=1,Species_Names)),0))),Combo_Gym_Offense)))</f>
        <v>#VALUE!</v>
      </c>
      <c r="K253" s="23" t="e">
        <f t="array" ref="K253">IF(OR(INDEX(Species_Availability,MATCH($N253,Species_Names,0))="No",INDEX(Species_Evo_Numbers,MATCH($N253,Species_Names,0))&lt;&gt;1),"N/A",RANK($Y253,IF(NOT(ISNA(MATCH(Combo_Species_Names,IF(Species_Availability="Yes",IF(Species_Evo_Numbers=1,Species_Names)),0))),Combo_Gym_Defense),0))</f>
        <v>#VALUE!</v>
      </c>
      <c r="L253" s="24" t="e">
        <f t="array" ref="L253">IF(OR(INDEX(Species_Availability,MATCH($N253,Species_Names,0))="No",INDEX(Species_Evo_Numbers,MATCH($N253,Species_Names,0))&lt;&gt;1),"N/A",$Y253/MAX(IF(NOT(ISNA(MATCH(Combo_Species_Names,IF(Species_Availability="Yes",IF(Species_Evo_Numbers=1,Species_Names)),0))),Combo_Gym_Defense)))</f>
        <v>#VALUE!</v>
      </c>
      <c r="M253" s="28">
        <f t="array" ref="M253">INDEX(Species_Pdex_Numbers,MATCH($N253,Species_Names,0))</f>
        <v>26</v>
      </c>
      <c r="N253" s="30" t="s">
        <v>136</v>
      </c>
      <c r="O253" s="31" t="s">
        <v>106</v>
      </c>
      <c r="P253" s="31" t="s">
        <v>214</v>
      </c>
      <c r="Q253" s="17" t="e">
        <f t="shared" si="6"/>
        <v>#VALUE!</v>
      </c>
      <c r="R253" s="32" t="e">
        <f t="array" ref="R253">IF(OR(AND(COUNTBLANK(Combo_Opponent_Type_1)=1,COUNTBLANK(Combo_Opponent_Type_2)=0),AND(AND(COUNTBLANK(Combo_Opponent_Type_1)=0,COUNTBLANK(Combo_Opponent_Type_2)=0),Combo_Opponent_Type_1=Combo_Opponent_Type_2)),
"Check Types",($S253*INDEX(Species_Tankiness,MATCH($N253,Species_Names,0)))/225)</f>
        <v>#VALUE!</v>
      </c>
      <c r="S253" s="32" t="e">
        <f t="array" ref="S253">IF(OR(AND(COUNTBLANK(Combo_Opponent_Type_1)=1,COUNTBLANK(Combo_Opponent_Type_2)=0),AND(AND(COUNTBLANK(Combo_Opponent_Type_1)=0,COUNTBLANK(Combo_Opponent_Type_2)=0),Combo_Opponent_Type_1=Combo_Opponent_Type_2)),
"Check Types",(
IF($W253&gt;=((1-Game_Weave_Human_Error)*$X253),$W253,$X253)*INDEX(Species_Attack,MATCH($N253,Species_Names,0)))/11)</f>
        <v>#VALUE!</v>
      </c>
      <c r="T253" s="33" t="e">
        <f t="shared" si="7"/>
        <v>#VALUE!</v>
      </c>
      <c r="U253" s="33">
        <f t="array" ref="U2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253,Quick_Names,0))),Type_Species)),0),1)*IF(COUNTBLANK(Combo_Opponent_Type_2)=0,INDEX(Type_Damage_Multipliers,MATCH(Combo_Opponent_Type_2,IF(Type_Move=(INDEX(Quick_Type,MATCH($O253,Quick_Names,0))),Type_Species)),0),1)*(IF(OR(INDEX(Quick_Type,MATCH($O253,Quick_Names,0))=INDEX(Species_Type_1,MATCH($N253,Species_Names,0)),INDEX(Quick_Type,MATCH($O253,Quick_Names,0))=INDEX(Species_Type_2,MATCH($N253,Species_Names,0))),Game_STAB_Multiplier,1)))</f>
        <v>1.25</v>
      </c>
      <c r="V253" s="33">
        <f t="array" ref="V2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253,Charge_Names,0))),Type_Species)),0),1)*IF(COUNTBLANK(Combo_Opponent_Type_2)=0,INDEX(Type_Damage_Multipliers,MATCH(Combo_Opponent_Type_2,IF(Type_Move=(INDEX(Charge_Type,MATCH($P253,Charge_Names,0))),Type_Species)),0),1)*
IF(OR(INDEX(Charge_Type,MATCH($P253,Charge_Names,0))=INDEX(Species_Type_1,MATCH($N253,Species_Names,0)),INDEX(Charge_Type,MATCH($P253,Charge_Names,0))=INDEX(Species_Type_2,MATCH($N253,Species_Names,0))),Game_STAB_Multiplier,1))</f>
        <v>1.25</v>
      </c>
      <c r="W253" s="33" t="s">
        <v>708</v>
      </c>
      <c r="X253" s="33" t="s">
        <v>757</v>
      </c>
      <c r="Y253" s="32" t="e">
        <f t="array" ref="Y253">((($Z253)*
INDEX(Species_Attack,MATCH($N253,Species_Names,0))*
INDEX(Species_Tankiness,MATCH($N253,Species_Names,0)))/1000)</f>
        <v>#VALUE!</v>
      </c>
      <c r="Z253" s="33" t="s">
        <v>557</v>
      </c>
    </row>
    <row r="254" spans="1:26" ht="14.25" customHeight="1" x14ac:dyDescent="0.2">
      <c r="A254" s="86"/>
      <c r="B254" s="22" t="str">
        <f t="array" ref="B254">CONCATENATE(TEXT($M254,"000"),".",TEXT(INDEX(Quick_Number,MATCH($O254,Quick_Names,0)),"000"),".",TEXT(INDEX(Charge_Number,MATCH($P254,Charge_Names,0)),"000"))</f>
        <v>094.203.091</v>
      </c>
      <c r="C254" s="23" t="e">
        <f t="array" ref="C254">RANK($S254,IF(Combo_Species_Names=$N254,Combo_Gym_Offense),0)</f>
        <v>#VALUE!</v>
      </c>
      <c r="D254" s="24" t="e">
        <f t="array" ref="D254">$S254/MAX(IF(Combo_Species_Names=$N254,Combo_Gym_Offense))</f>
        <v>#VALUE!</v>
      </c>
      <c r="E254" s="23" t="e">
        <f t="array" ref="E254">RANK($Y254,IF(Combo_Species_Names=$N254,Combo_Gym_Defense),0)</f>
        <v>#VALUE!</v>
      </c>
      <c r="F254" s="25" t="e">
        <f t="array" ref="F254">$Y254/MAX(IF(Combo_Species_Names=$N254,Combo_Gym_Defense))</f>
        <v>#VALUE!</v>
      </c>
      <c r="G254" s="23" t="e">
        <f t="array" ref="G254">IF(OR(INDEX(Species_Availability,MATCH($N254,Species_Names,0))="No",INDEX(Species_Evo_Numbers,MATCH($N254,Species_Names,0))&lt;&gt;1),"N/A",RANK($R254,IF(NOT(ISNA(MATCH(Combo_Species_Names,IF(Species_Availability="Yes",IF(Species_Evo_Numbers=1,Species_Names)),0))),Combo_Duel_Ability),0))</f>
        <v>#VALUE!</v>
      </c>
      <c r="H254" s="24" t="e">
        <f t="array" ref="H254">IF(OR(INDEX(Species_Availability,MATCH($N254,Species_Names,0))="No",INDEX(Species_Evo_Numbers,MATCH($N254,Species_Names,0))&lt;&gt;1),"N/A",$R254/MAX(IF(NOT(ISNA(MATCH(Combo_Species_Names,IF(Species_Availability="Yes",IF(Species_Evo_Numbers=1,Species_Names)),0))),Combo_Duel_Ability)))</f>
        <v>#VALUE!</v>
      </c>
      <c r="I254" s="23" t="e">
        <f t="array" ref="I254">IF(OR(INDEX(Species_Availability,MATCH($N254,Species_Names,0))="No",INDEX(Species_Evo_Numbers,MATCH($N254,Species_Names,0))&lt;&gt;1),"N/A",RANK($S254,IF(NOT(ISNA(MATCH(Combo_Species_Names,IF(Species_Availability="Yes",IF(Species_Evo_Numbers=1,Species_Names)),0))),Combo_Gym_Offense),0))</f>
        <v>#VALUE!</v>
      </c>
      <c r="J254" s="24" t="e">
        <f t="array" ref="J254">IF(OR(INDEX(Species_Availability,MATCH($N254,Species_Names,0))="No",INDEX(Species_Evo_Numbers,MATCH($N254,Species_Names,0))&lt;&gt;1),"N/A",$S254/MAX(IF(NOT(ISNA(MATCH(Combo_Species_Names,IF(Species_Availability="Yes",IF(Species_Evo_Numbers=1,Species_Names)),0))),Combo_Gym_Offense)))</f>
        <v>#VALUE!</v>
      </c>
      <c r="K254" s="23" t="e">
        <f t="array" ref="K254">IF(OR(INDEX(Species_Availability,MATCH($N254,Species_Names,0))="No",INDEX(Species_Evo_Numbers,MATCH($N254,Species_Names,0))&lt;&gt;1),"N/A",RANK($Y254,IF(NOT(ISNA(MATCH(Combo_Species_Names,IF(Species_Availability="Yes",IF(Species_Evo_Numbers=1,Species_Names)),0))),Combo_Gym_Defense),0))</f>
        <v>#VALUE!</v>
      </c>
      <c r="L254" s="24" t="e">
        <f t="array" ref="L254">IF(OR(INDEX(Species_Availability,MATCH($N254,Species_Names,0))="No",INDEX(Species_Evo_Numbers,MATCH($N254,Species_Names,0))&lt;&gt;1),"N/A",$Y254/MAX(IF(NOT(ISNA(MATCH(Combo_Species_Names,IF(Species_Availability="Yes",IF(Species_Evo_Numbers=1,Species_Names)),0))),Combo_Gym_Defense)))</f>
        <v>#VALUE!</v>
      </c>
      <c r="M254" s="28">
        <f t="array" ref="M254">INDEX(Species_Pdex_Numbers,MATCH($N254,Species_Names,0))</f>
        <v>94</v>
      </c>
      <c r="N254" s="30" t="s">
        <v>284</v>
      </c>
      <c r="O254" s="31" t="s">
        <v>103</v>
      </c>
      <c r="P254" s="31" t="s">
        <v>186</v>
      </c>
      <c r="Q254" s="17" t="e">
        <f t="shared" si="6"/>
        <v>#VALUE!</v>
      </c>
      <c r="R254" s="32" t="e">
        <f t="array" ref="R254">IF(OR(AND(COUNTBLANK(Combo_Opponent_Type_1)=1,COUNTBLANK(Combo_Opponent_Type_2)=0),AND(AND(COUNTBLANK(Combo_Opponent_Type_1)=0,COUNTBLANK(Combo_Opponent_Type_2)=0),Combo_Opponent_Type_1=Combo_Opponent_Type_2)),
"Check Types",($S254*INDEX(Species_Tankiness,MATCH($N254,Species_Names,0)))/225)</f>
        <v>#VALUE!</v>
      </c>
      <c r="S254" s="32" t="e">
        <f t="array" ref="S254">IF(OR(AND(COUNTBLANK(Combo_Opponent_Type_1)=1,COUNTBLANK(Combo_Opponent_Type_2)=0),AND(AND(COUNTBLANK(Combo_Opponent_Type_1)=0,COUNTBLANK(Combo_Opponent_Type_2)=0),Combo_Opponent_Type_1=Combo_Opponent_Type_2)),
"Check Types",(
IF($W254&gt;=((1-Game_Weave_Human_Error)*$X254),$W254,$X254)*INDEX(Species_Attack,MATCH($N254,Species_Names,0)))/11)</f>
        <v>#VALUE!</v>
      </c>
      <c r="T254" s="33" t="e">
        <f t="shared" si="7"/>
        <v>#VALUE!</v>
      </c>
      <c r="U254" s="33">
        <f t="array" ref="U2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254,Quick_Names,0))),Type_Species)),0),1)*IF(COUNTBLANK(Combo_Opponent_Type_2)=0,INDEX(Type_Damage_Multipliers,MATCH(Combo_Opponent_Type_2,IF(Type_Move=(INDEX(Quick_Type,MATCH($O254,Quick_Names,0))),Type_Species)),0),1)*(IF(OR(INDEX(Quick_Type,MATCH($O254,Quick_Names,0))=INDEX(Species_Type_1,MATCH($N254,Species_Names,0)),INDEX(Quick_Type,MATCH($O254,Quick_Names,0))=INDEX(Species_Type_2,MATCH($N254,Species_Names,0))),Game_STAB_Multiplier,1)))</f>
        <v>1</v>
      </c>
      <c r="V254" s="33">
        <f t="array" ref="V2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254,Charge_Names,0))),Type_Species)),0),1)*IF(COUNTBLANK(Combo_Opponent_Type_2)=0,INDEX(Type_Damage_Multipliers,MATCH(Combo_Opponent_Type_2,IF(Type_Move=(INDEX(Charge_Type,MATCH($P254,Charge_Names,0))),Type_Species)),0),1)*
IF(OR(INDEX(Charge_Type,MATCH($P254,Charge_Names,0))=INDEX(Species_Type_1,MATCH($N254,Species_Names,0)),INDEX(Charge_Type,MATCH($P254,Charge_Names,0))=INDEX(Species_Type_2,MATCH($N254,Species_Names,0))),Game_STAB_Multiplier,1))</f>
        <v>1.25</v>
      </c>
      <c r="W254" s="33" t="s">
        <v>758</v>
      </c>
      <c r="X254" s="33" t="s">
        <v>759</v>
      </c>
      <c r="Y254" s="32" t="e">
        <f t="array" ref="Y254">((($Z254)*
INDEX(Species_Attack,MATCH($N254,Species_Names,0))*
INDEX(Species_Tankiness,MATCH($N254,Species_Names,0)))/1000)</f>
        <v>#VALUE!</v>
      </c>
      <c r="Z254" s="33" t="s">
        <v>760</v>
      </c>
    </row>
    <row r="255" spans="1:26" ht="14.25" customHeight="1" x14ac:dyDescent="0.2">
      <c r="A255" s="86"/>
      <c r="B255" s="22" t="str">
        <f t="array" ref="B255">CONCATENATE(TEXT($M255,"000"),".",TEXT(INDEX(Quick_Number,MATCH($O255,Quick_Names,0)),"000"),".",TEXT(INDEX(Charge_Number,MATCH($P255,Charge_Names,0)),"000"))</f>
        <v>114.214.118</v>
      </c>
      <c r="C255" s="23" t="e">
        <f t="array" ref="C255">RANK($S255,IF(Combo_Species_Names=$N255,Combo_Gym_Offense),0)</f>
        <v>#VALUE!</v>
      </c>
      <c r="D255" s="24" t="e">
        <f t="array" ref="D255">$S255/MAX(IF(Combo_Species_Names=$N255,Combo_Gym_Offense))</f>
        <v>#VALUE!</v>
      </c>
      <c r="E255" s="23" t="e">
        <f t="array" ref="E255">RANK($Y255,IF(Combo_Species_Names=$N255,Combo_Gym_Defense),0)</f>
        <v>#VALUE!</v>
      </c>
      <c r="F255" s="25" t="e">
        <f t="array" ref="F255">$Y255/MAX(IF(Combo_Species_Names=$N255,Combo_Gym_Defense))</f>
        <v>#VALUE!</v>
      </c>
      <c r="G255" s="23" t="e">
        <f t="array" ref="G255">IF(OR(INDEX(Species_Availability,MATCH($N255,Species_Names,0))="No",INDEX(Species_Evo_Numbers,MATCH($N255,Species_Names,0))&lt;&gt;1),"N/A",RANK($R255,IF(NOT(ISNA(MATCH(Combo_Species_Names,IF(Species_Availability="Yes",IF(Species_Evo_Numbers=1,Species_Names)),0))),Combo_Duel_Ability),0))</f>
        <v>#VALUE!</v>
      </c>
      <c r="H255" s="24" t="e">
        <f t="array" ref="H255">IF(OR(INDEX(Species_Availability,MATCH($N255,Species_Names,0))="No",INDEX(Species_Evo_Numbers,MATCH($N255,Species_Names,0))&lt;&gt;1),"N/A",$R255/MAX(IF(NOT(ISNA(MATCH(Combo_Species_Names,IF(Species_Availability="Yes",IF(Species_Evo_Numbers=1,Species_Names)),0))),Combo_Duel_Ability)))</f>
        <v>#VALUE!</v>
      </c>
      <c r="I255" s="23" t="e">
        <f t="array" ref="I255">IF(OR(INDEX(Species_Availability,MATCH($N255,Species_Names,0))="No",INDEX(Species_Evo_Numbers,MATCH($N255,Species_Names,0))&lt;&gt;1),"N/A",RANK($S255,IF(NOT(ISNA(MATCH(Combo_Species_Names,IF(Species_Availability="Yes",IF(Species_Evo_Numbers=1,Species_Names)),0))),Combo_Gym_Offense),0))</f>
        <v>#VALUE!</v>
      </c>
      <c r="J255" s="24" t="e">
        <f t="array" ref="J255">IF(OR(INDEX(Species_Availability,MATCH($N255,Species_Names,0))="No",INDEX(Species_Evo_Numbers,MATCH($N255,Species_Names,0))&lt;&gt;1),"N/A",$S255/MAX(IF(NOT(ISNA(MATCH(Combo_Species_Names,IF(Species_Availability="Yes",IF(Species_Evo_Numbers=1,Species_Names)),0))),Combo_Gym_Offense)))</f>
        <v>#VALUE!</v>
      </c>
      <c r="K255" s="23" t="e">
        <f t="array" ref="K255">IF(OR(INDEX(Species_Availability,MATCH($N255,Species_Names,0))="No",INDEX(Species_Evo_Numbers,MATCH($N255,Species_Names,0))&lt;&gt;1),"N/A",RANK($Y255,IF(NOT(ISNA(MATCH(Combo_Species_Names,IF(Species_Availability="Yes",IF(Species_Evo_Numbers=1,Species_Names)),0))),Combo_Gym_Defense),0))</f>
        <v>#VALUE!</v>
      </c>
      <c r="L255" s="24" t="e">
        <f t="array" ref="L255">IF(OR(INDEX(Species_Availability,MATCH($N255,Species_Names,0))="No",INDEX(Species_Evo_Numbers,MATCH($N255,Species_Names,0))&lt;&gt;1),"N/A",$Y255/MAX(IF(NOT(ISNA(MATCH(Combo_Species_Names,IF(Species_Availability="Yes",IF(Species_Evo_Numbers=1,Species_Names)),0))),Combo_Gym_Defense)))</f>
        <v>#VALUE!</v>
      </c>
      <c r="M255" s="28">
        <f t="array" ref="M255">INDEX(Species_Pdex_Numbers,MATCH($N255,Species_Names,0))</f>
        <v>114</v>
      </c>
      <c r="N255" s="30" t="s">
        <v>327</v>
      </c>
      <c r="O255" s="31" t="s">
        <v>94</v>
      </c>
      <c r="P255" s="31" t="s">
        <v>165</v>
      </c>
      <c r="Q255" s="17" t="e">
        <f t="shared" si="6"/>
        <v>#VALUE!</v>
      </c>
      <c r="R255" s="32" t="e">
        <f t="array" ref="R255">IF(OR(AND(COUNTBLANK(Combo_Opponent_Type_1)=1,COUNTBLANK(Combo_Opponent_Type_2)=0),AND(AND(COUNTBLANK(Combo_Opponent_Type_1)=0,COUNTBLANK(Combo_Opponent_Type_2)=0),Combo_Opponent_Type_1=Combo_Opponent_Type_2)),
"Check Types",($S255*INDEX(Species_Tankiness,MATCH($N255,Species_Names,0)))/225)</f>
        <v>#VALUE!</v>
      </c>
      <c r="S255" s="32" t="e">
        <f t="array" ref="S255">IF(OR(AND(COUNTBLANK(Combo_Opponent_Type_1)=1,COUNTBLANK(Combo_Opponent_Type_2)=0),AND(AND(COUNTBLANK(Combo_Opponent_Type_1)=0,COUNTBLANK(Combo_Opponent_Type_2)=0),Combo_Opponent_Type_1=Combo_Opponent_Type_2)),
"Check Types",(
IF($W255&gt;=((1-Game_Weave_Human_Error)*$X255),$W255,$X255)*INDEX(Species_Attack,MATCH($N255,Species_Names,0)))/11)</f>
        <v>#VALUE!</v>
      </c>
      <c r="T255" s="33" t="e">
        <f t="shared" si="7"/>
        <v>#VALUE!</v>
      </c>
      <c r="U255" s="33">
        <f t="array" ref="U2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255,Quick_Names,0))),Type_Species)),0),1)*IF(COUNTBLANK(Combo_Opponent_Type_2)=0,INDEX(Type_Damage_Multipliers,MATCH(Combo_Opponent_Type_2,IF(Type_Move=(INDEX(Quick_Type,MATCH($O255,Quick_Names,0))),Type_Species)),0),1)*(IF(OR(INDEX(Quick_Type,MATCH($O255,Quick_Names,0))=INDEX(Species_Type_1,MATCH($N255,Species_Names,0)),INDEX(Quick_Type,MATCH($O255,Quick_Names,0))=INDEX(Species_Type_2,MATCH($N255,Species_Names,0))),Game_STAB_Multiplier,1)))</f>
        <v>1.25</v>
      </c>
      <c r="V255" s="33">
        <f t="array" ref="V2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255,Charge_Names,0))),Type_Species)),0),1)*IF(COUNTBLANK(Combo_Opponent_Type_2)=0,INDEX(Type_Damage_Multipliers,MATCH(Combo_Opponent_Type_2,IF(Type_Move=(INDEX(Charge_Type,MATCH($P255,Charge_Names,0))),Type_Species)),0),1)*
IF(OR(INDEX(Charge_Type,MATCH($P255,Charge_Names,0))=INDEX(Species_Type_1,MATCH($N255,Species_Names,0)),INDEX(Charge_Type,MATCH($P255,Charge_Names,0))=INDEX(Species_Type_2,MATCH($N255,Species_Names,0))),Game_STAB_Multiplier,1))</f>
        <v>1.25</v>
      </c>
      <c r="W255" s="33" t="s">
        <v>476</v>
      </c>
      <c r="X255" s="33" t="s">
        <v>761</v>
      </c>
      <c r="Y255" s="32" t="e">
        <f t="array" ref="Y255">((($Z255)*
INDEX(Species_Attack,MATCH($N255,Species_Names,0))*
INDEX(Species_Tankiness,MATCH($N255,Species_Names,0)))/1000)</f>
        <v>#VALUE!</v>
      </c>
      <c r="Z255" s="33" t="s">
        <v>623</v>
      </c>
    </row>
    <row r="256" spans="1:26" ht="14.25" customHeight="1" x14ac:dyDescent="0.2">
      <c r="A256" s="86"/>
      <c r="B256" s="22" t="str">
        <f t="array" ref="B256">CONCATENATE(TEXT($M256,"000"),".",TEXT(INDEX(Quick_Number,MATCH($O256,Quick_Names,0)),"000"),".",TEXT(INDEX(Charge_Number,MATCH($P256,Charge_Names,0)),"000"))</f>
        <v>091.218.111</v>
      </c>
      <c r="C256" s="23" t="e">
        <f t="array" ref="C256">RANK($S256,IF(Combo_Species_Names=$N256,Combo_Gym_Offense),0)</f>
        <v>#VALUE!</v>
      </c>
      <c r="D256" s="24" t="e">
        <f t="array" ref="D256">$S256/MAX(IF(Combo_Species_Names=$N256,Combo_Gym_Offense))</f>
        <v>#VALUE!</v>
      </c>
      <c r="E256" s="23" t="e">
        <f t="array" ref="E256">RANK($Y256,IF(Combo_Species_Names=$N256,Combo_Gym_Defense),0)</f>
        <v>#VALUE!</v>
      </c>
      <c r="F256" s="25" t="e">
        <f t="array" ref="F256">$Y256/MAX(IF(Combo_Species_Names=$N256,Combo_Gym_Defense))</f>
        <v>#VALUE!</v>
      </c>
      <c r="G256" s="23" t="e">
        <f t="array" ref="G256">IF(OR(INDEX(Species_Availability,MATCH($N256,Species_Names,0))="No",INDEX(Species_Evo_Numbers,MATCH($N256,Species_Names,0))&lt;&gt;1),"N/A",RANK($R256,IF(NOT(ISNA(MATCH(Combo_Species_Names,IF(Species_Availability="Yes",IF(Species_Evo_Numbers=1,Species_Names)),0))),Combo_Duel_Ability),0))</f>
        <v>#VALUE!</v>
      </c>
      <c r="H256" s="24" t="e">
        <f t="array" ref="H256">IF(OR(INDEX(Species_Availability,MATCH($N256,Species_Names,0))="No",INDEX(Species_Evo_Numbers,MATCH($N256,Species_Names,0))&lt;&gt;1),"N/A",$R256/MAX(IF(NOT(ISNA(MATCH(Combo_Species_Names,IF(Species_Availability="Yes",IF(Species_Evo_Numbers=1,Species_Names)),0))),Combo_Duel_Ability)))</f>
        <v>#VALUE!</v>
      </c>
      <c r="I256" s="23" t="e">
        <f t="array" ref="I256">IF(OR(INDEX(Species_Availability,MATCH($N256,Species_Names,0))="No",INDEX(Species_Evo_Numbers,MATCH($N256,Species_Names,0))&lt;&gt;1),"N/A",RANK($S256,IF(NOT(ISNA(MATCH(Combo_Species_Names,IF(Species_Availability="Yes",IF(Species_Evo_Numbers=1,Species_Names)),0))),Combo_Gym_Offense),0))</f>
        <v>#VALUE!</v>
      </c>
      <c r="J256" s="24" t="e">
        <f t="array" ref="J256">IF(OR(INDEX(Species_Availability,MATCH($N256,Species_Names,0))="No",INDEX(Species_Evo_Numbers,MATCH($N256,Species_Names,0))&lt;&gt;1),"N/A",$S256/MAX(IF(NOT(ISNA(MATCH(Combo_Species_Names,IF(Species_Availability="Yes",IF(Species_Evo_Numbers=1,Species_Names)),0))),Combo_Gym_Offense)))</f>
        <v>#VALUE!</v>
      </c>
      <c r="K256" s="23" t="e">
        <f t="array" ref="K256">IF(OR(INDEX(Species_Availability,MATCH($N256,Species_Names,0))="No",INDEX(Species_Evo_Numbers,MATCH($N256,Species_Names,0))&lt;&gt;1),"N/A",RANK($Y256,IF(NOT(ISNA(MATCH(Combo_Species_Names,IF(Species_Availability="Yes",IF(Species_Evo_Numbers=1,Species_Names)),0))),Combo_Gym_Defense),0))</f>
        <v>#VALUE!</v>
      </c>
      <c r="L256" s="24" t="e">
        <f t="array" ref="L256">IF(OR(INDEX(Species_Availability,MATCH($N256,Species_Names,0))="No",INDEX(Species_Evo_Numbers,MATCH($N256,Species_Names,0))&lt;&gt;1),"N/A",$Y256/MAX(IF(NOT(ISNA(MATCH(Combo_Species_Names,IF(Species_Availability="Yes",IF(Species_Evo_Numbers=1,Species_Names)),0))),Combo_Gym_Defense)))</f>
        <v>#VALUE!</v>
      </c>
      <c r="M256" s="28">
        <f t="array" ref="M256">INDEX(Species_Pdex_Numbers,MATCH($N256,Species_Names,0))</f>
        <v>91</v>
      </c>
      <c r="N256" s="30" t="s">
        <v>277</v>
      </c>
      <c r="O256" s="31" t="s">
        <v>87</v>
      </c>
      <c r="P256" s="31" t="s">
        <v>318</v>
      </c>
      <c r="Q256" s="17" t="e">
        <f t="shared" si="6"/>
        <v>#VALUE!</v>
      </c>
      <c r="R256" s="32" t="e">
        <f t="array" ref="R256">IF(OR(AND(COUNTBLANK(Combo_Opponent_Type_1)=1,COUNTBLANK(Combo_Opponent_Type_2)=0),AND(AND(COUNTBLANK(Combo_Opponent_Type_1)=0,COUNTBLANK(Combo_Opponent_Type_2)=0),Combo_Opponent_Type_1=Combo_Opponent_Type_2)),
"Check Types",($S256*INDEX(Species_Tankiness,MATCH($N256,Species_Names,0)))/225)</f>
        <v>#VALUE!</v>
      </c>
      <c r="S256" s="32" t="e">
        <f t="array" ref="S256">IF(OR(AND(COUNTBLANK(Combo_Opponent_Type_1)=1,COUNTBLANK(Combo_Opponent_Type_2)=0),AND(AND(COUNTBLANK(Combo_Opponent_Type_1)=0,COUNTBLANK(Combo_Opponent_Type_2)=0),Combo_Opponent_Type_1=Combo_Opponent_Type_2)),
"Check Types",(
IF($W256&gt;=((1-Game_Weave_Human_Error)*$X256),$W256,$X256)*INDEX(Species_Attack,MATCH($N256,Species_Names,0)))/11)</f>
        <v>#VALUE!</v>
      </c>
      <c r="T256" s="33" t="e">
        <f t="shared" si="7"/>
        <v>#VALUE!</v>
      </c>
      <c r="U256" s="33">
        <f t="array" ref="U2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256,Quick_Names,0))),Type_Species)),0),1)*IF(COUNTBLANK(Combo_Opponent_Type_2)=0,INDEX(Type_Damage_Multipliers,MATCH(Combo_Opponent_Type_2,IF(Type_Move=(INDEX(Quick_Type,MATCH($O256,Quick_Names,0))),Type_Species)),0),1)*(IF(OR(INDEX(Quick_Type,MATCH($O256,Quick_Names,0))=INDEX(Species_Type_1,MATCH($N256,Species_Names,0)),INDEX(Quick_Type,MATCH($O256,Quick_Names,0))=INDEX(Species_Type_2,MATCH($N256,Species_Names,0))),Game_STAB_Multiplier,1)))</f>
        <v>1.25</v>
      </c>
      <c r="V256" s="33">
        <f t="array" ref="V2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256,Charge_Names,0))),Type_Species)),0),1)*IF(COUNTBLANK(Combo_Opponent_Type_2)=0,INDEX(Type_Damage_Multipliers,MATCH(Combo_Opponent_Type_2,IF(Type_Move=(INDEX(Charge_Type,MATCH($P256,Charge_Names,0))),Type_Species)),0),1)*
IF(OR(INDEX(Charge_Type,MATCH($P256,Charge_Names,0))=INDEX(Species_Type_1,MATCH($N256,Species_Names,0)),INDEX(Charge_Type,MATCH($P256,Charge_Names,0))=INDEX(Species_Type_2,MATCH($N256,Species_Names,0))),Game_STAB_Multiplier,1))</f>
        <v>1.25</v>
      </c>
      <c r="W256" s="33" t="s">
        <v>422</v>
      </c>
      <c r="X256" s="33" t="s">
        <v>409</v>
      </c>
      <c r="Y256" s="32" t="e">
        <f t="array" ref="Y256">((($Z256)*
INDEX(Species_Attack,MATCH($N256,Species_Names,0))*
INDEX(Species_Tankiness,MATCH($N256,Species_Names,0)))/1000)</f>
        <v>#VALUE!</v>
      </c>
      <c r="Z256" s="33" t="s">
        <v>531</v>
      </c>
    </row>
    <row r="257" spans="1:26" ht="14.25" customHeight="1" x14ac:dyDescent="0.2">
      <c r="A257" s="86"/>
      <c r="B257" s="22" t="str">
        <f t="array" ref="B257">CONCATENATE(TEXT($M257,"000"),".",TEXT(INDEX(Quick_Number,MATCH($O257,Quick_Names,0)),"000"),".",TEXT(INDEX(Charge_Number,MATCH($P257,Charge_Names,0)),"000"))</f>
        <v>142.239.074</v>
      </c>
      <c r="C257" s="23" t="e">
        <f t="array" ref="C257">RANK($S257,IF(Combo_Species_Names=$N257,Combo_Gym_Offense),0)</f>
        <v>#VALUE!</v>
      </c>
      <c r="D257" s="24" t="e">
        <f t="array" ref="D257">$S257/MAX(IF(Combo_Species_Names=$N257,Combo_Gym_Offense))</f>
        <v>#VALUE!</v>
      </c>
      <c r="E257" s="23" t="e">
        <f t="array" ref="E257">RANK($Y257,IF(Combo_Species_Names=$N257,Combo_Gym_Defense),0)</f>
        <v>#VALUE!</v>
      </c>
      <c r="F257" s="25" t="e">
        <f t="array" ref="F257">$Y257/MAX(IF(Combo_Species_Names=$N257,Combo_Gym_Defense))</f>
        <v>#VALUE!</v>
      </c>
      <c r="G257" s="23" t="e">
        <f t="array" ref="G257">IF(OR(INDEX(Species_Availability,MATCH($N257,Species_Names,0))="No",INDEX(Species_Evo_Numbers,MATCH($N257,Species_Names,0))&lt;&gt;1),"N/A",RANK($R257,IF(NOT(ISNA(MATCH(Combo_Species_Names,IF(Species_Availability="Yes",IF(Species_Evo_Numbers=1,Species_Names)),0))),Combo_Duel_Ability),0))</f>
        <v>#VALUE!</v>
      </c>
      <c r="H257" s="24" t="e">
        <f t="array" ref="H257">IF(OR(INDEX(Species_Availability,MATCH($N257,Species_Names,0))="No",INDEX(Species_Evo_Numbers,MATCH($N257,Species_Names,0))&lt;&gt;1),"N/A",$R257/MAX(IF(NOT(ISNA(MATCH(Combo_Species_Names,IF(Species_Availability="Yes",IF(Species_Evo_Numbers=1,Species_Names)),0))),Combo_Duel_Ability)))</f>
        <v>#VALUE!</v>
      </c>
      <c r="I257" s="23" t="e">
        <f t="array" ref="I257">IF(OR(INDEX(Species_Availability,MATCH($N257,Species_Names,0))="No",INDEX(Species_Evo_Numbers,MATCH($N257,Species_Names,0))&lt;&gt;1),"N/A",RANK($S257,IF(NOT(ISNA(MATCH(Combo_Species_Names,IF(Species_Availability="Yes",IF(Species_Evo_Numbers=1,Species_Names)),0))),Combo_Gym_Offense),0))</f>
        <v>#VALUE!</v>
      </c>
      <c r="J257" s="24" t="e">
        <f t="array" ref="J257">IF(OR(INDEX(Species_Availability,MATCH($N257,Species_Names,0))="No",INDEX(Species_Evo_Numbers,MATCH($N257,Species_Names,0))&lt;&gt;1),"N/A",$S257/MAX(IF(NOT(ISNA(MATCH(Combo_Species_Names,IF(Species_Availability="Yes",IF(Species_Evo_Numbers=1,Species_Names)),0))),Combo_Gym_Offense)))</f>
        <v>#VALUE!</v>
      </c>
      <c r="K257" s="23" t="e">
        <f t="array" ref="K257">IF(OR(INDEX(Species_Availability,MATCH($N257,Species_Names,0))="No",INDEX(Species_Evo_Numbers,MATCH($N257,Species_Names,0))&lt;&gt;1),"N/A",RANK($Y257,IF(NOT(ISNA(MATCH(Combo_Species_Names,IF(Species_Availability="Yes",IF(Species_Evo_Numbers=1,Species_Names)),0))),Combo_Gym_Defense),0))</f>
        <v>#VALUE!</v>
      </c>
      <c r="L257" s="24" t="e">
        <f t="array" ref="L257">IF(OR(INDEX(Species_Availability,MATCH($N257,Species_Names,0))="No",INDEX(Species_Evo_Numbers,MATCH($N257,Species_Names,0))&lt;&gt;1),"N/A",$Y257/MAX(IF(NOT(ISNA(MATCH(Combo_Species_Names,IF(Species_Availability="Yes",IF(Species_Evo_Numbers=1,Species_Names)),0))),Combo_Gym_Defense)))</f>
        <v>#VALUE!</v>
      </c>
      <c r="M257" s="28">
        <f t="array" ref="M257">INDEX(Species_Pdex_Numbers,MATCH($N257,Species_Names,0))</f>
        <v>142</v>
      </c>
      <c r="N257" s="30" t="s">
        <v>360</v>
      </c>
      <c r="O257" s="31" t="s">
        <v>80</v>
      </c>
      <c r="P257" s="31" t="s">
        <v>228</v>
      </c>
      <c r="Q257" s="17" t="e">
        <f t="shared" si="6"/>
        <v>#VALUE!</v>
      </c>
      <c r="R257" s="32" t="e">
        <f t="array" ref="R257">IF(OR(AND(COUNTBLANK(Combo_Opponent_Type_1)=1,COUNTBLANK(Combo_Opponent_Type_2)=0),AND(AND(COUNTBLANK(Combo_Opponent_Type_1)=0,COUNTBLANK(Combo_Opponent_Type_2)=0),Combo_Opponent_Type_1=Combo_Opponent_Type_2)),
"Check Types",($S257*INDEX(Species_Tankiness,MATCH($N257,Species_Names,0)))/225)</f>
        <v>#VALUE!</v>
      </c>
      <c r="S257" s="32" t="e">
        <f t="array" ref="S257">IF(OR(AND(COUNTBLANK(Combo_Opponent_Type_1)=1,COUNTBLANK(Combo_Opponent_Type_2)=0),AND(AND(COUNTBLANK(Combo_Opponent_Type_1)=0,COUNTBLANK(Combo_Opponent_Type_2)=0),Combo_Opponent_Type_1=Combo_Opponent_Type_2)),
"Check Types",(
IF($W257&gt;=((1-Game_Weave_Human_Error)*$X257),$W257,$X257)*INDEX(Species_Attack,MATCH($N257,Species_Names,0)))/11)</f>
        <v>#VALUE!</v>
      </c>
      <c r="T257" s="33" t="e">
        <f t="shared" si="7"/>
        <v>#VALUE!</v>
      </c>
      <c r="U257" s="33">
        <f t="array" ref="U2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257,Quick_Names,0))),Type_Species)),0),1)*IF(COUNTBLANK(Combo_Opponent_Type_2)=0,INDEX(Type_Damage_Multipliers,MATCH(Combo_Opponent_Type_2,IF(Type_Move=(INDEX(Quick_Type,MATCH($O257,Quick_Names,0))),Type_Species)),0),1)*(IF(OR(INDEX(Quick_Type,MATCH($O257,Quick_Names,0))=INDEX(Species_Type_1,MATCH($N257,Species_Names,0)),INDEX(Quick_Type,MATCH($O257,Quick_Names,0))=INDEX(Species_Type_2,MATCH($N257,Species_Names,0))),Game_STAB_Multiplier,1)))</f>
        <v>1</v>
      </c>
      <c r="V257" s="33">
        <f t="array" ref="V2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257,Charge_Names,0))),Type_Species)),0),1)*IF(COUNTBLANK(Combo_Opponent_Type_2)=0,INDEX(Type_Damage_Multipliers,MATCH(Combo_Opponent_Type_2,IF(Type_Move=(INDEX(Charge_Type,MATCH($P257,Charge_Names,0))),Type_Species)),0),1)*
IF(OR(INDEX(Charge_Type,MATCH($P257,Charge_Names,0))=INDEX(Species_Type_1,MATCH($N257,Species_Names,0)),INDEX(Charge_Type,MATCH($P257,Charge_Names,0))=INDEX(Species_Type_2,MATCH($N257,Species_Names,0))),Game_STAB_Multiplier,1))</f>
        <v>1</v>
      </c>
      <c r="W257" s="33" t="s">
        <v>441</v>
      </c>
      <c r="X257" s="33" t="s">
        <v>762</v>
      </c>
      <c r="Y257" s="32" t="e">
        <f t="array" ref="Y257">((($Z257)*
INDEX(Species_Attack,MATCH($N257,Species_Names,0))*
INDEX(Species_Tankiness,MATCH($N257,Species_Names,0)))/1000)</f>
        <v>#VALUE!</v>
      </c>
      <c r="Z257" s="33" t="s">
        <v>605</v>
      </c>
    </row>
    <row r="258" spans="1:26" ht="14.25" customHeight="1" x14ac:dyDescent="0.2">
      <c r="A258" s="86"/>
      <c r="B258" s="22" t="str">
        <f t="array" ref="B258">CONCATENATE(TEXT($M258,"000"),".",TEXT(INDEX(Quick_Number,MATCH($O258,Quick_Names,0)),"000"),".",TEXT(INDEX(Charge_Number,MATCH($P258,Charge_Names,0)),"000"))</f>
        <v>142.239.062</v>
      </c>
      <c r="C258" s="23" t="e">
        <f t="array" ref="C258">RANK($S258,IF(Combo_Species_Names=$N258,Combo_Gym_Offense),0)</f>
        <v>#VALUE!</v>
      </c>
      <c r="D258" s="24" t="e">
        <f t="array" ref="D258">$S258/MAX(IF(Combo_Species_Names=$N258,Combo_Gym_Offense))</f>
        <v>#VALUE!</v>
      </c>
      <c r="E258" s="23" t="e">
        <f t="array" ref="E258">RANK($Y258,IF(Combo_Species_Names=$N258,Combo_Gym_Defense),0)</f>
        <v>#VALUE!</v>
      </c>
      <c r="F258" s="25" t="e">
        <f t="array" ref="F258">$Y258/MAX(IF(Combo_Species_Names=$N258,Combo_Gym_Defense))</f>
        <v>#VALUE!</v>
      </c>
      <c r="G258" s="23" t="e">
        <f t="array" ref="G258">IF(OR(INDEX(Species_Availability,MATCH($N258,Species_Names,0))="No",INDEX(Species_Evo_Numbers,MATCH($N258,Species_Names,0))&lt;&gt;1),"N/A",RANK($R258,IF(NOT(ISNA(MATCH(Combo_Species_Names,IF(Species_Availability="Yes",IF(Species_Evo_Numbers=1,Species_Names)),0))),Combo_Duel_Ability),0))</f>
        <v>#VALUE!</v>
      </c>
      <c r="H258" s="24" t="e">
        <f t="array" ref="H258">IF(OR(INDEX(Species_Availability,MATCH($N258,Species_Names,0))="No",INDEX(Species_Evo_Numbers,MATCH($N258,Species_Names,0))&lt;&gt;1),"N/A",$R258/MAX(IF(NOT(ISNA(MATCH(Combo_Species_Names,IF(Species_Availability="Yes",IF(Species_Evo_Numbers=1,Species_Names)),0))),Combo_Duel_Ability)))</f>
        <v>#VALUE!</v>
      </c>
      <c r="I258" s="23" t="e">
        <f t="array" ref="I258">IF(OR(INDEX(Species_Availability,MATCH($N258,Species_Names,0))="No",INDEX(Species_Evo_Numbers,MATCH($N258,Species_Names,0))&lt;&gt;1),"N/A",RANK($S258,IF(NOT(ISNA(MATCH(Combo_Species_Names,IF(Species_Availability="Yes",IF(Species_Evo_Numbers=1,Species_Names)),0))),Combo_Gym_Offense),0))</f>
        <v>#VALUE!</v>
      </c>
      <c r="J258" s="24" t="e">
        <f t="array" ref="J258">IF(OR(INDEX(Species_Availability,MATCH($N258,Species_Names,0))="No",INDEX(Species_Evo_Numbers,MATCH($N258,Species_Names,0))&lt;&gt;1),"N/A",$S258/MAX(IF(NOT(ISNA(MATCH(Combo_Species_Names,IF(Species_Availability="Yes",IF(Species_Evo_Numbers=1,Species_Names)),0))),Combo_Gym_Offense)))</f>
        <v>#VALUE!</v>
      </c>
      <c r="K258" s="23" t="e">
        <f t="array" ref="K258">IF(OR(INDEX(Species_Availability,MATCH($N258,Species_Names,0))="No",INDEX(Species_Evo_Numbers,MATCH($N258,Species_Names,0))&lt;&gt;1),"N/A",RANK($Y258,IF(NOT(ISNA(MATCH(Combo_Species_Names,IF(Species_Availability="Yes",IF(Species_Evo_Numbers=1,Species_Names)),0))),Combo_Gym_Defense),0))</f>
        <v>#VALUE!</v>
      </c>
      <c r="L258" s="24" t="e">
        <f t="array" ref="L258">IF(OR(INDEX(Species_Availability,MATCH($N258,Species_Names,0))="No",INDEX(Species_Evo_Numbers,MATCH($N258,Species_Names,0))&lt;&gt;1),"N/A",$Y258/MAX(IF(NOT(ISNA(MATCH(Combo_Species_Names,IF(Species_Availability="Yes",IF(Species_Evo_Numbers=1,Species_Names)),0))),Combo_Gym_Defense)))</f>
        <v>#VALUE!</v>
      </c>
      <c r="M258" s="28">
        <f t="array" ref="M258">INDEX(Species_Pdex_Numbers,MATCH($N258,Species_Names,0))</f>
        <v>142</v>
      </c>
      <c r="N258" s="30" t="s">
        <v>360</v>
      </c>
      <c r="O258" s="31" t="s">
        <v>80</v>
      </c>
      <c r="P258" s="31" t="s">
        <v>297</v>
      </c>
      <c r="Q258" s="17" t="e">
        <f t="shared" si="6"/>
        <v>#VALUE!</v>
      </c>
      <c r="R258" s="32" t="e">
        <f t="array" ref="R258">IF(OR(AND(COUNTBLANK(Combo_Opponent_Type_1)=1,COUNTBLANK(Combo_Opponent_Type_2)=0),AND(AND(COUNTBLANK(Combo_Opponent_Type_1)=0,COUNTBLANK(Combo_Opponent_Type_2)=0),Combo_Opponent_Type_1=Combo_Opponent_Type_2)),
"Check Types",($S258*INDEX(Species_Tankiness,MATCH($N258,Species_Names,0)))/225)</f>
        <v>#VALUE!</v>
      </c>
      <c r="S258" s="32" t="e">
        <f t="array" ref="S258">IF(OR(AND(COUNTBLANK(Combo_Opponent_Type_1)=1,COUNTBLANK(Combo_Opponent_Type_2)=0),AND(AND(COUNTBLANK(Combo_Opponent_Type_1)=0,COUNTBLANK(Combo_Opponent_Type_2)=0),Combo_Opponent_Type_1=Combo_Opponent_Type_2)),
"Check Types",(
IF($W258&gt;=((1-Game_Weave_Human_Error)*$X258),$W258,$X258)*INDEX(Species_Attack,MATCH($N258,Species_Names,0)))/11)</f>
        <v>#VALUE!</v>
      </c>
      <c r="T258" s="33" t="e">
        <f t="shared" si="7"/>
        <v>#VALUE!</v>
      </c>
      <c r="U258" s="33">
        <f t="array" ref="U2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258,Quick_Names,0))),Type_Species)),0),1)*IF(COUNTBLANK(Combo_Opponent_Type_2)=0,INDEX(Type_Damage_Multipliers,MATCH(Combo_Opponent_Type_2,IF(Type_Move=(INDEX(Quick_Type,MATCH($O258,Quick_Names,0))),Type_Species)),0),1)*(IF(OR(INDEX(Quick_Type,MATCH($O258,Quick_Names,0))=INDEX(Species_Type_1,MATCH($N258,Species_Names,0)),INDEX(Quick_Type,MATCH($O258,Quick_Names,0))=INDEX(Species_Type_2,MATCH($N258,Species_Names,0))),Game_STAB_Multiplier,1)))</f>
        <v>1</v>
      </c>
      <c r="V258" s="33">
        <f t="array" ref="V2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258,Charge_Names,0))),Type_Species)),0),1)*IF(COUNTBLANK(Combo_Opponent_Type_2)=0,INDEX(Type_Damage_Multipliers,MATCH(Combo_Opponent_Type_2,IF(Type_Move=(INDEX(Charge_Type,MATCH($P258,Charge_Names,0))),Type_Species)),0),1)*
IF(OR(INDEX(Charge_Type,MATCH($P258,Charge_Names,0))=INDEX(Species_Type_1,MATCH($N258,Species_Names,0)),INDEX(Charge_Type,MATCH($P258,Charge_Names,0))=INDEX(Species_Type_2,MATCH($N258,Species_Names,0))),Game_STAB_Multiplier,1))</f>
        <v>1.25</v>
      </c>
      <c r="W258" s="33" t="s">
        <v>441</v>
      </c>
      <c r="X258" s="33" t="s">
        <v>763</v>
      </c>
      <c r="Y258" s="32" t="e">
        <f t="array" ref="Y258">((($Z258)*
INDEX(Species_Attack,MATCH($N258,Species_Names,0))*
INDEX(Species_Tankiness,MATCH($N258,Species_Names,0)))/1000)</f>
        <v>#VALUE!</v>
      </c>
      <c r="Z258" s="33" t="s">
        <v>764</v>
      </c>
    </row>
    <row r="259" spans="1:26" ht="14.25" customHeight="1" x14ac:dyDescent="0.2">
      <c r="A259" s="86"/>
      <c r="B259" s="22" t="str">
        <f t="array" ref="B259">CONCATENATE(TEXT($M259,"000"),".",TEXT(INDEX(Quick_Number,MATCH($O259,Quick_Names,0)),"000"),".",TEXT(INDEX(Charge_Number,MATCH($P259,Charge_Names,0)),"000"))</f>
        <v>110.221.016</v>
      </c>
      <c r="C259" s="23" t="e">
        <f t="array" ref="C259">RANK($S259,IF(Combo_Species_Names=$N259,Combo_Gym_Offense),0)</f>
        <v>#VALUE!</v>
      </c>
      <c r="D259" s="24" t="e">
        <f t="array" ref="D259">$S259/MAX(IF(Combo_Species_Names=$N259,Combo_Gym_Offense))</f>
        <v>#VALUE!</v>
      </c>
      <c r="E259" s="23" t="e">
        <f t="array" ref="E259">RANK($Y259,IF(Combo_Species_Names=$N259,Combo_Gym_Defense),0)</f>
        <v>#VALUE!</v>
      </c>
      <c r="F259" s="25" t="e">
        <f t="array" ref="F259">$Y259/MAX(IF(Combo_Species_Names=$N259,Combo_Gym_Defense))</f>
        <v>#VALUE!</v>
      </c>
      <c r="G259" s="23" t="e">
        <f t="array" ref="G259">IF(OR(INDEX(Species_Availability,MATCH($N259,Species_Names,0))="No",INDEX(Species_Evo_Numbers,MATCH($N259,Species_Names,0))&lt;&gt;1),"N/A",RANK($R259,IF(NOT(ISNA(MATCH(Combo_Species_Names,IF(Species_Availability="Yes",IF(Species_Evo_Numbers=1,Species_Names)),0))),Combo_Duel_Ability),0))</f>
        <v>#VALUE!</v>
      </c>
      <c r="H259" s="24" t="e">
        <f t="array" ref="H259">IF(OR(INDEX(Species_Availability,MATCH($N259,Species_Names,0))="No",INDEX(Species_Evo_Numbers,MATCH($N259,Species_Names,0))&lt;&gt;1),"N/A",$R259/MAX(IF(NOT(ISNA(MATCH(Combo_Species_Names,IF(Species_Availability="Yes",IF(Species_Evo_Numbers=1,Species_Names)),0))),Combo_Duel_Ability)))</f>
        <v>#VALUE!</v>
      </c>
      <c r="I259" s="23" t="e">
        <f t="array" ref="I259">IF(OR(INDEX(Species_Availability,MATCH($N259,Species_Names,0))="No",INDEX(Species_Evo_Numbers,MATCH($N259,Species_Names,0))&lt;&gt;1),"N/A",RANK($S259,IF(NOT(ISNA(MATCH(Combo_Species_Names,IF(Species_Availability="Yes",IF(Species_Evo_Numbers=1,Species_Names)),0))),Combo_Gym_Offense),0))</f>
        <v>#VALUE!</v>
      </c>
      <c r="J259" s="24" t="e">
        <f t="array" ref="J259">IF(OR(INDEX(Species_Availability,MATCH($N259,Species_Names,0))="No",INDEX(Species_Evo_Numbers,MATCH($N259,Species_Names,0))&lt;&gt;1),"N/A",$S259/MAX(IF(NOT(ISNA(MATCH(Combo_Species_Names,IF(Species_Availability="Yes",IF(Species_Evo_Numbers=1,Species_Names)),0))),Combo_Gym_Offense)))</f>
        <v>#VALUE!</v>
      </c>
      <c r="K259" s="23" t="e">
        <f t="array" ref="K259">IF(OR(INDEX(Species_Availability,MATCH($N259,Species_Names,0))="No",INDEX(Species_Evo_Numbers,MATCH($N259,Species_Names,0))&lt;&gt;1),"N/A",RANK($Y259,IF(NOT(ISNA(MATCH(Combo_Species_Names,IF(Species_Availability="Yes",IF(Species_Evo_Numbers=1,Species_Names)),0))),Combo_Gym_Defense),0))</f>
        <v>#VALUE!</v>
      </c>
      <c r="L259" s="24" t="e">
        <f t="array" ref="L259">IF(OR(INDEX(Species_Availability,MATCH($N259,Species_Names,0))="No",INDEX(Species_Evo_Numbers,MATCH($N259,Species_Names,0))&lt;&gt;1),"N/A",$Y259/MAX(IF(NOT(ISNA(MATCH(Combo_Species_Names,IF(Species_Availability="Yes",IF(Species_Evo_Numbers=1,Species_Names)),0))),Combo_Gym_Defense)))</f>
        <v>#VALUE!</v>
      </c>
      <c r="M259" s="28">
        <f t="array" ref="M259">INDEX(Species_Pdex_Numbers,MATCH($N259,Species_Names,0))</f>
        <v>110</v>
      </c>
      <c r="N259" s="30" t="s">
        <v>323</v>
      </c>
      <c r="O259" s="31" t="s">
        <v>91</v>
      </c>
      <c r="P259" s="31" t="s">
        <v>258</v>
      </c>
      <c r="Q259" s="17" t="e">
        <f t="shared" si="6"/>
        <v>#VALUE!</v>
      </c>
      <c r="R259" s="32" t="e">
        <f t="array" ref="R259">IF(OR(AND(COUNTBLANK(Combo_Opponent_Type_1)=1,COUNTBLANK(Combo_Opponent_Type_2)=0),AND(AND(COUNTBLANK(Combo_Opponent_Type_1)=0,COUNTBLANK(Combo_Opponent_Type_2)=0),Combo_Opponent_Type_1=Combo_Opponent_Type_2)),
"Check Types",($S259*INDEX(Species_Tankiness,MATCH($N259,Species_Names,0)))/225)</f>
        <v>#VALUE!</v>
      </c>
      <c r="S259" s="32" t="e">
        <f t="array" ref="S259">IF(OR(AND(COUNTBLANK(Combo_Opponent_Type_1)=1,COUNTBLANK(Combo_Opponent_Type_2)=0),AND(AND(COUNTBLANK(Combo_Opponent_Type_1)=0,COUNTBLANK(Combo_Opponent_Type_2)=0),Combo_Opponent_Type_1=Combo_Opponent_Type_2)),
"Check Types",(
IF($W259&gt;=((1-Game_Weave_Human_Error)*$X259),$W259,$X259)*INDEX(Species_Attack,MATCH($N259,Species_Names,0)))/11)</f>
        <v>#VALUE!</v>
      </c>
      <c r="T259" s="33" t="e">
        <f t="shared" si="7"/>
        <v>#VALUE!</v>
      </c>
      <c r="U259" s="33">
        <f t="array" ref="U2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259,Quick_Names,0))),Type_Species)),0),1)*IF(COUNTBLANK(Combo_Opponent_Type_2)=0,INDEX(Type_Damage_Multipliers,MATCH(Combo_Opponent_Type_2,IF(Type_Move=(INDEX(Quick_Type,MATCH($O259,Quick_Names,0))),Type_Species)),0),1)*(IF(OR(INDEX(Quick_Type,MATCH($O259,Quick_Names,0))=INDEX(Species_Type_1,MATCH($N259,Species_Names,0)),INDEX(Quick_Type,MATCH($O259,Quick_Names,0))=INDEX(Species_Type_2,MATCH($N259,Species_Names,0))),Game_STAB_Multiplier,1)))</f>
        <v>1</v>
      </c>
      <c r="V259" s="33">
        <f t="array" ref="V2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259,Charge_Names,0))),Type_Species)),0),1)*IF(COUNTBLANK(Combo_Opponent_Type_2)=0,INDEX(Type_Damage_Multipliers,MATCH(Combo_Opponent_Type_2,IF(Type_Move=(INDEX(Charge_Type,MATCH($P259,Charge_Names,0))),Type_Species)),0),1)*
IF(OR(INDEX(Charge_Type,MATCH($P259,Charge_Names,0))=INDEX(Species_Type_1,MATCH($N259,Species_Names,0)),INDEX(Charge_Type,MATCH($P259,Charge_Names,0))=INDEX(Species_Type_2,MATCH($N259,Species_Names,0))),Game_STAB_Multiplier,1))</f>
        <v>1</v>
      </c>
      <c r="W259" s="33" t="s">
        <v>658</v>
      </c>
      <c r="X259" s="33" t="s">
        <v>765</v>
      </c>
      <c r="Y259" s="32" t="e">
        <f t="array" ref="Y259">((($Z259)*
INDEX(Species_Attack,MATCH($N259,Species_Names,0))*
INDEX(Species_Tankiness,MATCH($N259,Species_Names,0)))/1000)</f>
        <v>#VALUE!</v>
      </c>
      <c r="Z259" s="33" t="s">
        <v>739</v>
      </c>
    </row>
    <row r="260" spans="1:26" ht="14.25" customHeight="1" x14ac:dyDescent="0.2">
      <c r="A260" s="86"/>
      <c r="B260" s="22" t="str">
        <f t="array" ref="B260">CONCATENATE(TEXT($M260,"000"),".",TEXT(INDEX(Quick_Number,MATCH($O260,Quick_Names,0)),"000"),".",TEXT(INDEX(Charge_Number,MATCH($P260,Charge_Names,0)),"000"))</f>
        <v>018.239.121</v>
      </c>
      <c r="C260" s="23" t="e">
        <f t="array" ref="C260">RANK($S260,IF(Combo_Species_Names=$N260,Combo_Gym_Offense),0)</f>
        <v>#VALUE!</v>
      </c>
      <c r="D260" s="24" t="e">
        <f t="array" ref="D260">$S260/MAX(IF(Combo_Species_Names=$N260,Combo_Gym_Offense))</f>
        <v>#VALUE!</v>
      </c>
      <c r="E260" s="23" t="e">
        <f t="array" ref="E260">RANK($Y260,IF(Combo_Species_Names=$N260,Combo_Gym_Defense),0)</f>
        <v>#VALUE!</v>
      </c>
      <c r="F260" s="25" t="e">
        <f t="array" ref="F260">$Y260/MAX(IF(Combo_Species_Names=$N260,Combo_Gym_Defense))</f>
        <v>#VALUE!</v>
      </c>
      <c r="G260" s="23" t="e">
        <f t="array" ref="G260">IF(OR(INDEX(Species_Availability,MATCH($N260,Species_Names,0))="No",INDEX(Species_Evo_Numbers,MATCH($N260,Species_Names,0))&lt;&gt;1),"N/A",RANK($R260,IF(NOT(ISNA(MATCH(Combo_Species_Names,IF(Species_Availability="Yes",IF(Species_Evo_Numbers=1,Species_Names)),0))),Combo_Duel_Ability),0))</f>
        <v>#VALUE!</v>
      </c>
      <c r="H260" s="24" t="e">
        <f t="array" ref="H260">IF(OR(INDEX(Species_Availability,MATCH($N260,Species_Names,0))="No",INDEX(Species_Evo_Numbers,MATCH($N260,Species_Names,0))&lt;&gt;1),"N/A",$R260/MAX(IF(NOT(ISNA(MATCH(Combo_Species_Names,IF(Species_Availability="Yes",IF(Species_Evo_Numbers=1,Species_Names)),0))),Combo_Duel_Ability)))</f>
        <v>#VALUE!</v>
      </c>
      <c r="I260" s="23" t="e">
        <f t="array" ref="I260">IF(OR(INDEX(Species_Availability,MATCH($N260,Species_Names,0))="No",INDEX(Species_Evo_Numbers,MATCH($N260,Species_Names,0))&lt;&gt;1),"N/A",RANK($S260,IF(NOT(ISNA(MATCH(Combo_Species_Names,IF(Species_Availability="Yes",IF(Species_Evo_Numbers=1,Species_Names)),0))),Combo_Gym_Offense),0))</f>
        <v>#VALUE!</v>
      </c>
      <c r="J260" s="24" t="e">
        <f t="array" ref="J260">IF(OR(INDEX(Species_Availability,MATCH($N260,Species_Names,0))="No",INDEX(Species_Evo_Numbers,MATCH($N260,Species_Names,0))&lt;&gt;1),"N/A",$S260/MAX(IF(NOT(ISNA(MATCH(Combo_Species_Names,IF(Species_Availability="Yes",IF(Species_Evo_Numbers=1,Species_Names)),0))),Combo_Gym_Offense)))</f>
        <v>#VALUE!</v>
      </c>
      <c r="K260" s="23" t="e">
        <f t="array" ref="K260">IF(OR(INDEX(Species_Availability,MATCH($N260,Species_Names,0))="No",INDEX(Species_Evo_Numbers,MATCH($N260,Species_Names,0))&lt;&gt;1),"N/A",RANK($Y260,IF(NOT(ISNA(MATCH(Combo_Species_Names,IF(Species_Availability="Yes",IF(Species_Evo_Numbers=1,Species_Names)),0))),Combo_Gym_Defense),0))</f>
        <v>#VALUE!</v>
      </c>
      <c r="L260" s="24" t="e">
        <f t="array" ref="L260">IF(OR(INDEX(Species_Availability,MATCH($N260,Species_Names,0))="No",INDEX(Species_Evo_Numbers,MATCH($N260,Species_Names,0))&lt;&gt;1),"N/A",$Y260/MAX(IF(NOT(ISNA(MATCH(Combo_Species_Names,IF(Species_Availability="Yes",IF(Species_Evo_Numbers=1,Species_Names)),0))),Combo_Gym_Defense)))</f>
        <v>#VALUE!</v>
      </c>
      <c r="M260" s="28">
        <f t="array" ref="M260">INDEX(Species_Pdex_Numbers,MATCH($N260,Species_Names,0))</f>
        <v>18</v>
      </c>
      <c r="N260" s="30" t="s">
        <v>126</v>
      </c>
      <c r="O260" s="31" t="s">
        <v>80</v>
      </c>
      <c r="P260" s="31" t="s">
        <v>294</v>
      </c>
      <c r="Q260" s="17" t="e">
        <f t="shared" si="6"/>
        <v>#VALUE!</v>
      </c>
      <c r="R260" s="32" t="e">
        <f t="array" ref="R260">IF(OR(AND(COUNTBLANK(Combo_Opponent_Type_1)=1,COUNTBLANK(Combo_Opponent_Type_2)=0),AND(AND(COUNTBLANK(Combo_Opponent_Type_1)=0,COUNTBLANK(Combo_Opponent_Type_2)=0),Combo_Opponent_Type_1=Combo_Opponent_Type_2)),
"Check Types",($S260*INDEX(Species_Tankiness,MATCH($N260,Species_Names,0)))/225)</f>
        <v>#VALUE!</v>
      </c>
      <c r="S260" s="32" t="e">
        <f t="array" ref="S260">IF(OR(AND(COUNTBLANK(Combo_Opponent_Type_1)=1,COUNTBLANK(Combo_Opponent_Type_2)=0),AND(AND(COUNTBLANK(Combo_Opponent_Type_1)=0,COUNTBLANK(Combo_Opponent_Type_2)=0),Combo_Opponent_Type_1=Combo_Opponent_Type_2)),
"Check Types",(
IF($W260&gt;=((1-Game_Weave_Human_Error)*$X260),$W260,$X260)*INDEX(Species_Attack,MATCH($N260,Species_Names,0)))/11)</f>
        <v>#VALUE!</v>
      </c>
      <c r="T260" s="33" t="e">
        <f t="shared" si="7"/>
        <v>#VALUE!</v>
      </c>
      <c r="U260" s="33">
        <f t="array" ref="U2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260,Quick_Names,0))),Type_Species)),0),1)*IF(COUNTBLANK(Combo_Opponent_Type_2)=0,INDEX(Type_Damage_Multipliers,MATCH(Combo_Opponent_Type_2,IF(Type_Move=(INDEX(Quick_Type,MATCH($O260,Quick_Names,0))),Type_Species)),0),1)*(IF(OR(INDEX(Quick_Type,MATCH($O260,Quick_Names,0))=INDEX(Species_Type_1,MATCH($N260,Species_Names,0)),INDEX(Quick_Type,MATCH($O260,Quick_Names,0))=INDEX(Species_Type_2,MATCH($N260,Species_Names,0))),Game_STAB_Multiplier,1)))</f>
        <v>1</v>
      </c>
      <c r="V260" s="33">
        <f t="array" ref="V2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260,Charge_Names,0))),Type_Species)),0),1)*IF(COUNTBLANK(Combo_Opponent_Type_2)=0,INDEX(Type_Damage_Multipliers,MATCH(Combo_Opponent_Type_2,IF(Type_Move=(INDEX(Charge_Type,MATCH($P260,Charge_Names,0))),Type_Species)),0),1)*
IF(OR(INDEX(Charge_Type,MATCH($P260,Charge_Names,0))=INDEX(Species_Type_1,MATCH($N260,Species_Names,0)),INDEX(Charge_Type,MATCH($P260,Charge_Names,0))=INDEX(Species_Type_2,MATCH($N260,Species_Names,0))),Game_STAB_Multiplier,1))</f>
        <v>1.25</v>
      </c>
      <c r="W260" s="33" t="s">
        <v>441</v>
      </c>
      <c r="X260" s="33" t="s">
        <v>766</v>
      </c>
      <c r="Y260" s="32" t="e">
        <f t="array" ref="Y260">((($Z260)*
INDEX(Species_Attack,MATCH($N260,Species_Names,0))*
INDEX(Species_Tankiness,MATCH($N260,Species_Names,0)))/1000)</f>
        <v>#VALUE!</v>
      </c>
      <c r="Z260" s="33" t="s">
        <v>513</v>
      </c>
    </row>
    <row r="261" spans="1:26" ht="14.25" customHeight="1" x14ac:dyDescent="0.2">
      <c r="A261" s="86"/>
      <c r="B261" s="22" t="str">
        <f t="array" ref="B261">CONCATENATE(TEXT($M261,"000"),".",TEXT(INDEX(Quick_Number,MATCH($O261,Quick_Names,0)),"000"),".",TEXT(INDEX(Charge_Number,MATCH($P261,Charge_Names,0)),"000"))</f>
        <v>018.239.045</v>
      </c>
      <c r="C261" s="23" t="e">
        <f t="array" ref="C261">RANK($S261,IF(Combo_Species_Names=$N261,Combo_Gym_Offense),0)</f>
        <v>#VALUE!</v>
      </c>
      <c r="D261" s="24" t="e">
        <f t="array" ref="D261">$S261/MAX(IF(Combo_Species_Names=$N261,Combo_Gym_Offense))</f>
        <v>#VALUE!</v>
      </c>
      <c r="E261" s="23" t="e">
        <f t="array" ref="E261">RANK($Y261,IF(Combo_Species_Names=$N261,Combo_Gym_Defense),0)</f>
        <v>#VALUE!</v>
      </c>
      <c r="F261" s="25" t="e">
        <f t="array" ref="F261">$Y261/MAX(IF(Combo_Species_Names=$N261,Combo_Gym_Defense))</f>
        <v>#VALUE!</v>
      </c>
      <c r="G261" s="23" t="e">
        <f t="array" ref="G261">IF(OR(INDEX(Species_Availability,MATCH($N261,Species_Names,0))="No",INDEX(Species_Evo_Numbers,MATCH($N261,Species_Names,0))&lt;&gt;1),"N/A",RANK($R261,IF(NOT(ISNA(MATCH(Combo_Species_Names,IF(Species_Availability="Yes",IF(Species_Evo_Numbers=1,Species_Names)),0))),Combo_Duel_Ability),0))</f>
        <v>#VALUE!</v>
      </c>
      <c r="H261" s="24" t="e">
        <f t="array" ref="H261">IF(OR(INDEX(Species_Availability,MATCH($N261,Species_Names,0))="No",INDEX(Species_Evo_Numbers,MATCH($N261,Species_Names,0))&lt;&gt;1),"N/A",$R261/MAX(IF(NOT(ISNA(MATCH(Combo_Species_Names,IF(Species_Availability="Yes",IF(Species_Evo_Numbers=1,Species_Names)),0))),Combo_Duel_Ability)))</f>
        <v>#VALUE!</v>
      </c>
      <c r="I261" s="23" t="e">
        <f t="array" ref="I261">IF(OR(INDEX(Species_Availability,MATCH($N261,Species_Names,0))="No",INDEX(Species_Evo_Numbers,MATCH($N261,Species_Names,0))&lt;&gt;1),"N/A",RANK($S261,IF(NOT(ISNA(MATCH(Combo_Species_Names,IF(Species_Availability="Yes",IF(Species_Evo_Numbers=1,Species_Names)),0))),Combo_Gym_Offense),0))</f>
        <v>#VALUE!</v>
      </c>
      <c r="J261" s="24" t="e">
        <f t="array" ref="J261">IF(OR(INDEX(Species_Availability,MATCH($N261,Species_Names,0))="No",INDEX(Species_Evo_Numbers,MATCH($N261,Species_Names,0))&lt;&gt;1),"N/A",$S261/MAX(IF(NOT(ISNA(MATCH(Combo_Species_Names,IF(Species_Availability="Yes",IF(Species_Evo_Numbers=1,Species_Names)),0))),Combo_Gym_Offense)))</f>
        <v>#VALUE!</v>
      </c>
      <c r="K261" s="23" t="e">
        <f t="array" ref="K261">IF(OR(INDEX(Species_Availability,MATCH($N261,Species_Names,0))="No",INDEX(Species_Evo_Numbers,MATCH($N261,Species_Names,0))&lt;&gt;1),"N/A",RANK($Y261,IF(NOT(ISNA(MATCH(Combo_Species_Names,IF(Species_Availability="Yes",IF(Species_Evo_Numbers=1,Species_Names)),0))),Combo_Gym_Defense),0))</f>
        <v>#VALUE!</v>
      </c>
      <c r="L261" s="24" t="e">
        <f t="array" ref="L261">IF(OR(INDEX(Species_Availability,MATCH($N261,Species_Names,0))="No",INDEX(Species_Evo_Numbers,MATCH($N261,Species_Names,0))&lt;&gt;1),"N/A",$Y261/MAX(IF(NOT(ISNA(MATCH(Combo_Species_Names,IF(Species_Availability="Yes",IF(Species_Evo_Numbers=1,Species_Names)),0))),Combo_Gym_Defense)))</f>
        <v>#VALUE!</v>
      </c>
      <c r="M261" s="28">
        <f t="array" ref="M261">INDEX(Species_Pdex_Numbers,MATCH($N261,Species_Names,0))</f>
        <v>18</v>
      </c>
      <c r="N261" s="30" t="s">
        <v>126</v>
      </c>
      <c r="O261" s="31" t="s">
        <v>80</v>
      </c>
      <c r="P261" s="31" t="s">
        <v>287</v>
      </c>
      <c r="Q261" s="17" t="e">
        <f t="shared" si="6"/>
        <v>#VALUE!</v>
      </c>
      <c r="R261" s="32" t="e">
        <f t="array" ref="R261">IF(OR(AND(COUNTBLANK(Combo_Opponent_Type_1)=1,COUNTBLANK(Combo_Opponent_Type_2)=0),AND(AND(COUNTBLANK(Combo_Opponent_Type_1)=0,COUNTBLANK(Combo_Opponent_Type_2)=0),Combo_Opponent_Type_1=Combo_Opponent_Type_2)),
"Check Types",($S261*INDEX(Species_Tankiness,MATCH($N261,Species_Names,0)))/225)</f>
        <v>#VALUE!</v>
      </c>
      <c r="S261" s="32" t="e">
        <f t="array" ref="S261">IF(OR(AND(COUNTBLANK(Combo_Opponent_Type_1)=1,COUNTBLANK(Combo_Opponent_Type_2)=0),AND(AND(COUNTBLANK(Combo_Opponent_Type_1)=0,COUNTBLANK(Combo_Opponent_Type_2)=0),Combo_Opponent_Type_1=Combo_Opponent_Type_2)),
"Check Types",(
IF($W261&gt;=((1-Game_Weave_Human_Error)*$X261),$W261,$X261)*INDEX(Species_Attack,MATCH($N261,Species_Names,0)))/11)</f>
        <v>#VALUE!</v>
      </c>
      <c r="T261" s="33" t="e">
        <f t="shared" si="7"/>
        <v>#VALUE!</v>
      </c>
      <c r="U261" s="33">
        <f t="array" ref="U2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261,Quick_Names,0))),Type_Species)),0),1)*IF(COUNTBLANK(Combo_Opponent_Type_2)=0,INDEX(Type_Damage_Multipliers,MATCH(Combo_Opponent_Type_2,IF(Type_Move=(INDEX(Quick_Type,MATCH($O261,Quick_Names,0))),Type_Species)),0),1)*(IF(OR(INDEX(Quick_Type,MATCH($O261,Quick_Names,0))=INDEX(Species_Type_1,MATCH($N261,Species_Names,0)),INDEX(Quick_Type,MATCH($O261,Quick_Names,0))=INDEX(Species_Type_2,MATCH($N261,Species_Names,0))),Game_STAB_Multiplier,1)))</f>
        <v>1</v>
      </c>
      <c r="V261" s="33">
        <f t="array" ref="V2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261,Charge_Names,0))),Type_Species)),0),1)*IF(COUNTBLANK(Combo_Opponent_Type_2)=0,INDEX(Type_Damage_Multipliers,MATCH(Combo_Opponent_Type_2,IF(Type_Move=(INDEX(Charge_Type,MATCH($P261,Charge_Names,0))),Type_Species)),0),1)*
IF(OR(INDEX(Charge_Type,MATCH($P261,Charge_Names,0))=INDEX(Species_Type_1,MATCH($N261,Species_Names,0)),INDEX(Charge_Type,MATCH($P261,Charge_Names,0))=INDEX(Species_Type_2,MATCH($N261,Species_Names,0))),Game_STAB_Multiplier,1))</f>
        <v>1.25</v>
      </c>
      <c r="W261" s="33" t="s">
        <v>441</v>
      </c>
      <c r="X261" s="33" t="s">
        <v>767</v>
      </c>
      <c r="Y261" s="32" t="e">
        <f t="array" ref="Y261">((($Z261)*
INDEX(Species_Attack,MATCH($N261,Species_Names,0))*
INDEX(Species_Tankiness,MATCH($N261,Species_Names,0)))/1000)</f>
        <v>#VALUE!</v>
      </c>
      <c r="Z261" s="33" t="s">
        <v>510</v>
      </c>
    </row>
    <row r="262" spans="1:26" ht="14.25" customHeight="1" x14ac:dyDescent="0.2">
      <c r="A262" s="86"/>
      <c r="B262" s="22" t="str">
        <f t="array" ref="B262">CONCATENATE(TEXT($M262,"000"),".",TEXT(INDEX(Quick_Number,MATCH($O262,Quick_Names,0)),"000"),".",TEXT(INDEX(Charge_Number,MATCH($P262,Charge_Names,0)),"000"))</f>
        <v>049.235.049</v>
      </c>
      <c r="C262" s="23" t="e">
        <f t="array" ref="C262">RANK($S262,IF(Combo_Species_Names=$N262,Combo_Gym_Offense),0)</f>
        <v>#VALUE!</v>
      </c>
      <c r="D262" s="24" t="e">
        <f t="array" ref="D262">$S262/MAX(IF(Combo_Species_Names=$N262,Combo_Gym_Offense))</f>
        <v>#VALUE!</v>
      </c>
      <c r="E262" s="23" t="e">
        <f t="array" ref="E262">RANK($Y262,IF(Combo_Species_Names=$N262,Combo_Gym_Defense),0)</f>
        <v>#VALUE!</v>
      </c>
      <c r="F262" s="25" t="e">
        <f t="array" ref="F262">$Y262/MAX(IF(Combo_Species_Names=$N262,Combo_Gym_Defense))</f>
        <v>#VALUE!</v>
      </c>
      <c r="G262" s="23" t="e">
        <f t="array" ref="G262">IF(OR(INDEX(Species_Availability,MATCH($N262,Species_Names,0))="No",INDEX(Species_Evo_Numbers,MATCH($N262,Species_Names,0))&lt;&gt;1),"N/A",RANK($R262,IF(NOT(ISNA(MATCH(Combo_Species_Names,IF(Species_Availability="Yes",IF(Species_Evo_Numbers=1,Species_Names)),0))),Combo_Duel_Ability),0))</f>
        <v>#VALUE!</v>
      </c>
      <c r="H262" s="24" t="e">
        <f t="array" ref="H262">IF(OR(INDEX(Species_Availability,MATCH($N262,Species_Names,0))="No",INDEX(Species_Evo_Numbers,MATCH($N262,Species_Names,0))&lt;&gt;1),"N/A",$R262/MAX(IF(NOT(ISNA(MATCH(Combo_Species_Names,IF(Species_Availability="Yes",IF(Species_Evo_Numbers=1,Species_Names)),0))),Combo_Duel_Ability)))</f>
        <v>#VALUE!</v>
      </c>
      <c r="I262" s="23" t="e">
        <f t="array" ref="I262">IF(OR(INDEX(Species_Availability,MATCH($N262,Species_Names,0))="No",INDEX(Species_Evo_Numbers,MATCH($N262,Species_Names,0))&lt;&gt;1),"N/A",RANK($S262,IF(NOT(ISNA(MATCH(Combo_Species_Names,IF(Species_Availability="Yes",IF(Species_Evo_Numbers=1,Species_Names)),0))),Combo_Gym_Offense),0))</f>
        <v>#VALUE!</v>
      </c>
      <c r="J262" s="24" t="e">
        <f t="array" ref="J262">IF(OR(INDEX(Species_Availability,MATCH($N262,Species_Names,0))="No",INDEX(Species_Evo_Numbers,MATCH($N262,Species_Names,0))&lt;&gt;1),"N/A",$S262/MAX(IF(NOT(ISNA(MATCH(Combo_Species_Names,IF(Species_Availability="Yes",IF(Species_Evo_Numbers=1,Species_Names)),0))),Combo_Gym_Offense)))</f>
        <v>#VALUE!</v>
      </c>
      <c r="K262" s="23" t="e">
        <f t="array" ref="K262">IF(OR(INDEX(Species_Availability,MATCH($N262,Species_Names,0))="No",INDEX(Species_Evo_Numbers,MATCH($N262,Species_Names,0))&lt;&gt;1),"N/A",RANK($Y262,IF(NOT(ISNA(MATCH(Combo_Species_Names,IF(Species_Availability="Yes",IF(Species_Evo_Numbers=1,Species_Names)),0))),Combo_Gym_Defense),0))</f>
        <v>#VALUE!</v>
      </c>
      <c r="L262" s="24" t="e">
        <f t="array" ref="L262">IF(OR(INDEX(Species_Availability,MATCH($N262,Species_Names,0))="No",INDEX(Species_Evo_Numbers,MATCH($N262,Species_Names,0))&lt;&gt;1),"N/A",$Y262/MAX(IF(NOT(ISNA(MATCH(Combo_Species_Names,IF(Species_Availability="Yes",IF(Species_Evo_Numbers=1,Species_Names)),0))),Combo_Gym_Defense)))</f>
        <v>#VALUE!</v>
      </c>
      <c r="M262" s="28">
        <f t="array" ref="M262">INDEX(Species_Pdex_Numbers,MATCH($N262,Species_Names,0))</f>
        <v>49</v>
      </c>
      <c r="N262" s="30" t="s">
        <v>189</v>
      </c>
      <c r="O262" s="31" t="s">
        <v>108</v>
      </c>
      <c r="P262" s="31" t="s">
        <v>211</v>
      </c>
      <c r="Q262" s="17" t="e">
        <f t="shared" ref="Q262:Q325" si="8">IF(OR(AND(COUNTBLANK(Combo_Opponent_Type_1)=1,COUNTBLANK(Combo_Opponent_Type_2)=0),AND(AND(COUNTBLANK(Combo_Opponent_Type_1)=0,COUNTBLANK(Combo_Opponent_Type_2)=0),Combo_Opponent_Type_1=Combo_Opponent_Type_2)),
"Check Types",IF($W262&gt;=((1-Game_Weave_Human_Error)*$X262),"Quick Only","Weave"))</f>
        <v>#VALUE!</v>
      </c>
      <c r="R262" s="32" t="e">
        <f t="array" ref="R262">IF(OR(AND(COUNTBLANK(Combo_Opponent_Type_1)=1,COUNTBLANK(Combo_Opponent_Type_2)=0),AND(AND(COUNTBLANK(Combo_Opponent_Type_1)=0,COUNTBLANK(Combo_Opponent_Type_2)=0),Combo_Opponent_Type_1=Combo_Opponent_Type_2)),
"Check Types",($S262*INDEX(Species_Tankiness,MATCH($N262,Species_Names,0)))/225)</f>
        <v>#VALUE!</v>
      </c>
      <c r="S262" s="32" t="e">
        <f t="array" ref="S262">IF(OR(AND(COUNTBLANK(Combo_Opponent_Type_1)=1,COUNTBLANK(Combo_Opponent_Type_2)=0),AND(AND(COUNTBLANK(Combo_Opponent_Type_1)=0,COUNTBLANK(Combo_Opponent_Type_2)=0),Combo_Opponent_Type_1=Combo_Opponent_Type_2)),
"Check Types",(
IF($W262&gt;=((1-Game_Weave_Human_Error)*$X262),$W262,$X262)*INDEX(Species_Attack,MATCH($N262,Species_Names,0)))/11)</f>
        <v>#VALUE!</v>
      </c>
      <c r="T262" s="33" t="e">
        <f t="shared" ref="T262:T325" si="9">IF(OR(AND(COUNTBLANK(Combo_Opponent_Type_1)=1,COUNTBLANK(Combo_Opponent_Type_2)=0),AND(AND(COUNTBLANK(Combo_Opponent_Type_1)=0,COUNTBLANK(Combo_Opponent_Type_2)=0),Combo_Opponent_Type_1=Combo_Opponent_Type_2)),
"Check Types",IF($W262&gt;=((1-Game_Weave_Human_Error)*$X262),$W262,$X262))</f>
        <v>#VALUE!</v>
      </c>
      <c r="U262" s="33">
        <f t="array" ref="U2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262,Quick_Names,0))),Type_Species)),0),1)*IF(COUNTBLANK(Combo_Opponent_Type_2)=0,INDEX(Type_Damage_Multipliers,MATCH(Combo_Opponent_Type_2,IF(Type_Move=(INDEX(Quick_Type,MATCH($O262,Quick_Names,0))),Type_Species)),0),1)*(IF(OR(INDEX(Quick_Type,MATCH($O262,Quick_Names,0))=INDEX(Species_Type_1,MATCH($N262,Species_Names,0)),INDEX(Quick_Type,MATCH($O262,Quick_Names,0))=INDEX(Species_Type_2,MATCH($N262,Species_Names,0))),Game_STAB_Multiplier,1)))</f>
        <v>1</v>
      </c>
      <c r="V262" s="33">
        <f t="array" ref="V2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262,Charge_Names,0))),Type_Species)),0),1)*IF(COUNTBLANK(Combo_Opponent_Type_2)=0,INDEX(Type_Damage_Multipliers,MATCH(Combo_Opponent_Type_2,IF(Type_Move=(INDEX(Charge_Type,MATCH($P262,Charge_Names,0))),Type_Species)),0),1)*
IF(OR(INDEX(Charge_Type,MATCH($P262,Charge_Names,0))=INDEX(Species_Type_1,MATCH($N262,Species_Names,0)),INDEX(Charge_Type,MATCH($P262,Charge_Names,0))=INDEX(Species_Type_2,MATCH($N262,Species_Names,0))),Game_STAB_Multiplier,1))</f>
        <v>1.25</v>
      </c>
      <c r="W262" s="33" t="s">
        <v>631</v>
      </c>
      <c r="X262" s="33" t="s">
        <v>596</v>
      </c>
      <c r="Y262" s="32" t="e">
        <f t="array" ref="Y262">((($Z262)*
INDEX(Species_Attack,MATCH($N262,Species_Names,0))*
INDEX(Species_Tankiness,MATCH($N262,Species_Names,0)))/1000)</f>
        <v>#VALUE!</v>
      </c>
      <c r="Z262" s="33" t="s">
        <v>768</v>
      </c>
    </row>
    <row r="263" spans="1:26" ht="14.25" customHeight="1" x14ac:dyDescent="0.2">
      <c r="A263" s="86"/>
      <c r="B263" s="22" t="str">
        <f t="array" ref="B263">CONCATENATE(TEXT($M263,"000"),".",TEXT(INDEX(Quick_Number,MATCH($O263,Quick_Names,0)),"000"),".",TEXT(INDEX(Charge_Number,MATCH($P263,Charge_Names,0)),"000"))</f>
        <v>028.216.095</v>
      </c>
      <c r="C263" s="23" t="e">
        <f t="array" ref="C263">RANK($S263,IF(Combo_Species_Names=$N263,Combo_Gym_Offense),0)</f>
        <v>#VALUE!</v>
      </c>
      <c r="D263" s="24" t="e">
        <f t="array" ref="D263">$S263/MAX(IF(Combo_Species_Names=$N263,Combo_Gym_Offense))</f>
        <v>#VALUE!</v>
      </c>
      <c r="E263" s="23" t="e">
        <f t="array" ref="E263">RANK($Y263,IF(Combo_Species_Names=$N263,Combo_Gym_Defense),0)</f>
        <v>#VALUE!</v>
      </c>
      <c r="F263" s="25" t="e">
        <f t="array" ref="F263">$Y263/MAX(IF(Combo_Species_Names=$N263,Combo_Gym_Defense))</f>
        <v>#VALUE!</v>
      </c>
      <c r="G263" s="23" t="e">
        <f t="array" ref="G263">IF(OR(INDEX(Species_Availability,MATCH($N263,Species_Names,0))="No",INDEX(Species_Evo_Numbers,MATCH($N263,Species_Names,0))&lt;&gt;1),"N/A",RANK($R263,IF(NOT(ISNA(MATCH(Combo_Species_Names,IF(Species_Availability="Yes",IF(Species_Evo_Numbers=1,Species_Names)),0))),Combo_Duel_Ability),0))</f>
        <v>#VALUE!</v>
      </c>
      <c r="H263" s="24" t="e">
        <f t="array" ref="H263">IF(OR(INDEX(Species_Availability,MATCH($N263,Species_Names,0))="No",INDEX(Species_Evo_Numbers,MATCH($N263,Species_Names,0))&lt;&gt;1),"N/A",$R263/MAX(IF(NOT(ISNA(MATCH(Combo_Species_Names,IF(Species_Availability="Yes",IF(Species_Evo_Numbers=1,Species_Names)),0))),Combo_Duel_Ability)))</f>
        <v>#VALUE!</v>
      </c>
      <c r="I263" s="23" t="e">
        <f t="array" ref="I263">IF(OR(INDEX(Species_Availability,MATCH($N263,Species_Names,0))="No",INDEX(Species_Evo_Numbers,MATCH($N263,Species_Names,0))&lt;&gt;1),"N/A",RANK($S263,IF(NOT(ISNA(MATCH(Combo_Species_Names,IF(Species_Availability="Yes",IF(Species_Evo_Numbers=1,Species_Names)),0))),Combo_Gym_Offense),0))</f>
        <v>#VALUE!</v>
      </c>
      <c r="J263" s="24" t="e">
        <f t="array" ref="J263">IF(OR(INDEX(Species_Availability,MATCH($N263,Species_Names,0))="No",INDEX(Species_Evo_Numbers,MATCH($N263,Species_Names,0))&lt;&gt;1),"N/A",$S263/MAX(IF(NOT(ISNA(MATCH(Combo_Species_Names,IF(Species_Availability="Yes",IF(Species_Evo_Numbers=1,Species_Names)),0))),Combo_Gym_Offense)))</f>
        <v>#VALUE!</v>
      </c>
      <c r="K263" s="23" t="e">
        <f t="array" ref="K263">IF(OR(INDEX(Species_Availability,MATCH($N263,Species_Names,0))="No",INDEX(Species_Evo_Numbers,MATCH($N263,Species_Names,0))&lt;&gt;1),"N/A",RANK($Y263,IF(NOT(ISNA(MATCH(Combo_Species_Names,IF(Species_Availability="Yes",IF(Species_Evo_Numbers=1,Species_Names)),0))),Combo_Gym_Defense),0))</f>
        <v>#VALUE!</v>
      </c>
      <c r="L263" s="24" t="e">
        <f t="array" ref="L263">IF(OR(INDEX(Species_Availability,MATCH($N263,Species_Names,0))="No",INDEX(Species_Evo_Numbers,MATCH($N263,Species_Names,0))&lt;&gt;1),"N/A",$Y263/MAX(IF(NOT(ISNA(MATCH(Combo_Species_Names,IF(Species_Availability="Yes",IF(Species_Evo_Numbers=1,Species_Names)),0))),Combo_Gym_Defense)))</f>
        <v>#VALUE!</v>
      </c>
      <c r="M263" s="28">
        <f t="array" ref="M263">INDEX(Species_Pdex_Numbers,MATCH($N263,Species_Names,0))</f>
        <v>28</v>
      </c>
      <c r="N263" s="30" t="s">
        <v>147</v>
      </c>
      <c r="O263" s="31" t="s">
        <v>89</v>
      </c>
      <c r="P263" s="31" t="s">
        <v>291</v>
      </c>
      <c r="Q263" s="17" t="e">
        <f t="shared" si="8"/>
        <v>#VALUE!</v>
      </c>
      <c r="R263" s="32" t="e">
        <f t="array" ref="R263">IF(OR(AND(COUNTBLANK(Combo_Opponent_Type_1)=1,COUNTBLANK(Combo_Opponent_Type_2)=0),AND(AND(COUNTBLANK(Combo_Opponent_Type_1)=0,COUNTBLANK(Combo_Opponent_Type_2)=0),Combo_Opponent_Type_1=Combo_Opponent_Type_2)),
"Check Types",($S263*INDEX(Species_Tankiness,MATCH($N263,Species_Names,0)))/225)</f>
        <v>#VALUE!</v>
      </c>
      <c r="S263" s="32" t="e">
        <f t="array" ref="S263">IF(OR(AND(COUNTBLANK(Combo_Opponent_Type_1)=1,COUNTBLANK(Combo_Opponent_Type_2)=0),AND(AND(COUNTBLANK(Combo_Opponent_Type_1)=0,COUNTBLANK(Combo_Opponent_Type_2)=0),Combo_Opponent_Type_1=Combo_Opponent_Type_2)),
"Check Types",(
IF($W263&gt;=((1-Game_Weave_Human_Error)*$X263),$W263,$X263)*INDEX(Species_Attack,MATCH($N263,Species_Names,0)))/11)</f>
        <v>#VALUE!</v>
      </c>
      <c r="T263" s="33" t="e">
        <f t="shared" si="9"/>
        <v>#VALUE!</v>
      </c>
      <c r="U263" s="33">
        <f t="array" ref="U2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263,Quick_Names,0))),Type_Species)),0),1)*IF(COUNTBLANK(Combo_Opponent_Type_2)=0,INDEX(Type_Damage_Multipliers,MATCH(Combo_Opponent_Type_2,IF(Type_Move=(INDEX(Quick_Type,MATCH($O263,Quick_Names,0))),Type_Species)),0),1)*(IF(OR(INDEX(Quick_Type,MATCH($O263,Quick_Names,0))=INDEX(Species_Type_1,MATCH($N263,Species_Names,0)),INDEX(Quick_Type,MATCH($O263,Quick_Names,0))=INDEX(Species_Type_2,MATCH($N263,Species_Names,0))),Game_STAB_Multiplier,1)))</f>
        <v>1.25</v>
      </c>
      <c r="V263" s="33">
        <f t="array" ref="V2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263,Charge_Names,0))),Type_Species)),0),1)*IF(COUNTBLANK(Combo_Opponent_Type_2)=0,INDEX(Type_Damage_Multipliers,MATCH(Combo_Opponent_Type_2,IF(Type_Move=(INDEX(Charge_Type,MATCH($P263,Charge_Names,0))),Type_Species)),0),1)*
IF(OR(INDEX(Charge_Type,MATCH($P263,Charge_Names,0))=INDEX(Species_Type_1,MATCH($N263,Species_Names,0)),INDEX(Charge_Type,MATCH($P263,Charge_Names,0))=INDEX(Species_Type_2,MATCH($N263,Species_Names,0))),Game_STAB_Multiplier,1))</f>
        <v>1.25</v>
      </c>
      <c r="W263" s="33" t="s">
        <v>496</v>
      </c>
      <c r="X263" s="33" t="s">
        <v>640</v>
      </c>
      <c r="Y263" s="32" t="e">
        <f t="array" ref="Y263">((($Z263)*
INDEX(Species_Attack,MATCH($N263,Species_Names,0))*
INDEX(Species_Tankiness,MATCH($N263,Species_Names,0)))/1000)</f>
        <v>#VALUE!</v>
      </c>
      <c r="Z263" s="33" t="s">
        <v>641</v>
      </c>
    </row>
    <row r="264" spans="1:26" ht="14.25" customHeight="1" x14ac:dyDescent="0.2">
      <c r="A264" s="86"/>
      <c r="B264" s="22" t="str">
        <f t="array" ref="B264">CONCATENATE(TEXT($M264,"000"),".",TEXT(INDEX(Quick_Number,MATCH($O264,Quick_Names,0)),"000"),".",TEXT(INDEX(Charge_Number,MATCH($P264,Charge_Names,0)),"000"))</f>
        <v>028.216.063</v>
      </c>
      <c r="C264" s="23" t="e">
        <f t="array" ref="C264">RANK($S264,IF(Combo_Species_Names=$N264,Combo_Gym_Offense),0)</f>
        <v>#VALUE!</v>
      </c>
      <c r="D264" s="24" t="e">
        <f t="array" ref="D264">$S264/MAX(IF(Combo_Species_Names=$N264,Combo_Gym_Offense))</f>
        <v>#VALUE!</v>
      </c>
      <c r="E264" s="23" t="e">
        <f t="array" ref="E264">RANK($Y264,IF(Combo_Species_Names=$N264,Combo_Gym_Defense),0)</f>
        <v>#VALUE!</v>
      </c>
      <c r="F264" s="25" t="e">
        <f t="array" ref="F264">$Y264/MAX(IF(Combo_Species_Names=$N264,Combo_Gym_Defense))</f>
        <v>#VALUE!</v>
      </c>
      <c r="G264" s="23" t="e">
        <f t="array" ref="G264">IF(OR(INDEX(Species_Availability,MATCH($N264,Species_Names,0))="No",INDEX(Species_Evo_Numbers,MATCH($N264,Species_Names,0))&lt;&gt;1),"N/A",RANK($R264,IF(NOT(ISNA(MATCH(Combo_Species_Names,IF(Species_Availability="Yes",IF(Species_Evo_Numbers=1,Species_Names)),0))),Combo_Duel_Ability),0))</f>
        <v>#VALUE!</v>
      </c>
      <c r="H264" s="24" t="e">
        <f t="array" ref="H264">IF(OR(INDEX(Species_Availability,MATCH($N264,Species_Names,0))="No",INDEX(Species_Evo_Numbers,MATCH($N264,Species_Names,0))&lt;&gt;1),"N/A",$R264/MAX(IF(NOT(ISNA(MATCH(Combo_Species_Names,IF(Species_Availability="Yes",IF(Species_Evo_Numbers=1,Species_Names)),0))),Combo_Duel_Ability)))</f>
        <v>#VALUE!</v>
      </c>
      <c r="I264" s="23" t="e">
        <f t="array" ref="I264">IF(OR(INDEX(Species_Availability,MATCH($N264,Species_Names,0))="No",INDEX(Species_Evo_Numbers,MATCH($N264,Species_Names,0))&lt;&gt;1),"N/A",RANK($S264,IF(NOT(ISNA(MATCH(Combo_Species_Names,IF(Species_Availability="Yes",IF(Species_Evo_Numbers=1,Species_Names)),0))),Combo_Gym_Offense),0))</f>
        <v>#VALUE!</v>
      </c>
      <c r="J264" s="24" t="e">
        <f t="array" ref="J264">IF(OR(INDEX(Species_Availability,MATCH($N264,Species_Names,0))="No",INDEX(Species_Evo_Numbers,MATCH($N264,Species_Names,0))&lt;&gt;1),"N/A",$S264/MAX(IF(NOT(ISNA(MATCH(Combo_Species_Names,IF(Species_Availability="Yes",IF(Species_Evo_Numbers=1,Species_Names)),0))),Combo_Gym_Offense)))</f>
        <v>#VALUE!</v>
      </c>
      <c r="K264" s="23" t="e">
        <f t="array" ref="K264">IF(OR(INDEX(Species_Availability,MATCH($N264,Species_Names,0))="No",INDEX(Species_Evo_Numbers,MATCH($N264,Species_Names,0))&lt;&gt;1),"N/A",RANK($Y264,IF(NOT(ISNA(MATCH(Combo_Species_Names,IF(Species_Availability="Yes",IF(Species_Evo_Numbers=1,Species_Names)),0))),Combo_Gym_Defense),0))</f>
        <v>#VALUE!</v>
      </c>
      <c r="L264" s="24" t="e">
        <f t="array" ref="L264">IF(OR(INDEX(Species_Availability,MATCH($N264,Species_Names,0))="No",INDEX(Species_Evo_Numbers,MATCH($N264,Species_Names,0))&lt;&gt;1),"N/A",$Y264/MAX(IF(NOT(ISNA(MATCH(Combo_Species_Names,IF(Species_Availability="Yes",IF(Species_Evo_Numbers=1,Species_Names)),0))),Combo_Gym_Defense)))</f>
        <v>#VALUE!</v>
      </c>
      <c r="M264" s="28">
        <f t="array" ref="M264">INDEX(Species_Pdex_Numbers,MATCH($N264,Species_Names,0))</f>
        <v>28</v>
      </c>
      <c r="N264" s="30" t="s">
        <v>147</v>
      </c>
      <c r="O264" s="31" t="s">
        <v>89</v>
      </c>
      <c r="P264" s="31" t="s">
        <v>299</v>
      </c>
      <c r="Q264" s="17" t="e">
        <f t="shared" si="8"/>
        <v>#VALUE!</v>
      </c>
      <c r="R264" s="32" t="e">
        <f t="array" ref="R264">IF(OR(AND(COUNTBLANK(Combo_Opponent_Type_1)=1,COUNTBLANK(Combo_Opponent_Type_2)=0),AND(AND(COUNTBLANK(Combo_Opponent_Type_1)=0,COUNTBLANK(Combo_Opponent_Type_2)=0),Combo_Opponent_Type_1=Combo_Opponent_Type_2)),
"Check Types",($S264*INDEX(Species_Tankiness,MATCH($N264,Species_Names,0)))/225)</f>
        <v>#VALUE!</v>
      </c>
      <c r="S264" s="32" t="e">
        <f t="array" ref="S264">IF(OR(AND(COUNTBLANK(Combo_Opponent_Type_1)=1,COUNTBLANK(Combo_Opponent_Type_2)=0),AND(AND(COUNTBLANK(Combo_Opponent_Type_1)=0,COUNTBLANK(Combo_Opponent_Type_2)=0),Combo_Opponent_Type_1=Combo_Opponent_Type_2)),
"Check Types",(
IF($W264&gt;=((1-Game_Weave_Human_Error)*$X264),$W264,$X264)*INDEX(Species_Attack,MATCH($N264,Species_Names,0)))/11)</f>
        <v>#VALUE!</v>
      </c>
      <c r="T264" s="33" t="e">
        <f t="shared" si="9"/>
        <v>#VALUE!</v>
      </c>
      <c r="U264" s="33">
        <f t="array" ref="U2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264,Quick_Names,0))),Type_Species)),0),1)*IF(COUNTBLANK(Combo_Opponent_Type_2)=0,INDEX(Type_Damage_Multipliers,MATCH(Combo_Opponent_Type_2,IF(Type_Move=(INDEX(Quick_Type,MATCH($O264,Quick_Names,0))),Type_Species)),0),1)*(IF(OR(INDEX(Quick_Type,MATCH($O264,Quick_Names,0))=INDEX(Species_Type_1,MATCH($N264,Species_Names,0)),INDEX(Quick_Type,MATCH($O264,Quick_Names,0))=INDEX(Species_Type_2,MATCH($N264,Species_Names,0))),Game_STAB_Multiplier,1)))</f>
        <v>1.25</v>
      </c>
      <c r="V264" s="33">
        <f t="array" ref="V2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264,Charge_Names,0))),Type_Species)),0),1)*IF(COUNTBLANK(Combo_Opponent_Type_2)=0,INDEX(Type_Damage_Multipliers,MATCH(Combo_Opponent_Type_2,IF(Type_Move=(INDEX(Charge_Type,MATCH($P264,Charge_Names,0))),Type_Species)),0),1)*
IF(OR(INDEX(Charge_Type,MATCH($P264,Charge_Names,0))=INDEX(Species_Type_1,MATCH($N264,Species_Names,0)),INDEX(Charge_Type,MATCH($P264,Charge_Names,0))=INDEX(Species_Type_2,MATCH($N264,Species_Names,0))),Game_STAB_Multiplier,1))</f>
        <v>1</v>
      </c>
      <c r="W264" s="33" t="s">
        <v>496</v>
      </c>
      <c r="X264" s="33" t="s">
        <v>577</v>
      </c>
      <c r="Y264" s="32" t="e">
        <f t="array" ref="Y264">((($Z264)*
INDEX(Species_Attack,MATCH($N264,Species_Names,0))*
INDEX(Species_Tankiness,MATCH($N264,Species_Names,0)))/1000)</f>
        <v>#VALUE!</v>
      </c>
      <c r="Z264" s="33" t="s">
        <v>735</v>
      </c>
    </row>
    <row r="265" spans="1:26" ht="14.25" customHeight="1" x14ac:dyDescent="0.2">
      <c r="A265" s="86"/>
      <c r="B265" s="22" t="str">
        <f t="array" ref="B265">CONCATENATE(TEXT($M265,"000"),".",TEXT(INDEX(Quick_Number,MATCH($O265,Quick_Names,0)),"000"),".",TEXT(INDEX(Charge_Number,MATCH($P265,Charge_Names,0)),"000"))</f>
        <v>057.207.028</v>
      </c>
      <c r="C265" s="23" t="e">
        <f t="array" ref="C265">RANK($S265,IF(Combo_Species_Names=$N265,Combo_Gym_Offense),0)</f>
        <v>#VALUE!</v>
      </c>
      <c r="D265" s="24" t="e">
        <f t="array" ref="D265">$S265/MAX(IF(Combo_Species_Names=$N265,Combo_Gym_Offense))</f>
        <v>#VALUE!</v>
      </c>
      <c r="E265" s="23" t="e">
        <f t="array" ref="E265">RANK($Y265,IF(Combo_Species_Names=$N265,Combo_Gym_Defense),0)</f>
        <v>#VALUE!</v>
      </c>
      <c r="F265" s="25" t="e">
        <f t="array" ref="F265">$Y265/MAX(IF(Combo_Species_Names=$N265,Combo_Gym_Defense))</f>
        <v>#VALUE!</v>
      </c>
      <c r="G265" s="23" t="e">
        <f t="array" ref="G265">IF(OR(INDEX(Species_Availability,MATCH($N265,Species_Names,0))="No",INDEX(Species_Evo_Numbers,MATCH($N265,Species_Names,0))&lt;&gt;1),"N/A",RANK($R265,IF(NOT(ISNA(MATCH(Combo_Species_Names,IF(Species_Availability="Yes",IF(Species_Evo_Numbers=1,Species_Names)),0))),Combo_Duel_Ability),0))</f>
        <v>#VALUE!</v>
      </c>
      <c r="H265" s="24" t="e">
        <f t="array" ref="H265">IF(OR(INDEX(Species_Availability,MATCH($N265,Species_Names,0))="No",INDEX(Species_Evo_Numbers,MATCH($N265,Species_Names,0))&lt;&gt;1),"N/A",$R265/MAX(IF(NOT(ISNA(MATCH(Combo_Species_Names,IF(Species_Availability="Yes",IF(Species_Evo_Numbers=1,Species_Names)),0))),Combo_Duel_Ability)))</f>
        <v>#VALUE!</v>
      </c>
      <c r="I265" s="23" t="e">
        <f t="array" ref="I265">IF(OR(INDEX(Species_Availability,MATCH($N265,Species_Names,0))="No",INDEX(Species_Evo_Numbers,MATCH($N265,Species_Names,0))&lt;&gt;1),"N/A",RANK($S265,IF(NOT(ISNA(MATCH(Combo_Species_Names,IF(Species_Availability="Yes",IF(Species_Evo_Numbers=1,Species_Names)),0))),Combo_Gym_Offense),0))</f>
        <v>#VALUE!</v>
      </c>
      <c r="J265" s="24" t="e">
        <f t="array" ref="J265">IF(OR(INDEX(Species_Availability,MATCH($N265,Species_Names,0))="No",INDEX(Species_Evo_Numbers,MATCH($N265,Species_Names,0))&lt;&gt;1),"N/A",$S265/MAX(IF(NOT(ISNA(MATCH(Combo_Species_Names,IF(Species_Availability="Yes",IF(Species_Evo_Numbers=1,Species_Names)),0))),Combo_Gym_Offense)))</f>
        <v>#VALUE!</v>
      </c>
      <c r="K265" s="23" t="e">
        <f t="array" ref="K265">IF(OR(INDEX(Species_Availability,MATCH($N265,Species_Names,0))="No",INDEX(Species_Evo_Numbers,MATCH($N265,Species_Names,0))&lt;&gt;1),"N/A",RANK($Y265,IF(NOT(ISNA(MATCH(Combo_Species_Names,IF(Species_Availability="Yes",IF(Species_Evo_Numbers=1,Species_Names)),0))),Combo_Gym_Defense),0))</f>
        <v>#VALUE!</v>
      </c>
      <c r="L265" s="24" t="e">
        <f t="array" ref="L265">IF(OR(INDEX(Species_Availability,MATCH($N265,Species_Names,0))="No",INDEX(Species_Evo_Numbers,MATCH($N265,Species_Names,0))&lt;&gt;1),"N/A",$Y265/MAX(IF(NOT(ISNA(MATCH(Combo_Species_Names,IF(Species_Availability="Yes",IF(Species_Evo_Numbers=1,Species_Names)),0))),Combo_Gym_Defense)))</f>
        <v>#VALUE!</v>
      </c>
      <c r="M265" s="28">
        <f t="array" ref="M265">INDEX(Species_Pdex_Numbers,MATCH($N265,Species_Names,0))</f>
        <v>57</v>
      </c>
      <c r="N265" s="30" t="s">
        <v>203</v>
      </c>
      <c r="O265" s="31" t="s">
        <v>117</v>
      </c>
      <c r="P265" s="31" t="s">
        <v>146</v>
      </c>
      <c r="Q265" s="17" t="e">
        <f t="shared" si="8"/>
        <v>#VALUE!</v>
      </c>
      <c r="R265" s="32" t="e">
        <f t="array" ref="R265">IF(OR(AND(COUNTBLANK(Combo_Opponent_Type_1)=1,COUNTBLANK(Combo_Opponent_Type_2)=0),AND(AND(COUNTBLANK(Combo_Opponent_Type_1)=0,COUNTBLANK(Combo_Opponent_Type_2)=0),Combo_Opponent_Type_1=Combo_Opponent_Type_2)),
"Check Types",($S265*INDEX(Species_Tankiness,MATCH($N265,Species_Names,0)))/225)</f>
        <v>#VALUE!</v>
      </c>
      <c r="S265" s="32" t="e">
        <f t="array" ref="S265">IF(OR(AND(COUNTBLANK(Combo_Opponent_Type_1)=1,COUNTBLANK(Combo_Opponent_Type_2)=0),AND(AND(COUNTBLANK(Combo_Opponent_Type_1)=0,COUNTBLANK(Combo_Opponent_Type_2)=0),Combo_Opponent_Type_1=Combo_Opponent_Type_2)),
"Check Types",(
IF($W265&gt;=((1-Game_Weave_Human_Error)*$X265),$W265,$X265)*INDEX(Species_Attack,MATCH($N265,Species_Names,0)))/11)</f>
        <v>#VALUE!</v>
      </c>
      <c r="T265" s="33" t="e">
        <f t="shared" si="9"/>
        <v>#VALUE!</v>
      </c>
      <c r="U265" s="33">
        <f t="array" ref="U2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265,Quick_Names,0))),Type_Species)),0),1)*IF(COUNTBLANK(Combo_Opponent_Type_2)=0,INDEX(Type_Damage_Multipliers,MATCH(Combo_Opponent_Type_2,IF(Type_Move=(INDEX(Quick_Type,MATCH($O265,Quick_Names,0))),Type_Species)),0),1)*(IF(OR(INDEX(Quick_Type,MATCH($O265,Quick_Names,0))=INDEX(Species_Type_1,MATCH($N265,Species_Names,0)),INDEX(Quick_Type,MATCH($O265,Quick_Names,0))=INDEX(Species_Type_2,MATCH($N265,Species_Names,0))),Game_STAB_Multiplier,1)))</f>
        <v>1.25</v>
      </c>
      <c r="V265" s="33">
        <f t="array" ref="V2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265,Charge_Names,0))),Type_Species)),0),1)*IF(COUNTBLANK(Combo_Opponent_Type_2)=0,INDEX(Type_Damage_Multipliers,MATCH(Combo_Opponent_Type_2,IF(Type_Move=(INDEX(Charge_Type,MATCH($P265,Charge_Names,0))),Type_Species)),0),1)*
IF(OR(INDEX(Charge_Type,MATCH($P265,Charge_Names,0))=INDEX(Species_Type_1,MATCH($N265,Species_Names,0)),INDEX(Charge_Type,MATCH($P265,Charge_Names,0))=INDEX(Species_Type_2,MATCH($N265,Species_Names,0))),Game_STAB_Multiplier,1))</f>
        <v>1.25</v>
      </c>
      <c r="W265" s="33" t="s">
        <v>678</v>
      </c>
      <c r="X265" s="33" t="s">
        <v>769</v>
      </c>
      <c r="Y265" s="32" t="e">
        <f t="array" ref="Y265">((($Z265)*
INDEX(Species_Attack,MATCH($N265,Species_Names,0))*
INDEX(Species_Tankiness,MATCH($N265,Species_Names,0)))/1000)</f>
        <v>#VALUE!</v>
      </c>
      <c r="Z265" s="33" t="s">
        <v>770</v>
      </c>
    </row>
    <row r="266" spans="1:26" ht="14.25" customHeight="1" x14ac:dyDescent="0.2">
      <c r="A266" s="86"/>
      <c r="B266" s="22" t="str">
        <f t="array" ref="B266">CONCATENATE(TEXT($M266,"000"),".",TEXT(INDEX(Quick_Number,MATCH($O266,Quick_Names,0)),"000"),".",TEXT(INDEX(Charge_Number,MATCH($P266,Charge_Names,0)),"000"))</f>
        <v>125.207.077</v>
      </c>
      <c r="C266" s="23" t="e">
        <f t="array" ref="C266">RANK($S266,IF(Combo_Species_Names=$N266,Combo_Gym_Offense),0)</f>
        <v>#VALUE!</v>
      </c>
      <c r="D266" s="24" t="e">
        <f t="array" ref="D266">$S266/MAX(IF(Combo_Species_Names=$N266,Combo_Gym_Offense))</f>
        <v>#VALUE!</v>
      </c>
      <c r="E266" s="23" t="e">
        <f t="array" ref="E266">RANK($Y266,IF(Combo_Species_Names=$N266,Combo_Gym_Defense),0)</f>
        <v>#VALUE!</v>
      </c>
      <c r="F266" s="25" t="e">
        <f t="array" ref="F266">$Y266/MAX(IF(Combo_Species_Names=$N266,Combo_Gym_Defense))</f>
        <v>#VALUE!</v>
      </c>
      <c r="G266" s="23" t="e">
        <f t="array" ref="G266">IF(OR(INDEX(Species_Availability,MATCH($N266,Species_Names,0))="No",INDEX(Species_Evo_Numbers,MATCH($N266,Species_Names,0))&lt;&gt;1),"N/A",RANK($R266,IF(NOT(ISNA(MATCH(Combo_Species_Names,IF(Species_Availability="Yes",IF(Species_Evo_Numbers=1,Species_Names)),0))),Combo_Duel_Ability),0))</f>
        <v>#VALUE!</v>
      </c>
      <c r="H266" s="24" t="e">
        <f t="array" ref="H266">IF(OR(INDEX(Species_Availability,MATCH($N266,Species_Names,0))="No",INDEX(Species_Evo_Numbers,MATCH($N266,Species_Names,0))&lt;&gt;1),"N/A",$R266/MAX(IF(NOT(ISNA(MATCH(Combo_Species_Names,IF(Species_Availability="Yes",IF(Species_Evo_Numbers=1,Species_Names)),0))),Combo_Duel_Ability)))</f>
        <v>#VALUE!</v>
      </c>
      <c r="I266" s="23" t="e">
        <f t="array" ref="I266">IF(OR(INDEX(Species_Availability,MATCH($N266,Species_Names,0))="No",INDEX(Species_Evo_Numbers,MATCH($N266,Species_Names,0))&lt;&gt;1),"N/A",RANK($S266,IF(NOT(ISNA(MATCH(Combo_Species_Names,IF(Species_Availability="Yes",IF(Species_Evo_Numbers=1,Species_Names)),0))),Combo_Gym_Offense),0))</f>
        <v>#VALUE!</v>
      </c>
      <c r="J266" s="24" t="e">
        <f t="array" ref="J266">IF(OR(INDEX(Species_Availability,MATCH($N266,Species_Names,0))="No",INDEX(Species_Evo_Numbers,MATCH($N266,Species_Names,0))&lt;&gt;1),"N/A",$S266/MAX(IF(NOT(ISNA(MATCH(Combo_Species_Names,IF(Species_Availability="Yes",IF(Species_Evo_Numbers=1,Species_Names)),0))),Combo_Gym_Offense)))</f>
        <v>#VALUE!</v>
      </c>
      <c r="K266" s="23" t="e">
        <f t="array" ref="K266">IF(OR(INDEX(Species_Availability,MATCH($N266,Species_Names,0))="No",INDEX(Species_Evo_Numbers,MATCH($N266,Species_Names,0))&lt;&gt;1),"N/A",RANK($Y266,IF(NOT(ISNA(MATCH(Combo_Species_Names,IF(Species_Availability="Yes",IF(Species_Evo_Numbers=1,Species_Names)),0))),Combo_Gym_Defense),0))</f>
        <v>#VALUE!</v>
      </c>
      <c r="L266" s="24" t="e">
        <f t="array" ref="L266">IF(OR(INDEX(Species_Availability,MATCH($N266,Species_Names,0))="No",INDEX(Species_Evo_Numbers,MATCH($N266,Species_Names,0))&lt;&gt;1),"N/A",$Y266/MAX(IF(NOT(ISNA(MATCH(Combo_Species_Names,IF(Species_Availability="Yes",IF(Species_Evo_Numbers=1,Species_Names)),0))),Combo_Gym_Defense)))</f>
        <v>#VALUE!</v>
      </c>
      <c r="M266" s="28">
        <f t="array" ref="M266">INDEX(Species_Pdex_Numbers,MATCH($N266,Species_Names,0))</f>
        <v>125</v>
      </c>
      <c r="N266" s="30" t="s">
        <v>342</v>
      </c>
      <c r="O266" s="31" t="s">
        <v>117</v>
      </c>
      <c r="P266" s="31" t="s">
        <v>214</v>
      </c>
      <c r="Q266" s="17" t="e">
        <f t="shared" si="8"/>
        <v>#VALUE!</v>
      </c>
      <c r="R266" s="32" t="e">
        <f t="array" ref="R266">IF(OR(AND(COUNTBLANK(Combo_Opponent_Type_1)=1,COUNTBLANK(Combo_Opponent_Type_2)=0),AND(AND(COUNTBLANK(Combo_Opponent_Type_1)=0,COUNTBLANK(Combo_Opponent_Type_2)=0),Combo_Opponent_Type_1=Combo_Opponent_Type_2)),
"Check Types",($S266*INDEX(Species_Tankiness,MATCH($N266,Species_Names,0)))/225)</f>
        <v>#VALUE!</v>
      </c>
      <c r="S266" s="32" t="e">
        <f t="array" ref="S266">IF(OR(AND(COUNTBLANK(Combo_Opponent_Type_1)=1,COUNTBLANK(Combo_Opponent_Type_2)=0),AND(AND(COUNTBLANK(Combo_Opponent_Type_1)=0,COUNTBLANK(Combo_Opponent_Type_2)=0),Combo_Opponent_Type_1=Combo_Opponent_Type_2)),
"Check Types",(
IF($W266&gt;=((1-Game_Weave_Human_Error)*$X266),$W266,$X266)*INDEX(Species_Attack,MATCH($N266,Species_Names,0)))/11)</f>
        <v>#VALUE!</v>
      </c>
      <c r="T266" s="33" t="e">
        <f t="shared" si="9"/>
        <v>#VALUE!</v>
      </c>
      <c r="U266" s="33">
        <f t="array" ref="U2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266,Quick_Names,0))),Type_Species)),0),1)*IF(COUNTBLANK(Combo_Opponent_Type_2)=0,INDEX(Type_Damage_Multipliers,MATCH(Combo_Opponent_Type_2,IF(Type_Move=(INDEX(Quick_Type,MATCH($O266,Quick_Names,0))),Type_Species)),0),1)*(IF(OR(INDEX(Quick_Type,MATCH($O266,Quick_Names,0))=INDEX(Species_Type_1,MATCH($N266,Species_Names,0)),INDEX(Quick_Type,MATCH($O266,Quick_Names,0))=INDEX(Species_Type_2,MATCH($N266,Species_Names,0))),Game_STAB_Multiplier,1)))</f>
        <v>1</v>
      </c>
      <c r="V266" s="33">
        <f t="array" ref="V2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266,Charge_Names,0))),Type_Species)),0),1)*IF(COUNTBLANK(Combo_Opponent_Type_2)=0,INDEX(Type_Damage_Multipliers,MATCH(Combo_Opponent_Type_2,IF(Type_Move=(INDEX(Charge_Type,MATCH($P266,Charge_Names,0))),Type_Species)),0),1)*
IF(OR(INDEX(Charge_Type,MATCH($P266,Charge_Names,0))=INDEX(Species_Type_1,MATCH($N266,Species_Names,0)),INDEX(Charge_Type,MATCH($P266,Charge_Names,0))=INDEX(Species_Type_2,MATCH($N266,Species_Names,0))),Game_STAB_Multiplier,1))</f>
        <v>1.25</v>
      </c>
      <c r="W266" s="33" t="s">
        <v>621</v>
      </c>
      <c r="X266" s="33" t="s">
        <v>771</v>
      </c>
      <c r="Y266" s="32" t="e">
        <f t="array" ref="Y266">((($Z266)*
INDEX(Species_Attack,MATCH($N266,Species_Names,0))*
INDEX(Species_Tankiness,MATCH($N266,Species_Names,0)))/1000)</f>
        <v>#VALUE!</v>
      </c>
      <c r="Z266" s="33" t="s">
        <v>755</v>
      </c>
    </row>
    <row r="267" spans="1:26" ht="14.25" customHeight="1" x14ac:dyDescent="0.2">
      <c r="A267" s="86"/>
      <c r="B267" s="22" t="str">
        <f t="array" ref="B267">CONCATENATE(TEXT($M267,"000"),".",TEXT(INDEX(Quick_Number,MATCH($O267,Quick_Names,0)),"000"),".",TEXT(INDEX(Charge_Number,MATCH($P267,Charge_Names,0)),"000"))</f>
        <v>024.202.092</v>
      </c>
      <c r="C267" s="23" t="e">
        <f t="array" ref="C267">RANK($S267,IF(Combo_Species_Names=$N267,Combo_Gym_Offense),0)</f>
        <v>#VALUE!</v>
      </c>
      <c r="D267" s="24" t="e">
        <f t="array" ref="D267">$S267/MAX(IF(Combo_Species_Names=$N267,Combo_Gym_Offense))</f>
        <v>#VALUE!</v>
      </c>
      <c r="E267" s="23" t="e">
        <f t="array" ref="E267">RANK($Y267,IF(Combo_Species_Names=$N267,Combo_Gym_Defense),0)</f>
        <v>#VALUE!</v>
      </c>
      <c r="F267" s="25" t="e">
        <f t="array" ref="F267">$Y267/MAX(IF(Combo_Species_Names=$N267,Combo_Gym_Defense))</f>
        <v>#VALUE!</v>
      </c>
      <c r="G267" s="23" t="e">
        <f t="array" ref="G267">IF(OR(INDEX(Species_Availability,MATCH($N267,Species_Names,0))="No",INDEX(Species_Evo_Numbers,MATCH($N267,Species_Names,0))&lt;&gt;1),"N/A",RANK($R267,IF(NOT(ISNA(MATCH(Combo_Species_Names,IF(Species_Availability="Yes",IF(Species_Evo_Numbers=1,Species_Names)),0))),Combo_Duel_Ability),0))</f>
        <v>#VALUE!</v>
      </c>
      <c r="H267" s="24" t="e">
        <f t="array" ref="H267">IF(OR(INDEX(Species_Availability,MATCH($N267,Species_Names,0))="No",INDEX(Species_Evo_Numbers,MATCH($N267,Species_Names,0))&lt;&gt;1),"N/A",$R267/MAX(IF(NOT(ISNA(MATCH(Combo_Species_Names,IF(Species_Availability="Yes",IF(Species_Evo_Numbers=1,Species_Names)),0))),Combo_Duel_Ability)))</f>
        <v>#VALUE!</v>
      </c>
      <c r="I267" s="23" t="e">
        <f t="array" ref="I267">IF(OR(INDEX(Species_Availability,MATCH($N267,Species_Names,0))="No",INDEX(Species_Evo_Numbers,MATCH($N267,Species_Names,0))&lt;&gt;1),"N/A",RANK($S267,IF(NOT(ISNA(MATCH(Combo_Species_Names,IF(Species_Availability="Yes",IF(Species_Evo_Numbers=1,Species_Names)),0))),Combo_Gym_Offense),0))</f>
        <v>#VALUE!</v>
      </c>
      <c r="J267" s="24" t="e">
        <f t="array" ref="J267">IF(OR(INDEX(Species_Availability,MATCH($N267,Species_Names,0))="No",INDEX(Species_Evo_Numbers,MATCH($N267,Species_Names,0))&lt;&gt;1),"N/A",$S267/MAX(IF(NOT(ISNA(MATCH(Combo_Species_Names,IF(Species_Availability="Yes",IF(Species_Evo_Numbers=1,Species_Names)),0))),Combo_Gym_Offense)))</f>
        <v>#VALUE!</v>
      </c>
      <c r="K267" s="23" t="e">
        <f t="array" ref="K267">IF(OR(INDEX(Species_Availability,MATCH($N267,Species_Names,0))="No",INDEX(Species_Evo_Numbers,MATCH($N267,Species_Names,0))&lt;&gt;1),"N/A",RANK($Y267,IF(NOT(ISNA(MATCH(Combo_Species_Names,IF(Species_Availability="Yes",IF(Species_Evo_Numbers=1,Species_Names)),0))),Combo_Gym_Defense),0))</f>
        <v>#VALUE!</v>
      </c>
      <c r="L267" s="24" t="e">
        <f t="array" ref="L267">IF(OR(INDEX(Species_Availability,MATCH($N267,Species_Names,0))="No",INDEX(Species_Evo_Numbers,MATCH($N267,Species_Names,0))&lt;&gt;1),"N/A",$Y267/MAX(IF(NOT(ISNA(MATCH(Combo_Species_Names,IF(Species_Availability="Yes",IF(Species_Evo_Numbers=1,Species_Names)),0))),Combo_Gym_Defense)))</f>
        <v>#VALUE!</v>
      </c>
      <c r="M267" s="28">
        <f t="array" ref="M267">INDEX(Species_Pdex_Numbers,MATCH($N267,Species_Names,0))</f>
        <v>24</v>
      </c>
      <c r="N267" s="30" t="s">
        <v>134</v>
      </c>
      <c r="O267" s="31" t="s">
        <v>59</v>
      </c>
      <c r="P267" s="31" t="s">
        <v>176</v>
      </c>
      <c r="Q267" s="17" t="e">
        <f t="shared" si="8"/>
        <v>#VALUE!</v>
      </c>
      <c r="R267" s="32" t="e">
        <f t="array" ref="R267">IF(OR(AND(COUNTBLANK(Combo_Opponent_Type_1)=1,COUNTBLANK(Combo_Opponent_Type_2)=0),AND(AND(COUNTBLANK(Combo_Opponent_Type_1)=0,COUNTBLANK(Combo_Opponent_Type_2)=0),Combo_Opponent_Type_1=Combo_Opponent_Type_2)),
"Check Types",($S267*INDEX(Species_Tankiness,MATCH($N267,Species_Names,0)))/225)</f>
        <v>#VALUE!</v>
      </c>
      <c r="S267" s="32" t="e">
        <f t="array" ref="S267">IF(OR(AND(COUNTBLANK(Combo_Opponent_Type_1)=1,COUNTBLANK(Combo_Opponent_Type_2)=0),AND(AND(COUNTBLANK(Combo_Opponent_Type_1)=0,COUNTBLANK(Combo_Opponent_Type_2)=0),Combo_Opponent_Type_1=Combo_Opponent_Type_2)),
"Check Types",(
IF($W267&gt;=((1-Game_Weave_Human_Error)*$X267),$W267,$X267)*INDEX(Species_Attack,MATCH($N267,Species_Names,0)))/11)</f>
        <v>#VALUE!</v>
      </c>
      <c r="T267" s="33" t="e">
        <f t="shared" si="9"/>
        <v>#VALUE!</v>
      </c>
      <c r="U267" s="33">
        <f t="array" ref="U2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267,Quick_Names,0))),Type_Species)),0),1)*IF(COUNTBLANK(Combo_Opponent_Type_2)=0,INDEX(Type_Damage_Multipliers,MATCH(Combo_Opponent_Type_2,IF(Type_Move=(INDEX(Quick_Type,MATCH($O267,Quick_Names,0))),Type_Species)),0),1)*(IF(OR(INDEX(Quick_Type,MATCH($O267,Quick_Names,0))=INDEX(Species_Type_1,MATCH($N267,Species_Names,0)),INDEX(Quick_Type,MATCH($O267,Quick_Names,0))=INDEX(Species_Type_2,MATCH($N267,Species_Names,0))),Game_STAB_Multiplier,1)))</f>
        <v>1</v>
      </c>
      <c r="V267" s="33">
        <f t="array" ref="V2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267,Charge_Names,0))),Type_Species)),0),1)*IF(COUNTBLANK(Combo_Opponent_Type_2)=0,INDEX(Type_Damage_Multipliers,MATCH(Combo_Opponent_Type_2,IF(Type_Move=(INDEX(Charge_Type,MATCH($P267,Charge_Names,0))),Type_Species)),0),1)*
IF(OR(INDEX(Charge_Type,MATCH($P267,Charge_Names,0))=INDEX(Species_Type_1,MATCH($N267,Species_Names,0)),INDEX(Charge_Type,MATCH($P267,Charge_Names,0))=INDEX(Species_Type_2,MATCH($N267,Species_Names,0))),Game_STAB_Multiplier,1))</f>
        <v>1.25</v>
      </c>
      <c r="W267" s="33" t="s">
        <v>453</v>
      </c>
      <c r="X267" s="33" t="s">
        <v>624</v>
      </c>
      <c r="Y267" s="32" t="e">
        <f t="array" ref="Y267">((($Z267)*
INDEX(Species_Attack,MATCH($N267,Species_Names,0))*
INDEX(Species_Tankiness,MATCH($N267,Species_Names,0)))/1000)</f>
        <v>#VALUE!</v>
      </c>
      <c r="Z267" s="33" t="s">
        <v>772</v>
      </c>
    </row>
    <row r="268" spans="1:26" ht="14.25" customHeight="1" x14ac:dyDescent="0.2">
      <c r="A268" s="86"/>
      <c r="B268" s="22" t="str">
        <f t="array" ref="B268">CONCATENATE(TEXT($M268,"000"),".",TEXT(INDEX(Quick_Number,MATCH($O268,Quick_Names,0)),"000"),".",TEXT(INDEX(Charge_Number,MATCH($P268,Charge_Names,0)),"000"))</f>
        <v>117.230.040</v>
      </c>
      <c r="C268" s="23" t="e">
        <f t="array" ref="C268">RANK($S268,IF(Combo_Species_Names=$N268,Combo_Gym_Offense),0)</f>
        <v>#VALUE!</v>
      </c>
      <c r="D268" s="24" t="e">
        <f t="array" ref="D268">$S268/MAX(IF(Combo_Species_Names=$N268,Combo_Gym_Offense))</f>
        <v>#VALUE!</v>
      </c>
      <c r="E268" s="23" t="e">
        <f t="array" ref="E268">RANK($Y268,IF(Combo_Species_Names=$N268,Combo_Gym_Defense),0)</f>
        <v>#VALUE!</v>
      </c>
      <c r="F268" s="25" t="e">
        <f t="array" ref="F268">$Y268/MAX(IF(Combo_Species_Names=$N268,Combo_Gym_Defense))</f>
        <v>#VALUE!</v>
      </c>
      <c r="G268" s="23" t="e">
        <f t="array" ref="G268">IF(OR(INDEX(Species_Availability,MATCH($N268,Species_Names,0))="No",INDEX(Species_Evo_Numbers,MATCH($N268,Species_Names,0))&lt;&gt;1),"N/A",RANK($R268,IF(NOT(ISNA(MATCH(Combo_Species_Names,IF(Species_Availability="Yes",IF(Species_Evo_Numbers=1,Species_Names)),0))),Combo_Duel_Ability),0))</f>
        <v>#VALUE!</v>
      </c>
      <c r="H268" s="24" t="e">
        <f t="array" ref="H268">IF(OR(INDEX(Species_Availability,MATCH($N268,Species_Names,0))="No",INDEX(Species_Evo_Numbers,MATCH($N268,Species_Names,0))&lt;&gt;1),"N/A",$R268/MAX(IF(NOT(ISNA(MATCH(Combo_Species_Names,IF(Species_Availability="Yes",IF(Species_Evo_Numbers=1,Species_Names)),0))),Combo_Duel_Ability)))</f>
        <v>#VALUE!</v>
      </c>
      <c r="I268" s="23" t="e">
        <f t="array" ref="I268">IF(OR(INDEX(Species_Availability,MATCH($N268,Species_Names,0))="No",INDEX(Species_Evo_Numbers,MATCH($N268,Species_Names,0))&lt;&gt;1),"N/A",RANK($S268,IF(NOT(ISNA(MATCH(Combo_Species_Names,IF(Species_Availability="Yes",IF(Species_Evo_Numbers=1,Species_Names)),0))),Combo_Gym_Offense),0))</f>
        <v>#VALUE!</v>
      </c>
      <c r="J268" s="24" t="e">
        <f t="array" ref="J268">IF(OR(INDEX(Species_Availability,MATCH($N268,Species_Names,0))="No",INDEX(Species_Evo_Numbers,MATCH($N268,Species_Names,0))&lt;&gt;1),"N/A",$S268/MAX(IF(NOT(ISNA(MATCH(Combo_Species_Names,IF(Species_Availability="Yes",IF(Species_Evo_Numbers=1,Species_Names)),0))),Combo_Gym_Offense)))</f>
        <v>#VALUE!</v>
      </c>
      <c r="K268" s="23" t="e">
        <f t="array" ref="K268">IF(OR(INDEX(Species_Availability,MATCH($N268,Species_Names,0))="No",INDEX(Species_Evo_Numbers,MATCH($N268,Species_Names,0))&lt;&gt;1),"N/A",RANK($Y268,IF(NOT(ISNA(MATCH(Combo_Species_Names,IF(Species_Availability="Yes",IF(Species_Evo_Numbers=1,Species_Names)),0))),Combo_Gym_Defense),0))</f>
        <v>#VALUE!</v>
      </c>
      <c r="L268" s="24" t="e">
        <f t="array" ref="L268">IF(OR(INDEX(Species_Availability,MATCH($N268,Species_Names,0))="No",INDEX(Species_Evo_Numbers,MATCH($N268,Species_Names,0))&lt;&gt;1),"N/A",$Y268/MAX(IF(NOT(ISNA(MATCH(Combo_Species_Names,IF(Species_Availability="Yes",IF(Species_Evo_Numbers=1,Species_Names)),0))),Combo_Gym_Defense)))</f>
        <v>#VALUE!</v>
      </c>
      <c r="M268" s="28">
        <f t="array" ref="M268">INDEX(Species_Pdex_Numbers,MATCH($N268,Species_Names,0))</f>
        <v>117</v>
      </c>
      <c r="N268" s="30" t="s">
        <v>330</v>
      </c>
      <c r="O268" s="31" t="s">
        <v>65</v>
      </c>
      <c r="P268" s="31" t="s">
        <v>153</v>
      </c>
      <c r="Q268" s="17" t="e">
        <f t="shared" si="8"/>
        <v>#VALUE!</v>
      </c>
      <c r="R268" s="32" t="e">
        <f t="array" ref="R268">IF(OR(AND(COUNTBLANK(Combo_Opponent_Type_1)=1,COUNTBLANK(Combo_Opponent_Type_2)=0),AND(AND(COUNTBLANK(Combo_Opponent_Type_1)=0,COUNTBLANK(Combo_Opponent_Type_2)=0),Combo_Opponent_Type_1=Combo_Opponent_Type_2)),
"Check Types",($S268*INDEX(Species_Tankiness,MATCH($N268,Species_Names,0)))/225)</f>
        <v>#VALUE!</v>
      </c>
      <c r="S268" s="32" t="e">
        <f t="array" ref="S268">IF(OR(AND(COUNTBLANK(Combo_Opponent_Type_1)=1,COUNTBLANK(Combo_Opponent_Type_2)=0),AND(AND(COUNTBLANK(Combo_Opponent_Type_1)=0,COUNTBLANK(Combo_Opponent_Type_2)=0),Combo_Opponent_Type_1=Combo_Opponent_Type_2)),
"Check Types",(
IF($W268&gt;=((1-Game_Weave_Human_Error)*$X268),$W268,$X268)*INDEX(Species_Attack,MATCH($N268,Species_Names,0)))/11)</f>
        <v>#VALUE!</v>
      </c>
      <c r="T268" s="33" t="e">
        <f t="shared" si="9"/>
        <v>#VALUE!</v>
      </c>
      <c r="U268" s="33">
        <f t="array" ref="U2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268,Quick_Names,0))),Type_Species)),0),1)*IF(COUNTBLANK(Combo_Opponent_Type_2)=0,INDEX(Type_Damage_Multipliers,MATCH(Combo_Opponent_Type_2,IF(Type_Move=(INDEX(Quick_Type,MATCH($O268,Quick_Names,0))),Type_Species)),0),1)*(IF(OR(INDEX(Quick_Type,MATCH($O268,Quick_Names,0))=INDEX(Species_Type_1,MATCH($N268,Species_Names,0)),INDEX(Quick_Type,MATCH($O268,Quick_Names,0))=INDEX(Species_Type_2,MATCH($N268,Species_Names,0))),Game_STAB_Multiplier,1)))</f>
        <v>1.25</v>
      </c>
      <c r="V268" s="33">
        <f t="array" ref="V2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268,Charge_Names,0))),Type_Species)),0),1)*IF(COUNTBLANK(Combo_Opponent_Type_2)=0,INDEX(Type_Damage_Multipliers,MATCH(Combo_Opponent_Type_2,IF(Type_Move=(INDEX(Charge_Type,MATCH($P268,Charge_Names,0))),Type_Species)),0),1)*
IF(OR(INDEX(Charge_Type,MATCH($P268,Charge_Names,0))=INDEX(Species_Type_1,MATCH($N268,Species_Names,0)),INDEX(Charge_Type,MATCH($P268,Charge_Names,0))=INDEX(Species_Type_2,MATCH($N268,Species_Names,0))),Game_STAB_Multiplier,1))</f>
        <v>1</v>
      </c>
      <c r="W268" s="33" t="s">
        <v>412</v>
      </c>
      <c r="X268" s="33" t="s">
        <v>773</v>
      </c>
      <c r="Y268" s="32" t="e">
        <f t="array" ref="Y268">((($Z268)*
INDEX(Species_Attack,MATCH($N268,Species_Names,0))*
INDEX(Species_Tankiness,MATCH($N268,Species_Names,0)))/1000)</f>
        <v>#VALUE!</v>
      </c>
      <c r="Z268" s="33" t="s">
        <v>774</v>
      </c>
    </row>
    <row r="269" spans="1:26" ht="14.25" customHeight="1" x14ac:dyDescent="0.2">
      <c r="A269" s="86"/>
      <c r="B269" s="22" t="str">
        <f t="array" ref="B269">CONCATENATE(TEXT($M269,"000"),".",TEXT(INDEX(Quick_Number,MATCH($O269,Quick_Names,0)),"000"),".",TEXT(INDEX(Charge_Number,MATCH($P269,Charge_Names,0)),"000"))</f>
        <v>047.201.100</v>
      </c>
      <c r="C269" s="23" t="e">
        <f t="array" ref="C269">RANK($S269,IF(Combo_Species_Names=$N269,Combo_Gym_Offense),0)</f>
        <v>#VALUE!</v>
      </c>
      <c r="D269" s="24" t="e">
        <f t="array" ref="D269">$S269/MAX(IF(Combo_Species_Names=$N269,Combo_Gym_Offense))</f>
        <v>#VALUE!</v>
      </c>
      <c r="E269" s="23" t="e">
        <f t="array" ref="E269">RANK($Y269,IF(Combo_Species_Names=$N269,Combo_Gym_Defense),0)</f>
        <v>#VALUE!</v>
      </c>
      <c r="F269" s="25" t="e">
        <f t="array" ref="F269">$Y269/MAX(IF(Combo_Species_Names=$N269,Combo_Gym_Defense))</f>
        <v>#VALUE!</v>
      </c>
      <c r="G269" s="23" t="e">
        <f t="array" ref="G269">IF(OR(INDEX(Species_Availability,MATCH($N269,Species_Names,0))="No",INDEX(Species_Evo_Numbers,MATCH($N269,Species_Names,0))&lt;&gt;1),"N/A",RANK($R269,IF(NOT(ISNA(MATCH(Combo_Species_Names,IF(Species_Availability="Yes",IF(Species_Evo_Numbers=1,Species_Names)),0))),Combo_Duel_Ability),0))</f>
        <v>#VALUE!</v>
      </c>
      <c r="H269" s="24" t="e">
        <f t="array" ref="H269">IF(OR(INDEX(Species_Availability,MATCH($N269,Species_Names,0))="No",INDEX(Species_Evo_Numbers,MATCH($N269,Species_Names,0))&lt;&gt;1),"N/A",$R269/MAX(IF(NOT(ISNA(MATCH(Combo_Species_Names,IF(Species_Availability="Yes",IF(Species_Evo_Numbers=1,Species_Names)),0))),Combo_Duel_Ability)))</f>
        <v>#VALUE!</v>
      </c>
      <c r="I269" s="23" t="e">
        <f t="array" ref="I269">IF(OR(INDEX(Species_Availability,MATCH($N269,Species_Names,0))="No",INDEX(Species_Evo_Numbers,MATCH($N269,Species_Names,0))&lt;&gt;1),"N/A",RANK($S269,IF(NOT(ISNA(MATCH(Combo_Species_Names,IF(Species_Availability="Yes",IF(Species_Evo_Numbers=1,Species_Names)),0))),Combo_Gym_Offense),0))</f>
        <v>#VALUE!</v>
      </c>
      <c r="J269" s="24" t="e">
        <f t="array" ref="J269">IF(OR(INDEX(Species_Availability,MATCH($N269,Species_Names,0))="No",INDEX(Species_Evo_Numbers,MATCH($N269,Species_Names,0))&lt;&gt;1),"N/A",$S269/MAX(IF(NOT(ISNA(MATCH(Combo_Species_Names,IF(Species_Availability="Yes",IF(Species_Evo_Numbers=1,Species_Names)),0))),Combo_Gym_Offense)))</f>
        <v>#VALUE!</v>
      </c>
      <c r="K269" s="23" t="e">
        <f t="array" ref="K269">IF(OR(INDEX(Species_Availability,MATCH($N269,Species_Names,0))="No",INDEX(Species_Evo_Numbers,MATCH($N269,Species_Names,0))&lt;&gt;1),"N/A",RANK($Y269,IF(NOT(ISNA(MATCH(Combo_Species_Names,IF(Species_Availability="Yes",IF(Species_Evo_Numbers=1,Species_Names)),0))),Combo_Gym_Defense),0))</f>
        <v>#VALUE!</v>
      </c>
      <c r="L269" s="24" t="e">
        <f t="array" ref="L269">IF(OR(INDEX(Species_Availability,MATCH($N269,Species_Names,0))="No",INDEX(Species_Evo_Numbers,MATCH($N269,Species_Names,0))&lt;&gt;1),"N/A",$Y269/MAX(IF(NOT(ISNA(MATCH(Combo_Species_Names,IF(Species_Availability="Yes",IF(Species_Evo_Numbers=1,Species_Names)),0))),Combo_Gym_Defense)))</f>
        <v>#VALUE!</v>
      </c>
      <c r="M269" s="28">
        <f t="array" ref="M269">INDEX(Species_Pdex_Numbers,MATCH($N269,Species_Names,0))</f>
        <v>47</v>
      </c>
      <c r="N269" s="30" t="s">
        <v>184</v>
      </c>
      <c r="O269" s="31" t="s">
        <v>82</v>
      </c>
      <c r="P269" s="31" t="s">
        <v>218</v>
      </c>
      <c r="Q269" s="17" t="e">
        <f t="shared" si="8"/>
        <v>#VALUE!</v>
      </c>
      <c r="R269" s="32" t="e">
        <f t="array" ref="R269">IF(OR(AND(COUNTBLANK(Combo_Opponent_Type_1)=1,COUNTBLANK(Combo_Opponent_Type_2)=0),AND(AND(COUNTBLANK(Combo_Opponent_Type_1)=0,COUNTBLANK(Combo_Opponent_Type_2)=0),Combo_Opponent_Type_1=Combo_Opponent_Type_2)),
"Check Types",($S269*INDEX(Species_Tankiness,MATCH($N269,Species_Names,0)))/225)</f>
        <v>#VALUE!</v>
      </c>
      <c r="S269" s="32" t="e">
        <f t="array" ref="S269">IF(OR(AND(COUNTBLANK(Combo_Opponent_Type_1)=1,COUNTBLANK(Combo_Opponent_Type_2)=0),AND(AND(COUNTBLANK(Combo_Opponent_Type_1)=0,COUNTBLANK(Combo_Opponent_Type_2)=0),Combo_Opponent_Type_1=Combo_Opponent_Type_2)),
"Check Types",(
IF($W269&gt;=((1-Game_Weave_Human_Error)*$X269),$W269,$X269)*INDEX(Species_Attack,MATCH($N269,Species_Names,0)))/11)</f>
        <v>#VALUE!</v>
      </c>
      <c r="T269" s="33" t="e">
        <f t="shared" si="9"/>
        <v>#VALUE!</v>
      </c>
      <c r="U269" s="33">
        <f t="array" ref="U2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269,Quick_Names,0))),Type_Species)),0),1)*IF(COUNTBLANK(Combo_Opponent_Type_2)=0,INDEX(Type_Damage_Multipliers,MATCH(Combo_Opponent_Type_2,IF(Type_Move=(INDEX(Quick_Type,MATCH($O269,Quick_Names,0))),Type_Species)),0),1)*(IF(OR(INDEX(Quick_Type,MATCH($O269,Quick_Names,0))=INDEX(Species_Type_1,MATCH($N269,Species_Names,0)),INDEX(Quick_Type,MATCH($O269,Quick_Names,0))=INDEX(Species_Type_2,MATCH($N269,Species_Names,0))),Game_STAB_Multiplier,1)))</f>
        <v>1.25</v>
      </c>
      <c r="V269" s="33">
        <f t="array" ref="V2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269,Charge_Names,0))),Type_Species)),0),1)*IF(COUNTBLANK(Combo_Opponent_Type_2)=0,INDEX(Type_Damage_Multipliers,MATCH(Combo_Opponent_Type_2,IF(Type_Move=(INDEX(Charge_Type,MATCH($P269,Charge_Names,0))),Type_Species)),0),1)*
IF(OR(INDEX(Charge_Type,MATCH($P269,Charge_Names,0))=INDEX(Species_Type_1,MATCH($N269,Species_Names,0)),INDEX(Charge_Type,MATCH($P269,Charge_Names,0))=INDEX(Species_Type_2,MATCH($N269,Species_Names,0))),Game_STAB_Multiplier,1))</f>
        <v>1.25</v>
      </c>
      <c r="W269" s="33" t="s">
        <v>436</v>
      </c>
      <c r="X269" s="33" t="s">
        <v>775</v>
      </c>
      <c r="Y269" s="32" t="e">
        <f t="array" ref="Y269">((($Z269)*
INDEX(Species_Attack,MATCH($N269,Species_Names,0))*
INDEX(Species_Tankiness,MATCH($N269,Species_Names,0)))/1000)</f>
        <v>#VALUE!</v>
      </c>
      <c r="Z269" s="33" t="s">
        <v>411</v>
      </c>
    </row>
    <row r="270" spans="1:26" ht="14.25" customHeight="1" x14ac:dyDescent="0.2">
      <c r="A270" s="86"/>
      <c r="B270" s="22" t="str">
        <f t="array" ref="B270">CONCATENATE(TEXT($M270,"000"),".",TEXT(INDEX(Quick_Number,MATCH($O270,Quick_Names,0)),"000"),".",TEXT(INDEX(Charge_Number,MATCH($P270,Charge_Names,0)),"000"))</f>
        <v>049.201.050</v>
      </c>
      <c r="C270" s="23" t="e">
        <f t="array" ref="C270">RANK($S270,IF(Combo_Species_Names=$N270,Combo_Gym_Offense),0)</f>
        <v>#VALUE!</v>
      </c>
      <c r="D270" s="24" t="e">
        <f t="array" ref="D270">$S270/MAX(IF(Combo_Species_Names=$N270,Combo_Gym_Offense))</f>
        <v>#VALUE!</v>
      </c>
      <c r="E270" s="23" t="e">
        <f t="array" ref="E270">RANK($Y270,IF(Combo_Species_Names=$N270,Combo_Gym_Defense),0)</f>
        <v>#VALUE!</v>
      </c>
      <c r="F270" s="25" t="e">
        <f t="array" ref="F270">$Y270/MAX(IF(Combo_Species_Names=$N270,Combo_Gym_Defense))</f>
        <v>#VALUE!</v>
      </c>
      <c r="G270" s="23" t="e">
        <f t="array" ref="G270">IF(OR(INDEX(Species_Availability,MATCH($N270,Species_Names,0))="No",INDEX(Species_Evo_Numbers,MATCH($N270,Species_Names,0))&lt;&gt;1),"N/A",RANK($R270,IF(NOT(ISNA(MATCH(Combo_Species_Names,IF(Species_Availability="Yes",IF(Species_Evo_Numbers=1,Species_Names)),0))),Combo_Duel_Ability),0))</f>
        <v>#VALUE!</v>
      </c>
      <c r="H270" s="24" t="e">
        <f t="array" ref="H270">IF(OR(INDEX(Species_Availability,MATCH($N270,Species_Names,0))="No",INDEX(Species_Evo_Numbers,MATCH($N270,Species_Names,0))&lt;&gt;1),"N/A",$R270/MAX(IF(NOT(ISNA(MATCH(Combo_Species_Names,IF(Species_Availability="Yes",IF(Species_Evo_Numbers=1,Species_Names)),0))),Combo_Duel_Ability)))</f>
        <v>#VALUE!</v>
      </c>
      <c r="I270" s="23" t="e">
        <f t="array" ref="I270">IF(OR(INDEX(Species_Availability,MATCH($N270,Species_Names,0))="No",INDEX(Species_Evo_Numbers,MATCH($N270,Species_Names,0))&lt;&gt;1),"N/A",RANK($S270,IF(NOT(ISNA(MATCH(Combo_Species_Names,IF(Species_Availability="Yes",IF(Species_Evo_Numbers=1,Species_Names)),0))),Combo_Gym_Offense),0))</f>
        <v>#VALUE!</v>
      </c>
      <c r="J270" s="24" t="e">
        <f t="array" ref="J270">IF(OR(INDEX(Species_Availability,MATCH($N270,Species_Names,0))="No",INDEX(Species_Evo_Numbers,MATCH($N270,Species_Names,0))&lt;&gt;1),"N/A",$S270/MAX(IF(NOT(ISNA(MATCH(Combo_Species_Names,IF(Species_Availability="Yes",IF(Species_Evo_Numbers=1,Species_Names)),0))),Combo_Gym_Offense)))</f>
        <v>#VALUE!</v>
      </c>
      <c r="K270" s="23" t="e">
        <f t="array" ref="K270">IF(OR(INDEX(Species_Availability,MATCH($N270,Species_Names,0))="No",INDEX(Species_Evo_Numbers,MATCH($N270,Species_Names,0))&lt;&gt;1),"N/A",RANK($Y270,IF(NOT(ISNA(MATCH(Combo_Species_Names,IF(Species_Availability="Yes",IF(Species_Evo_Numbers=1,Species_Names)),0))),Combo_Gym_Defense),0))</f>
        <v>#VALUE!</v>
      </c>
      <c r="L270" s="24" t="e">
        <f t="array" ref="L270">IF(OR(INDEX(Species_Availability,MATCH($N270,Species_Names,0))="No",INDEX(Species_Evo_Numbers,MATCH($N270,Species_Names,0))&lt;&gt;1),"N/A",$Y270/MAX(IF(NOT(ISNA(MATCH(Combo_Species_Names,IF(Species_Availability="Yes",IF(Species_Evo_Numbers=1,Species_Names)),0))),Combo_Gym_Defense)))</f>
        <v>#VALUE!</v>
      </c>
      <c r="M270" s="28">
        <f t="array" ref="M270">INDEX(Species_Pdex_Numbers,MATCH($N270,Species_Names,0))</f>
        <v>49</v>
      </c>
      <c r="N270" s="30" t="s">
        <v>189</v>
      </c>
      <c r="O270" s="31" t="s">
        <v>82</v>
      </c>
      <c r="P270" s="31" t="s">
        <v>285</v>
      </c>
      <c r="Q270" s="17" t="e">
        <f t="shared" si="8"/>
        <v>#VALUE!</v>
      </c>
      <c r="R270" s="32" t="e">
        <f t="array" ref="R270">IF(OR(AND(COUNTBLANK(Combo_Opponent_Type_1)=1,COUNTBLANK(Combo_Opponent_Type_2)=0),AND(AND(COUNTBLANK(Combo_Opponent_Type_1)=0,COUNTBLANK(Combo_Opponent_Type_2)=0),Combo_Opponent_Type_1=Combo_Opponent_Type_2)),
"Check Types",($S270*INDEX(Species_Tankiness,MATCH($N270,Species_Names,0)))/225)</f>
        <v>#VALUE!</v>
      </c>
      <c r="S270" s="32" t="e">
        <f t="array" ref="S270">IF(OR(AND(COUNTBLANK(Combo_Opponent_Type_1)=1,COUNTBLANK(Combo_Opponent_Type_2)=0),AND(AND(COUNTBLANK(Combo_Opponent_Type_1)=0,COUNTBLANK(Combo_Opponent_Type_2)=0),Combo_Opponent_Type_1=Combo_Opponent_Type_2)),
"Check Types",(
IF($W270&gt;=((1-Game_Weave_Human_Error)*$X270),$W270,$X270)*INDEX(Species_Attack,MATCH($N270,Species_Names,0)))/11)</f>
        <v>#VALUE!</v>
      </c>
      <c r="T270" s="33" t="e">
        <f t="shared" si="9"/>
        <v>#VALUE!</v>
      </c>
      <c r="U270" s="33">
        <f t="array" ref="U2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270,Quick_Names,0))),Type_Species)),0),1)*IF(COUNTBLANK(Combo_Opponent_Type_2)=0,INDEX(Type_Damage_Multipliers,MATCH(Combo_Opponent_Type_2,IF(Type_Move=(INDEX(Quick_Type,MATCH($O270,Quick_Names,0))),Type_Species)),0),1)*(IF(OR(INDEX(Quick_Type,MATCH($O270,Quick_Names,0))=INDEX(Species_Type_1,MATCH($N270,Species_Names,0)),INDEX(Quick_Type,MATCH($O270,Quick_Names,0))=INDEX(Species_Type_2,MATCH($N270,Species_Names,0))),Game_STAB_Multiplier,1)))</f>
        <v>1.25</v>
      </c>
      <c r="V270" s="33">
        <f t="array" ref="V2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270,Charge_Names,0))),Type_Species)),0),1)*IF(COUNTBLANK(Combo_Opponent_Type_2)=0,INDEX(Type_Damage_Multipliers,MATCH(Combo_Opponent_Type_2,IF(Type_Move=(INDEX(Charge_Type,MATCH($P270,Charge_Names,0))),Type_Species)),0),1)*
IF(OR(INDEX(Charge_Type,MATCH($P270,Charge_Names,0))=INDEX(Species_Type_1,MATCH($N270,Species_Names,0)),INDEX(Charge_Type,MATCH($P270,Charge_Names,0))=INDEX(Species_Type_2,MATCH($N270,Species_Names,0))),Game_STAB_Multiplier,1))</f>
        <v>1.25</v>
      </c>
      <c r="W270" s="33" t="s">
        <v>436</v>
      </c>
      <c r="X270" s="33" t="s">
        <v>776</v>
      </c>
      <c r="Y270" s="32" t="e">
        <f t="array" ref="Y270">((($Z270)*
INDEX(Species_Attack,MATCH($N270,Species_Names,0))*
INDEX(Species_Tankiness,MATCH($N270,Species_Names,0)))/1000)</f>
        <v>#VALUE!</v>
      </c>
      <c r="Z270" s="33" t="s">
        <v>777</v>
      </c>
    </row>
    <row r="271" spans="1:26" ht="14.25" customHeight="1" x14ac:dyDescent="0.2">
      <c r="A271" s="86"/>
      <c r="B271" s="22" t="str">
        <f t="array" ref="B271">CONCATENATE(TEXT($M271,"000"),".",TEXT(INDEX(Quick_Number,MATCH($O271,Quick_Names,0)),"000"),".",TEXT(INDEX(Charge_Number,MATCH($P271,Charge_Names,0)),"000"))</f>
        <v>078.207.046</v>
      </c>
      <c r="C271" s="23" t="e">
        <f t="array" ref="C271">RANK($S271,IF(Combo_Species_Names=$N271,Combo_Gym_Offense),0)</f>
        <v>#VALUE!</v>
      </c>
      <c r="D271" s="24" t="e">
        <f t="array" ref="D271">$S271/MAX(IF(Combo_Species_Names=$N271,Combo_Gym_Offense))</f>
        <v>#VALUE!</v>
      </c>
      <c r="E271" s="23" t="e">
        <f t="array" ref="E271">RANK($Y271,IF(Combo_Species_Names=$N271,Combo_Gym_Defense),0)</f>
        <v>#VALUE!</v>
      </c>
      <c r="F271" s="25" t="e">
        <f t="array" ref="F271">$Y271/MAX(IF(Combo_Species_Names=$N271,Combo_Gym_Defense))</f>
        <v>#VALUE!</v>
      </c>
      <c r="G271" s="23" t="e">
        <f t="array" ref="G271">IF(OR(INDEX(Species_Availability,MATCH($N271,Species_Names,0))="No",INDEX(Species_Evo_Numbers,MATCH($N271,Species_Names,0))&lt;&gt;1),"N/A",RANK($R271,IF(NOT(ISNA(MATCH(Combo_Species_Names,IF(Species_Availability="Yes",IF(Species_Evo_Numbers=1,Species_Names)),0))),Combo_Duel_Ability),0))</f>
        <v>#VALUE!</v>
      </c>
      <c r="H271" s="24" t="e">
        <f t="array" ref="H271">IF(OR(INDEX(Species_Availability,MATCH($N271,Species_Names,0))="No",INDEX(Species_Evo_Numbers,MATCH($N271,Species_Names,0))&lt;&gt;1),"N/A",$R271/MAX(IF(NOT(ISNA(MATCH(Combo_Species_Names,IF(Species_Availability="Yes",IF(Species_Evo_Numbers=1,Species_Names)),0))),Combo_Duel_Ability)))</f>
        <v>#VALUE!</v>
      </c>
      <c r="I271" s="23" t="e">
        <f t="array" ref="I271">IF(OR(INDEX(Species_Availability,MATCH($N271,Species_Names,0))="No",INDEX(Species_Evo_Numbers,MATCH($N271,Species_Names,0))&lt;&gt;1),"N/A",RANK($S271,IF(NOT(ISNA(MATCH(Combo_Species_Names,IF(Species_Availability="Yes",IF(Species_Evo_Numbers=1,Species_Names)),0))),Combo_Gym_Offense),0))</f>
        <v>#VALUE!</v>
      </c>
      <c r="J271" s="24" t="e">
        <f t="array" ref="J271">IF(OR(INDEX(Species_Availability,MATCH($N271,Species_Names,0))="No",INDEX(Species_Evo_Numbers,MATCH($N271,Species_Names,0))&lt;&gt;1),"N/A",$S271/MAX(IF(NOT(ISNA(MATCH(Combo_Species_Names,IF(Species_Availability="Yes",IF(Species_Evo_Numbers=1,Species_Names)),0))),Combo_Gym_Offense)))</f>
        <v>#VALUE!</v>
      </c>
      <c r="K271" s="23" t="e">
        <f t="array" ref="K271">IF(OR(INDEX(Species_Availability,MATCH($N271,Species_Names,0))="No",INDEX(Species_Evo_Numbers,MATCH($N271,Species_Names,0))&lt;&gt;1),"N/A",RANK($Y271,IF(NOT(ISNA(MATCH(Combo_Species_Names,IF(Species_Availability="Yes",IF(Species_Evo_Numbers=1,Species_Names)),0))),Combo_Gym_Defense),0))</f>
        <v>#VALUE!</v>
      </c>
      <c r="L271" s="24" t="e">
        <f t="array" ref="L271">IF(OR(INDEX(Species_Availability,MATCH($N271,Species_Names,0))="No",INDEX(Species_Evo_Numbers,MATCH($N271,Species_Names,0))&lt;&gt;1),"N/A",$Y271/MAX(IF(NOT(ISNA(MATCH(Combo_Species_Names,IF(Species_Availability="Yes",IF(Species_Evo_Numbers=1,Species_Names)),0))),Combo_Gym_Defense)))</f>
        <v>#VALUE!</v>
      </c>
      <c r="M271" s="28">
        <f t="array" ref="M271">INDEX(Species_Pdex_Numbers,MATCH($N271,Species_Names,0))</f>
        <v>78</v>
      </c>
      <c r="N271" s="30" t="s">
        <v>248</v>
      </c>
      <c r="O271" s="31" t="s">
        <v>117</v>
      </c>
      <c r="P271" s="31" t="s">
        <v>220</v>
      </c>
      <c r="Q271" s="17" t="e">
        <f t="shared" si="8"/>
        <v>#VALUE!</v>
      </c>
      <c r="R271" s="32" t="e">
        <f t="array" ref="R271">IF(OR(AND(COUNTBLANK(Combo_Opponent_Type_1)=1,COUNTBLANK(Combo_Opponent_Type_2)=0),AND(AND(COUNTBLANK(Combo_Opponent_Type_1)=0,COUNTBLANK(Combo_Opponent_Type_2)=0),Combo_Opponent_Type_1=Combo_Opponent_Type_2)),
"Check Types",($S271*INDEX(Species_Tankiness,MATCH($N271,Species_Names,0)))/225)</f>
        <v>#VALUE!</v>
      </c>
      <c r="S271" s="32" t="e">
        <f t="array" ref="S271">IF(OR(AND(COUNTBLANK(Combo_Opponent_Type_1)=1,COUNTBLANK(Combo_Opponent_Type_2)=0),AND(AND(COUNTBLANK(Combo_Opponent_Type_1)=0,COUNTBLANK(Combo_Opponent_Type_2)=0),Combo_Opponent_Type_1=Combo_Opponent_Type_2)),
"Check Types",(
IF($W271&gt;=((1-Game_Weave_Human_Error)*$X271),$W271,$X271)*INDEX(Species_Attack,MATCH($N271,Species_Names,0)))/11)</f>
        <v>#VALUE!</v>
      </c>
      <c r="T271" s="33" t="e">
        <f t="shared" si="9"/>
        <v>#VALUE!</v>
      </c>
      <c r="U271" s="33">
        <f t="array" ref="U2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271,Quick_Names,0))),Type_Species)),0),1)*IF(COUNTBLANK(Combo_Opponent_Type_2)=0,INDEX(Type_Damage_Multipliers,MATCH(Combo_Opponent_Type_2,IF(Type_Move=(INDEX(Quick_Type,MATCH($O271,Quick_Names,0))),Type_Species)),0),1)*(IF(OR(INDEX(Quick_Type,MATCH($O271,Quick_Names,0))=INDEX(Species_Type_1,MATCH($N271,Species_Names,0)),INDEX(Quick_Type,MATCH($O271,Quick_Names,0))=INDEX(Species_Type_2,MATCH($N271,Species_Names,0))),Game_STAB_Multiplier,1)))</f>
        <v>1</v>
      </c>
      <c r="V271" s="33">
        <f t="array" ref="V2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271,Charge_Names,0))),Type_Species)),0),1)*IF(COUNTBLANK(Combo_Opponent_Type_2)=0,INDEX(Type_Damage_Multipliers,MATCH(Combo_Opponent_Type_2,IF(Type_Move=(INDEX(Charge_Type,MATCH($P271,Charge_Names,0))),Type_Species)),0),1)*
IF(OR(INDEX(Charge_Type,MATCH($P271,Charge_Names,0))=INDEX(Species_Type_1,MATCH($N271,Species_Names,0)),INDEX(Charge_Type,MATCH($P271,Charge_Names,0))=INDEX(Species_Type_2,MATCH($N271,Species_Names,0))),Game_STAB_Multiplier,1))</f>
        <v>1</v>
      </c>
      <c r="W271" s="33" t="s">
        <v>621</v>
      </c>
      <c r="X271" s="33" t="s">
        <v>778</v>
      </c>
      <c r="Y271" s="32" t="e">
        <f t="array" ref="Y271">((($Z271)*
INDEX(Species_Attack,MATCH($N271,Species_Names,0))*
INDEX(Species_Tankiness,MATCH($N271,Species_Names,0)))/1000)</f>
        <v>#VALUE!</v>
      </c>
      <c r="Z271" s="33" t="s">
        <v>411</v>
      </c>
    </row>
    <row r="272" spans="1:26" ht="14.25" customHeight="1" x14ac:dyDescent="0.2">
      <c r="A272" s="86"/>
      <c r="B272" s="22" t="str">
        <f t="array" ref="B272">CONCATENATE(TEXT($M272,"000"),".",TEXT(INDEX(Quick_Number,MATCH($O272,Quick_Names,0)),"000"),".",TEXT(INDEX(Charge_Number,MATCH($P272,Charge_Names,0)),"000"))</f>
        <v>119.211.022</v>
      </c>
      <c r="C272" s="23" t="e">
        <f t="array" ref="C272">RANK($S272,IF(Combo_Species_Names=$N272,Combo_Gym_Offense),0)</f>
        <v>#VALUE!</v>
      </c>
      <c r="D272" s="24" t="e">
        <f t="array" ref="D272">$S272/MAX(IF(Combo_Species_Names=$N272,Combo_Gym_Offense))</f>
        <v>#VALUE!</v>
      </c>
      <c r="E272" s="23" t="e">
        <f t="array" ref="E272">RANK($Y272,IF(Combo_Species_Names=$N272,Combo_Gym_Defense),0)</f>
        <v>#VALUE!</v>
      </c>
      <c r="F272" s="25" t="e">
        <f t="array" ref="F272">$Y272/MAX(IF(Combo_Species_Names=$N272,Combo_Gym_Defense))</f>
        <v>#VALUE!</v>
      </c>
      <c r="G272" s="23" t="e">
        <f t="array" ref="G272">IF(OR(INDEX(Species_Availability,MATCH($N272,Species_Names,0))="No",INDEX(Species_Evo_Numbers,MATCH($N272,Species_Names,0))&lt;&gt;1),"N/A",RANK($R272,IF(NOT(ISNA(MATCH(Combo_Species_Names,IF(Species_Availability="Yes",IF(Species_Evo_Numbers=1,Species_Names)),0))),Combo_Duel_Ability),0))</f>
        <v>#VALUE!</v>
      </c>
      <c r="H272" s="24" t="e">
        <f t="array" ref="H272">IF(OR(INDEX(Species_Availability,MATCH($N272,Species_Names,0))="No",INDEX(Species_Evo_Numbers,MATCH($N272,Species_Names,0))&lt;&gt;1),"N/A",$R272/MAX(IF(NOT(ISNA(MATCH(Combo_Species_Names,IF(Species_Availability="Yes",IF(Species_Evo_Numbers=1,Species_Names)),0))),Combo_Duel_Ability)))</f>
        <v>#VALUE!</v>
      </c>
      <c r="I272" s="23" t="e">
        <f t="array" ref="I272">IF(OR(INDEX(Species_Availability,MATCH($N272,Species_Names,0))="No",INDEX(Species_Evo_Numbers,MATCH($N272,Species_Names,0))&lt;&gt;1),"N/A",RANK($S272,IF(NOT(ISNA(MATCH(Combo_Species_Names,IF(Species_Availability="Yes",IF(Species_Evo_Numbers=1,Species_Names)),0))),Combo_Gym_Offense),0))</f>
        <v>#VALUE!</v>
      </c>
      <c r="J272" s="24" t="e">
        <f t="array" ref="J272">IF(OR(INDEX(Species_Availability,MATCH($N272,Species_Names,0))="No",INDEX(Species_Evo_Numbers,MATCH($N272,Species_Names,0))&lt;&gt;1),"N/A",$S272/MAX(IF(NOT(ISNA(MATCH(Combo_Species_Names,IF(Species_Availability="Yes",IF(Species_Evo_Numbers=1,Species_Names)),0))),Combo_Gym_Offense)))</f>
        <v>#VALUE!</v>
      </c>
      <c r="K272" s="23" t="e">
        <f t="array" ref="K272">IF(OR(INDEX(Species_Availability,MATCH($N272,Species_Names,0))="No",INDEX(Species_Evo_Numbers,MATCH($N272,Species_Names,0))&lt;&gt;1),"N/A",RANK($Y272,IF(NOT(ISNA(MATCH(Combo_Species_Names,IF(Species_Availability="Yes",IF(Species_Evo_Numbers=1,Species_Names)),0))),Combo_Gym_Defense),0))</f>
        <v>#VALUE!</v>
      </c>
      <c r="L272" s="24" t="e">
        <f t="array" ref="L272">IF(OR(INDEX(Species_Availability,MATCH($N272,Species_Names,0))="No",INDEX(Species_Evo_Numbers,MATCH($N272,Species_Names,0))&lt;&gt;1),"N/A",$Y272/MAX(IF(NOT(ISNA(MATCH(Combo_Species_Names,IF(Species_Availability="Yes",IF(Species_Evo_Numbers=1,Species_Names)),0))),Combo_Gym_Defense)))</f>
        <v>#VALUE!</v>
      </c>
      <c r="M272" s="28">
        <f t="array" ref="M272">INDEX(Species_Pdex_Numbers,MATCH($N272,Species_Names,0))</f>
        <v>119</v>
      </c>
      <c r="N272" s="30" t="s">
        <v>332</v>
      </c>
      <c r="O272" s="31" t="s">
        <v>114</v>
      </c>
      <c r="P272" s="31" t="s">
        <v>159</v>
      </c>
      <c r="Q272" s="17" t="e">
        <f t="shared" si="8"/>
        <v>#VALUE!</v>
      </c>
      <c r="R272" s="32" t="e">
        <f t="array" ref="R272">IF(OR(AND(COUNTBLANK(Combo_Opponent_Type_1)=1,COUNTBLANK(Combo_Opponent_Type_2)=0),AND(AND(COUNTBLANK(Combo_Opponent_Type_1)=0,COUNTBLANK(Combo_Opponent_Type_2)=0),Combo_Opponent_Type_1=Combo_Opponent_Type_2)),
"Check Types",($S272*INDEX(Species_Tankiness,MATCH($N272,Species_Names,0)))/225)</f>
        <v>#VALUE!</v>
      </c>
      <c r="S272" s="32" t="e">
        <f t="array" ref="S272">IF(OR(AND(COUNTBLANK(Combo_Opponent_Type_1)=1,COUNTBLANK(Combo_Opponent_Type_2)=0),AND(AND(COUNTBLANK(Combo_Opponent_Type_1)=0,COUNTBLANK(Combo_Opponent_Type_2)=0),Combo_Opponent_Type_1=Combo_Opponent_Type_2)),
"Check Types",(
IF($W272&gt;=((1-Game_Weave_Human_Error)*$X272),$W272,$X272)*INDEX(Species_Attack,MATCH($N272,Species_Names,0)))/11)</f>
        <v>#VALUE!</v>
      </c>
      <c r="T272" s="33" t="e">
        <f t="shared" si="9"/>
        <v>#VALUE!</v>
      </c>
      <c r="U272" s="33">
        <f t="array" ref="U2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272,Quick_Names,0))),Type_Species)),0),1)*IF(COUNTBLANK(Combo_Opponent_Type_2)=0,INDEX(Type_Damage_Multipliers,MATCH(Combo_Opponent_Type_2,IF(Type_Move=(INDEX(Quick_Type,MATCH($O272,Quick_Names,0))),Type_Species)),0),1)*(IF(OR(INDEX(Quick_Type,MATCH($O272,Quick_Names,0))=INDEX(Species_Type_1,MATCH($N272,Species_Names,0)),INDEX(Quick_Type,MATCH($O272,Quick_Names,0))=INDEX(Species_Type_2,MATCH($N272,Species_Names,0))),Game_STAB_Multiplier,1)))</f>
        <v>1</v>
      </c>
      <c r="V272" s="33">
        <f t="array" ref="V2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272,Charge_Names,0))),Type_Species)),0),1)*IF(COUNTBLANK(Combo_Opponent_Type_2)=0,INDEX(Type_Damage_Multipliers,MATCH(Combo_Opponent_Type_2,IF(Type_Move=(INDEX(Charge_Type,MATCH($P272,Charge_Names,0))),Type_Species)),0),1)*
IF(OR(INDEX(Charge_Type,MATCH($P272,Charge_Names,0))=INDEX(Species_Type_1,MATCH($N272,Species_Names,0)),INDEX(Charge_Type,MATCH($P272,Charge_Names,0))=INDEX(Species_Type_2,MATCH($N272,Species_Names,0))),Game_STAB_Multiplier,1))</f>
        <v>1</v>
      </c>
      <c r="W272" s="33" t="s">
        <v>779</v>
      </c>
      <c r="X272" s="33" t="s">
        <v>780</v>
      </c>
      <c r="Y272" s="32" t="e">
        <f t="array" ref="Y272">((($Z272)*
INDEX(Species_Attack,MATCH($N272,Species_Names,0))*
INDEX(Species_Tankiness,MATCH($N272,Species_Names,0)))/1000)</f>
        <v>#VALUE!</v>
      </c>
      <c r="Z272" s="33" t="s">
        <v>572</v>
      </c>
    </row>
    <row r="273" spans="1:26" ht="14.25" customHeight="1" x14ac:dyDescent="0.2">
      <c r="A273" s="86"/>
      <c r="B273" s="22" t="str">
        <f t="array" ref="B273">CONCATENATE(TEXT($M273,"000"),".",TEXT(INDEX(Quick_Number,MATCH($O273,Quick_Names,0)),"000"),".",TEXT(INDEX(Charge_Number,MATCH($P273,Charge_Names,0)),"000"))</f>
        <v>091.217.111</v>
      </c>
      <c r="C273" s="23" t="e">
        <f t="array" ref="C273">RANK($S273,IF(Combo_Species_Names=$N273,Combo_Gym_Offense),0)</f>
        <v>#VALUE!</v>
      </c>
      <c r="D273" s="24" t="e">
        <f t="array" ref="D273">$S273/MAX(IF(Combo_Species_Names=$N273,Combo_Gym_Offense))</f>
        <v>#VALUE!</v>
      </c>
      <c r="E273" s="23" t="e">
        <f t="array" ref="E273">RANK($Y273,IF(Combo_Species_Names=$N273,Combo_Gym_Defense),0)</f>
        <v>#VALUE!</v>
      </c>
      <c r="F273" s="25" t="e">
        <f t="array" ref="F273">$Y273/MAX(IF(Combo_Species_Names=$N273,Combo_Gym_Defense))</f>
        <v>#VALUE!</v>
      </c>
      <c r="G273" s="23" t="e">
        <f t="array" ref="G273">IF(OR(INDEX(Species_Availability,MATCH($N273,Species_Names,0))="No",INDEX(Species_Evo_Numbers,MATCH($N273,Species_Names,0))&lt;&gt;1),"N/A",RANK($R273,IF(NOT(ISNA(MATCH(Combo_Species_Names,IF(Species_Availability="Yes",IF(Species_Evo_Numbers=1,Species_Names)),0))),Combo_Duel_Ability),0))</f>
        <v>#VALUE!</v>
      </c>
      <c r="H273" s="24" t="e">
        <f t="array" ref="H273">IF(OR(INDEX(Species_Availability,MATCH($N273,Species_Names,0))="No",INDEX(Species_Evo_Numbers,MATCH($N273,Species_Names,0))&lt;&gt;1),"N/A",$R273/MAX(IF(NOT(ISNA(MATCH(Combo_Species_Names,IF(Species_Availability="Yes",IF(Species_Evo_Numbers=1,Species_Names)),0))),Combo_Duel_Ability)))</f>
        <v>#VALUE!</v>
      </c>
      <c r="I273" s="23" t="e">
        <f t="array" ref="I273">IF(OR(INDEX(Species_Availability,MATCH($N273,Species_Names,0))="No",INDEX(Species_Evo_Numbers,MATCH($N273,Species_Names,0))&lt;&gt;1),"N/A",RANK($S273,IF(NOT(ISNA(MATCH(Combo_Species_Names,IF(Species_Availability="Yes",IF(Species_Evo_Numbers=1,Species_Names)),0))),Combo_Gym_Offense),0))</f>
        <v>#VALUE!</v>
      </c>
      <c r="J273" s="24" t="e">
        <f t="array" ref="J273">IF(OR(INDEX(Species_Availability,MATCH($N273,Species_Names,0))="No",INDEX(Species_Evo_Numbers,MATCH($N273,Species_Names,0))&lt;&gt;1),"N/A",$S273/MAX(IF(NOT(ISNA(MATCH(Combo_Species_Names,IF(Species_Availability="Yes",IF(Species_Evo_Numbers=1,Species_Names)),0))),Combo_Gym_Offense)))</f>
        <v>#VALUE!</v>
      </c>
      <c r="K273" s="23" t="e">
        <f t="array" ref="K273">IF(OR(INDEX(Species_Availability,MATCH($N273,Species_Names,0))="No",INDEX(Species_Evo_Numbers,MATCH($N273,Species_Names,0))&lt;&gt;1),"N/A",RANK($Y273,IF(NOT(ISNA(MATCH(Combo_Species_Names,IF(Species_Availability="Yes",IF(Species_Evo_Numbers=1,Species_Names)),0))),Combo_Gym_Defense),0))</f>
        <v>#VALUE!</v>
      </c>
      <c r="L273" s="24" t="e">
        <f t="array" ref="L273">IF(OR(INDEX(Species_Availability,MATCH($N273,Species_Names,0))="No",INDEX(Species_Evo_Numbers,MATCH($N273,Species_Names,0))&lt;&gt;1),"N/A",$Y273/MAX(IF(NOT(ISNA(MATCH(Combo_Species_Names,IF(Species_Availability="Yes",IF(Species_Evo_Numbers=1,Species_Names)),0))),Combo_Gym_Defense)))</f>
        <v>#VALUE!</v>
      </c>
      <c r="M273" s="28">
        <f t="array" ref="M273">INDEX(Species_Pdex_Numbers,MATCH($N273,Species_Names,0))</f>
        <v>91</v>
      </c>
      <c r="N273" s="30" t="s">
        <v>277</v>
      </c>
      <c r="O273" s="31" t="s">
        <v>95</v>
      </c>
      <c r="P273" s="31" t="s">
        <v>318</v>
      </c>
      <c r="Q273" s="17" t="e">
        <f t="shared" si="8"/>
        <v>#VALUE!</v>
      </c>
      <c r="R273" s="32" t="e">
        <f t="array" ref="R273">IF(OR(AND(COUNTBLANK(Combo_Opponent_Type_1)=1,COUNTBLANK(Combo_Opponent_Type_2)=0),AND(AND(COUNTBLANK(Combo_Opponent_Type_1)=0,COUNTBLANK(Combo_Opponent_Type_2)=0),Combo_Opponent_Type_1=Combo_Opponent_Type_2)),
"Check Types",($S273*INDEX(Species_Tankiness,MATCH($N273,Species_Names,0)))/225)</f>
        <v>#VALUE!</v>
      </c>
      <c r="S273" s="32" t="e">
        <f t="array" ref="S273">IF(OR(AND(COUNTBLANK(Combo_Opponent_Type_1)=1,COUNTBLANK(Combo_Opponent_Type_2)=0),AND(AND(COUNTBLANK(Combo_Opponent_Type_1)=0,COUNTBLANK(Combo_Opponent_Type_2)=0),Combo_Opponent_Type_1=Combo_Opponent_Type_2)),
"Check Types",(
IF($W273&gt;=((1-Game_Weave_Human_Error)*$X273),$W273,$X273)*INDEX(Species_Attack,MATCH($N273,Species_Names,0)))/11)</f>
        <v>#VALUE!</v>
      </c>
      <c r="T273" s="33" t="e">
        <f t="shared" si="9"/>
        <v>#VALUE!</v>
      </c>
      <c r="U273" s="33">
        <f t="array" ref="U2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273,Quick_Names,0))),Type_Species)),0),1)*IF(COUNTBLANK(Combo_Opponent_Type_2)=0,INDEX(Type_Damage_Multipliers,MATCH(Combo_Opponent_Type_2,IF(Type_Move=(INDEX(Quick_Type,MATCH($O273,Quick_Names,0))),Type_Species)),0),1)*(IF(OR(INDEX(Quick_Type,MATCH($O273,Quick_Names,0))=INDEX(Species_Type_1,MATCH($N273,Species_Names,0)),INDEX(Quick_Type,MATCH($O273,Quick_Names,0))=INDEX(Species_Type_2,MATCH($N273,Species_Names,0))),Game_STAB_Multiplier,1)))</f>
        <v>1.25</v>
      </c>
      <c r="V273" s="33">
        <f t="array" ref="V2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273,Charge_Names,0))),Type_Species)),0),1)*IF(COUNTBLANK(Combo_Opponent_Type_2)=0,INDEX(Type_Damage_Multipliers,MATCH(Combo_Opponent_Type_2,IF(Type_Move=(INDEX(Charge_Type,MATCH($P273,Charge_Names,0))),Type_Species)),0),1)*
IF(OR(INDEX(Charge_Type,MATCH($P273,Charge_Names,0))=INDEX(Species_Type_1,MATCH($N273,Species_Names,0)),INDEX(Charge_Type,MATCH($P273,Charge_Names,0))=INDEX(Species_Type_2,MATCH($N273,Species_Names,0))),Game_STAB_Multiplier,1))</f>
        <v>1.25</v>
      </c>
      <c r="W273" s="33" t="s">
        <v>427</v>
      </c>
      <c r="X273" s="33" t="s">
        <v>665</v>
      </c>
      <c r="Y273" s="32" t="e">
        <f t="array" ref="Y273">((($Z273)*
INDEX(Species_Attack,MATCH($N273,Species_Names,0))*
INDEX(Species_Tankiness,MATCH($N273,Species_Names,0)))/1000)</f>
        <v>#VALUE!</v>
      </c>
      <c r="Z273" s="33" t="s">
        <v>666</v>
      </c>
    </row>
    <row r="274" spans="1:26" ht="14.25" customHeight="1" x14ac:dyDescent="0.2">
      <c r="A274" s="86"/>
      <c r="B274" s="22" t="str">
        <f t="array" ref="B274">CONCATENATE(TEXT($M274,"000"),".",TEXT(INDEX(Quick_Number,MATCH($O274,Quick_Names,0)),"000"),".",TEXT(INDEX(Charge_Number,MATCH($P274,Charge_Names,0)),"000"))</f>
        <v>024.202.091</v>
      </c>
      <c r="C274" s="23" t="e">
        <f t="array" ref="C274">RANK($S274,IF(Combo_Species_Names=$N274,Combo_Gym_Offense),0)</f>
        <v>#VALUE!</v>
      </c>
      <c r="D274" s="24" t="e">
        <f t="array" ref="D274">$S274/MAX(IF(Combo_Species_Names=$N274,Combo_Gym_Offense))</f>
        <v>#VALUE!</v>
      </c>
      <c r="E274" s="23" t="e">
        <f t="array" ref="E274">RANK($Y274,IF(Combo_Species_Names=$N274,Combo_Gym_Defense),0)</f>
        <v>#VALUE!</v>
      </c>
      <c r="F274" s="25" t="e">
        <f t="array" ref="F274">$Y274/MAX(IF(Combo_Species_Names=$N274,Combo_Gym_Defense))</f>
        <v>#VALUE!</v>
      </c>
      <c r="G274" s="23" t="e">
        <f t="array" ref="G274">IF(OR(INDEX(Species_Availability,MATCH($N274,Species_Names,0))="No",INDEX(Species_Evo_Numbers,MATCH($N274,Species_Names,0))&lt;&gt;1),"N/A",RANK($R274,IF(NOT(ISNA(MATCH(Combo_Species_Names,IF(Species_Availability="Yes",IF(Species_Evo_Numbers=1,Species_Names)),0))),Combo_Duel_Ability),0))</f>
        <v>#VALUE!</v>
      </c>
      <c r="H274" s="24" t="e">
        <f t="array" ref="H274">IF(OR(INDEX(Species_Availability,MATCH($N274,Species_Names,0))="No",INDEX(Species_Evo_Numbers,MATCH($N274,Species_Names,0))&lt;&gt;1),"N/A",$R274/MAX(IF(NOT(ISNA(MATCH(Combo_Species_Names,IF(Species_Availability="Yes",IF(Species_Evo_Numbers=1,Species_Names)),0))),Combo_Duel_Ability)))</f>
        <v>#VALUE!</v>
      </c>
      <c r="I274" s="23" t="e">
        <f t="array" ref="I274">IF(OR(INDEX(Species_Availability,MATCH($N274,Species_Names,0))="No",INDEX(Species_Evo_Numbers,MATCH($N274,Species_Names,0))&lt;&gt;1),"N/A",RANK($S274,IF(NOT(ISNA(MATCH(Combo_Species_Names,IF(Species_Availability="Yes",IF(Species_Evo_Numbers=1,Species_Names)),0))),Combo_Gym_Offense),0))</f>
        <v>#VALUE!</v>
      </c>
      <c r="J274" s="24" t="e">
        <f t="array" ref="J274">IF(OR(INDEX(Species_Availability,MATCH($N274,Species_Names,0))="No",INDEX(Species_Evo_Numbers,MATCH($N274,Species_Names,0))&lt;&gt;1),"N/A",$S274/MAX(IF(NOT(ISNA(MATCH(Combo_Species_Names,IF(Species_Availability="Yes",IF(Species_Evo_Numbers=1,Species_Names)),0))),Combo_Gym_Offense)))</f>
        <v>#VALUE!</v>
      </c>
      <c r="K274" s="23" t="e">
        <f t="array" ref="K274">IF(OR(INDEX(Species_Availability,MATCH($N274,Species_Names,0))="No",INDEX(Species_Evo_Numbers,MATCH($N274,Species_Names,0))&lt;&gt;1),"N/A",RANK($Y274,IF(NOT(ISNA(MATCH(Combo_Species_Names,IF(Species_Availability="Yes",IF(Species_Evo_Numbers=1,Species_Names)),0))),Combo_Gym_Defense),0))</f>
        <v>#VALUE!</v>
      </c>
      <c r="L274" s="24" t="e">
        <f t="array" ref="L274">IF(OR(INDEX(Species_Availability,MATCH($N274,Species_Names,0))="No",INDEX(Species_Evo_Numbers,MATCH($N274,Species_Names,0))&lt;&gt;1),"N/A",$Y274/MAX(IF(NOT(ISNA(MATCH(Combo_Species_Names,IF(Species_Availability="Yes",IF(Species_Evo_Numbers=1,Species_Names)),0))),Combo_Gym_Defense)))</f>
        <v>#VALUE!</v>
      </c>
      <c r="M274" s="28">
        <f t="array" ref="M274">INDEX(Species_Pdex_Numbers,MATCH($N274,Species_Names,0))</f>
        <v>24</v>
      </c>
      <c r="N274" s="30" t="s">
        <v>134</v>
      </c>
      <c r="O274" s="31" t="s">
        <v>59</v>
      </c>
      <c r="P274" s="31" t="s">
        <v>186</v>
      </c>
      <c r="Q274" s="17" t="e">
        <f t="shared" si="8"/>
        <v>#VALUE!</v>
      </c>
      <c r="R274" s="32" t="e">
        <f t="array" ref="R274">IF(OR(AND(COUNTBLANK(Combo_Opponent_Type_1)=1,COUNTBLANK(Combo_Opponent_Type_2)=0),AND(AND(COUNTBLANK(Combo_Opponent_Type_1)=0,COUNTBLANK(Combo_Opponent_Type_2)=0),Combo_Opponent_Type_1=Combo_Opponent_Type_2)),
"Check Types",($S274*INDEX(Species_Tankiness,MATCH($N274,Species_Names,0)))/225)</f>
        <v>#VALUE!</v>
      </c>
      <c r="S274" s="32" t="e">
        <f t="array" ref="S274">IF(OR(AND(COUNTBLANK(Combo_Opponent_Type_1)=1,COUNTBLANK(Combo_Opponent_Type_2)=0),AND(AND(COUNTBLANK(Combo_Opponent_Type_1)=0,COUNTBLANK(Combo_Opponent_Type_2)=0),Combo_Opponent_Type_1=Combo_Opponent_Type_2)),
"Check Types",(
IF($W274&gt;=((1-Game_Weave_Human_Error)*$X274),$W274,$X274)*INDEX(Species_Attack,MATCH($N274,Species_Names,0)))/11)</f>
        <v>#VALUE!</v>
      </c>
      <c r="T274" s="33" t="e">
        <f t="shared" si="9"/>
        <v>#VALUE!</v>
      </c>
      <c r="U274" s="33">
        <f t="array" ref="U2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274,Quick_Names,0))),Type_Species)),0),1)*IF(COUNTBLANK(Combo_Opponent_Type_2)=0,INDEX(Type_Damage_Multipliers,MATCH(Combo_Opponent_Type_2,IF(Type_Move=(INDEX(Quick_Type,MATCH($O274,Quick_Names,0))),Type_Species)),0),1)*(IF(OR(INDEX(Quick_Type,MATCH($O274,Quick_Names,0))=INDEX(Species_Type_1,MATCH($N274,Species_Names,0)),INDEX(Quick_Type,MATCH($O274,Quick_Names,0))=INDEX(Species_Type_2,MATCH($N274,Species_Names,0))),Game_STAB_Multiplier,1)))</f>
        <v>1</v>
      </c>
      <c r="V274" s="33">
        <f t="array" ref="V2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274,Charge_Names,0))),Type_Species)),0),1)*IF(COUNTBLANK(Combo_Opponent_Type_2)=0,INDEX(Type_Damage_Multipliers,MATCH(Combo_Opponent_Type_2,IF(Type_Move=(INDEX(Charge_Type,MATCH($P274,Charge_Names,0))),Type_Species)),0),1)*
IF(OR(INDEX(Charge_Type,MATCH($P274,Charge_Names,0))=INDEX(Species_Type_1,MATCH($N274,Species_Names,0)),INDEX(Charge_Type,MATCH($P274,Charge_Names,0))=INDEX(Species_Type_2,MATCH($N274,Species_Names,0))),Game_STAB_Multiplier,1))</f>
        <v>1.25</v>
      </c>
      <c r="W274" s="33" t="s">
        <v>453</v>
      </c>
      <c r="X274" s="33" t="s">
        <v>544</v>
      </c>
      <c r="Y274" s="32" t="e">
        <f t="array" ref="Y274">((($Z274)*
INDEX(Species_Attack,MATCH($N274,Species_Names,0))*
INDEX(Species_Tankiness,MATCH($N274,Species_Names,0)))/1000)</f>
        <v>#VALUE!</v>
      </c>
      <c r="Z274" s="33" t="s">
        <v>545</v>
      </c>
    </row>
    <row r="275" spans="1:26" ht="14.25" customHeight="1" x14ac:dyDescent="0.2">
      <c r="A275" s="86"/>
      <c r="B275" s="22" t="str">
        <f t="array" ref="B275">CONCATENATE(TEXT($M275,"000"),".",TEXT(INDEX(Quick_Number,MATCH($O275,Quick_Names,0)),"000"),".",TEXT(INDEX(Charge_Number,MATCH($P275,Charge_Names,0)),"000"))</f>
        <v>026.205.077</v>
      </c>
      <c r="C275" s="23" t="e">
        <f t="array" ref="C275">RANK($S275,IF(Combo_Species_Names=$N275,Combo_Gym_Offense),0)</f>
        <v>#VALUE!</v>
      </c>
      <c r="D275" s="24" t="e">
        <f t="array" ref="D275">$S275/MAX(IF(Combo_Species_Names=$N275,Combo_Gym_Offense))</f>
        <v>#VALUE!</v>
      </c>
      <c r="E275" s="23" t="e">
        <f t="array" ref="E275">RANK($Y275,IF(Combo_Species_Names=$N275,Combo_Gym_Defense),0)</f>
        <v>#VALUE!</v>
      </c>
      <c r="F275" s="25" t="e">
        <f t="array" ref="F275">$Y275/MAX(IF(Combo_Species_Names=$N275,Combo_Gym_Defense))</f>
        <v>#VALUE!</v>
      </c>
      <c r="G275" s="23" t="e">
        <f t="array" ref="G275">IF(OR(INDEX(Species_Availability,MATCH($N275,Species_Names,0))="No",INDEX(Species_Evo_Numbers,MATCH($N275,Species_Names,0))&lt;&gt;1),"N/A",RANK($R275,IF(NOT(ISNA(MATCH(Combo_Species_Names,IF(Species_Availability="Yes",IF(Species_Evo_Numbers=1,Species_Names)),0))),Combo_Duel_Ability),0))</f>
        <v>#VALUE!</v>
      </c>
      <c r="H275" s="24" t="e">
        <f t="array" ref="H275">IF(OR(INDEX(Species_Availability,MATCH($N275,Species_Names,0))="No",INDEX(Species_Evo_Numbers,MATCH($N275,Species_Names,0))&lt;&gt;1),"N/A",$R275/MAX(IF(NOT(ISNA(MATCH(Combo_Species_Names,IF(Species_Availability="Yes",IF(Species_Evo_Numbers=1,Species_Names)),0))),Combo_Duel_Ability)))</f>
        <v>#VALUE!</v>
      </c>
      <c r="I275" s="23" t="e">
        <f t="array" ref="I275">IF(OR(INDEX(Species_Availability,MATCH($N275,Species_Names,0))="No",INDEX(Species_Evo_Numbers,MATCH($N275,Species_Names,0))&lt;&gt;1),"N/A",RANK($S275,IF(NOT(ISNA(MATCH(Combo_Species_Names,IF(Species_Availability="Yes",IF(Species_Evo_Numbers=1,Species_Names)),0))),Combo_Gym_Offense),0))</f>
        <v>#VALUE!</v>
      </c>
      <c r="J275" s="24" t="e">
        <f t="array" ref="J275">IF(OR(INDEX(Species_Availability,MATCH($N275,Species_Names,0))="No",INDEX(Species_Evo_Numbers,MATCH($N275,Species_Names,0))&lt;&gt;1),"N/A",$S275/MAX(IF(NOT(ISNA(MATCH(Combo_Species_Names,IF(Species_Availability="Yes",IF(Species_Evo_Numbers=1,Species_Names)),0))),Combo_Gym_Offense)))</f>
        <v>#VALUE!</v>
      </c>
      <c r="K275" s="23" t="e">
        <f t="array" ref="K275">IF(OR(INDEX(Species_Availability,MATCH($N275,Species_Names,0))="No",INDEX(Species_Evo_Numbers,MATCH($N275,Species_Names,0))&lt;&gt;1),"N/A",RANK($Y275,IF(NOT(ISNA(MATCH(Combo_Species_Names,IF(Species_Availability="Yes",IF(Species_Evo_Numbers=1,Species_Names)),0))),Combo_Gym_Defense),0))</f>
        <v>#VALUE!</v>
      </c>
      <c r="L275" s="24" t="e">
        <f t="array" ref="L275">IF(OR(INDEX(Species_Availability,MATCH($N275,Species_Names,0))="No",INDEX(Species_Evo_Numbers,MATCH($N275,Species_Names,0))&lt;&gt;1),"N/A",$Y275/MAX(IF(NOT(ISNA(MATCH(Combo_Species_Names,IF(Species_Availability="Yes",IF(Species_Evo_Numbers=1,Species_Names)),0))),Combo_Gym_Defense)))</f>
        <v>#VALUE!</v>
      </c>
      <c r="M275" s="28">
        <f t="array" ref="M275">INDEX(Species_Pdex_Numbers,MATCH($N275,Species_Names,0))</f>
        <v>26</v>
      </c>
      <c r="N275" s="30" t="s">
        <v>136</v>
      </c>
      <c r="O275" s="31" t="s">
        <v>115</v>
      </c>
      <c r="P275" s="31" t="s">
        <v>214</v>
      </c>
      <c r="Q275" s="17" t="e">
        <f t="shared" si="8"/>
        <v>#VALUE!</v>
      </c>
      <c r="R275" s="32" t="e">
        <f t="array" ref="R275">IF(OR(AND(COUNTBLANK(Combo_Opponent_Type_1)=1,COUNTBLANK(Combo_Opponent_Type_2)=0),AND(AND(COUNTBLANK(Combo_Opponent_Type_1)=0,COUNTBLANK(Combo_Opponent_Type_2)=0),Combo_Opponent_Type_1=Combo_Opponent_Type_2)),
"Check Types",($S275*INDEX(Species_Tankiness,MATCH($N275,Species_Names,0)))/225)</f>
        <v>#VALUE!</v>
      </c>
      <c r="S275" s="32" t="e">
        <f t="array" ref="S275">IF(OR(AND(COUNTBLANK(Combo_Opponent_Type_1)=1,COUNTBLANK(Combo_Opponent_Type_2)=0),AND(AND(COUNTBLANK(Combo_Opponent_Type_1)=0,COUNTBLANK(Combo_Opponent_Type_2)=0),Combo_Opponent_Type_1=Combo_Opponent_Type_2)),
"Check Types",(
IF($W275&gt;=((1-Game_Weave_Human_Error)*$X275),$W275,$X275)*INDEX(Species_Attack,MATCH($N275,Species_Names,0)))/11)</f>
        <v>#VALUE!</v>
      </c>
      <c r="T275" s="33" t="e">
        <f t="shared" si="9"/>
        <v>#VALUE!</v>
      </c>
      <c r="U275" s="33">
        <f t="array" ref="U2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275,Quick_Names,0))),Type_Species)),0),1)*IF(COUNTBLANK(Combo_Opponent_Type_2)=0,INDEX(Type_Damage_Multipliers,MATCH(Combo_Opponent_Type_2,IF(Type_Move=(INDEX(Quick_Type,MATCH($O275,Quick_Names,0))),Type_Species)),0),1)*(IF(OR(INDEX(Quick_Type,MATCH($O275,Quick_Names,0))=INDEX(Species_Type_1,MATCH($N275,Species_Names,0)),INDEX(Quick_Type,MATCH($O275,Quick_Names,0))=INDEX(Species_Type_2,MATCH($N275,Species_Names,0))),Game_STAB_Multiplier,1)))</f>
        <v>1.25</v>
      </c>
      <c r="V275" s="33">
        <f t="array" ref="V2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275,Charge_Names,0))),Type_Species)),0),1)*IF(COUNTBLANK(Combo_Opponent_Type_2)=0,INDEX(Type_Damage_Multipliers,MATCH(Combo_Opponent_Type_2,IF(Type_Move=(INDEX(Charge_Type,MATCH($P275,Charge_Names,0))),Type_Species)),0),1)*
IF(OR(INDEX(Charge_Type,MATCH($P275,Charge_Names,0))=INDEX(Species_Type_1,MATCH($N275,Species_Names,0)),INDEX(Charge_Type,MATCH($P275,Charge_Names,0))=INDEX(Species_Type_2,MATCH($N275,Species_Names,0))),Game_STAB_Multiplier,1))</f>
        <v>1.25</v>
      </c>
      <c r="W275" s="33" t="s">
        <v>678</v>
      </c>
      <c r="X275" s="33" t="s">
        <v>742</v>
      </c>
      <c r="Y275" s="32" t="e">
        <f t="array" ref="Y275">((($Z275)*
INDEX(Species_Attack,MATCH($N275,Species_Names,0))*
INDEX(Species_Tankiness,MATCH($N275,Species_Names,0)))/1000)</f>
        <v>#VALUE!</v>
      </c>
      <c r="Z275" s="33" t="s">
        <v>426</v>
      </c>
    </row>
    <row r="276" spans="1:26" ht="14.25" customHeight="1" x14ac:dyDescent="0.2">
      <c r="A276" s="86"/>
      <c r="B276" s="22" t="str">
        <f t="array" ref="B276">CONCATENATE(TEXT($M276,"000"),".",TEXT(INDEX(Quick_Number,MATCH($O276,Quick_Names,0)),"000"),".",TEXT(INDEX(Charge_Number,MATCH($P276,Charge_Names,0)),"000"))</f>
        <v>094.203.070</v>
      </c>
      <c r="C276" s="23" t="e">
        <f t="array" ref="C276">RANK($S276,IF(Combo_Species_Names=$N276,Combo_Gym_Offense),0)</f>
        <v>#VALUE!</v>
      </c>
      <c r="D276" s="24" t="e">
        <f t="array" ref="D276">$S276/MAX(IF(Combo_Species_Names=$N276,Combo_Gym_Offense))</f>
        <v>#VALUE!</v>
      </c>
      <c r="E276" s="23" t="e">
        <f t="array" ref="E276">RANK($Y276,IF(Combo_Species_Names=$N276,Combo_Gym_Defense),0)</f>
        <v>#VALUE!</v>
      </c>
      <c r="F276" s="25" t="e">
        <f t="array" ref="F276">$Y276/MAX(IF(Combo_Species_Names=$N276,Combo_Gym_Defense))</f>
        <v>#VALUE!</v>
      </c>
      <c r="G276" s="23" t="e">
        <f t="array" ref="G276">IF(OR(INDEX(Species_Availability,MATCH($N276,Species_Names,0))="No",INDEX(Species_Evo_Numbers,MATCH($N276,Species_Names,0))&lt;&gt;1),"N/A",RANK($R276,IF(NOT(ISNA(MATCH(Combo_Species_Names,IF(Species_Availability="Yes",IF(Species_Evo_Numbers=1,Species_Names)),0))),Combo_Duel_Ability),0))</f>
        <v>#VALUE!</v>
      </c>
      <c r="H276" s="24" t="e">
        <f t="array" ref="H276">IF(OR(INDEX(Species_Availability,MATCH($N276,Species_Names,0))="No",INDEX(Species_Evo_Numbers,MATCH($N276,Species_Names,0))&lt;&gt;1),"N/A",$R276/MAX(IF(NOT(ISNA(MATCH(Combo_Species_Names,IF(Species_Availability="Yes",IF(Species_Evo_Numbers=1,Species_Names)),0))),Combo_Duel_Ability)))</f>
        <v>#VALUE!</v>
      </c>
      <c r="I276" s="23" t="e">
        <f t="array" ref="I276">IF(OR(INDEX(Species_Availability,MATCH($N276,Species_Names,0))="No",INDEX(Species_Evo_Numbers,MATCH($N276,Species_Names,0))&lt;&gt;1),"N/A",RANK($S276,IF(NOT(ISNA(MATCH(Combo_Species_Names,IF(Species_Availability="Yes",IF(Species_Evo_Numbers=1,Species_Names)),0))),Combo_Gym_Offense),0))</f>
        <v>#VALUE!</v>
      </c>
      <c r="J276" s="24" t="e">
        <f t="array" ref="J276">IF(OR(INDEX(Species_Availability,MATCH($N276,Species_Names,0))="No",INDEX(Species_Evo_Numbers,MATCH($N276,Species_Names,0))&lt;&gt;1),"N/A",$S276/MAX(IF(NOT(ISNA(MATCH(Combo_Species_Names,IF(Species_Availability="Yes",IF(Species_Evo_Numbers=1,Species_Names)),0))),Combo_Gym_Offense)))</f>
        <v>#VALUE!</v>
      </c>
      <c r="K276" s="23" t="e">
        <f t="array" ref="K276">IF(OR(INDEX(Species_Availability,MATCH($N276,Species_Names,0))="No",INDEX(Species_Evo_Numbers,MATCH($N276,Species_Names,0))&lt;&gt;1),"N/A",RANK($Y276,IF(NOT(ISNA(MATCH(Combo_Species_Names,IF(Species_Availability="Yes",IF(Species_Evo_Numbers=1,Species_Names)),0))),Combo_Gym_Defense),0))</f>
        <v>#VALUE!</v>
      </c>
      <c r="L276" s="24" t="e">
        <f t="array" ref="L276">IF(OR(INDEX(Species_Availability,MATCH($N276,Species_Names,0))="No",INDEX(Species_Evo_Numbers,MATCH($N276,Species_Names,0))&lt;&gt;1),"N/A",$Y276/MAX(IF(NOT(ISNA(MATCH(Combo_Species_Names,IF(Species_Availability="Yes",IF(Species_Evo_Numbers=1,Species_Names)),0))),Combo_Gym_Defense)))</f>
        <v>#VALUE!</v>
      </c>
      <c r="M276" s="28">
        <f t="array" ref="M276">INDEX(Species_Pdex_Numbers,MATCH($N276,Species_Names,0))</f>
        <v>94</v>
      </c>
      <c r="N276" s="30" t="s">
        <v>284</v>
      </c>
      <c r="O276" s="31" t="s">
        <v>103</v>
      </c>
      <c r="P276" s="31" t="s">
        <v>234</v>
      </c>
      <c r="Q276" s="17" t="e">
        <f t="shared" si="8"/>
        <v>#VALUE!</v>
      </c>
      <c r="R276" s="32" t="e">
        <f t="array" ref="R276">IF(OR(AND(COUNTBLANK(Combo_Opponent_Type_1)=1,COUNTBLANK(Combo_Opponent_Type_2)=0),AND(AND(COUNTBLANK(Combo_Opponent_Type_1)=0,COUNTBLANK(Combo_Opponent_Type_2)=0),Combo_Opponent_Type_1=Combo_Opponent_Type_2)),
"Check Types",($S276*INDEX(Species_Tankiness,MATCH($N276,Species_Names,0)))/225)</f>
        <v>#VALUE!</v>
      </c>
      <c r="S276" s="32" t="e">
        <f t="array" ref="S276">IF(OR(AND(COUNTBLANK(Combo_Opponent_Type_1)=1,COUNTBLANK(Combo_Opponent_Type_2)=0),AND(AND(COUNTBLANK(Combo_Opponent_Type_1)=0,COUNTBLANK(Combo_Opponent_Type_2)=0),Combo_Opponent_Type_1=Combo_Opponent_Type_2)),
"Check Types",(
IF($W276&gt;=((1-Game_Weave_Human_Error)*$X276),$W276,$X276)*INDEX(Species_Attack,MATCH($N276,Species_Names,0)))/11)</f>
        <v>#VALUE!</v>
      </c>
      <c r="T276" s="33" t="e">
        <f t="shared" si="9"/>
        <v>#VALUE!</v>
      </c>
      <c r="U276" s="33">
        <f t="array" ref="U2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276,Quick_Names,0))),Type_Species)),0),1)*IF(COUNTBLANK(Combo_Opponent_Type_2)=0,INDEX(Type_Damage_Multipliers,MATCH(Combo_Opponent_Type_2,IF(Type_Move=(INDEX(Quick_Type,MATCH($O276,Quick_Names,0))),Type_Species)),0),1)*(IF(OR(INDEX(Quick_Type,MATCH($O276,Quick_Names,0))=INDEX(Species_Type_1,MATCH($N276,Species_Names,0)),INDEX(Quick_Type,MATCH($O276,Quick_Names,0))=INDEX(Species_Type_2,MATCH($N276,Species_Names,0))),Game_STAB_Multiplier,1)))</f>
        <v>1</v>
      </c>
      <c r="V276" s="33">
        <f t="array" ref="V2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276,Charge_Names,0))),Type_Species)),0),1)*IF(COUNTBLANK(Combo_Opponent_Type_2)=0,INDEX(Type_Damage_Multipliers,MATCH(Combo_Opponent_Type_2,IF(Type_Move=(INDEX(Charge_Type,MATCH($P276,Charge_Names,0))),Type_Species)),0),1)*
IF(OR(INDEX(Charge_Type,MATCH($P276,Charge_Names,0))=INDEX(Species_Type_1,MATCH($N276,Species_Names,0)),INDEX(Charge_Type,MATCH($P276,Charge_Names,0))=INDEX(Species_Type_2,MATCH($N276,Species_Names,0))),Game_STAB_Multiplier,1))</f>
        <v>1.25</v>
      </c>
      <c r="W276" s="33" t="s">
        <v>758</v>
      </c>
      <c r="X276" s="33" t="s">
        <v>626</v>
      </c>
      <c r="Y276" s="32" t="e">
        <f t="array" ref="Y276">((($Z276)*
INDEX(Species_Attack,MATCH($N276,Species_Names,0))*
INDEX(Species_Tankiness,MATCH($N276,Species_Names,0)))/1000)</f>
        <v>#VALUE!</v>
      </c>
      <c r="Z276" s="33" t="s">
        <v>781</v>
      </c>
    </row>
    <row r="277" spans="1:26" ht="14.25" customHeight="1" x14ac:dyDescent="0.2">
      <c r="A277" s="86"/>
      <c r="B277" s="22" t="str">
        <f t="array" ref="B277">CONCATENATE(TEXT($M277,"000"),".",TEXT(INDEX(Quick_Number,MATCH($O277,Quick_Names,0)),"000"),".",TEXT(INDEX(Charge_Number,MATCH($P277,Charge_Names,0)),"000"))</f>
        <v>026.206.123</v>
      </c>
      <c r="C277" s="23" t="e">
        <f t="array" ref="C277">RANK($S277,IF(Combo_Species_Names=$N277,Combo_Gym_Offense),0)</f>
        <v>#VALUE!</v>
      </c>
      <c r="D277" s="24" t="e">
        <f t="array" ref="D277">$S277/MAX(IF(Combo_Species_Names=$N277,Combo_Gym_Offense))</f>
        <v>#VALUE!</v>
      </c>
      <c r="E277" s="23" t="e">
        <f t="array" ref="E277">RANK($Y277,IF(Combo_Species_Names=$N277,Combo_Gym_Defense),0)</f>
        <v>#VALUE!</v>
      </c>
      <c r="F277" s="25" t="e">
        <f t="array" ref="F277">$Y277/MAX(IF(Combo_Species_Names=$N277,Combo_Gym_Defense))</f>
        <v>#VALUE!</v>
      </c>
      <c r="G277" s="23" t="e">
        <f t="array" ref="G277">IF(OR(INDEX(Species_Availability,MATCH($N277,Species_Names,0))="No",INDEX(Species_Evo_Numbers,MATCH($N277,Species_Names,0))&lt;&gt;1),"N/A",RANK($R277,IF(NOT(ISNA(MATCH(Combo_Species_Names,IF(Species_Availability="Yes",IF(Species_Evo_Numbers=1,Species_Names)),0))),Combo_Duel_Ability),0))</f>
        <v>#VALUE!</v>
      </c>
      <c r="H277" s="24" t="e">
        <f t="array" ref="H277">IF(OR(INDEX(Species_Availability,MATCH($N277,Species_Names,0))="No",INDEX(Species_Evo_Numbers,MATCH($N277,Species_Names,0))&lt;&gt;1),"N/A",$R277/MAX(IF(NOT(ISNA(MATCH(Combo_Species_Names,IF(Species_Availability="Yes",IF(Species_Evo_Numbers=1,Species_Names)),0))),Combo_Duel_Ability)))</f>
        <v>#VALUE!</v>
      </c>
      <c r="I277" s="23" t="e">
        <f t="array" ref="I277">IF(OR(INDEX(Species_Availability,MATCH($N277,Species_Names,0))="No",INDEX(Species_Evo_Numbers,MATCH($N277,Species_Names,0))&lt;&gt;1),"N/A",RANK($S277,IF(NOT(ISNA(MATCH(Combo_Species_Names,IF(Species_Availability="Yes",IF(Species_Evo_Numbers=1,Species_Names)),0))),Combo_Gym_Offense),0))</f>
        <v>#VALUE!</v>
      </c>
      <c r="J277" s="24" t="e">
        <f t="array" ref="J277">IF(OR(INDEX(Species_Availability,MATCH($N277,Species_Names,0))="No",INDEX(Species_Evo_Numbers,MATCH($N277,Species_Names,0))&lt;&gt;1),"N/A",$S277/MAX(IF(NOT(ISNA(MATCH(Combo_Species_Names,IF(Species_Availability="Yes",IF(Species_Evo_Numbers=1,Species_Names)),0))),Combo_Gym_Offense)))</f>
        <v>#VALUE!</v>
      </c>
      <c r="K277" s="23" t="e">
        <f t="array" ref="K277">IF(OR(INDEX(Species_Availability,MATCH($N277,Species_Names,0))="No",INDEX(Species_Evo_Numbers,MATCH($N277,Species_Names,0))&lt;&gt;1),"N/A",RANK($Y277,IF(NOT(ISNA(MATCH(Combo_Species_Names,IF(Species_Availability="Yes",IF(Species_Evo_Numbers=1,Species_Names)),0))),Combo_Gym_Defense),0))</f>
        <v>#VALUE!</v>
      </c>
      <c r="L277" s="24" t="e">
        <f t="array" ref="L277">IF(OR(INDEX(Species_Availability,MATCH($N277,Species_Names,0))="No",INDEX(Species_Evo_Numbers,MATCH($N277,Species_Names,0))&lt;&gt;1),"N/A",$Y277/MAX(IF(NOT(ISNA(MATCH(Combo_Species_Names,IF(Species_Availability="Yes",IF(Species_Evo_Numbers=1,Species_Names)),0))),Combo_Gym_Defense)))</f>
        <v>#VALUE!</v>
      </c>
      <c r="M277" s="28">
        <f t="array" ref="M277">INDEX(Species_Pdex_Numbers,MATCH($N277,Species_Names,0))</f>
        <v>26</v>
      </c>
      <c r="N277" s="30" t="s">
        <v>136</v>
      </c>
      <c r="O277" s="31" t="s">
        <v>106</v>
      </c>
      <c r="P277" s="31" t="s">
        <v>188</v>
      </c>
      <c r="Q277" s="17" t="e">
        <f t="shared" si="8"/>
        <v>#VALUE!</v>
      </c>
      <c r="R277" s="32" t="e">
        <f t="array" ref="R277">IF(OR(AND(COUNTBLANK(Combo_Opponent_Type_1)=1,COUNTBLANK(Combo_Opponent_Type_2)=0),AND(AND(COUNTBLANK(Combo_Opponent_Type_1)=0,COUNTBLANK(Combo_Opponent_Type_2)=0),Combo_Opponent_Type_1=Combo_Opponent_Type_2)),
"Check Types",($S277*INDEX(Species_Tankiness,MATCH($N277,Species_Names,0)))/225)</f>
        <v>#VALUE!</v>
      </c>
      <c r="S277" s="32" t="e">
        <f t="array" ref="S277">IF(OR(AND(COUNTBLANK(Combo_Opponent_Type_1)=1,COUNTBLANK(Combo_Opponent_Type_2)=0),AND(AND(COUNTBLANK(Combo_Opponent_Type_1)=0,COUNTBLANK(Combo_Opponent_Type_2)=0),Combo_Opponent_Type_1=Combo_Opponent_Type_2)),
"Check Types",(
IF($W277&gt;=((1-Game_Weave_Human_Error)*$X277),$W277,$X277)*INDEX(Species_Attack,MATCH($N277,Species_Names,0)))/11)</f>
        <v>#VALUE!</v>
      </c>
      <c r="T277" s="33" t="e">
        <f t="shared" si="9"/>
        <v>#VALUE!</v>
      </c>
      <c r="U277" s="33">
        <f t="array" ref="U2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277,Quick_Names,0))),Type_Species)),0),1)*IF(COUNTBLANK(Combo_Opponent_Type_2)=0,INDEX(Type_Damage_Multipliers,MATCH(Combo_Opponent_Type_2,IF(Type_Move=(INDEX(Quick_Type,MATCH($O277,Quick_Names,0))),Type_Species)),0),1)*(IF(OR(INDEX(Quick_Type,MATCH($O277,Quick_Names,0))=INDEX(Species_Type_1,MATCH($N277,Species_Names,0)),INDEX(Quick_Type,MATCH($O277,Quick_Names,0))=INDEX(Species_Type_2,MATCH($N277,Species_Names,0))),Game_STAB_Multiplier,1)))</f>
        <v>1.25</v>
      </c>
      <c r="V277" s="33">
        <f t="array" ref="V2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277,Charge_Names,0))),Type_Species)),0),1)*IF(COUNTBLANK(Combo_Opponent_Type_2)=0,INDEX(Type_Damage_Multipliers,MATCH(Combo_Opponent_Type_2,IF(Type_Move=(INDEX(Charge_Type,MATCH($P277,Charge_Names,0))),Type_Species)),0),1)*
IF(OR(INDEX(Charge_Type,MATCH($P277,Charge_Names,0))=INDEX(Species_Type_1,MATCH($N277,Species_Names,0)),INDEX(Charge_Type,MATCH($P277,Charge_Names,0))=INDEX(Species_Type_2,MATCH($N277,Species_Names,0))),Game_STAB_Multiplier,1))</f>
        <v>1</v>
      </c>
      <c r="W277" s="33" t="s">
        <v>708</v>
      </c>
      <c r="X277" s="33" t="s">
        <v>782</v>
      </c>
      <c r="Y277" s="32" t="e">
        <f t="array" ref="Y277">((($Z277)*
INDEX(Species_Attack,MATCH($N277,Species_Names,0))*
INDEX(Species_Tankiness,MATCH($N277,Species_Names,0)))/1000)</f>
        <v>#VALUE!</v>
      </c>
      <c r="Z277" s="33" t="s">
        <v>783</v>
      </c>
    </row>
    <row r="278" spans="1:26" ht="14.25" customHeight="1" x14ac:dyDescent="0.2">
      <c r="A278" s="86"/>
      <c r="B278" s="22" t="str">
        <f t="array" ref="B278">CONCATENATE(TEXT($M278,"000"),".",TEXT(INDEX(Quick_Number,MATCH($O278,Quick_Names,0)),"000"),".",TEXT(INDEX(Charge_Number,MATCH($P278,Charge_Names,0)),"000"))</f>
        <v>101.206.079</v>
      </c>
      <c r="C278" s="23" t="e">
        <f t="array" ref="C278">RANK($S278,IF(Combo_Species_Names=$N278,Combo_Gym_Offense),0)</f>
        <v>#VALUE!</v>
      </c>
      <c r="D278" s="24" t="e">
        <f t="array" ref="D278">$S278/MAX(IF(Combo_Species_Names=$N278,Combo_Gym_Offense))</f>
        <v>#VALUE!</v>
      </c>
      <c r="E278" s="23" t="e">
        <f t="array" ref="E278">RANK($Y278,IF(Combo_Species_Names=$N278,Combo_Gym_Defense),0)</f>
        <v>#VALUE!</v>
      </c>
      <c r="F278" s="25" t="e">
        <f t="array" ref="F278">$Y278/MAX(IF(Combo_Species_Names=$N278,Combo_Gym_Defense))</f>
        <v>#VALUE!</v>
      </c>
      <c r="G278" s="23" t="e">
        <f t="array" ref="G278">IF(OR(INDEX(Species_Availability,MATCH($N278,Species_Names,0))="No",INDEX(Species_Evo_Numbers,MATCH($N278,Species_Names,0))&lt;&gt;1),"N/A",RANK($R278,IF(NOT(ISNA(MATCH(Combo_Species_Names,IF(Species_Availability="Yes",IF(Species_Evo_Numbers=1,Species_Names)),0))),Combo_Duel_Ability),0))</f>
        <v>#VALUE!</v>
      </c>
      <c r="H278" s="24" t="e">
        <f t="array" ref="H278">IF(OR(INDEX(Species_Availability,MATCH($N278,Species_Names,0))="No",INDEX(Species_Evo_Numbers,MATCH($N278,Species_Names,0))&lt;&gt;1),"N/A",$R278/MAX(IF(NOT(ISNA(MATCH(Combo_Species_Names,IF(Species_Availability="Yes",IF(Species_Evo_Numbers=1,Species_Names)),0))),Combo_Duel_Ability)))</f>
        <v>#VALUE!</v>
      </c>
      <c r="I278" s="23" t="e">
        <f t="array" ref="I278">IF(OR(INDEX(Species_Availability,MATCH($N278,Species_Names,0))="No",INDEX(Species_Evo_Numbers,MATCH($N278,Species_Names,0))&lt;&gt;1),"N/A",RANK($S278,IF(NOT(ISNA(MATCH(Combo_Species_Names,IF(Species_Availability="Yes",IF(Species_Evo_Numbers=1,Species_Names)),0))),Combo_Gym_Offense),0))</f>
        <v>#VALUE!</v>
      </c>
      <c r="J278" s="24" t="e">
        <f t="array" ref="J278">IF(OR(INDEX(Species_Availability,MATCH($N278,Species_Names,0))="No",INDEX(Species_Evo_Numbers,MATCH($N278,Species_Names,0))&lt;&gt;1),"N/A",$S278/MAX(IF(NOT(ISNA(MATCH(Combo_Species_Names,IF(Species_Availability="Yes",IF(Species_Evo_Numbers=1,Species_Names)),0))),Combo_Gym_Offense)))</f>
        <v>#VALUE!</v>
      </c>
      <c r="K278" s="23" t="e">
        <f t="array" ref="K278">IF(OR(INDEX(Species_Availability,MATCH($N278,Species_Names,0))="No",INDEX(Species_Evo_Numbers,MATCH($N278,Species_Names,0))&lt;&gt;1),"N/A",RANK($Y278,IF(NOT(ISNA(MATCH(Combo_Species_Names,IF(Species_Availability="Yes",IF(Species_Evo_Numbers=1,Species_Names)),0))),Combo_Gym_Defense),0))</f>
        <v>#VALUE!</v>
      </c>
      <c r="L278" s="24" t="e">
        <f t="array" ref="L278">IF(OR(INDEX(Species_Availability,MATCH($N278,Species_Names,0))="No",INDEX(Species_Evo_Numbers,MATCH($N278,Species_Names,0))&lt;&gt;1),"N/A",$Y278/MAX(IF(NOT(ISNA(MATCH(Combo_Species_Names,IF(Species_Availability="Yes",IF(Species_Evo_Numbers=1,Species_Names)),0))),Combo_Gym_Defense)))</f>
        <v>#VALUE!</v>
      </c>
      <c r="M278" s="28">
        <f t="array" ref="M278">INDEX(Species_Pdex_Numbers,MATCH($N278,Species_Names,0))</f>
        <v>101</v>
      </c>
      <c r="N278" s="30" t="s">
        <v>303</v>
      </c>
      <c r="O278" s="31" t="s">
        <v>106</v>
      </c>
      <c r="P278" s="31" t="s">
        <v>190</v>
      </c>
      <c r="Q278" s="17" t="e">
        <f t="shared" si="8"/>
        <v>#VALUE!</v>
      </c>
      <c r="R278" s="32" t="e">
        <f t="array" ref="R278">IF(OR(AND(COUNTBLANK(Combo_Opponent_Type_1)=1,COUNTBLANK(Combo_Opponent_Type_2)=0),AND(AND(COUNTBLANK(Combo_Opponent_Type_1)=0,COUNTBLANK(Combo_Opponent_Type_2)=0),Combo_Opponent_Type_1=Combo_Opponent_Type_2)),
"Check Types",($S278*INDEX(Species_Tankiness,MATCH($N278,Species_Names,0)))/225)</f>
        <v>#VALUE!</v>
      </c>
      <c r="S278" s="32" t="e">
        <f t="array" ref="S278">IF(OR(AND(COUNTBLANK(Combo_Opponent_Type_1)=1,COUNTBLANK(Combo_Opponent_Type_2)=0),AND(AND(COUNTBLANK(Combo_Opponent_Type_1)=0,COUNTBLANK(Combo_Opponent_Type_2)=0),Combo_Opponent_Type_1=Combo_Opponent_Type_2)),
"Check Types",(
IF($W278&gt;=((1-Game_Weave_Human_Error)*$X278),$W278,$X278)*INDEX(Species_Attack,MATCH($N278,Species_Names,0)))/11)</f>
        <v>#VALUE!</v>
      </c>
      <c r="T278" s="33" t="e">
        <f t="shared" si="9"/>
        <v>#VALUE!</v>
      </c>
      <c r="U278" s="33">
        <f t="array" ref="U2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278,Quick_Names,0))),Type_Species)),0),1)*IF(COUNTBLANK(Combo_Opponent_Type_2)=0,INDEX(Type_Damage_Multipliers,MATCH(Combo_Opponent_Type_2,IF(Type_Move=(INDEX(Quick_Type,MATCH($O278,Quick_Names,0))),Type_Species)),0),1)*(IF(OR(INDEX(Quick_Type,MATCH($O278,Quick_Names,0))=INDEX(Species_Type_1,MATCH($N278,Species_Names,0)),INDEX(Quick_Type,MATCH($O278,Quick_Names,0))=INDEX(Species_Type_2,MATCH($N278,Species_Names,0))),Game_STAB_Multiplier,1)))</f>
        <v>1.25</v>
      </c>
      <c r="V278" s="33">
        <f t="array" ref="V2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278,Charge_Names,0))),Type_Species)),0),1)*IF(COUNTBLANK(Combo_Opponent_Type_2)=0,INDEX(Type_Damage_Multipliers,MATCH(Combo_Opponent_Type_2,IF(Type_Move=(INDEX(Charge_Type,MATCH($P278,Charge_Names,0))),Type_Species)),0),1)*
IF(OR(INDEX(Charge_Type,MATCH($P278,Charge_Names,0))=INDEX(Species_Type_1,MATCH($N278,Species_Names,0)),INDEX(Charge_Type,MATCH($P278,Charge_Names,0))=INDEX(Species_Type_2,MATCH($N278,Species_Names,0))),Game_STAB_Multiplier,1))</f>
        <v>1.25</v>
      </c>
      <c r="W278" s="33" t="s">
        <v>708</v>
      </c>
      <c r="X278" s="33" t="s">
        <v>434</v>
      </c>
      <c r="Y278" s="32" t="e">
        <f t="array" ref="Y278">((($Z278)*
INDEX(Species_Attack,MATCH($N278,Species_Names,0))*
INDEX(Species_Tankiness,MATCH($N278,Species_Names,0)))/1000)</f>
        <v>#VALUE!</v>
      </c>
      <c r="Z278" s="33" t="s">
        <v>507</v>
      </c>
    </row>
    <row r="279" spans="1:26" ht="14.25" customHeight="1" x14ac:dyDescent="0.2">
      <c r="A279" s="86"/>
      <c r="B279" s="22" t="str">
        <f t="array" ref="B279">CONCATENATE(TEXT($M279,"000"),".",TEXT(INDEX(Quick_Number,MATCH($O279,Quick_Names,0)),"000"),".",TEXT(INDEX(Charge_Number,MATCH($P279,Charge_Names,0)),"000"))</f>
        <v>082.206.036</v>
      </c>
      <c r="C279" s="23" t="e">
        <f t="array" ref="C279">RANK($S279,IF(Combo_Species_Names=$N279,Combo_Gym_Offense),0)</f>
        <v>#VALUE!</v>
      </c>
      <c r="D279" s="24" t="e">
        <f t="array" ref="D279">$S279/MAX(IF(Combo_Species_Names=$N279,Combo_Gym_Offense))</f>
        <v>#VALUE!</v>
      </c>
      <c r="E279" s="23" t="e">
        <f t="array" ref="E279">RANK($Y279,IF(Combo_Species_Names=$N279,Combo_Gym_Defense),0)</f>
        <v>#VALUE!</v>
      </c>
      <c r="F279" s="25" t="e">
        <f t="array" ref="F279">$Y279/MAX(IF(Combo_Species_Names=$N279,Combo_Gym_Defense))</f>
        <v>#VALUE!</v>
      </c>
      <c r="G279" s="23" t="e">
        <f t="array" ref="G279">IF(OR(INDEX(Species_Availability,MATCH($N279,Species_Names,0))="No",INDEX(Species_Evo_Numbers,MATCH($N279,Species_Names,0))&lt;&gt;1),"N/A",RANK($R279,IF(NOT(ISNA(MATCH(Combo_Species_Names,IF(Species_Availability="Yes",IF(Species_Evo_Numbers=1,Species_Names)),0))),Combo_Duel_Ability),0))</f>
        <v>#VALUE!</v>
      </c>
      <c r="H279" s="24" t="e">
        <f t="array" ref="H279">IF(OR(INDEX(Species_Availability,MATCH($N279,Species_Names,0))="No",INDEX(Species_Evo_Numbers,MATCH($N279,Species_Names,0))&lt;&gt;1),"N/A",$R279/MAX(IF(NOT(ISNA(MATCH(Combo_Species_Names,IF(Species_Availability="Yes",IF(Species_Evo_Numbers=1,Species_Names)),0))),Combo_Duel_Ability)))</f>
        <v>#VALUE!</v>
      </c>
      <c r="I279" s="23" t="e">
        <f t="array" ref="I279">IF(OR(INDEX(Species_Availability,MATCH($N279,Species_Names,0))="No",INDEX(Species_Evo_Numbers,MATCH($N279,Species_Names,0))&lt;&gt;1),"N/A",RANK($S279,IF(NOT(ISNA(MATCH(Combo_Species_Names,IF(Species_Availability="Yes",IF(Species_Evo_Numbers=1,Species_Names)),0))),Combo_Gym_Offense),0))</f>
        <v>#VALUE!</v>
      </c>
      <c r="J279" s="24" t="e">
        <f t="array" ref="J279">IF(OR(INDEX(Species_Availability,MATCH($N279,Species_Names,0))="No",INDEX(Species_Evo_Numbers,MATCH($N279,Species_Names,0))&lt;&gt;1),"N/A",$S279/MAX(IF(NOT(ISNA(MATCH(Combo_Species_Names,IF(Species_Availability="Yes",IF(Species_Evo_Numbers=1,Species_Names)),0))),Combo_Gym_Offense)))</f>
        <v>#VALUE!</v>
      </c>
      <c r="K279" s="23" t="e">
        <f t="array" ref="K279">IF(OR(INDEX(Species_Availability,MATCH($N279,Species_Names,0))="No",INDEX(Species_Evo_Numbers,MATCH($N279,Species_Names,0))&lt;&gt;1),"N/A",RANK($Y279,IF(NOT(ISNA(MATCH(Combo_Species_Names,IF(Species_Availability="Yes",IF(Species_Evo_Numbers=1,Species_Names)),0))),Combo_Gym_Defense),0))</f>
        <v>#VALUE!</v>
      </c>
      <c r="L279" s="24" t="e">
        <f t="array" ref="L279">IF(OR(INDEX(Species_Availability,MATCH($N279,Species_Names,0))="No",INDEX(Species_Evo_Numbers,MATCH($N279,Species_Names,0))&lt;&gt;1),"N/A",$Y279/MAX(IF(NOT(ISNA(MATCH(Combo_Species_Names,IF(Species_Availability="Yes",IF(Species_Evo_Numbers=1,Species_Names)),0))),Combo_Gym_Defense)))</f>
        <v>#VALUE!</v>
      </c>
      <c r="M279" s="28">
        <f t="array" ref="M279">INDEX(Species_Pdex_Numbers,MATCH($N279,Species_Names,0))</f>
        <v>82</v>
      </c>
      <c r="N279" s="30" t="s">
        <v>256</v>
      </c>
      <c r="O279" s="31" t="s">
        <v>106</v>
      </c>
      <c r="P279" s="31" t="s">
        <v>226</v>
      </c>
      <c r="Q279" s="17" t="e">
        <f t="shared" si="8"/>
        <v>#VALUE!</v>
      </c>
      <c r="R279" s="32" t="e">
        <f t="array" ref="R279">IF(OR(AND(COUNTBLANK(Combo_Opponent_Type_1)=1,COUNTBLANK(Combo_Opponent_Type_2)=0),AND(AND(COUNTBLANK(Combo_Opponent_Type_1)=0,COUNTBLANK(Combo_Opponent_Type_2)=0),Combo_Opponent_Type_1=Combo_Opponent_Type_2)),
"Check Types",($S279*INDEX(Species_Tankiness,MATCH($N279,Species_Names,0)))/225)</f>
        <v>#VALUE!</v>
      </c>
      <c r="S279" s="32" t="e">
        <f t="array" ref="S279">IF(OR(AND(COUNTBLANK(Combo_Opponent_Type_1)=1,COUNTBLANK(Combo_Opponent_Type_2)=0),AND(AND(COUNTBLANK(Combo_Opponent_Type_1)=0,COUNTBLANK(Combo_Opponent_Type_2)=0),Combo_Opponent_Type_1=Combo_Opponent_Type_2)),
"Check Types",(
IF($W279&gt;=((1-Game_Weave_Human_Error)*$X279),$W279,$X279)*INDEX(Species_Attack,MATCH($N279,Species_Names,0)))/11)</f>
        <v>#VALUE!</v>
      </c>
      <c r="T279" s="33" t="e">
        <f t="shared" si="9"/>
        <v>#VALUE!</v>
      </c>
      <c r="U279" s="33">
        <f t="array" ref="U2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279,Quick_Names,0))),Type_Species)),0),1)*IF(COUNTBLANK(Combo_Opponent_Type_2)=0,INDEX(Type_Damage_Multipliers,MATCH(Combo_Opponent_Type_2,IF(Type_Move=(INDEX(Quick_Type,MATCH($O279,Quick_Names,0))),Type_Species)),0),1)*(IF(OR(INDEX(Quick_Type,MATCH($O279,Quick_Names,0))=INDEX(Species_Type_1,MATCH($N279,Species_Names,0)),INDEX(Quick_Type,MATCH($O279,Quick_Names,0))=INDEX(Species_Type_2,MATCH($N279,Species_Names,0))),Game_STAB_Multiplier,1)))</f>
        <v>1.25</v>
      </c>
      <c r="V279" s="33">
        <f t="array" ref="V2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279,Charge_Names,0))),Type_Species)),0),1)*IF(COUNTBLANK(Combo_Opponent_Type_2)=0,INDEX(Type_Damage_Multipliers,MATCH(Combo_Opponent_Type_2,IF(Type_Move=(INDEX(Charge_Type,MATCH($P279,Charge_Names,0))),Type_Species)),0),1)*
IF(OR(INDEX(Charge_Type,MATCH($P279,Charge_Names,0))=INDEX(Species_Type_1,MATCH($N279,Species_Names,0)),INDEX(Charge_Type,MATCH($P279,Charge_Names,0))=INDEX(Species_Type_2,MATCH($N279,Species_Names,0))),Game_STAB_Multiplier,1))</f>
        <v>1.25</v>
      </c>
      <c r="W279" s="33" t="s">
        <v>708</v>
      </c>
      <c r="X279" s="33" t="s">
        <v>784</v>
      </c>
      <c r="Y279" s="32" t="e">
        <f t="array" ref="Y279">((($Z279)*
INDEX(Species_Attack,MATCH($N279,Species_Names,0))*
INDEX(Species_Tankiness,MATCH($N279,Species_Names,0)))/1000)</f>
        <v>#VALUE!</v>
      </c>
      <c r="Z279" s="33" t="s">
        <v>744</v>
      </c>
    </row>
    <row r="280" spans="1:26" ht="14.25" customHeight="1" x14ac:dyDescent="0.2">
      <c r="A280" s="86"/>
      <c r="B280" s="22" t="str">
        <f t="array" ref="B280">CONCATENATE(TEXT($M280,"000"),".",TEXT(INDEX(Quick_Number,MATCH($O280,Quick_Names,0)),"000"),".",TEXT(INDEX(Charge_Number,MATCH($P280,Charge_Names,0)),"000"))</f>
        <v>119.224.111</v>
      </c>
      <c r="C280" s="23" t="e">
        <f t="array" ref="C280">RANK($S280,IF(Combo_Species_Names=$N280,Combo_Gym_Offense),0)</f>
        <v>#VALUE!</v>
      </c>
      <c r="D280" s="24" t="e">
        <f t="array" ref="D280">$S280/MAX(IF(Combo_Species_Names=$N280,Combo_Gym_Offense))</f>
        <v>#VALUE!</v>
      </c>
      <c r="E280" s="23" t="e">
        <f t="array" ref="E280">RANK($Y280,IF(Combo_Species_Names=$N280,Combo_Gym_Defense),0)</f>
        <v>#VALUE!</v>
      </c>
      <c r="F280" s="25" t="e">
        <f t="array" ref="F280">$Y280/MAX(IF(Combo_Species_Names=$N280,Combo_Gym_Defense))</f>
        <v>#VALUE!</v>
      </c>
      <c r="G280" s="23" t="e">
        <f t="array" ref="G280">IF(OR(INDEX(Species_Availability,MATCH($N280,Species_Names,0))="No",INDEX(Species_Evo_Numbers,MATCH($N280,Species_Names,0))&lt;&gt;1),"N/A",RANK($R280,IF(NOT(ISNA(MATCH(Combo_Species_Names,IF(Species_Availability="Yes",IF(Species_Evo_Numbers=1,Species_Names)),0))),Combo_Duel_Ability),0))</f>
        <v>#VALUE!</v>
      </c>
      <c r="H280" s="24" t="e">
        <f t="array" ref="H280">IF(OR(INDEX(Species_Availability,MATCH($N280,Species_Names,0))="No",INDEX(Species_Evo_Numbers,MATCH($N280,Species_Names,0))&lt;&gt;1),"N/A",$R280/MAX(IF(NOT(ISNA(MATCH(Combo_Species_Names,IF(Species_Availability="Yes",IF(Species_Evo_Numbers=1,Species_Names)),0))),Combo_Duel_Ability)))</f>
        <v>#VALUE!</v>
      </c>
      <c r="I280" s="23" t="e">
        <f t="array" ref="I280">IF(OR(INDEX(Species_Availability,MATCH($N280,Species_Names,0))="No",INDEX(Species_Evo_Numbers,MATCH($N280,Species_Names,0))&lt;&gt;1),"N/A",RANK($S280,IF(NOT(ISNA(MATCH(Combo_Species_Names,IF(Species_Availability="Yes",IF(Species_Evo_Numbers=1,Species_Names)),0))),Combo_Gym_Offense),0))</f>
        <v>#VALUE!</v>
      </c>
      <c r="J280" s="24" t="e">
        <f t="array" ref="J280">IF(OR(INDEX(Species_Availability,MATCH($N280,Species_Names,0))="No",INDEX(Species_Evo_Numbers,MATCH($N280,Species_Names,0))&lt;&gt;1),"N/A",$S280/MAX(IF(NOT(ISNA(MATCH(Combo_Species_Names,IF(Species_Availability="Yes",IF(Species_Evo_Numbers=1,Species_Names)),0))),Combo_Gym_Offense)))</f>
        <v>#VALUE!</v>
      </c>
      <c r="K280" s="23" t="e">
        <f t="array" ref="K280">IF(OR(INDEX(Species_Availability,MATCH($N280,Species_Names,0))="No",INDEX(Species_Evo_Numbers,MATCH($N280,Species_Names,0))&lt;&gt;1),"N/A",RANK($Y280,IF(NOT(ISNA(MATCH(Combo_Species_Names,IF(Species_Availability="Yes",IF(Species_Evo_Numbers=1,Species_Names)),0))),Combo_Gym_Defense),0))</f>
        <v>#VALUE!</v>
      </c>
      <c r="L280" s="24" t="e">
        <f t="array" ref="L280">IF(OR(INDEX(Species_Availability,MATCH($N280,Species_Names,0))="No",INDEX(Species_Evo_Numbers,MATCH($N280,Species_Names,0))&lt;&gt;1),"N/A",$Y280/MAX(IF(NOT(ISNA(MATCH(Combo_Species_Names,IF(Species_Availability="Yes",IF(Species_Evo_Numbers=1,Species_Names)),0))),Combo_Gym_Defense)))</f>
        <v>#VALUE!</v>
      </c>
      <c r="M280" s="28">
        <f t="array" ref="M280">INDEX(Species_Pdex_Numbers,MATCH($N280,Species_Names,0))</f>
        <v>119</v>
      </c>
      <c r="N280" s="30" t="s">
        <v>332</v>
      </c>
      <c r="O280" s="31" t="s">
        <v>77</v>
      </c>
      <c r="P280" s="31" t="s">
        <v>318</v>
      </c>
      <c r="Q280" s="17" t="e">
        <f t="shared" si="8"/>
        <v>#VALUE!</v>
      </c>
      <c r="R280" s="32" t="e">
        <f t="array" ref="R280">IF(OR(AND(COUNTBLANK(Combo_Opponent_Type_1)=1,COUNTBLANK(Combo_Opponent_Type_2)=0),AND(AND(COUNTBLANK(Combo_Opponent_Type_1)=0,COUNTBLANK(Combo_Opponent_Type_2)=0),Combo_Opponent_Type_1=Combo_Opponent_Type_2)),
"Check Types",($S280*INDEX(Species_Tankiness,MATCH($N280,Species_Names,0)))/225)</f>
        <v>#VALUE!</v>
      </c>
      <c r="S280" s="32" t="e">
        <f t="array" ref="S280">IF(OR(AND(COUNTBLANK(Combo_Opponent_Type_1)=1,COUNTBLANK(Combo_Opponent_Type_2)=0),AND(AND(COUNTBLANK(Combo_Opponent_Type_1)=0,COUNTBLANK(Combo_Opponent_Type_2)=0),Combo_Opponent_Type_1=Combo_Opponent_Type_2)),
"Check Types",(
IF($W280&gt;=((1-Game_Weave_Human_Error)*$X280),$W280,$X280)*INDEX(Species_Attack,MATCH($N280,Species_Names,0)))/11)</f>
        <v>#VALUE!</v>
      </c>
      <c r="T280" s="33" t="e">
        <f t="shared" si="9"/>
        <v>#VALUE!</v>
      </c>
      <c r="U280" s="33">
        <f t="array" ref="U2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280,Quick_Names,0))),Type_Species)),0),1)*IF(COUNTBLANK(Combo_Opponent_Type_2)=0,INDEX(Type_Damage_Multipliers,MATCH(Combo_Opponent_Type_2,IF(Type_Move=(INDEX(Quick_Type,MATCH($O280,Quick_Names,0))),Type_Species)),0),1)*(IF(OR(INDEX(Quick_Type,MATCH($O280,Quick_Names,0))=INDEX(Species_Type_1,MATCH($N280,Species_Names,0)),INDEX(Quick_Type,MATCH($O280,Quick_Names,0))=INDEX(Species_Type_2,MATCH($N280,Species_Names,0))),Game_STAB_Multiplier,1)))</f>
        <v>1</v>
      </c>
      <c r="V280" s="33">
        <f t="array" ref="V2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280,Charge_Names,0))),Type_Species)),0),1)*IF(COUNTBLANK(Combo_Opponent_Type_2)=0,INDEX(Type_Damage_Multipliers,MATCH(Combo_Opponent_Type_2,IF(Type_Move=(INDEX(Charge_Type,MATCH($P280,Charge_Names,0))),Type_Species)),0),1)*
IF(OR(INDEX(Charge_Type,MATCH($P280,Charge_Names,0))=INDEX(Species_Type_1,MATCH($N280,Species_Names,0)),INDEX(Charge_Type,MATCH($P280,Charge_Names,0))=INDEX(Species_Type_2,MATCH($N280,Species_Names,0))),Game_STAB_Multiplier,1))</f>
        <v>1</v>
      </c>
      <c r="W280" s="33" t="s">
        <v>419</v>
      </c>
      <c r="X280" s="33" t="s">
        <v>550</v>
      </c>
      <c r="Y280" s="32" t="e">
        <f t="array" ref="Y280">((($Z280)*
INDEX(Species_Attack,MATCH($N280,Species_Names,0))*
INDEX(Species_Tankiness,MATCH($N280,Species_Names,0)))/1000)</f>
        <v>#VALUE!</v>
      </c>
      <c r="Z280" s="33" t="s">
        <v>533</v>
      </c>
    </row>
    <row r="281" spans="1:26" ht="14.25" customHeight="1" x14ac:dyDescent="0.2">
      <c r="A281" s="86"/>
      <c r="B281" s="22" t="str">
        <f t="array" ref="B281">CONCATENATE(TEXT($M281,"000"),".",TEXT(INDEX(Quick_Number,MATCH($O281,Quick_Names,0)),"000"),".",TEXT(INDEX(Charge_Number,MATCH($P281,Charge_Names,0)),"000"))</f>
        <v>123.239.051</v>
      </c>
      <c r="C281" s="23" t="e">
        <f t="array" ref="C281">RANK($S281,IF(Combo_Species_Names=$N281,Combo_Gym_Offense),0)</f>
        <v>#VALUE!</v>
      </c>
      <c r="D281" s="24" t="e">
        <f t="array" ref="D281">$S281/MAX(IF(Combo_Species_Names=$N281,Combo_Gym_Offense))</f>
        <v>#VALUE!</v>
      </c>
      <c r="E281" s="23" t="e">
        <f t="array" ref="E281">RANK($Y281,IF(Combo_Species_Names=$N281,Combo_Gym_Defense),0)</f>
        <v>#VALUE!</v>
      </c>
      <c r="F281" s="25" t="e">
        <f t="array" ref="F281">$Y281/MAX(IF(Combo_Species_Names=$N281,Combo_Gym_Defense))</f>
        <v>#VALUE!</v>
      </c>
      <c r="G281" s="23" t="e">
        <f t="array" ref="G281">IF(OR(INDEX(Species_Availability,MATCH($N281,Species_Names,0))="No",INDEX(Species_Evo_Numbers,MATCH($N281,Species_Names,0))&lt;&gt;1),"N/A",RANK($R281,IF(NOT(ISNA(MATCH(Combo_Species_Names,IF(Species_Availability="Yes",IF(Species_Evo_Numbers=1,Species_Names)),0))),Combo_Duel_Ability),0))</f>
        <v>#VALUE!</v>
      </c>
      <c r="H281" s="24" t="e">
        <f t="array" ref="H281">IF(OR(INDEX(Species_Availability,MATCH($N281,Species_Names,0))="No",INDEX(Species_Evo_Numbers,MATCH($N281,Species_Names,0))&lt;&gt;1),"N/A",$R281/MAX(IF(NOT(ISNA(MATCH(Combo_Species_Names,IF(Species_Availability="Yes",IF(Species_Evo_Numbers=1,Species_Names)),0))),Combo_Duel_Ability)))</f>
        <v>#VALUE!</v>
      </c>
      <c r="I281" s="23" t="e">
        <f t="array" ref="I281">IF(OR(INDEX(Species_Availability,MATCH($N281,Species_Names,0))="No",INDEX(Species_Evo_Numbers,MATCH($N281,Species_Names,0))&lt;&gt;1),"N/A",RANK($S281,IF(NOT(ISNA(MATCH(Combo_Species_Names,IF(Species_Availability="Yes",IF(Species_Evo_Numbers=1,Species_Names)),0))),Combo_Gym_Offense),0))</f>
        <v>#VALUE!</v>
      </c>
      <c r="J281" s="24" t="e">
        <f t="array" ref="J281">IF(OR(INDEX(Species_Availability,MATCH($N281,Species_Names,0))="No",INDEX(Species_Evo_Numbers,MATCH($N281,Species_Names,0))&lt;&gt;1),"N/A",$S281/MAX(IF(NOT(ISNA(MATCH(Combo_Species_Names,IF(Species_Availability="Yes",IF(Species_Evo_Numbers=1,Species_Names)),0))),Combo_Gym_Offense)))</f>
        <v>#VALUE!</v>
      </c>
      <c r="K281" s="23" t="e">
        <f t="array" ref="K281">IF(OR(INDEX(Species_Availability,MATCH($N281,Species_Names,0))="No",INDEX(Species_Evo_Numbers,MATCH($N281,Species_Names,0))&lt;&gt;1),"N/A",RANK($Y281,IF(NOT(ISNA(MATCH(Combo_Species_Names,IF(Species_Availability="Yes",IF(Species_Evo_Numbers=1,Species_Names)),0))),Combo_Gym_Defense),0))</f>
        <v>#VALUE!</v>
      </c>
      <c r="L281" s="24" t="e">
        <f t="array" ref="L281">IF(OR(INDEX(Species_Availability,MATCH($N281,Species_Names,0))="No",INDEX(Species_Evo_Numbers,MATCH($N281,Species_Names,0))&lt;&gt;1),"N/A",$Y281/MAX(IF(NOT(ISNA(MATCH(Combo_Species_Names,IF(Species_Availability="Yes",IF(Species_Evo_Numbers=1,Species_Names)),0))),Combo_Gym_Defense)))</f>
        <v>#VALUE!</v>
      </c>
      <c r="M281" s="28">
        <f t="array" ref="M281">INDEX(Species_Pdex_Numbers,MATCH($N281,Species_Names,0))</f>
        <v>123</v>
      </c>
      <c r="N281" s="30" t="s">
        <v>340</v>
      </c>
      <c r="O281" s="31" t="s">
        <v>80</v>
      </c>
      <c r="P281" s="31" t="s">
        <v>262</v>
      </c>
      <c r="Q281" s="17" t="e">
        <f t="shared" si="8"/>
        <v>#VALUE!</v>
      </c>
      <c r="R281" s="32" t="e">
        <f t="array" ref="R281">IF(OR(AND(COUNTBLANK(Combo_Opponent_Type_1)=1,COUNTBLANK(Combo_Opponent_Type_2)=0),AND(AND(COUNTBLANK(Combo_Opponent_Type_1)=0,COUNTBLANK(Combo_Opponent_Type_2)=0),Combo_Opponent_Type_1=Combo_Opponent_Type_2)),
"Check Types",($S281*INDEX(Species_Tankiness,MATCH($N281,Species_Names,0)))/225)</f>
        <v>#VALUE!</v>
      </c>
      <c r="S281" s="32" t="e">
        <f t="array" ref="S281">IF(OR(AND(COUNTBLANK(Combo_Opponent_Type_1)=1,COUNTBLANK(Combo_Opponent_Type_2)=0),AND(AND(COUNTBLANK(Combo_Opponent_Type_1)=0,COUNTBLANK(Combo_Opponent_Type_2)=0),Combo_Opponent_Type_1=Combo_Opponent_Type_2)),
"Check Types",(
IF($W281&gt;=((1-Game_Weave_Human_Error)*$X281),$W281,$X281)*INDEX(Species_Attack,MATCH($N281,Species_Names,0)))/11)</f>
        <v>#VALUE!</v>
      </c>
      <c r="T281" s="33" t="e">
        <f t="shared" si="9"/>
        <v>#VALUE!</v>
      </c>
      <c r="U281" s="33">
        <f t="array" ref="U2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281,Quick_Names,0))),Type_Species)),0),1)*IF(COUNTBLANK(Combo_Opponent_Type_2)=0,INDEX(Type_Damage_Multipliers,MATCH(Combo_Opponent_Type_2,IF(Type_Move=(INDEX(Quick_Type,MATCH($O281,Quick_Names,0))),Type_Species)),0),1)*(IF(OR(INDEX(Quick_Type,MATCH($O281,Quick_Names,0))=INDEX(Species_Type_1,MATCH($N281,Species_Names,0)),INDEX(Quick_Type,MATCH($O281,Quick_Names,0))=INDEX(Species_Type_2,MATCH($N281,Species_Names,0))),Game_STAB_Multiplier,1)))</f>
        <v>1</v>
      </c>
      <c r="V281" s="33">
        <f t="array" ref="V2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281,Charge_Names,0))),Type_Species)),0),1)*IF(COUNTBLANK(Combo_Opponent_Type_2)=0,INDEX(Type_Damage_Multipliers,MATCH(Combo_Opponent_Type_2,IF(Type_Move=(INDEX(Charge_Type,MATCH($P281,Charge_Names,0))),Type_Species)),0),1)*
IF(OR(INDEX(Charge_Type,MATCH($P281,Charge_Names,0))=INDEX(Species_Type_1,MATCH($N281,Species_Names,0)),INDEX(Charge_Type,MATCH($P281,Charge_Names,0))=INDEX(Species_Type_2,MATCH($N281,Species_Names,0))),Game_STAB_Multiplier,1))</f>
        <v>1</v>
      </c>
      <c r="W281" s="33" t="s">
        <v>441</v>
      </c>
      <c r="X281" s="33" t="s">
        <v>785</v>
      </c>
      <c r="Y281" s="32" t="e">
        <f t="array" ref="Y281">((($Z281)*
INDEX(Species_Attack,MATCH($N281,Species_Names,0))*
INDEX(Species_Tankiness,MATCH($N281,Species_Names,0)))/1000)</f>
        <v>#VALUE!</v>
      </c>
      <c r="Z281" s="33" t="s">
        <v>786</v>
      </c>
    </row>
    <row r="282" spans="1:26" ht="14.25" customHeight="1" x14ac:dyDescent="0.2">
      <c r="A282" s="86"/>
      <c r="B282" s="22" t="str">
        <f t="array" ref="B282">CONCATENATE(TEXT($M282,"000"),".",TEXT(INDEX(Quick_Number,MATCH($O282,Quick_Names,0)),"000"),".",TEXT(INDEX(Charge_Number,MATCH($P282,Charge_Names,0)),"000"))</f>
        <v>117.204.107</v>
      </c>
      <c r="C282" s="23" t="e">
        <f t="array" ref="C282">RANK($S282,IF(Combo_Species_Names=$N282,Combo_Gym_Offense),0)</f>
        <v>#VALUE!</v>
      </c>
      <c r="D282" s="24" t="e">
        <f t="array" ref="D282">$S282/MAX(IF(Combo_Species_Names=$N282,Combo_Gym_Offense))</f>
        <v>#VALUE!</v>
      </c>
      <c r="E282" s="23" t="e">
        <f t="array" ref="E282">RANK($Y282,IF(Combo_Species_Names=$N282,Combo_Gym_Defense),0)</f>
        <v>#VALUE!</v>
      </c>
      <c r="F282" s="25" t="e">
        <f t="array" ref="F282">$Y282/MAX(IF(Combo_Species_Names=$N282,Combo_Gym_Defense))</f>
        <v>#VALUE!</v>
      </c>
      <c r="G282" s="23" t="e">
        <f t="array" ref="G282">IF(OR(INDEX(Species_Availability,MATCH($N282,Species_Names,0))="No",INDEX(Species_Evo_Numbers,MATCH($N282,Species_Names,0))&lt;&gt;1),"N/A",RANK($R282,IF(NOT(ISNA(MATCH(Combo_Species_Names,IF(Species_Availability="Yes",IF(Species_Evo_Numbers=1,Species_Names)),0))),Combo_Duel_Ability),0))</f>
        <v>#VALUE!</v>
      </c>
      <c r="H282" s="24" t="e">
        <f t="array" ref="H282">IF(OR(INDEX(Species_Availability,MATCH($N282,Species_Names,0))="No",INDEX(Species_Evo_Numbers,MATCH($N282,Species_Names,0))&lt;&gt;1),"N/A",$R282/MAX(IF(NOT(ISNA(MATCH(Combo_Species_Names,IF(Species_Availability="Yes",IF(Species_Evo_Numbers=1,Species_Names)),0))),Combo_Duel_Ability)))</f>
        <v>#VALUE!</v>
      </c>
      <c r="I282" s="23" t="e">
        <f t="array" ref="I282">IF(OR(INDEX(Species_Availability,MATCH($N282,Species_Names,0))="No",INDEX(Species_Evo_Numbers,MATCH($N282,Species_Names,0))&lt;&gt;1),"N/A",RANK($S282,IF(NOT(ISNA(MATCH(Combo_Species_Names,IF(Species_Availability="Yes",IF(Species_Evo_Numbers=1,Species_Names)),0))),Combo_Gym_Offense),0))</f>
        <v>#VALUE!</v>
      </c>
      <c r="J282" s="24" t="e">
        <f t="array" ref="J282">IF(OR(INDEX(Species_Availability,MATCH($N282,Species_Names,0))="No",INDEX(Species_Evo_Numbers,MATCH($N282,Species_Names,0))&lt;&gt;1),"N/A",$S282/MAX(IF(NOT(ISNA(MATCH(Combo_Species_Names,IF(Species_Availability="Yes",IF(Species_Evo_Numbers=1,Species_Names)),0))),Combo_Gym_Offense)))</f>
        <v>#VALUE!</v>
      </c>
      <c r="K282" s="23" t="e">
        <f t="array" ref="K282">IF(OR(INDEX(Species_Availability,MATCH($N282,Species_Names,0))="No",INDEX(Species_Evo_Numbers,MATCH($N282,Species_Names,0))&lt;&gt;1),"N/A",RANK($Y282,IF(NOT(ISNA(MATCH(Combo_Species_Names,IF(Species_Availability="Yes",IF(Species_Evo_Numbers=1,Species_Names)),0))),Combo_Gym_Defense),0))</f>
        <v>#VALUE!</v>
      </c>
      <c r="L282" s="24" t="e">
        <f t="array" ref="L282">IF(OR(INDEX(Species_Availability,MATCH($N282,Species_Names,0))="No",INDEX(Species_Evo_Numbers,MATCH($N282,Species_Names,0))&lt;&gt;1),"N/A",$Y282/MAX(IF(NOT(ISNA(MATCH(Combo_Species_Names,IF(Species_Availability="Yes",IF(Species_Evo_Numbers=1,Species_Names)),0))),Combo_Gym_Defense)))</f>
        <v>#VALUE!</v>
      </c>
      <c r="M282" s="28">
        <f t="array" ref="M282">INDEX(Species_Pdex_Numbers,MATCH($N282,Species_Names,0))</f>
        <v>117</v>
      </c>
      <c r="N282" s="30" t="s">
        <v>330</v>
      </c>
      <c r="O282" s="31" t="s">
        <v>62</v>
      </c>
      <c r="P282" s="31" t="s">
        <v>170</v>
      </c>
      <c r="Q282" s="17" t="e">
        <f t="shared" si="8"/>
        <v>#VALUE!</v>
      </c>
      <c r="R282" s="32" t="e">
        <f t="array" ref="R282">IF(OR(AND(COUNTBLANK(Combo_Opponent_Type_1)=1,COUNTBLANK(Combo_Opponent_Type_2)=0),AND(AND(COUNTBLANK(Combo_Opponent_Type_1)=0,COUNTBLANK(Combo_Opponent_Type_2)=0),Combo_Opponent_Type_1=Combo_Opponent_Type_2)),
"Check Types",($S282*INDEX(Species_Tankiness,MATCH($N282,Species_Names,0)))/225)</f>
        <v>#VALUE!</v>
      </c>
      <c r="S282" s="32" t="e">
        <f t="array" ref="S282">IF(OR(AND(COUNTBLANK(Combo_Opponent_Type_1)=1,COUNTBLANK(Combo_Opponent_Type_2)=0),AND(AND(COUNTBLANK(Combo_Opponent_Type_1)=0,COUNTBLANK(Combo_Opponent_Type_2)=0),Combo_Opponent_Type_1=Combo_Opponent_Type_2)),
"Check Types",(
IF($W282&gt;=((1-Game_Weave_Human_Error)*$X282),$W282,$X282)*INDEX(Species_Attack,MATCH($N282,Species_Names,0)))/11)</f>
        <v>#VALUE!</v>
      </c>
      <c r="T282" s="33" t="e">
        <f t="shared" si="9"/>
        <v>#VALUE!</v>
      </c>
      <c r="U282" s="33">
        <f t="array" ref="U2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282,Quick_Names,0))),Type_Species)),0),1)*IF(COUNTBLANK(Combo_Opponent_Type_2)=0,INDEX(Type_Damage_Multipliers,MATCH(Combo_Opponent_Type_2,IF(Type_Move=(INDEX(Quick_Type,MATCH($O282,Quick_Names,0))),Type_Species)),0),1)*(IF(OR(INDEX(Quick_Type,MATCH($O282,Quick_Names,0))=INDEX(Species_Type_1,MATCH($N282,Species_Names,0)),INDEX(Quick_Type,MATCH($O282,Quick_Names,0))=INDEX(Species_Type_2,MATCH($N282,Species_Names,0))),Game_STAB_Multiplier,1)))</f>
        <v>1</v>
      </c>
      <c r="V282" s="33">
        <f t="array" ref="V2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282,Charge_Names,0))),Type_Species)),0),1)*IF(COUNTBLANK(Combo_Opponent_Type_2)=0,INDEX(Type_Damage_Multipliers,MATCH(Combo_Opponent_Type_2,IF(Type_Move=(INDEX(Charge_Type,MATCH($P282,Charge_Names,0))),Type_Species)),0),1)*
IF(OR(INDEX(Charge_Type,MATCH($P282,Charge_Names,0))=INDEX(Species_Type_1,MATCH($N282,Species_Names,0)),INDEX(Charge_Type,MATCH($P282,Charge_Names,0))=INDEX(Species_Type_2,MATCH($N282,Species_Names,0))),Game_STAB_Multiplier,1))</f>
        <v>1.25</v>
      </c>
      <c r="W282" s="33" t="s">
        <v>453</v>
      </c>
      <c r="X282" s="33" t="s">
        <v>463</v>
      </c>
      <c r="Y282" s="32" t="e">
        <f t="array" ref="Y282">((($Z282)*
INDEX(Species_Attack,MATCH($N282,Species_Names,0))*
INDEX(Species_Tankiness,MATCH($N282,Species_Names,0)))/1000)</f>
        <v>#VALUE!</v>
      </c>
      <c r="Z282" s="33" t="s">
        <v>464</v>
      </c>
    </row>
    <row r="283" spans="1:26" ht="14.25" customHeight="1" x14ac:dyDescent="0.2">
      <c r="A283" s="86"/>
      <c r="B283" s="22" t="str">
        <f t="array" ref="B283">CONCATENATE(TEXT($M283,"000"),".",TEXT(INDEX(Quick_Number,MATCH($O283,Quick_Names,0)),"000"),".",TEXT(INDEX(Charge_Number,MATCH($P283,Charge_Names,0)),"000"))</f>
        <v>141.216.105</v>
      </c>
      <c r="C283" s="23" t="e">
        <f t="array" ref="C283">RANK($S283,IF(Combo_Species_Names=$N283,Combo_Gym_Offense),0)</f>
        <v>#VALUE!</v>
      </c>
      <c r="D283" s="24" t="e">
        <f t="array" ref="D283">$S283/MAX(IF(Combo_Species_Names=$N283,Combo_Gym_Offense))</f>
        <v>#VALUE!</v>
      </c>
      <c r="E283" s="23" t="e">
        <f t="array" ref="E283">RANK($Y283,IF(Combo_Species_Names=$N283,Combo_Gym_Defense),0)</f>
        <v>#VALUE!</v>
      </c>
      <c r="F283" s="25" t="e">
        <f t="array" ref="F283">$Y283/MAX(IF(Combo_Species_Names=$N283,Combo_Gym_Defense))</f>
        <v>#VALUE!</v>
      </c>
      <c r="G283" s="23" t="e">
        <f t="array" ref="G283">IF(OR(INDEX(Species_Availability,MATCH($N283,Species_Names,0))="No",INDEX(Species_Evo_Numbers,MATCH($N283,Species_Names,0))&lt;&gt;1),"N/A",RANK($R283,IF(NOT(ISNA(MATCH(Combo_Species_Names,IF(Species_Availability="Yes",IF(Species_Evo_Numbers=1,Species_Names)),0))),Combo_Duel_Ability),0))</f>
        <v>#VALUE!</v>
      </c>
      <c r="H283" s="24" t="e">
        <f t="array" ref="H283">IF(OR(INDEX(Species_Availability,MATCH($N283,Species_Names,0))="No",INDEX(Species_Evo_Numbers,MATCH($N283,Species_Names,0))&lt;&gt;1),"N/A",$R283/MAX(IF(NOT(ISNA(MATCH(Combo_Species_Names,IF(Species_Availability="Yes",IF(Species_Evo_Numbers=1,Species_Names)),0))),Combo_Duel_Ability)))</f>
        <v>#VALUE!</v>
      </c>
      <c r="I283" s="23" t="e">
        <f t="array" ref="I283">IF(OR(INDEX(Species_Availability,MATCH($N283,Species_Names,0))="No",INDEX(Species_Evo_Numbers,MATCH($N283,Species_Names,0))&lt;&gt;1),"N/A",RANK($S283,IF(NOT(ISNA(MATCH(Combo_Species_Names,IF(Species_Availability="Yes",IF(Species_Evo_Numbers=1,Species_Names)),0))),Combo_Gym_Offense),0))</f>
        <v>#VALUE!</v>
      </c>
      <c r="J283" s="24" t="e">
        <f t="array" ref="J283">IF(OR(INDEX(Species_Availability,MATCH($N283,Species_Names,0))="No",INDEX(Species_Evo_Numbers,MATCH($N283,Species_Names,0))&lt;&gt;1),"N/A",$S283/MAX(IF(NOT(ISNA(MATCH(Combo_Species_Names,IF(Species_Availability="Yes",IF(Species_Evo_Numbers=1,Species_Names)),0))),Combo_Gym_Offense)))</f>
        <v>#VALUE!</v>
      </c>
      <c r="K283" s="23" t="e">
        <f t="array" ref="K283">IF(OR(INDEX(Species_Availability,MATCH($N283,Species_Names,0))="No",INDEX(Species_Evo_Numbers,MATCH($N283,Species_Names,0))&lt;&gt;1),"N/A",RANK($Y283,IF(NOT(ISNA(MATCH(Combo_Species_Names,IF(Species_Availability="Yes",IF(Species_Evo_Numbers=1,Species_Names)),0))),Combo_Gym_Defense),0))</f>
        <v>#VALUE!</v>
      </c>
      <c r="L283" s="24" t="e">
        <f t="array" ref="L283">IF(OR(INDEX(Species_Availability,MATCH($N283,Species_Names,0))="No",INDEX(Species_Evo_Numbers,MATCH($N283,Species_Names,0))&lt;&gt;1),"N/A",$Y283/MAX(IF(NOT(ISNA(MATCH(Combo_Species_Names,IF(Species_Availability="Yes",IF(Species_Evo_Numbers=1,Species_Names)),0))),Combo_Gym_Defense)))</f>
        <v>#VALUE!</v>
      </c>
      <c r="M283" s="28">
        <f t="array" ref="M283">INDEX(Species_Pdex_Numbers,MATCH($N283,Species_Names,0))</f>
        <v>141</v>
      </c>
      <c r="N283" s="30" t="s">
        <v>359</v>
      </c>
      <c r="O283" s="31" t="s">
        <v>89</v>
      </c>
      <c r="P283" s="31" t="s">
        <v>281</v>
      </c>
      <c r="Q283" s="17" t="e">
        <f t="shared" si="8"/>
        <v>#VALUE!</v>
      </c>
      <c r="R283" s="32" t="e">
        <f t="array" ref="R283">IF(OR(AND(COUNTBLANK(Combo_Opponent_Type_1)=1,COUNTBLANK(Combo_Opponent_Type_2)=0),AND(AND(COUNTBLANK(Combo_Opponent_Type_1)=0,COUNTBLANK(Combo_Opponent_Type_2)=0),Combo_Opponent_Type_1=Combo_Opponent_Type_2)),
"Check Types",($S283*INDEX(Species_Tankiness,MATCH($N283,Species_Names,0)))/225)</f>
        <v>#VALUE!</v>
      </c>
      <c r="S283" s="32" t="e">
        <f t="array" ref="S283">IF(OR(AND(COUNTBLANK(Combo_Opponent_Type_1)=1,COUNTBLANK(Combo_Opponent_Type_2)=0),AND(AND(COUNTBLANK(Combo_Opponent_Type_1)=0,COUNTBLANK(Combo_Opponent_Type_2)=0),Combo_Opponent_Type_1=Combo_Opponent_Type_2)),
"Check Types",(
IF($W283&gt;=((1-Game_Weave_Human_Error)*$X283),$W283,$X283)*INDEX(Species_Attack,MATCH($N283,Species_Names,0)))/11)</f>
        <v>#VALUE!</v>
      </c>
      <c r="T283" s="33" t="e">
        <f t="shared" si="9"/>
        <v>#VALUE!</v>
      </c>
      <c r="U283" s="33">
        <f t="array" ref="U2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283,Quick_Names,0))),Type_Species)),0),1)*IF(COUNTBLANK(Combo_Opponent_Type_2)=0,INDEX(Type_Damage_Multipliers,MATCH(Combo_Opponent_Type_2,IF(Type_Move=(INDEX(Quick_Type,MATCH($O283,Quick_Names,0))),Type_Species)),0),1)*(IF(OR(INDEX(Quick_Type,MATCH($O283,Quick_Names,0))=INDEX(Species_Type_1,MATCH($N283,Species_Names,0)),INDEX(Quick_Type,MATCH($O283,Quick_Names,0))=INDEX(Species_Type_2,MATCH($N283,Species_Names,0))),Game_STAB_Multiplier,1)))</f>
        <v>1</v>
      </c>
      <c r="V283" s="33">
        <f t="array" ref="V2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283,Charge_Names,0))),Type_Species)),0),1)*IF(COUNTBLANK(Combo_Opponent_Type_2)=0,INDEX(Type_Damage_Multipliers,MATCH(Combo_Opponent_Type_2,IF(Type_Move=(INDEX(Charge_Type,MATCH($P283,Charge_Names,0))),Type_Species)),0),1)*
IF(OR(INDEX(Charge_Type,MATCH($P283,Charge_Names,0))=INDEX(Species_Type_1,MATCH($N283,Species_Names,0)),INDEX(Charge_Type,MATCH($P283,Charge_Names,0))=INDEX(Species_Type_2,MATCH($N283,Species_Names,0))),Game_STAB_Multiplier,1))</f>
        <v>1.25</v>
      </c>
      <c r="W283" s="33" t="s">
        <v>518</v>
      </c>
      <c r="X283" s="33" t="s">
        <v>787</v>
      </c>
      <c r="Y283" s="32" t="e">
        <f t="array" ref="Y283">((($Z283)*
INDEX(Species_Attack,MATCH($N283,Species_Names,0))*
INDEX(Species_Tankiness,MATCH($N283,Species_Names,0)))/1000)</f>
        <v>#VALUE!</v>
      </c>
      <c r="Z283" s="33" t="s">
        <v>411</v>
      </c>
    </row>
    <row r="284" spans="1:26" ht="14.25" customHeight="1" x14ac:dyDescent="0.2">
      <c r="A284" s="86"/>
      <c r="B284" s="22" t="str">
        <f t="array" ref="B284">CONCATENATE(TEXT($M284,"000"),".",TEXT(INDEX(Quick_Number,MATCH($O284,Quick_Names,0)),"000"),".",TEXT(INDEX(Charge_Number,MATCH($P284,Charge_Names,0)),"000"))</f>
        <v>105.241.031</v>
      </c>
      <c r="C284" s="23" t="e">
        <f t="array" ref="C284">RANK($S284,IF(Combo_Species_Names=$N284,Combo_Gym_Offense),0)</f>
        <v>#VALUE!</v>
      </c>
      <c r="D284" s="24" t="e">
        <f t="array" ref="D284">$S284/MAX(IF(Combo_Species_Names=$N284,Combo_Gym_Offense))</f>
        <v>#VALUE!</v>
      </c>
      <c r="E284" s="23" t="e">
        <f t="array" ref="E284">RANK($Y284,IF(Combo_Species_Names=$N284,Combo_Gym_Defense),0)</f>
        <v>#VALUE!</v>
      </c>
      <c r="F284" s="25" t="e">
        <f t="array" ref="F284">$Y284/MAX(IF(Combo_Species_Names=$N284,Combo_Gym_Defense))</f>
        <v>#VALUE!</v>
      </c>
      <c r="G284" s="23" t="e">
        <f t="array" ref="G284">IF(OR(INDEX(Species_Availability,MATCH($N284,Species_Names,0))="No",INDEX(Species_Evo_Numbers,MATCH($N284,Species_Names,0))&lt;&gt;1),"N/A",RANK($R284,IF(NOT(ISNA(MATCH(Combo_Species_Names,IF(Species_Availability="Yes",IF(Species_Evo_Numbers=1,Species_Names)),0))),Combo_Duel_Ability),0))</f>
        <v>#VALUE!</v>
      </c>
      <c r="H284" s="24" t="e">
        <f t="array" ref="H284">IF(OR(INDEX(Species_Availability,MATCH($N284,Species_Names,0))="No",INDEX(Species_Evo_Numbers,MATCH($N284,Species_Names,0))&lt;&gt;1),"N/A",$R284/MAX(IF(NOT(ISNA(MATCH(Combo_Species_Names,IF(Species_Availability="Yes",IF(Species_Evo_Numbers=1,Species_Names)),0))),Combo_Duel_Ability)))</f>
        <v>#VALUE!</v>
      </c>
      <c r="I284" s="23" t="e">
        <f t="array" ref="I284">IF(OR(INDEX(Species_Availability,MATCH($N284,Species_Names,0))="No",INDEX(Species_Evo_Numbers,MATCH($N284,Species_Names,0))&lt;&gt;1),"N/A",RANK($S284,IF(NOT(ISNA(MATCH(Combo_Species_Names,IF(Species_Availability="Yes",IF(Species_Evo_Numbers=1,Species_Names)),0))),Combo_Gym_Offense),0))</f>
        <v>#VALUE!</v>
      </c>
      <c r="J284" s="24" t="e">
        <f t="array" ref="J284">IF(OR(INDEX(Species_Availability,MATCH($N284,Species_Names,0))="No",INDEX(Species_Evo_Numbers,MATCH($N284,Species_Names,0))&lt;&gt;1),"N/A",$S284/MAX(IF(NOT(ISNA(MATCH(Combo_Species_Names,IF(Species_Availability="Yes",IF(Species_Evo_Numbers=1,Species_Names)),0))),Combo_Gym_Offense)))</f>
        <v>#VALUE!</v>
      </c>
      <c r="K284" s="23" t="e">
        <f t="array" ref="K284">IF(OR(INDEX(Species_Availability,MATCH($N284,Species_Names,0))="No",INDEX(Species_Evo_Numbers,MATCH($N284,Species_Names,0))&lt;&gt;1),"N/A",RANK($Y284,IF(NOT(ISNA(MATCH(Combo_Species_Names,IF(Species_Availability="Yes",IF(Species_Evo_Numbers=1,Species_Names)),0))),Combo_Gym_Defense),0))</f>
        <v>#VALUE!</v>
      </c>
      <c r="L284" s="24" t="e">
        <f t="array" ref="L284">IF(OR(INDEX(Species_Availability,MATCH($N284,Species_Names,0))="No",INDEX(Species_Evo_Numbers,MATCH($N284,Species_Names,0))&lt;&gt;1),"N/A",$Y284/MAX(IF(NOT(ISNA(MATCH(Combo_Species_Names,IF(Species_Availability="Yes",IF(Species_Evo_Numbers=1,Species_Names)),0))),Combo_Gym_Defense)))</f>
        <v>#VALUE!</v>
      </c>
      <c r="M284" s="28">
        <f t="array" ref="M284">INDEX(Species_Pdex_Numbers,MATCH($N284,Species_Names,0))</f>
        <v>105</v>
      </c>
      <c r="N284" s="30" t="s">
        <v>313</v>
      </c>
      <c r="O284" s="31" t="s">
        <v>97</v>
      </c>
      <c r="P284" s="31" t="s">
        <v>169</v>
      </c>
      <c r="Q284" s="17" t="e">
        <f t="shared" si="8"/>
        <v>#VALUE!</v>
      </c>
      <c r="R284" s="32" t="e">
        <f t="array" ref="R284">IF(OR(AND(COUNTBLANK(Combo_Opponent_Type_1)=1,COUNTBLANK(Combo_Opponent_Type_2)=0),AND(AND(COUNTBLANK(Combo_Opponent_Type_1)=0,COUNTBLANK(Combo_Opponent_Type_2)=0),Combo_Opponent_Type_1=Combo_Opponent_Type_2)),
"Check Types",($S284*INDEX(Species_Tankiness,MATCH($N284,Species_Names,0)))/225)</f>
        <v>#VALUE!</v>
      </c>
      <c r="S284" s="32" t="e">
        <f t="array" ref="S284">IF(OR(AND(COUNTBLANK(Combo_Opponent_Type_1)=1,COUNTBLANK(Combo_Opponent_Type_2)=0),AND(AND(COUNTBLANK(Combo_Opponent_Type_1)=0,COUNTBLANK(Combo_Opponent_Type_2)=0),Combo_Opponent_Type_1=Combo_Opponent_Type_2)),
"Check Types",(
IF($W284&gt;=((1-Game_Weave_Human_Error)*$X284),$W284,$X284)*INDEX(Species_Attack,MATCH($N284,Species_Names,0)))/11)</f>
        <v>#VALUE!</v>
      </c>
      <c r="T284" s="33" t="e">
        <f t="shared" si="9"/>
        <v>#VALUE!</v>
      </c>
      <c r="U284" s="33">
        <f t="array" ref="U2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284,Quick_Names,0))),Type_Species)),0),1)*IF(COUNTBLANK(Combo_Opponent_Type_2)=0,INDEX(Type_Damage_Multipliers,MATCH(Combo_Opponent_Type_2,IF(Type_Move=(INDEX(Quick_Type,MATCH($O284,Quick_Names,0))),Type_Species)),0),1)*(IF(OR(INDEX(Quick_Type,MATCH($O284,Quick_Names,0))=INDEX(Species_Type_1,MATCH($N284,Species_Names,0)),INDEX(Quick_Type,MATCH($O284,Quick_Names,0))=INDEX(Species_Type_2,MATCH($N284,Species_Names,0))),Game_STAB_Multiplier,1)))</f>
        <v>1</v>
      </c>
      <c r="V284" s="33">
        <f t="array" ref="V2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284,Charge_Names,0))),Type_Species)),0),1)*IF(COUNTBLANK(Combo_Opponent_Type_2)=0,INDEX(Type_Damage_Multipliers,MATCH(Combo_Opponent_Type_2,IF(Type_Move=(INDEX(Charge_Type,MATCH($P284,Charge_Names,0))),Type_Species)),0),1)*
IF(OR(INDEX(Charge_Type,MATCH($P284,Charge_Names,0))=INDEX(Species_Type_1,MATCH($N284,Species_Names,0)),INDEX(Charge_Type,MATCH($P284,Charge_Names,0))=INDEX(Species_Type_2,MATCH($N284,Species_Names,0))),Game_STAB_Multiplier,1))</f>
        <v>1.25</v>
      </c>
      <c r="W284" s="33" t="s">
        <v>577</v>
      </c>
      <c r="X284" s="33" t="s">
        <v>619</v>
      </c>
      <c r="Y284" s="32" t="e">
        <f t="array" ref="Y284">((($Z284)*
INDEX(Species_Attack,MATCH($N284,Species_Names,0))*
INDEX(Species_Tankiness,MATCH($N284,Species_Names,0)))/1000)</f>
        <v>#VALUE!</v>
      </c>
      <c r="Z284" s="33" t="s">
        <v>620</v>
      </c>
    </row>
    <row r="285" spans="1:26" ht="14.25" customHeight="1" x14ac:dyDescent="0.2">
      <c r="A285" s="86"/>
      <c r="B285" s="22" t="str">
        <f t="array" ref="B285">CONCATENATE(TEXT($M285,"000"),".",TEXT(INDEX(Quick_Number,MATCH($O285,Quick_Names,0)),"000"),".",TEXT(INDEX(Charge_Number,MATCH($P285,Charge_Names,0)),"000"))</f>
        <v>127.241.054</v>
      </c>
      <c r="C285" s="23" t="e">
        <f t="array" ref="C285">RANK($S285,IF(Combo_Species_Names=$N285,Combo_Gym_Offense),0)</f>
        <v>#VALUE!</v>
      </c>
      <c r="D285" s="24" t="e">
        <f t="array" ref="D285">$S285/MAX(IF(Combo_Species_Names=$N285,Combo_Gym_Offense))</f>
        <v>#VALUE!</v>
      </c>
      <c r="E285" s="23" t="e">
        <f t="array" ref="E285">RANK($Y285,IF(Combo_Species_Names=$N285,Combo_Gym_Defense),0)</f>
        <v>#VALUE!</v>
      </c>
      <c r="F285" s="25" t="e">
        <f t="array" ref="F285">$Y285/MAX(IF(Combo_Species_Names=$N285,Combo_Gym_Defense))</f>
        <v>#VALUE!</v>
      </c>
      <c r="G285" s="23" t="e">
        <f t="array" ref="G285">IF(OR(INDEX(Species_Availability,MATCH($N285,Species_Names,0))="No",INDEX(Species_Evo_Numbers,MATCH($N285,Species_Names,0))&lt;&gt;1),"N/A",RANK($R285,IF(NOT(ISNA(MATCH(Combo_Species_Names,IF(Species_Availability="Yes",IF(Species_Evo_Numbers=1,Species_Names)),0))),Combo_Duel_Ability),0))</f>
        <v>#VALUE!</v>
      </c>
      <c r="H285" s="24" t="e">
        <f t="array" ref="H285">IF(OR(INDEX(Species_Availability,MATCH($N285,Species_Names,0))="No",INDEX(Species_Evo_Numbers,MATCH($N285,Species_Names,0))&lt;&gt;1),"N/A",$R285/MAX(IF(NOT(ISNA(MATCH(Combo_Species_Names,IF(Species_Availability="Yes",IF(Species_Evo_Numbers=1,Species_Names)),0))),Combo_Duel_Ability)))</f>
        <v>#VALUE!</v>
      </c>
      <c r="I285" s="23" t="e">
        <f t="array" ref="I285">IF(OR(INDEX(Species_Availability,MATCH($N285,Species_Names,0))="No",INDEX(Species_Evo_Numbers,MATCH($N285,Species_Names,0))&lt;&gt;1),"N/A",RANK($S285,IF(NOT(ISNA(MATCH(Combo_Species_Names,IF(Species_Availability="Yes",IF(Species_Evo_Numbers=1,Species_Names)),0))),Combo_Gym_Offense),0))</f>
        <v>#VALUE!</v>
      </c>
      <c r="J285" s="24" t="e">
        <f t="array" ref="J285">IF(OR(INDEX(Species_Availability,MATCH($N285,Species_Names,0))="No",INDEX(Species_Evo_Numbers,MATCH($N285,Species_Names,0))&lt;&gt;1),"N/A",$S285/MAX(IF(NOT(ISNA(MATCH(Combo_Species_Names,IF(Species_Availability="Yes",IF(Species_Evo_Numbers=1,Species_Names)),0))),Combo_Gym_Offense)))</f>
        <v>#VALUE!</v>
      </c>
      <c r="K285" s="23" t="e">
        <f t="array" ref="K285">IF(OR(INDEX(Species_Availability,MATCH($N285,Species_Names,0))="No",INDEX(Species_Evo_Numbers,MATCH($N285,Species_Names,0))&lt;&gt;1),"N/A",RANK($Y285,IF(NOT(ISNA(MATCH(Combo_Species_Names,IF(Species_Availability="Yes",IF(Species_Evo_Numbers=1,Species_Names)),0))),Combo_Gym_Defense),0))</f>
        <v>#VALUE!</v>
      </c>
      <c r="L285" s="24" t="e">
        <f t="array" ref="L285">IF(OR(INDEX(Species_Availability,MATCH($N285,Species_Names,0))="No",INDEX(Species_Evo_Numbers,MATCH($N285,Species_Names,0))&lt;&gt;1),"N/A",$Y285/MAX(IF(NOT(ISNA(MATCH(Combo_Species_Names,IF(Species_Availability="Yes",IF(Species_Evo_Numbers=1,Species_Names)),0))),Combo_Gym_Defense)))</f>
        <v>#VALUE!</v>
      </c>
      <c r="M285" s="28">
        <f t="array" ref="M285">INDEX(Species_Pdex_Numbers,MATCH($N285,Species_Names,0))</f>
        <v>127</v>
      </c>
      <c r="N285" s="30" t="s">
        <v>344</v>
      </c>
      <c r="O285" s="31" t="s">
        <v>97</v>
      </c>
      <c r="P285" s="31" t="s">
        <v>243</v>
      </c>
      <c r="Q285" s="17" t="e">
        <f t="shared" si="8"/>
        <v>#VALUE!</v>
      </c>
      <c r="R285" s="32" t="e">
        <f t="array" ref="R285">IF(OR(AND(COUNTBLANK(Combo_Opponent_Type_1)=1,COUNTBLANK(Combo_Opponent_Type_2)=0),AND(AND(COUNTBLANK(Combo_Opponent_Type_1)=0,COUNTBLANK(Combo_Opponent_Type_2)=0),Combo_Opponent_Type_1=Combo_Opponent_Type_2)),
"Check Types",($S285*INDEX(Species_Tankiness,MATCH($N285,Species_Names,0)))/225)</f>
        <v>#VALUE!</v>
      </c>
      <c r="S285" s="32" t="e">
        <f t="array" ref="S285">IF(OR(AND(COUNTBLANK(Combo_Opponent_Type_1)=1,COUNTBLANK(Combo_Opponent_Type_2)=0),AND(AND(COUNTBLANK(Combo_Opponent_Type_1)=0,COUNTBLANK(Combo_Opponent_Type_2)=0),Combo_Opponent_Type_1=Combo_Opponent_Type_2)),
"Check Types",(
IF($W285&gt;=((1-Game_Weave_Human_Error)*$X285),$W285,$X285)*INDEX(Species_Attack,MATCH($N285,Species_Names,0)))/11)</f>
        <v>#VALUE!</v>
      </c>
      <c r="T285" s="33" t="e">
        <f t="shared" si="9"/>
        <v>#VALUE!</v>
      </c>
      <c r="U285" s="33">
        <f t="array" ref="U2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285,Quick_Names,0))),Type_Species)),0),1)*IF(COUNTBLANK(Combo_Opponent_Type_2)=0,INDEX(Type_Damage_Multipliers,MATCH(Combo_Opponent_Type_2,IF(Type_Move=(INDEX(Quick_Type,MATCH($O285,Quick_Names,0))),Type_Species)),0),1)*(IF(OR(INDEX(Quick_Type,MATCH($O285,Quick_Names,0))=INDEX(Species_Type_1,MATCH($N285,Species_Names,0)),INDEX(Quick_Type,MATCH($O285,Quick_Names,0))=INDEX(Species_Type_2,MATCH($N285,Species_Names,0))),Game_STAB_Multiplier,1)))</f>
        <v>1</v>
      </c>
      <c r="V285" s="33">
        <f t="array" ref="V2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285,Charge_Names,0))),Type_Species)),0),1)*IF(COUNTBLANK(Combo_Opponent_Type_2)=0,INDEX(Type_Damage_Multipliers,MATCH(Combo_Opponent_Type_2,IF(Type_Move=(INDEX(Charge_Type,MATCH($P285,Charge_Names,0))),Type_Species)),0),1)*
IF(OR(INDEX(Charge_Type,MATCH($P285,Charge_Names,0))=INDEX(Species_Type_1,MATCH($N285,Species_Names,0)),INDEX(Charge_Type,MATCH($P285,Charge_Names,0))=INDEX(Species_Type_2,MATCH($N285,Species_Names,0))),Game_STAB_Multiplier,1))</f>
        <v>1</v>
      </c>
      <c r="W285" s="33" t="s">
        <v>577</v>
      </c>
      <c r="X285" s="33" t="s">
        <v>766</v>
      </c>
      <c r="Y285" s="32" t="e">
        <f t="array" ref="Y285">((($Z285)*
INDEX(Species_Attack,MATCH($N285,Species_Names,0))*
INDEX(Species_Tankiness,MATCH($N285,Species_Names,0)))/1000)</f>
        <v>#VALUE!</v>
      </c>
      <c r="Z285" s="33" t="s">
        <v>788</v>
      </c>
    </row>
    <row r="286" spans="1:26" ht="14.25" customHeight="1" x14ac:dyDescent="0.2">
      <c r="A286" s="86"/>
      <c r="B286" s="22" t="str">
        <f t="array" ref="B286">CONCATENATE(TEXT($M286,"000"),".",TEXT(INDEX(Quick_Number,MATCH($O286,Quick_Names,0)),"000"),".",TEXT(INDEX(Charge_Number,MATCH($P286,Charge_Names,0)),"000"))</f>
        <v>101.206.014</v>
      </c>
      <c r="C286" s="23" t="e">
        <f t="array" ref="C286">RANK($S286,IF(Combo_Species_Names=$N286,Combo_Gym_Offense),0)</f>
        <v>#VALUE!</v>
      </c>
      <c r="D286" s="24" t="e">
        <f t="array" ref="D286">$S286/MAX(IF(Combo_Species_Names=$N286,Combo_Gym_Offense))</f>
        <v>#VALUE!</v>
      </c>
      <c r="E286" s="23" t="e">
        <f t="array" ref="E286">RANK($Y286,IF(Combo_Species_Names=$N286,Combo_Gym_Defense),0)</f>
        <v>#VALUE!</v>
      </c>
      <c r="F286" s="25" t="e">
        <f t="array" ref="F286">$Y286/MAX(IF(Combo_Species_Names=$N286,Combo_Gym_Defense))</f>
        <v>#VALUE!</v>
      </c>
      <c r="G286" s="23" t="e">
        <f t="array" ref="G286">IF(OR(INDEX(Species_Availability,MATCH($N286,Species_Names,0))="No",INDEX(Species_Evo_Numbers,MATCH($N286,Species_Names,0))&lt;&gt;1),"N/A",RANK($R286,IF(NOT(ISNA(MATCH(Combo_Species_Names,IF(Species_Availability="Yes",IF(Species_Evo_Numbers=1,Species_Names)),0))),Combo_Duel_Ability),0))</f>
        <v>#VALUE!</v>
      </c>
      <c r="H286" s="24" t="e">
        <f t="array" ref="H286">IF(OR(INDEX(Species_Availability,MATCH($N286,Species_Names,0))="No",INDEX(Species_Evo_Numbers,MATCH($N286,Species_Names,0))&lt;&gt;1),"N/A",$R286/MAX(IF(NOT(ISNA(MATCH(Combo_Species_Names,IF(Species_Availability="Yes",IF(Species_Evo_Numbers=1,Species_Names)),0))),Combo_Duel_Ability)))</f>
        <v>#VALUE!</v>
      </c>
      <c r="I286" s="23" t="e">
        <f t="array" ref="I286">IF(OR(INDEX(Species_Availability,MATCH($N286,Species_Names,0))="No",INDEX(Species_Evo_Numbers,MATCH($N286,Species_Names,0))&lt;&gt;1),"N/A",RANK($S286,IF(NOT(ISNA(MATCH(Combo_Species_Names,IF(Species_Availability="Yes",IF(Species_Evo_Numbers=1,Species_Names)),0))),Combo_Gym_Offense),0))</f>
        <v>#VALUE!</v>
      </c>
      <c r="J286" s="24" t="e">
        <f t="array" ref="J286">IF(OR(INDEX(Species_Availability,MATCH($N286,Species_Names,0))="No",INDEX(Species_Evo_Numbers,MATCH($N286,Species_Names,0))&lt;&gt;1),"N/A",$S286/MAX(IF(NOT(ISNA(MATCH(Combo_Species_Names,IF(Species_Availability="Yes",IF(Species_Evo_Numbers=1,Species_Names)),0))),Combo_Gym_Offense)))</f>
        <v>#VALUE!</v>
      </c>
      <c r="K286" s="23" t="e">
        <f t="array" ref="K286">IF(OR(INDEX(Species_Availability,MATCH($N286,Species_Names,0))="No",INDEX(Species_Evo_Numbers,MATCH($N286,Species_Names,0))&lt;&gt;1),"N/A",RANK($Y286,IF(NOT(ISNA(MATCH(Combo_Species_Names,IF(Species_Availability="Yes",IF(Species_Evo_Numbers=1,Species_Names)),0))),Combo_Gym_Defense),0))</f>
        <v>#VALUE!</v>
      </c>
      <c r="L286" s="24" t="e">
        <f t="array" ref="L286">IF(OR(INDEX(Species_Availability,MATCH($N286,Species_Names,0))="No",INDEX(Species_Evo_Numbers,MATCH($N286,Species_Names,0))&lt;&gt;1),"N/A",$Y286/MAX(IF(NOT(ISNA(MATCH(Combo_Species_Names,IF(Species_Availability="Yes",IF(Species_Evo_Numbers=1,Species_Names)),0))),Combo_Gym_Defense)))</f>
        <v>#VALUE!</v>
      </c>
      <c r="M286" s="28">
        <f t="array" ref="M286">INDEX(Species_Pdex_Numbers,MATCH($N286,Species_Names,0))</f>
        <v>101</v>
      </c>
      <c r="N286" s="30" t="s">
        <v>303</v>
      </c>
      <c r="O286" s="31" t="s">
        <v>106</v>
      </c>
      <c r="P286" s="31" t="s">
        <v>130</v>
      </c>
      <c r="Q286" s="17" t="e">
        <f t="shared" si="8"/>
        <v>#VALUE!</v>
      </c>
      <c r="R286" s="32" t="e">
        <f t="array" ref="R286">IF(OR(AND(COUNTBLANK(Combo_Opponent_Type_1)=1,COUNTBLANK(Combo_Opponent_Type_2)=0),AND(AND(COUNTBLANK(Combo_Opponent_Type_1)=0,COUNTBLANK(Combo_Opponent_Type_2)=0),Combo_Opponent_Type_1=Combo_Opponent_Type_2)),
"Check Types",($S286*INDEX(Species_Tankiness,MATCH($N286,Species_Names,0)))/225)</f>
        <v>#VALUE!</v>
      </c>
      <c r="S286" s="32" t="e">
        <f t="array" ref="S286">IF(OR(AND(COUNTBLANK(Combo_Opponent_Type_1)=1,COUNTBLANK(Combo_Opponent_Type_2)=0),AND(AND(COUNTBLANK(Combo_Opponent_Type_1)=0,COUNTBLANK(Combo_Opponent_Type_2)=0),Combo_Opponent_Type_1=Combo_Opponent_Type_2)),
"Check Types",(
IF($W286&gt;=((1-Game_Weave_Human_Error)*$X286),$W286,$X286)*INDEX(Species_Attack,MATCH($N286,Species_Names,0)))/11)</f>
        <v>#VALUE!</v>
      </c>
      <c r="T286" s="33" t="e">
        <f t="shared" si="9"/>
        <v>#VALUE!</v>
      </c>
      <c r="U286" s="33">
        <f t="array" ref="U2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286,Quick_Names,0))),Type_Species)),0),1)*IF(COUNTBLANK(Combo_Opponent_Type_2)=0,INDEX(Type_Damage_Multipliers,MATCH(Combo_Opponent_Type_2,IF(Type_Move=(INDEX(Quick_Type,MATCH($O286,Quick_Names,0))),Type_Species)),0),1)*(IF(OR(INDEX(Quick_Type,MATCH($O286,Quick_Names,0))=INDEX(Species_Type_1,MATCH($N286,Species_Names,0)),INDEX(Quick_Type,MATCH($O286,Quick_Names,0))=INDEX(Species_Type_2,MATCH($N286,Species_Names,0))),Game_STAB_Multiplier,1)))</f>
        <v>1.25</v>
      </c>
      <c r="V286" s="33">
        <f t="array" ref="V2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286,Charge_Names,0))),Type_Species)),0),1)*IF(COUNTBLANK(Combo_Opponent_Type_2)=0,INDEX(Type_Damage_Multipliers,MATCH(Combo_Opponent_Type_2,IF(Type_Move=(INDEX(Charge_Type,MATCH($P286,Charge_Names,0))),Type_Species)),0),1)*
IF(OR(INDEX(Charge_Type,MATCH($P286,Charge_Names,0))=INDEX(Species_Type_1,MATCH($N286,Species_Names,0)),INDEX(Charge_Type,MATCH($P286,Charge_Names,0))=INDEX(Species_Type_2,MATCH($N286,Species_Names,0))),Game_STAB_Multiplier,1))</f>
        <v>1</v>
      </c>
      <c r="W286" s="33" t="s">
        <v>708</v>
      </c>
      <c r="X286" s="33" t="s">
        <v>519</v>
      </c>
      <c r="Y286" s="32" t="e">
        <f t="array" ref="Y286">((($Z286)*
INDEX(Species_Attack,MATCH($N286,Species_Names,0))*
INDEX(Species_Tankiness,MATCH($N286,Species_Names,0)))/1000)</f>
        <v>#VALUE!</v>
      </c>
      <c r="Z286" s="33" t="s">
        <v>789</v>
      </c>
    </row>
    <row r="287" spans="1:26" ht="14.25" customHeight="1" x14ac:dyDescent="0.2">
      <c r="A287" s="86"/>
      <c r="B287" s="22" t="str">
        <f t="array" ref="B287">CONCATENATE(TEXT($M287,"000"),".",TEXT(INDEX(Quick_Number,MATCH($O287,Quick_Names,0)),"000"),".",TEXT(INDEX(Charge_Number,MATCH($P287,Charge_Names,0)),"000"))</f>
        <v>114.214.090</v>
      </c>
      <c r="C287" s="23" t="e">
        <f t="array" ref="C287">RANK($S287,IF(Combo_Species_Names=$N287,Combo_Gym_Offense),0)</f>
        <v>#VALUE!</v>
      </c>
      <c r="D287" s="24" t="e">
        <f t="array" ref="D287">$S287/MAX(IF(Combo_Species_Names=$N287,Combo_Gym_Offense))</f>
        <v>#VALUE!</v>
      </c>
      <c r="E287" s="23" t="e">
        <f t="array" ref="E287">RANK($Y287,IF(Combo_Species_Names=$N287,Combo_Gym_Defense),0)</f>
        <v>#VALUE!</v>
      </c>
      <c r="F287" s="25" t="e">
        <f t="array" ref="F287">$Y287/MAX(IF(Combo_Species_Names=$N287,Combo_Gym_Defense))</f>
        <v>#VALUE!</v>
      </c>
      <c r="G287" s="23" t="e">
        <f t="array" ref="G287">IF(OR(INDEX(Species_Availability,MATCH($N287,Species_Names,0))="No",INDEX(Species_Evo_Numbers,MATCH($N287,Species_Names,0))&lt;&gt;1),"N/A",RANK($R287,IF(NOT(ISNA(MATCH(Combo_Species_Names,IF(Species_Availability="Yes",IF(Species_Evo_Numbers=1,Species_Names)),0))),Combo_Duel_Ability),0))</f>
        <v>#VALUE!</v>
      </c>
      <c r="H287" s="24" t="e">
        <f t="array" ref="H287">IF(OR(INDEX(Species_Availability,MATCH($N287,Species_Names,0))="No",INDEX(Species_Evo_Numbers,MATCH($N287,Species_Names,0))&lt;&gt;1),"N/A",$R287/MAX(IF(NOT(ISNA(MATCH(Combo_Species_Names,IF(Species_Availability="Yes",IF(Species_Evo_Numbers=1,Species_Names)),0))),Combo_Duel_Ability)))</f>
        <v>#VALUE!</v>
      </c>
      <c r="I287" s="23" t="e">
        <f t="array" ref="I287">IF(OR(INDEX(Species_Availability,MATCH($N287,Species_Names,0))="No",INDEX(Species_Evo_Numbers,MATCH($N287,Species_Names,0))&lt;&gt;1),"N/A",RANK($S287,IF(NOT(ISNA(MATCH(Combo_Species_Names,IF(Species_Availability="Yes",IF(Species_Evo_Numbers=1,Species_Names)),0))),Combo_Gym_Offense),0))</f>
        <v>#VALUE!</v>
      </c>
      <c r="J287" s="24" t="e">
        <f t="array" ref="J287">IF(OR(INDEX(Species_Availability,MATCH($N287,Species_Names,0))="No",INDEX(Species_Evo_Numbers,MATCH($N287,Species_Names,0))&lt;&gt;1),"N/A",$S287/MAX(IF(NOT(ISNA(MATCH(Combo_Species_Names,IF(Species_Availability="Yes",IF(Species_Evo_Numbers=1,Species_Names)),0))),Combo_Gym_Offense)))</f>
        <v>#VALUE!</v>
      </c>
      <c r="K287" s="23" t="e">
        <f t="array" ref="K287">IF(OR(INDEX(Species_Availability,MATCH($N287,Species_Names,0))="No",INDEX(Species_Evo_Numbers,MATCH($N287,Species_Names,0))&lt;&gt;1),"N/A",RANK($Y287,IF(NOT(ISNA(MATCH(Combo_Species_Names,IF(Species_Availability="Yes",IF(Species_Evo_Numbers=1,Species_Names)),0))),Combo_Gym_Defense),0))</f>
        <v>#VALUE!</v>
      </c>
      <c r="L287" s="24" t="e">
        <f t="array" ref="L287">IF(OR(INDEX(Species_Availability,MATCH($N287,Species_Names,0))="No",INDEX(Species_Evo_Numbers,MATCH($N287,Species_Names,0))&lt;&gt;1),"N/A",$Y287/MAX(IF(NOT(ISNA(MATCH(Combo_Species_Names,IF(Species_Availability="Yes",IF(Species_Evo_Numbers=1,Species_Names)),0))),Combo_Gym_Defense)))</f>
        <v>#VALUE!</v>
      </c>
      <c r="M287" s="28">
        <f t="array" ref="M287">INDEX(Species_Pdex_Numbers,MATCH($N287,Species_Names,0))</f>
        <v>114</v>
      </c>
      <c r="N287" s="30" t="s">
        <v>327</v>
      </c>
      <c r="O287" s="31" t="s">
        <v>94</v>
      </c>
      <c r="P287" s="31" t="s">
        <v>180</v>
      </c>
      <c r="Q287" s="17" t="e">
        <f t="shared" si="8"/>
        <v>#VALUE!</v>
      </c>
      <c r="R287" s="32" t="e">
        <f t="array" ref="R287">IF(OR(AND(COUNTBLANK(Combo_Opponent_Type_1)=1,COUNTBLANK(Combo_Opponent_Type_2)=0),AND(AND(COUNTBLANK(Combo_Opponent_Type_1)=0,COUNTBLANK(Combo_Opponent_Type_2)=0),Combo_Opponent_Type_1=Combo_Opponent_Type_2)),
"Check Types",($S287*INDEX(Species_Tankiness,MATCH($N287,Species_Names,0)))/225)</f>
        <v>#VALUE!</v>
      </c>
      <c r="S287" s="32" t="e">
        <f t="array" ref="S287">IF(OR(AND(COUNTBLANK(Combo_Opponent_Type_1)=1,COUNTBLANK(Combo_Opponent_Type_2)=0),AND(AND(COUNTBLANK(Combo_Opponent_Type_1)=0,COUNTBLANK(Combo_Opponent_Type_2)=0),Combo_Opponent_Type_1=Combo_Opponent_Type_2)),
"Check Types",(
IF($W287&gt;=((1-Game_Weave_Human_Error)*$X287),$W287,$X287)*INDEX(Species_Attack,MATCH($N287,Species_Names,0)))/11)</f>
        <v>#VALUE!</v>
      </c>
      <c r="T287" s="33" t="e">
        <f t="shared" si="9"/>
        <v>#VALUE!</v>
      </c>
      <c r="U287" s="33">
        <f t="array" ref="U2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287,Quick_Names,0))),Type_Species)),0),1)*IF(COUNTBLANK(Combo_Opponent_Type_2)=0,INDEX(Type_Damage_Multipliers,MATCH(Combo_Opponent_Type_2,IF(Type_Move=(INDEX(Quick_Type,MATCH($O287,Quick_Names,0))),Type_Species)),0),1)*(IF(OR(INDEX(Quick_Type,MATCH($O287,Quick_Names,0))=INDEX(Species_Type_1,MATCH($N287,Species_Names,0)),INDEX(Quick_Type,MATCH($O287,Quick_Names,0))=INDEX(Species_Type_2,MATCH($N287,Species_Names,0))),Game_STAB_Multiplier,1)))</f>
        <v>1.25</v>
      </c>
      <c r="V287" s="33">
        <f t="array" ref="V2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287,Charge_Names,0))),Type_Species)),0),1)*IF(COUNTBLANK(Combo_Opponent_Type_2)=0,INDEX(Type_Damage_Multipliers,MATCH(Combo_Opponent_Type_2,IF(Type_Move=(INDEX(Charge_Type,MATCH($P287,Charge_Names,0))),Type_Species)),0),1)*
IF(OR(INDEX(Charge_Type,MATCH($P287,Charge_Names,0))=INDEX(Species_Type_1,MATCH($N287,Species_Names,0)),INDEX(Charge_Type,MATCH($P287,Charge_Names,0))=INDEX(Species_Type_2,MATCH($N287,Species_Names,0))),Game_STAB_Multiplier,1))</f>
        <v>1</v>
      </c>
      <c r="W287" s="33" t="s">
        <v>476</v>
      </c>
      <c r="X287" s="33" t="s">
        <v>750</v>
      </c>
      <c r="Y287" s="32" t="e">
        <f t="array" ref="Y287">((($Z287)*
INDEX(Species_Attack,MATCH($N287,Species_Names,0))*
INDEX(Species_Tankiness,MATCH($N287,Species_Names,0)))/1000)</f>
        <v>#VALUE!</v>
      </c>
      <c r="Z287" s="33" t="s">
        <v>790</v>
      </c>
    </row>
    <row r="288" spans="1:26" ht="14.25" customHeight="1" x14ac:dyDescent="0.2">
      <c r="A288" s="86"/>
      <c r="B288" s="22" t="str">
        <f t="array" ref="B288">CONCATENATE(TEXT($M288,"000"),".",TEXT(INDEX(Quick_Number,MATCH($O288,Quick_Names,0)),"000"),".",TEXT(INDEX(Charge_Number,MATCH($P288,Charge_Names,0)),"000"))</f>
        <v>028.228.095</v>
      </c>
      <c r="C288" s="23" t="e">
        <f t="array" ref="C288">RANK($S288,IF(Combo_Species_Names=$N288,Combo_Gym_Offense),0)</f>
        <v>#VALUE!</v>
      </c>
      <c r="D288" s="24" t="e">
        <f t="array" ref="D288">$S288/MAX(IF(Combo_Species_Names=$N288,Combo_Gym_Offense))</f>
        <v>#VALUE!</v>
      </c>
      <c r="E288" s="23" t="e">
        <f t="array" ref="E288">RANK($Y288,IF(Combo_Species_Names=$N288,Combo_Gym_Defense),0)</f>
        <v>#VALUE!</v>
      </c>
      <c r="F288" s="25" t="e">
        <f t="array" ref="F288">$Y288/MAX(IF(Combo_Species_Names=$N288,Combo_Gym_Defense))</f>
        <v>#VALUE!</v>
      </c>
      <c r="G288" s="23" t="e">
        <f t="array" ref="G288">IF(OR(INDEX(Species_Availability,MATCH($N288,Species_Names,0))="No",INDEX(Species_Evo_Numbers,MATCH($N288,Species_Names,0))&lt;&gt;1),"N/A",RANK($R288,IF(NOT(ISNA(MATCH(Combo_Species_Names,IF(Species_Availability="Yes",IF(Species_Evo_Numbers=1,Species_Names)),0))),Combo_Duel_Ability),0))</f>
        <v>#VALUE!</v>
      </c>
      <c r="H288" s="24" t="e">
        <f t="array" ref="H288">IF(OR(INDEX(Species_Availability,MATCH($N288,Species_Names,0))="No",INDEX(Species_Evo_Numbers,MATCH($N288,Species_Names,0))&lt;&gt;1),"N/A",$R288/MAX(IF(NOT(ISNA(MATCH(Combo_Species_Names,IF(Species_Availability="Yes",IF(Species_Evo_Numbers=1,Species_Names)),0))),Combo_Duel_Ability)))</f>
        <v>#VALUE!</v>
      </c>
      <c r="I288" s="23" t="e">
        <f t="array" ref="I288">IF(OR(INDEX(Species_Availability,MATCH($N288,Species_Names,0))="No",INDEX(Species_Evo_Numbers,MATCH($N288,Species_Names,0))&lt;&gt;1),"N/A",RANK($S288,IF(NOT(ISNA(MATCH(Combo_Species_Names,IF(Species_Availability="Yes",IF(Species_Evo_Numbers=1,Species_Names)),0))),Combo_Gym_Offense),0))</f>
        <v>#VALUE!</v>
      </c>
      <c r="J288" s="24" t="e">
        <f t="array" ref="J288">IF(OR(INDEX(Species_Availability,MATCH($N288,Species_Names,0))="No",INDEX(Species_Evo_Numbers,MATCH($N288,Species_Names,0))&lt;&gt;1),"N/A",$S288/MAX(IF(NOT(ISNA(MATCH(Combo_Species_Names,IF(Species_Availability="Yes",IF(Species_Evo_Numbers=1,Species_Names)),0))),Combo_Gym_Offense)))</f>
        <v>#VALUE!</v>
      </c>
      <c r="K288" s="23" t="e">
        <f t="array" ref="K288">IF(OR(INDEX(Species_Availability,MATCH($N288,Species_Names,0))="No",INDEX(Species_Evo_Numbers,MATCH($N288,Species_Names,0))&lt;&gt;1),"N/A",RANK($Y288,IF(NOT(ISNA(MATCH(Combo_Species_Names,IF(Species_Availability="Yes",IF(Species_Evo_Numbers=1,Species_Names)),0))),Combo_Gym_Defense),0))</f>
        <v>#VALUE!</v>
      </c>
      <c r="L288" s="24" t="e">
        <f t="array" ref="L288">IF(OR(INDEX(Species_Availability,MATCH($N288,Species_Names,0))="No",INDEX(Species_Evo_Numbers,MATCH($N288,Species_Names,0))&lt;&gt;1),"N/A",$Y288/MAX(IF(NOT(ISNA(MATCH(Combo_Species_Names,IF(Species_Availability="Yes",IF(Species_Evo_Numbers=1,Species_Names)),0))),Combo_Gym_Defense)))</f>
        <v>#VALUE!</v>
      </c>
      <c r="M288" s="28">
        <f t="array" ref="M288">INDEX(Species_Pdex_Numbers,MATCH($N288,Species_Names,0))</f>
        <v>28</v>
      </c>
      <c r="N288" s="30" t="s">
        <v>147</v>
      </c>
      <c r="O288" s="31" t="s">
        <v>55</v>
      </c>
      <c r="P288" s="31" t="s">
        <v>291</v>
      </c>
      <c r="Q288" s="17" t="e">
        <f t="shared" si="8"/>
        <v>#VALUE!</v>
      </c>
      <c r="R288" s="32" t="e">
        <f t="array" ref="R288">IF(OR(AND(COUNTBLANK(Combo_Opponent_Type_1)=1,COUNTBLANK(Combo_Opponent_Type_2)=0),AND(AND(COUNTBLANK(Combo_Opponent_Type_1)=0,COUNTBLANK(Combo_Opponent_Type_2)=0),Combo_Opponent_Type_1=Combo_Opponent_Type_2)),
"Check Types",($S288*INDEX(Species_Tankiness,MATCH($N288,Species_Names,0)))/225)</f>
        <v>#VALUE!</v>
      </c>
      <c r="S288" s="32" t="e">
        <f t="array" ref="S288">IF(OR(AND(COUNTBLANK(Combo_Opponent_Type_1)=1,COUNTBLANK(Combo_Opponent_Type_2)=0),AND(AND(COUNTBLANK(Combo_Opponent_Type_1)=0,COUNTBLANK(Combo_Opponent_Type_2)=0),Combo_Opponent_Type_1=Combo_Opponent_Type_2)),
"Check Types",(
IF($W288&gt;=((1-Game_Weave_Human_Error)*$X288),$W288,$X288)*INDEX(Species_Attack,MATCH($N288,Species_Names,0)))/11)</f>
        <v>#VALUE!</v>
      </c>
      <c r="T288" s="33" t="e">
        <f t="shared" si="9"/>
        <v>#VALUE!</v>
      </c>
      <c r="U288" s="33">
        <f t="array" ref="U2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288,Quick_Names,0))),Type_Species)),0),1)*IF(COUNTBLANK(Combo_Opponent_Type_2)=0,INDEX(Type_Damage_Multipliers,MATCH(Combo_Opponent_Type_2,IF(Type_Move=(INDEX(Quick_Type,MATCH($O288,Quick_Names,0))),Type_Species)),0),1)*(IF(OR(INDEX(Quick_Type,MATCH($O288,Quick_Names,0))=INDEX(Species_Type_1,MATCH($N288,Species_Names,0)),INDEX(Quick_Type,MATCH($O288,Quick_Names,0))=INDEX(Species_Type_2,MATCH($N288,Species_Names,0))),Game_STAB_Multiplier,1)))</f>
        <v>1</v>
      </c>
      <c r="V288" s="33">
        <f t="array" ref="V2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288,Charge_Names,0))),Type_Species)),0),1)*IF(COUNTBLANK(Combo_Opponent_Type_2)=0,INDEX(Type_Damage_Multipliers,MATCH(Combo_Opponent_Type_2,IF(Type_Move=(INDEX(Charge_Type,MATCH($P288,Charge_Names,0))),Type_Species)),0),1)*
IF(OR(INDEX(Charge_Type,MATCH($P288,Charge_Names,0))=INDEX(Species_Type_1,MATCH($N288,Species_Names,0)),INDEX(Charge_Type,MATCH($P288,Charge_Names,0))=INDEX(Species_Type_2,MATCH($N288,Species_Names,0))),Game_STAB_Multiplier,1))</f>
        <v>1.25</v>
      </c>
      <c r="W288" s="33" t="s">
        <v>684</v>
      </c>
      <c r="X288" s="33" t="s">
        <v>791</v>
      </c>
      <c r="Y288" s="32" t="e">
        <f t="array" ref="Y288">((($Z288)*
INDEX(Species_Attack,MATCH($N288,Species_Names,0))*
INDEX(Species_Tankiness,MATCH($N288,Species_Names,0)))/1000)</f>
        <v>#VALUE!</v>
      </c>
      <c r="Z288" s="33" t="s">
        <v>792</v>
      </c>
    </row>
    <row r="289" spans="1:26" ht="14.25" customHeight="1" x14ac:dyDescent="0.2">
      <c r="A289" s="86"/>
      <c r="B289" s="22" t="str">
        <f t="array" ref="B289">CONCATENATE(TEXT($M289,"000"),".",TEXT(INDEX(Quick_Number,MATCH($O289,Quick_Names,0)),"000"),".",TEXT(INDEX(Charge_Number,MATCH($P289,Charge_Names,0)),"000"))</f>
        <v>028.228.063</v>
      </c>
      <c r="C289" s="23" t="e">
        <f t="array" ref="C289">RANK($S289,IF(Combo_Species_Names=$N289,Combo_Gym_Offense),0)</f>
        <v>#VALUE!</v>
      </c>
      <c r="D289" s="24" t="e">
        <f t="array" ref="D289">$S289/MAX(IF(Combo_Species_Names=$N289,Combo_Gym_Offense))</f>
        <v>#VALUE!</v>
      </c>
      <c r="E289" s="23" t="e">
        <f t="array" ref="E289">RANK($Y289,IF(Combo_Species_Names=$N289,Combo_Gym_Defense),0)</f>
        <v>#VALUE!</v>
      </c>
      <c r="F289" s="25" t="e">
        <f t="array" ref="F289">$Y289/MAX(IF(Combo_Species_Names=$N289,Combo_Gym_Defense))</f>
        <v>#VALUE!</v>
      </c>
      <c r="G289" s="23" t="e">
        <f t="array" ref="G289">IF(OR(INDEX(Species_Availability,MATCH($N289,Species_Names,0))="No",INDEX(Species_Evo_Numbers,MATCH($N289,Species_Names,0))&lt;&gt;1),"N/A",RANK($R289,IF(NOT(ISNA(MATCH(Combo_Species_Names,IF(Species_Availability="Yes",IF(Species_Evo_Numbers=1,Species_Names)),0))),Combo_Duel_Ability),0))</f>
        <v>#VALUE!</v>
      </c>
      <c r="H289" s="24" t="e">
        <f t="array" ref="H289">IF(OR(INDEX(Species_Availability,MATCH($N289,Species_Names,0))="No",INDEX(Species_Evo_Numbers,MATCH($N289,Species_Names,0))&lt;&gt;1),"N/A",$R289/MAX(IF(NOT(ISNA(MATCH(Combo_Species_Names,IF(Species_Availability="Yes",IF(Species_Evo_Numbers=1,Species_Names)),0))),Combo_Duel_Ability)))</f>
        <v>#VALUE!</v>
      </c>
      <c r="I289" s="23" t="e">
        <f t="array" ref="I289">IF(OR(INDEX(Species_Availability,MATCH($N289,Species_Names,0))="No",INDEX(Species_Evo_Numbers,MATCH($N289,Species_Names,0))&lt;&gt;1),"N/A",RANK($S289,IF(NOT(ISNA(MATCH(Combo_Species_Names,IF(Species_Availability="Yes",IF(Species_Evo_Numbers=1,Species_Names)),0))),Combo_Gym_Offense),0))</f>
        <v>#VALUE!</v>
      </c>
      <c r="J289" s="24" t="e">
        <f t="array" ref="J289">IF(OR(INDEX(Species_Availability,MATCH($N289,Species_Names,0))="No",INDEX(Species_Evo_Numbers,MATCH($N289,Species_Names,0))&lt;&gt;1),"N/A",$S289/MAX(IF(NOT(ISNA(MATCH(Combo_Species_Names,IF(Species_Availability="Yes",IF(Species_Evo_Numbers=1,Species_Names)),0))),Combo_Gym_Offense)))</f>
        <v>#VALUE!</v>
      </c>
      <c r="K289" s="23" t="e">
        <f t="array" ref="K289">IF(OR(INDEX(Species_Availability,MATCH($N289,Species_Names,0))="No",INDEX(Species_Evo_Numbers,MATCH($N289,Species_Names,0))&lt;&gt;1),"N/A",RANK($Y289,IF(NOT(ISNA(MATCH(Combo_Species_Names,IF(Species_Availability="Yes",IF(Species_Evo_Numbers=1,Species_Names)),0))),Combo_Gym_Defense),0))</f>
        <v>#VALUE!</v>
      </c>
      <c r="L289" s="24" t="e">
        <f t="array" ref="L289">IF(OR(INDEX(Species_Availability,MATCH($N289,Species_Names,0))="No",INDEX(Species_Evo_Numbers,MATCH($N289,Species_Names,0))&lt;&gt;1),"N/A",$Y289/MAX(IF(NOT(ISNA(MATCH(Combo_Species_Names,IF(Species_Availability="Yes",IF(Species_Evo_Numbers=1,Species_Names)),0))),Combo_Gym_Defense)))</f>
        <v>#VALUE!</v>
      </c>
      <c r="M289" s="28">
        <f t="array" ref="M289">INDEX(Species_Pdex_Numbers,MATCH($N289,Species_Names,0))</f>
        <v>28</v>
      </c>
      <c r="N289" s="30" t="s">
        <v>147</v>
      </c>
      <c r="O289" s="31" t="s">
        <v>55</v>
      </c>
      <c r="P289" s="31" t="s">
        <v>299</v>
      </c>
      <c r="Q289" s="17" t="e">
        <f t="shared" si="8"/>
        <v>#VALUE!</v>
      </c>
      <c r="R289" s="32" t="e">
        <f t="array" ref="R289">IF(OR(AND(COUNTBLANK(Combo_Opponent_Type_1)=1,COUNTBLANK(Combo_Opponent_Type_2)=0),AND(AND(COUNTBLANK(Combo_Opponent_Type_1)=0,COUNTBLANK(Combo_Opponent_Type_2)=0),Combo_Opponent_Type_1=Combo_Opponent_Type_2)),
"Check Types",($S289*INDEX(Species_Tankiness,MATCH($N289,Species_Names,0)))/225)</f>
        <v>#VALUE!</v>
      </c>
      <c r="S289" s="32" t="e">
        <f t="array" ref="S289">IF(OR(AND(COUNTBLANK(Combo_Opponent_Type_1)=1,COUNTBLANK(Combo_Opponent_Type_2)=0),AND(AND(COUNTBLANK(Combo_Opponent_Type_1)=0,COUNTBLANK(Combo_Opponent_Type_2)=0),Combo_Opponent_Type_1=Combo_Opponent_Type_2)),
"Check Types",(
IF($W289&gt;=((1-Game_Weave_Human_Error)*$X289),$W289,$X289)*INDEX(Species_Attack,MATCH($N289,Species_Names,0)))/11)</f>
        <v>#VALUE!</v>
      </c>
      <c r="T289" s="33" t="e">
        <f t="shared" si="9"/>
        <v>#VALUE!</v>
      </c>
      <c r="U289" s="33">
        <f t="array" ref="U2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289,Quick_Names,0))),Type_Species)),0),1)*IF(COUNTBLANK(Combo_Opponent_Type_2)=0,INDEX(Type_Damage_Multipliers,MATCH(Combo_Opponent_Type_2,IF(Type_Move=(INDEX(Quick_Type,MATCH($O289,Quick_Names,0))),Type_Species)),0),1)*(IF(OR(INDEX(Quick_Type,MATCH($O289,Quick_Names,0))=INDEX(Species_Type_1,MATCH($N289,Species_Names,0)),INDEX(Quick_Type,MATCH($O289,Quick_Names,0))=INDEX(Species_Type_2,MATCH($N289,Species_Names,0))),Game_STAB_Multiplier,1)))</f>
        <v>1</v>
      </c>
      <c r="V289" s="33">
        <f t="array" ref="V2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289,Charge_Names,0))),Type_Species)),0),1)*IF(COUNTBLANK(Combo_Opponent_Type_2)=0,INDEX(Type_Damage_Multipliers,MATCH(Combo_Opponent_Type_2,IF(Type_Move=(INDEX(Charge_Type,MATCH($P289,Charge_Names,0))),Type_Species)),0),1)*
IF(OR(INDEX(Charge_Type,MATCH($P289,Charge_Names,0))=INDEX(Species_Type_1,MATCH($N289,Species_Names,0)),INDEX(Charge_Type,MATCH($P289,Charge_Names,0))=INDEX(Species_Type_2,MATCH($N289,Species_Names,0))),Game_STAB_Multiplier,1))</f>
        <v>1</v>
      </c>
      <c r="W289" s="33" t="s">
        <v>684</v>
      </c>
      <c r="X289" s="33" t="s">
        <v>793</v>
      </c>
      <c r="Y289" s="32" t="e">
        <f t="array" ref="Y289">((($Z289)*
INDEX(Species_Attack,MATCH($N289,Species_Names,0))*
INDEX(Species_Tankiness,MATCH($N289,Species_Names,0)))/1000)</f>
        <v>#VALUE!</v>
      </c>
      <c r="Z289" s="33" t="s">
        <v>794</v>
      </c>
    </row>
    <row r="290" spans="1:26" ht="14.25" customHeight="1" x14ac:dyDescent="0.2">
      <c r="A290" s="86"/>
      <c r="B290" s="22" t="str">
        <f t="array" ref="B290">CONCATENATE(TEXT($M290,"000"),".",TEXT(INDEX(Quick_Number,MATCH($O290,Quick_Names,0)),"000"),".",TEXT(INDEX(Charge_Number,MATCH($P290,Charge_Names,0)),"000"))</f>
        <v>119.211.046</v>
      </c>
      <c r="C290" s="23" t="e">
        <f t="array" ref="C290">RANK($S290,IF(Combo_Species_Names=$N290,Combo_Gym_Offense),0)</f>
        <v>#VALUE!</v>
      </c>
      <c r="D290" s="24" t="e">
        <f t="array" ref="D290">$S290/MAX(IF(Combo_Species_Names=$N290,Combo_Gym_Offense))</f>
        <v>#VALUE!</v>
      </c>
      <c r="E290" s="23" t="e">
        <f t="array" ref="E290">RANK($Y290,IF(Combo_Species_Names=$N290,Combo_Gym_Defense),0)</f>
        <v>#VALUE!</v>
      </c>
      <c r="F290" s="25" t="e">
        <f t="array" ref="F290">$Y290/MAX(IF(Combo_Species_Names=$N290,Combo_Gym_Defense))</f>
        <v>#VALUE!</v>
      </c>
      <c r="G290" s="23" t="e">
        <f t="array" ref="G290">IF(OR(INDEX(Species_Availability,MATCH($N290,Species_Names,0))="No",INDEX(Species_Evo_Numbers,MATCH($N290,Species_Names,0))&lt;&gt;1),"N/A",RANK($R290,IF(NOT(ISNA(MATCH(Combo_Species_Names,IF(Species_Availability="Yes",IF(Species_Evo_Numbers=1,Species_Names)),0))),Combo_Duel_Ability),0))</f>
        <v>#VALUE!</v>
      </c>
      <c r="H290" s="24" t="e">
        <f t="array" ref="H290">IF(OR(INDEX(Species_Availability,MATCH($N290,Species_Names,0))="No",INDEX(Species_Evo_Numbers,MATCH($N290,Species_Names,0))&lt;&gt;1),"N/A",$R290/MAX(IF(NOT(ISNA(MATCH(Combo_Species_Names,IF(Species_Availability="Yes",IF(Species_Evo_Numbers=1,Species_Names)),0))),Combo_Duel_Ability)))</f>
        <v>#VALUE!</v>
      </c>
      <c r="I290" s="23" t="e">
        <f t="array" ref="I290">IF(OR(INDEX(Species_Availability,MATCH($N290,Species_Names,0))="No",INDEX(Species_Evo_Numbers,MATCH($N290,Species_Names,0))&lt;&gt;1),"N/A",RANK($S290,IF(NOT(ISNA(MATCH(Combo_Species_Names,IF(Species_Availability="Yes",IF(Species_Evo_Numbers=1,Species_Names)),0))),Combo_Gym_Offense),0))</f>
        <v>#VALUE!</v>
      </c>
      <c r="J290" s="24" t="e">
        <f t="array" ref="J290">IF(OR(INDEX(Species_Availability,MATCH($N290,Species_Names,0))="No",INDEX(Species_Evo_Numbers,MATCH($N290,Species_Names,0))&lt;&gt;1),"N/A",$S290/MAX(IF(NOT(ISNA(MATCH(Combo_Species_Names,IF(Species_Availability="Yes",IF(Species_Evo_Numbers=1,Species_Names)),0))),Combo_Gym_Offense)))</f>
        <v>#VALUE!</v>
      </c>
      <c r="K290" s="23" t="e">
        <f t="array" ref="K290">IF(OR(INDEX(Species_Availability,MATCH($N290,Species_Names,0))="No",INDEX(Species_Evo_Numbers,MATCH($N290,Species_Names,0))&lt;&gt;1),"N/A",RANK($Y290,IF(NOT(ISNA(MATCH(Combo_Species_Names,IF(Species_Availability="Yes",IF(Species_Evo_Numbers=1,Species_Names)),0))),Combo_Gym_Defense),0))</f>
        <v>#VALUE!</v>
      </c>
      <c r="L290" s="24" t="e">
        <f t="array" ref="L290">IF(OR(INDEX(Species_Availability,MATCH($N290,Species_Names,0))="No",INDEX(Species_Evo_Numbers,MATCH($N290,Species_Names,0))&lt;&gt;1),"N/A",$Y290/MAX(IF(NOT(ISNA(MATCH(Combo_Species_Names,IF(Species_Availability="Yes",IF(Species_Evo_Numbers=1,Species_Names)),0))),Combo_Gym_Defense)))</f>
        <v>#VALUE!</v>
      </c>
      <c r="M290" s="28">
        <f t="array" ref="M290">INDEX(Species_Pdex_Numbers,MATCH($N290,Species_Names,0))</f>
        <v>119</v>
      </c>
      <c r="N290" s="30" t="s">
        <v>332</v>
      </c>
      <c r="O290" s="31" t="s">
        <v>114</v>
      </c>
      <c r="P290" s="31" t="s">
        <v>220</v>
      </c>
      <c r="Q290" s="17" t="e">
        <f t="shared" si="8"/>
        <v>#VALUE!</v>
      </c>
      <c r="R290" s="32" t="e">
        <f t="array" ref="R290">IF(OR(AND(COUNTBLANK(Combo_Opponent_Type_1)=1,COUNTBLANK(Combo_Opponent_Type_2)=0),AND(AND(COUNTBLANK(Combo_Opponent_Type_1)=0,COUNTBLANK(Combo_Opponent_Type_2)=0),Combo_Opponent_Type_1=Combo_Opponent_Type_2)),
"Check Types",($S290*INDEX(Species_Tankiness,MATCH($N290,Species_Names,0)))/225)</f>
        <v>#VALUE!</v>
      </c>
      <c r="S290" s="32" t="e">
        <f t="array" ref="S290">IF(OR(AND(COUNTBLANK(Combo_Opponent_Type_1)=1,COUNTBLANK(Combo_Opponent_Type_2)=0),AND(AND(COUNTBLANK(Combo_Opponent_Type_1)=0,COUNTBLANK(Combo_Opponent_Type_2)=0),Combo_Opponent_Type_1=Combo_Opponent_Type_2)),
"Check Types",(
IF($W290&gt;=((1-Game_Weave_Human_Error)*$X290),$W290,$X290)*INDEX(Species_Attack,MATCH($N290,Species_Names,0)))/11)</f>
        <v>#VALUE!</v>
      </c>
      <c r="T290" s="33" t="e">
        <f t="shared" si="9"/>
        <v>#VALUE!</v>
      </c>
      <c r="U290" s="33">
        <f t="array" ref="U2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290,Quick_Names,0))),Type_Species)),0),1)*IF(COUNTBLANK(Combo_Opponent_Type_2)=0,INDEX(Type_Damage_Multipliers,MATCH(Combo_Opponent_Type_2,IF(Type_Move=(INDEX(Quick_Type,MATCH($O290,Quick_Names,0))),Type_Species)),0),1)*(IF(OR(INDEX(Quick_Type,MATCH($O290,Quick_Names,0))=INDEX(Species_Type_1,MATCH($N290,Species_Names,0)),INDEX(Quick_Type,MATCH($O290,Quick_Names,0))=INDEX(Species_Type_2,MATCH($N290,Species_Names,0))),Game_STAB_Multiplier,1)))</f>
        <v>1</v>
      </c>
      <c r="V290" s="33">
        <f t="array" ref="V2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290,Charge_Names,0))),Type_Species)),0),1)*IF(COUNTBLANK(Combo_Opponent_Type_2)=0,INDEX(Type_Damage_Multipliers,MATCH(Combo_Opponent_Type_2,IF(Type_Move=(INDEX(Charge_Type,MATCH($P290,Charge_Names,0))),Type_Species)),0),1)*
IF(OR(INDEX(Charge_Type,MATCH($P290,Charge_Names,0))=INDEX(Species_Type_1,MATCH($N290,Species_Names,0)),INDEX(Charge_Type,MATCH($P290,Charge_Names,0))=INDEX(Species_Type_2,MATCH($N290,Species_Names,0))),Game_STAB_Multiplier,1))</f>
        <v>1</v>
      </c>
      <c r="W290" s="33" t="s">
        <v>779</v>
      </c>
      <c r="X290" s="33" t="s">
        <v>795</v>
      </c>
      <c r="Y290" s="32" t="e">
        <f t="array" ref="Y290">((($Z290)*
INDEX(Species_Attack,MATCH($N290,Species_Names,0))*
INDEX(Species_Tankiness,MATCH($N290,Species_Names,0)))/1000)</f>
        <v>#VALUE!</v>
      </c>
      <c r="Z290" s="33" t="s">
        <v>595</v>
      </c>
    </row>
    <row r="291" spans="1:26" ht="14.25" customHeight="1" x14ac:dyDescent="0.2">
      <c r="A291" s="86"/>
      <c r="B291" s="22" t="str">
        <f t="array" ref="B291">CONCATENATE(TEXT($M291,"000"),".",TEXT(INDEX(Quick_Number,MATCH($O291,Quick_Names,0)),"000"),".",TEXT(INDEX(Charge_Number,MATCH($P291,Charge_Names,0)),"000"))</f>
        <v>024.225.092</v>
      </c>
      <c r="C291" s="23" t="e">
        <f t="array" ref="C291">RANK($S291,IF(Combo_Species_Names=$N291,Combo_Gym_Offense),0)</f>
        <v>#VALUE!</v>
      </c>
      <c r="D291" s="24" t="e">
        <f t="array" ref="D291">$S291/MAX(IF(Combo_Species_Names=$N291,Combo_Gym_Offense))</f>
        <v>#VALUE!</v>
      </c>
      <c r="E291" s="23" t="e">
        <f t="array" ref="E291">RANK($Y291,IF(Combo_Species_Names=$N291,Combo_Gym_Defense),0)</f>
        <v>#VALUE!</v>
      </c>
      <c r="F291" s="25" t="e">
        <f t="array" ref="F291">$Y291/MAX(IF(Combo_Species_Names=$N291,Combo_Gym_Defense))</f>
        <v>#VALUE!</v>
      </c>
      <c r="G291" s="23" t="e">
        <f t="array" ref="G291">IF(OR(INDEX(Species_Availability,MATCH($N291,Species_Names,0))="No",INDEX(Species_Evo_Numbers,MATCH($N291,Species_Names,0))&lt;&gt;1),"N/A",RANK($R291,IF(NOT(ISNA(MATCH(Combo_Species_Names,IF(Species_Availability="Yes",IF(Species_Evo_Numbers=1,Species_Names)),0))),Combo_Duel_Ability),0))</f>
        <v>#VALUE!</v>
      </c>
      <c r="H291" s="24" t="e">
        <f t="array" ref="H291">IF(OR(INDEX(Species_Availability,MATCH($N291,Species_Names,0))="No",INDEX(Species_Evo_Numbers,MATCH($N291,Species_Names,0))&lt;&gt;1),"N/A",$R291/MAX(IF(NOT(ISNA(MATCH(Combo_Species_Names,IF(Species_Availability="Yes",IF(Species_Evo_Numbers=1,Species_Names)),0))),Combo_Duel_Ability)))</f>
        <v>#VALUE!</v>
      </c>
      <c r="I291" s="23" t="e">
        <f t="array" ref="I291">IF(OR(INDEX(Species_Availability,MATCH($N291,Species_Names,0))="No",INDEX(Species_Evo_Numbers,MATCH($N291,Species_Names,0))&lt;&gt;1),"N/A",RANK($S291,IF(NOT(ISNA(MATCH(Combo_Species_Names,IF(Species_Availability="Yes",IF(Species_Evo_Numbers=1,Species_Names)),0))),Combo_Gym_Offense),0))</f>
        <v>#VALUE!</v>
      </c>
      <c r="J291" s="24" t="e">
        <f t="array" ref="J291">IF(OR(INDEX(Species_Availability,MATCH($N291,Species_Names,0))="No",INDEX(Species_Evo_Numbers,MATCH($N291,Species_Names,0))&lt;&gt;1),"N/A",$S291/MAX(IF(NOT(ISNA(MATCH(Combo_Species_Names,IF(Species_Availability="Yes",IF(Species_Evo_Numbers=1,Species_Names)),0))),Combo_Gym_Offense)))</f>
        <v>#VALUE!</v>
      </c>
      <c r="K291" s="23" t="e">
        <f t="array" ref="K291">IF(OR(INDEX(Species_Availability,MATCH($N291,Species_Names,0))="No",INDEX(Species_Evo_Numbers,MATCH($N291,Species_Names,0))&lt;&gt;1),"N/A",RANK($Y291,IF(NOT(ISNA(MATCH(Combo_Species_Names,IF(Species_Availability="Yes",IF(Species_Evo_Numbers=1,Species_Names)),0))),Combo_Gym_Defense),0))</f>
        <v>#VALUE!</v>
      </c>
      <c r="L291" s="24" t="e">
        <f t="array" ref="L291">IF(OR(INDEX(Species_Availability,MATCH($N291,Species_Names,0))="No",INDEX(Species_Evo_Numbers,MATCH($N291,Species_Names,0))&lt;&gt;1),"N/A",$Y291/MAX(IF(NOT(ISNA(MATCH(Combo_Species_Names,IF(Species_Availability="Yes",IF(Species_Evo_Numbers=1,Species_Names)),0))),Combo_Gym_Defense)))</f>
        <v>#VALUE!</v>
      </c>
      <c r="M291" s="28">
        <f t="array" ref="M291">INDEX(Species_Pdex_Numbers,MATCH($N291,Species_Names,0))</f>
        <v>24</v>
      </c>
      <c r="N291" s="30" t="s">
        <v>134</v>
      </c>
      <c r="O291" s="31" t="s">
        <v>110</v>
      </c>
      <c r="P291" s="31" t="s">
        <v>176</v>
      </c>
      <c r="Q291" s="17" t="e">
        <f t="shared" si="8"/>
        <v>#VALUE!</v>
      </c>
      <c r="R291" s="32" t="e">
        <f t="array" ref="R291">IF(OR(AND(COUNTBLANK(Combo_Opponent_Type_1)=1,COUNTBLANK(Combo_Opponent_Type_2)=0),AND(AND(COUNTBLANK(Combo_Opponent_Type_1)=0,COUNTBLANK(Combo_Opponent_Type_2)=0),Combo_Opponent_Type_1=Combo_Opponent_Type_2)),
"Check Types",($S291*INDEX(Species_Tankiness,MATCH($N291,Species_Names,0)))/225)</f>
        <v>#VALUE!</v>
      </c>
      <c r="S291" s="32" t="e">
        <f t="array" ref="S291">IF(OR(AND(COUNTBLANK(Combo_Opponent_Type_1)=1,COUNTBLANK(Combo_Opponent_Type_2)=0),AND(AND(COUNTBLANK(Combo_Opponent_Type_1)=0,COUNTBLANK(Combo_Opponent_Type_2)=0),Combo_Opponent_Type_1=Combo_Opponent_Type_2)),
"Check Types",(
IF($W291&gt;=((1-Game_Weave_Human_Error)*$X291),$W291,$X291)*INDEX(Species_Attack,MATCH($N291,Species_Names,0)))/11)</f>
        <v>#VALUE!</v>
      </c>
      <c r="T291" s="33" t="e">
        <f t="shared" si="9"/>
        <v>#VALUE!</v>
      </c>
      <c r="U291" s="33">
        <f t="array" ref="U2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291,Quick_Names,0))),Type_Species)),0),1)*IF(COUNTBLANK(Combo_Opponent_Type_2)=0,INDEX(Type_Damage_Multipliers,MATCH(Combo_Opponent_Type_2,IF(Type_Move=(INDEX(Quick_Type,MATCH($O291,Quick_Names,0))),Type_Species)),0),1)*(IF(OR(INDEX(Quick_Type,MATCH($O291,Quick_Names,0))=INDEX(Species_Type_1,MATCH($N291,Species_Names,0)),INDEX(Quick_Type,MATCH($O291,Quick_Names,0))=INDEX(Species_Type_2,MATCH($N291,Species_Names,0))),Game_STAB_Multiplier,1)))</f>
        <v>1.25</v>
      </c>
      <c r="V291" s="33">
        <f t="array" ref="V2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291,Charge_Names,0))),Type_Species)),0),1)*IF(COUNTBLANK(Combo_Opponent_Type_2)=0,INDEX(Type_Damage_Multipliers,MATCH(Combo_Opponent_Type_2,IF(Type_Move=(INDEX(Charge_Type,MATCH($P291,Charge_Names,0))),Type_Species)),0),1)*
IF(OR(INDEX(Charge_Type,MATCH($P291,Charge_Names,0))=INDEX(Species_Type_1,MATCH($N291,Species_Names,0)),INDEX(Charge_Type,MATCH($P291,Charge_Names,0))=INDEX(Species_Type_2,MATCH($N291,Species_Names,0))),Game_STAB_Multiplier,1))</f>
        <v>1.25</v>
      </c>
      <c r="W291" s="33" t="s">
        <v>511</v>
      </c>
      <c r="X291" s="33" t="s">
        <v>512</v>
      </c>
      <c r="Y291" s="32" t="e">
        <f t="array" ref="Y291">((($Z291)*
INDEX(Species_Attack,MATCH($N291,Species_Names,0))*
INDEX(Species_Tankiness,MATCH($N291,Species_Names,0)))/1000)</f>
        <v>#VALUE!</v>
      </c>
      <c r="Z291" s="33" t="s">
        <v>513</v>
      </c>
    </row>
    <row r="292" spans="1:26" ht="14.25" customHeight="1" x14ac:dyDescent="0.2">
      <c r="A292" s="86"/>
      <c r="B292" s="22" t="str">
        <f t="array" ref="B292">CONCATENATE(TEXT($M292,"000"),".",TEXT(INDEX(Quick_Number,MATCH($O292,Quick_Names,0)),"000"),".",TEXT(INDEX(Charge_Number,MATCH($P292,Charge_Names,0)),"000"))</f>
        <v>042.202.121</v>
      </c>
      <c r="C292" s="23" t="e">
        <f t="array" ref="C292">RANK($S292,IF(Combo_Species_Names=$N292,Combo_Gym_Offense),0)</f>
        <v>#VALUE!</v>
      </c>
      <c r="D292" s="24" t="e">
        <f t="array" ref="D292">$S292/MAX(IF(Combo_Species_Names=$N292,Combo_Gym_Offense))</f>
        <v>#VALUE!</v>
      </c>
      <c r="E292" s="23" t="e">
        <f t="array" ref="E292">RANK($Y292,IF(Combo_Species_Names=$N292,Combo_Gym_Defense),0)</f>
        <v>#VALUE!</v>
      </c>
      <c r="F292" s="25" t="e">
        <f t="array" ref="F292">$Y292/MAX(IF(Combo_Species_Names=$N292,Combo_Gym_Defense))</f>
        <v>#VALUE!</v>
      </c>
      <c r="G292" s="23" t="e">
        <f t="array" ref="G292">IF(OR(INDEX(Species_Availability,MATCH($N292,Species_Names,0))="No",INDEX(Species_Evo_Numbers,MATCH($N292,Species_Names,0))&lt;&gt;1),"N/A",RANK($R292,IF(NOT(ISNA(MATCH(Combo_Species_Names,IF(Species_Availability="Yes",IF(Species_Evo_Numbers=1,Species_Names)),0))),Combo_Duel_Ability),0))</f>
        <v>#VALUE!</v>
      </c>
      <c r="H292" s="24" t="e">
        <f t="array" ref="H292">IF(OR(INDEX(Species_Availability,MATCH($N292,Species_Names,0))="No",INDEX(Species_Evo_Numbers,MATCH($N292,Species_Names,0))&lt;&gt;1),"N/A",$R292/MAX(IF(NOT(ISNA(MATCH(Combo_Species_Names,IF(Species_Availability="Yes",IF(Species_Evo_Numbers=1,Species_Names)),0))),Combo_Duel_Ability)))</f>
        <v>#VALUE!</v>
      </c>
      <c r="I292" s="23" t="e">
        <f t="array" ref="I292">IF(OR(INDEX(Species_Availability,MATCH($N292,Species_Names,0))="No",INDEX(Species_Evo_Numbers,MATCH($N292,Species_Names,0))&lt;&gt;1),"N/A",RANK($S292,IF(NOT(ISNA(MATCH(Combo_Species_Names,IF(Species_Availability="Yes",IF(Species_Evo_Numbers=1,Species_Names)),0))),Combo_Gym_Offense),0))</f>
        <v>#VALUE!</v>
      </c>
      <c r="J292" s="24" t="e">
        <f t="array" ref="J292">IF(OR(INDEX(Species_Availability,MATCH($N292,Species_Names,0))="No",INDEX(Species_Evo_Numbers,MATCH($N292,Species_Names,0))&lt;&gt;1),"N/A",$S292/MAX(IF(NOT(ISNA(MATCH(Combo_Species_Names,IF(Species_Availability="Yes",IF(Species_Evo_Numbers=1,Species_Names)),0))),Combo_Gym_Offense)))</f>
        <v>#VALUE!</v>
      </c>
      <c r="K292" s="23" t="e">
        <f t="array" ref="K292">IF(OR(INDEX(Species_Availability,MATCH($N292,Species_Names,0))="No",INDEX(Species_Evo_Numbers,MATCH($N292,Species_Names,0))&lt;&gt;1),"N/A",RANK($Y292,IF(NOT(ISNA(MATCH(Combo_Species_Names,IF(Species_Availability="Yes",IF(Species_Evo_Numbers=1,Species_Names)),0))),Combo_Gym_Defense),0))</f>
        <v>#VALUE!</v>
      </c>
      <c r="L292" s="24" t="e">
        <f t="array" ref="L292">IF(OR(INDEX(Species_Availability,MATCH($N292,Species_Names,0))="No",INDEX(Species_Evo_Numbers,MATCH($N292,Species_Names,0))&lt;&gt;1),"N/A",$Y292/MAX(IF(NOT(ISNA(MATCH(Combo_Species_Names,IF(Species_Availability="Yes",IF(Species_Evo_Numbers=1,Species_Names)),0))),Combo_Gym_Defense)))</f>
        <v>#VALUE!</v>
      </c>
      <c r="M292" s="28">
        <f t="array" ref="M292">INDEX(Species_Pdex_Numbers,MATCH($N292,Species_Names,0))</f>
        <v>42</v>
      </c>
      <c r="N292" s="30" t="s">
        <v>175</v>
      </c>
      <c r="O292" s="31" t="s">
        <v>59</v>
      </c>
      <c r="P292" s="31" t="s">
        <v>294</v>
      </c>
      <c r="Q292" s="17" t="e">
        <f t="shared" si="8"/>
        <v>#VALUE!</v>
      </c>
      <c r="R292" s="32" t="e">
        <f t="array" ref="R292">IF(OR(AND(COUNTBLANK(Combo_Opponent_Type_1)=1,COUNTBLANK(Combo_Opponent_Type_2)=0),AND(AND(COUNTBLANK(Combo_Opponent_Type_1)=0,COUNTBLANK(Combo_Opponent_Type_2)=0),Combo_Opponent_Type_1=Combo_Opponent_Type_2)),
"Check Types",($S292*INDEX(Species_Tankiness,MATCH($N292,Species_Names,0)))/225)</f>
        <v>#VALUE!</v>
      </c>
      <c r="S292" s="32" t="e">
        <f t="array" ref="S292">IF(OR(AND(COUNTBLANK(Combo_Opponent_Type_1)=1,COUNTBLANK(Combo_Opponent_Type_2)=0),AND(AND(COUNTBLANK(Combo_Opponent_Type_1)=0,COUNTBLANK(Combo_Opponent_Type_2)=0),Combo_Opponent_Type_1=Combo_Opponent_Type_2)),
"Check Types",(
IF($W292&gt;=((1-Game_Weave_Human_Error)*$X292),$W292,$X292)*INDEX(Species_Attack,MATCH($N292,Species_Names,0)))/11)</f>
        <v>#VALUE!</v>
      </c>
      <c r="T292" s="33" t="e">
        <f t="shared" si="9"/>
        <v>#VALUE!</v>
      </c>
      <c r="U292" s="33">
        <f t="array" ref="U2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292,Quick_Names,0))),Type_Species)),0),1)*IF(COUNTBLANK(Combo_Opponent_Type_2)=0,INDEX(Type_Damage_Multipliers,MATCH(Combo_Opponent_Type_2,IF(Type_Move=(INDEX(Quick_Type,MATCH($O292,Quick_Names,0))),Type_Species)),0),1)*(IF(OR(INDEX(Quick_Type,MATCH($O292,Quick_Names,0))=INDEX(Species_Type_1,MATCH($N292,Species_Names,0)),INDEX(Quick_Type,MATCH($O292,Quick_Names,0))=INDEX(Species_Type_2,MATCH($N292,Species_Names,0))),Game_STAB_Multiplier,1)))</f>
        <v>1</v>
      </c>
      <c r="V292" s="33">
        <f t="array" ref="V2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292,Charge_Names,0))),Type_Species)),0),1)*IF(COUNTBLANK(Combo_Opponent_Type_2)=0,INDEX(Type_Damage_Multipliers,MATCH(Combo_Opponent_Type_2,IF(Type_Move=(INDEX(Charge_Type,MATCH($P292,Charge_Names,0))),Type_Species)),0),1)*
IF(OR(INDEX(Charge_Type,MATCH($P292,Charge_Names,0))=INDEX(Species_Type_1,MATCH($N292,Species_Names,0)),INDEX(Charge_Type,MATCH($P292,Charge_Names,0))=INDEX(Species_Type_2,MATCH($N292,Species_Names,0))),Game_STAB_Multiplier,1))</f>
        <v>1.25</v>
      </c>
      <c r="W292" s="33" t="s">
        <v>453</v>
      </c>
      <c r="X292" s="33" t="s">
        <v>796</v>
      </c>
      <c r="Y292" s="32" t="e">
        <f t="array" ref="Y292">((($Z292)*
INDEX(Species_Attack,MATCH($N292,Species_Names,0))*
INDEX(Species_Tankiness,MATCH($N292,Species_Names,0)))/1000)</f>
        <v>#VALUE!</v>
      </c>
      <c r="Z292" s="33" t="s">
        <v>680</v>
      </c>
    </row>
    <row r="293" spans="1:26" ht="14.25" customHeight="1" x14ac:dyDescent="0.2">
      <c r="A293" s="86"/>
      <c r="B293" s="22" t="str">
        <f t="array" ref="B293">CONCATENATE(TEXT($M293,"000"),".",TEXT(INDEX(Quick_Number,MATCH($O293,Quick_Names,0)),"000"),".",TEXT(INDEX(Charge_Number,MATCH($P293,Charge_Names,0)),"000"))</f>
        <v>042.202.050</v>
      </c>
      <c r="C293" s="23" t="e">
        <f t="array" ref="C293">RANK($S293,IF(Combo_Species_Names=$N293,Combo_Gym_Offense),0)</f>
        <v>#VALUE!</v>
      </c>
      <c r="D293" s="24" t="e">
        <f t="array" ref="D293">$S293/MAX(IF(Combo_Species_Names=$N293,Combo_Gym_Offense))</f>
        <v>#VALUE!</v>
      </c>
      <c r="E293" s="23" t="e">
        <f t="array" ref="E293">RANK($Y293,IF(Combo_Species_Names=$N293,Combo_Gym_Defense),0)</f>
        <v>#VALUE!</v>
      </c>
      <c r="F293" s="25" t="e">
        <f t="array" ref="F293">$Y293/MAX(IF(Combo_Species_Names=$N293,Combo_Gym_Defense))</f>
        <v>#VALUE!</v>
      </c>
      <c r="G293" s="23" t="e">
        <f t="array" ref="G293">IF(OR(INDEX(Species_Availability,MATCH($N293,Species_Names,0))="No",INDEX(Species_Evo_Numbers,MATCH($N293,Species_Names,0))&lt;&gt;1),"N/A",RANK($R293,IF(NOT(ISNA(MATCH(Combo_Species_Names,IF(Species_Availability="Yes",IF(Species_Evo_Numbers=1,Species_Names)),0))),Combo_Duel_Ability),0))</f>
        <v>#VALUE!</v>
      </c>
      <c r="H293" s="24" t="e">
        <f t="array" ref="H293">IF(OR(INDEX(Species_Availability,MATCH($N293,Species_Names,0))="No",INDEX(Species_Evo_Numbers,MATCH($N293,Species_Names,0))&lt;&gt;1),"N/A",$R293/MAX(IF(NOT(ISNA(MATCH(Combo_Species_Names,IF(Species_Availability="Yes",IF(Species_Evo_Numbers=1,Species_Names)),0))),Combo_Duel_Ability)))</f>
        <v>#VALUE!</v>
      </c>
      <c r="I293" s="23" t="e">
        <f t="array" ref="I293">IF(OR(INDEX(Species_Availability,MATCH($N293,Species_Names,0))="No",INDEX(Species_Evo_Numbers,MATCH($N293,Species_Names,0))&lt;&gt;1),"N/A",RANK($S293,IF(NOT(ISNA(MATCH(Combo_Species_Names,IF(Species_Availability="Yes",IF(Species_Evo_Numbers=1,Species_Names)),0))),Combo_Gym_Offense),0))</f>
        <v>#VALUE!</v>
      </c>
      <c r="J293" s="24" t="e">
        <f t="array" ref="J293">IF(OR(INDEX(Species_Availability,MATCH($N293,Species_Names,0))="No",INDEX(Species_Evo_Numbers,MATCH($N293,Species_Names,0))&lt;&gt;1),"N/A",$S293/MAX(IF(NOT(ISNA(MATCH(Combo_Species_Names,IF(Species_Availability="Yes",IF(Species_Evo_Numbers=1,Species_Names)),0))),Combo_Gym_Offense)))</f>
        <v>#VALUE!</v>
      </c>
      <c r="K293" s="23" t="e">
        <f t="array" ref="K293">IF(OR(INDEX(Species_Availability,MATCH($N293,Species_Names,0))="No",INDEX(Species_Evo_Numbers,MATCH($N293,Species_Names,0))&lt;&gt;1),"N/A",RANK($Y293,IF(NOT(ISNA(MATCH(Combo_Species_Names,IF(Species_Availability="Yes",IF(Species_Evo_Numbers=1,Species_Names)),0))),Combo_Gym_Defense),0))</f>
        <v>#VALUE!</v>
      </c>
      <c r="L293" s="24" t="e">
        <f t="array" ref="L293">IF(OR(INDEX(Species_Availability,MATCH($N293,Species_Names,0))="No",INDEX(Species_Evo_Numbers,MATCH($N293,Species_Names,0))&lt;&gt;1),"N/A",$Y293/MAX(IF(NOT(ISNA(MATCH(Combo_Species_Names,IF(Species_Availability="Yes",IF(Species_Evo_Numbers=1,Species_Names)),0))),Combo_Gym_Defense)))</f>
        <v>#VALUE!</v>
      </c>
      <c r="M293" s="28">
        <f t="array" ref="M293">INDEX(Species_Pdex_Numbers,MATCH($N293,Species_Names,0))</f>
        <v>42</v>
      </c>
      <c r="N293" s="30" t="s">
        <v>175</v>
      </c>
      <c r="O293" s="31" t="s">
        <v>59</v>
      </c>
      <c r="P293" s="31" t="s">
        <v>285</v>
      </c>
      <c r="Q293" s="17" t="e">
        <f t="shared" si="8"/>
        <v>#VALUE!</v>
      </c>
      <c r="R293" s="32" t="e">
        <f t="array" ref="R293">IF(OR(AND(COUNTBLANK(Combo_Opponent_Type_1)=1,COUNTBLANK(Combo_Opponent_Type_2)=0),AND(AND(COUNTBLANK(Combo_Opponent_Type_1)=0,COUNTBLANK(Combo_Opponent_Type_2)=0),Combo_Opponent_Type_1=Combo_Opponent_Type_2)),
"Check Types",($S293*INDEX(Species_Tankiness,MATCH($N293,Species_Names,0)))/225)</f>
        <v>#VALUE!</v>
      </c>
      <c r="S293" s="32" t="e">
        <f t="array" ref="S293">IF(OR(AND(COUNTBLANK(Combo_Opponent_Type_1)=1,COUNTBLANK(Combo_Opponent_Type_2)=0),AND(AND(COUNTBLANK(Combo_Opponent_Type_1)=0,COUNTBLANK(Combo_Opponent_Type_2)=0),Combo_Opponent_Type_1=Combo_Opponent_Type_2)),
"Check Types",(
IF($W293&gt;=((1-Game_Weave_Human_Error)*$X293),$W293,$X293)*INDEX(Species_Attack,MATCH($N293,Species_Names,0)))/11)</f>
        <v>#VALUE!</v>
      </c>
      <c r="T293" s="33" t="e">
        <f t="shared" si="9"/>
        <v>#VALUE!</v>
      </c>
      <c r="U293" s="33">
        <f t="array" ref="U2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293,Quick_Names,0))),Type_Species)),0),1)*IF(COUNTBLANK(Combo_Opponent_Type_2)=0,INDEX(Type_Damage_Multipliers,MATCH(Combo_Opponent_Type_2,IF(Type_Move=(INDEX(Quick_Type,MATCH($O293,Quick_Names,0))),Type_Species)),0),1)*(IF(OR(INDEX(Quick_Type,MATCH($O293,Quick_Names,0))=INDEX(Species_Type_1,MATCH($N293,Species_Names,0)),INDEX(Quick_Type,MATCH($O293,Quick_Names,0))=INDEX(Species_Type_2,MATCH($N293,Species_Names,0))),Game_STAB_Multiplier,1)))</f>
        <v>1</v>
      </c>
      <c r="V293" s="33">
        <f t="array" ref="V2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293,Charge_Names,0))),Type_Species)),0),1)*IF(COUNTBLANK(Combo_Opponent_Type_2)=0,INDEX(Type_Damage_Multipliers,MATCH(Combo_Opponent_Type_2,IF(Type_Move=(INDEX(Charge_Type,MATCH($P293,Charge_Names,0))),Type_Species)),0),1)*
IF(OR(INDEX(Charge_Type,MATCH($P293,Charge_Names,0))=INDEX(Species_Type_1,MATCH($N293,Species_Names,0)),INDEX(Charge_Type,MATCH($P293,Charge_Names,0))=INDEX(Species_Type_2,MATCH($N293,Species_Names,0))),Game_STAB_Multiplier,1))</f>
        <v>1.25</v>
      </c>
      <c r="W293" s="33" t="s">
        <v>453</v>
      </c>
      <c r="X293" s="33" t="s">
        <v>796</v>
      </c>
      <c r="Y293" s="32" t="e">
        <f t="array" ref="Y293">((($Z293)*
INDEX(Species_Attack,MATCH($N293,Species_Names,0))*
INDEX(Species_Tankiness,MATCH($N293,Species_Names,0)))/1000)</f>
        <v>#VALUE!</v>
      </c>
      <c r="Z293" s="33" t="s">
        <v>755</v>
      </c>
    </row>
    <row r="294" spans="1:26" ht="14.25" customHeight="1" x14ac:dyDescent="0.2">
      <c r="A294" s="86"/>
      <c r="B294" s="22" t="str">
        <f t="array" ref="B294">CONCATENATE(TEXT($M294,"000"),".",TEXT(INDEX(Quick_Number,MATCH($O294,Quick_Names,0)),"000"),".",TEXT(INDEX(Charge_Number,MATCH($P294,Charge_Names,0)),"000"))</f>
        <v>042.202.069</v>
      </c>
      <c r="C294" s="23" t="e">
        <f t="array" ref="C294">RANK($S294,IF(Combo_Species_Names=$N294,Combo_Gym_Offense),0)</f>
        <v>#VALUE!</v>
      </c>
      <c r="D294" s="24" t="e">
        <f t="array" ref="D294">$S294/MAX(IF(Combo_Species_Names=$N294,Combo_Gym_Offense))</f>
        <v>#VALUE!</v>
      </c>
      <c r="E294" s="23" t="e">
        <f t="array" ref="E294">RANK($Y294,IF(Combo_Species_Names=$N294,Combo_Gym_Defense),0)</f>
        <v>#VALUE!</v>
      </c>
      <c r="F294" s="25" t="e">
        <f t="array" ref="F294">$Y294/MAX(IF(Combo_Species_Names=$N294,Combo_Gym_Defense))</f>
        <v>#VALUE!</v>
      </c>
      <c r="G294" s="23" t="e">
        <f t="array" ref="G294">IF(OR(INDEX(Species_Availability,MATCH($N294,Species_Names,0))="No",INDEX(Species_Evo_Numbers,MATCH($N294,Species_Names,0))&lt;&gt;1),"N/A",RANK($R294,IF(NOT(ISNA(MATCH(Combo_Species_Names,IF(Species_Availability="Yes",IF(Species_Evo_Numbers=1,Species_Names)),0))),Combo_Duel_Ability),0))</f>
        <v>#VALUE!</v>
      </c>
      <c r="H294" s="24" t="e">
        <f t="array" ref="H294">IF(OR(INDEX(Species_Availability,MATCH($N294,Species_Names,0))="No",INDEX(Species_Evo_Numbers,MATCH($N294,Species_Names,0))&lt;&gt;1),"N/A",$R294/MAX(IF(NOT(ISNA(MATCH(Combo_Species_Names,IF(Species_Availability="Yes",IF(Species_Evo_Numbers=1,Species_Names)),0))),Combo_Duel_Ability)))</f>
        <v>#VALUE!</v>
      </c>
      <c r="I294" s="23" t="e">
        <f t="array" ref="I294">IF(OR(INDEX(Species_Availability,MATCH($N294,Species_Names,0))="No",INDEX(Species_Evo_Numbers,MATCH($N294,Species_Names,0))&lt;&gt;1),"N/A",RANK($S294,IF(NOT(ISNA(MATCH(Combo_Species_Names,IF(Species_Availability="Yes",IF(Species_Evo_Numbers=1,Species_Names)),0))),Combo_Gym_Offense),0))</f>
        <v>#VALUE!</v>
      </c>
      <c r="J294" s="24" t="e">
        <f t="array" ref="J294">IF(OR(INDEX(Species_Availability,MATCH($N294,Species_Names,0))="No",INDEX(Species_Evo_Numbers,MATCH($N294,Species_Names,0))&lt;&gt;1),"N/A",$S294/MAX(IF(NOT(ISNA(MATCH(Combo_Species_Names,IF(Species_Availability="Yes",IF(Species_Evo_Numbers=1,Species_Names)),0))),Combo_Gym_Offense)))</f>
        <v>#VALUE!</v>
      </c>
      <c r="K294" s="23" t="e">
        <f t="array" ref="K294">IF(OR(INDEX(Species_Availability,MATCH($N294,Species_Names,0))="No",INDEX(Species_Evo_Numbers,MATCH($N294,Species_Names,0))&lt;&gt;1),"N/A",RANK($Y294,IF(NOT(ISNA(MATCH(Combo_Species_Names,IF(Species_Availability="Yes",IF(Species_Evo_Numbers=1,Species_Names)),0))),Combo_Gym_Defense),0))</f>
        <v>#VALUE!</v>
      </c>
      <c r="L294" s="24" t="e">
        <f t="array" ref="L294">IF(OR(INDEX(Species_Availability,MATCH($N294,Species_Names,0))="No",INDEX(Species_Evo_Numbers,MATCH($N294,Species_Names,0))&lt;&gt;1),"N/A",$Y294/MAX(IF(NOT(ISNA(MATCH(Combo_Species_Names,IF(Species_Availability="Yes",IF(Species_Evo_Numbers=1,Species_Names)),0))),Combo_Gym_Defense)))</f>
        <v>#VALUE!</v>
      </c>
      <c r="M294" s="28">
        <f t="array" ref="M294">INDEX(Species_Pdex_Numbers,MATCH($N294,Species_Names,0))</f>
        <v>42</v>
      </c>
      <c r="N294" s="30" t="s">
        <v>175</v>
      </c>
      <c r="O294" s="31" t="s">
        <v>59</v>
      </c>
      <c r="P294" s="31" t="s">
        <v>300</v>
      </c>
      <c r="Q294" s="17" t="e">
        <f t="shared" si="8"/>
        <v>#VALUE!</v>
      </c>
      <c r="R294" s="32" t="e">
        <f t="array" ref="R294">IF(OR(AND(COUNTBLANK(Combo_Opponent_Type_1)=1,COUNTBLANK(Combo_Opponent_Type_2)=0),AND(AND(COUNTBLANK(Combo_Opponent_Type_1)=0,COUNTBLANK(Combo_Opponent_Type_2)=0),Combo_Opponent_Type_1=Combo_Opponent_Type_2)),
"Check Types",($S294*INDEX(Species_Tankiness,MATCH($N294,Species_Names,0)))/225)</f>
        <v>#VALUE!</v>
      </c>
      <c r="S294" s="32" t="e">
        <f t="array" ref="S294">IF(OR(AND(COUNTBLANK(Combo_Opponent_Type_1)=1,COUNTBLANK(Combo_Opponent_Type_2)=0),AND(AND(COUNTBLANK(Combo_Opponent_Type_1)=0,COUNTBLANK(Combo_Opponent_Type_2)=0),Combo_Opponent_Type_1=Combo_Opponent_Type_2)),
"Check Types",(
IF($W294&gt;=((1-Game_Weave_Human_Error)*$X294),$W294,$X294)*INDEX(Species_Attack,MATCH($N294,Species_Names,0)))/11)</f>
        <v>#VALUE!</v>
      </c>
      <c r="T294" s="33" t="e">
        <f t="shared" si="9"/>
        <v>#VALUE!</v>
      </c>
      <c r="U294" s="33">
        <f t="array" ref="U2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294,Quick_Names,0))),Type_Species)),0),1)*IF(COUNTBLANK(Combo_Opponent_Type_2)=0,INDEX(Type_Damage_Multipliers,MATCH(Combo_Opponent_Type_2,IF(Type_Move=(INDEX(Quick_Type,MATCH($O294,Quick_Names,0))),Type_Species)),0),1)*(IF(OR(INDEX(Quick_Type,MATCH($O294,Quick_Names,0))=INDEX(Species_Type_1,MATCH($N294,Species_Names,0)),INDEX(Quick_Type,MATCH($O294,Quick_Names,0))=INDEX(Species_Type_2,MATCH($N294,Species_Names,0))),Game_STAB_Multiplier,1)))</f>
        <v>1</v>
      </c>
      <c r="V294" s="33">
        <f t="array" ref="V2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294,Charge_Names,0))),Type_Species)),0),1)*IF(COUNTBLANK(Combo_Opponent_Type_2)=0,INDEX(Type_Damage_Multipliers,MATCH(Combo_Opponent_Type_2,IF(Type_Move=(INDEX(Charge_Type,MATCH($P294,Charge_Names,0))),Type_Species)),0),1)*
IF(OR(INDEX(Charge_Type,MATCH($P294,Charge_Names,0))=INDEX(Species_Type_1,MATCH($N294,Species_Names,0)),INDEX(Charge_Type,MATCH($P294,Charge_Names,0))=INDEX(Species_Type_2,MATCH($N294,Species_Names,0))),Game_STAB_Multiplier,1))</f>
        <v>1</v>
      </c>
      <c r="W294" s="33" t="s">
        <v>453</v>
      </c>
      <c r="X294" s="33" t="s">
        <v>797</v>
      </c>
      <c r="Y294" s="32" t="e">
        <f t="array" ref="Y294">((($Z294)*
INDEX(Species_Attack,MATCH($N294,Species_Names,0))*
INDEX(Species_Tankiness,MATCH($N294,Species_Names,0)))/1000)</f>
        <v>#VALUE!</v>
      </c>
      <c r="Z294" s="33" t="s">
        <v>772</v>
      </c>
    </row>
    <row r="295" spans="1:26" ht="14.25" customHeight="1" x14ac:dyDescent="0.2">
      <c r="A295" s="86"/>
      <c r="B295" s="22" t="str">
        <f t="array" ref="B295">CONCATENATE(TEXT($M295,"000"),".",TEXT(INDEX(Quick_Number,MATCH($O295,Quick_Names,0)),"000"),".",TEXT(INDEX(Charge_Number,MATCH($P295,Charge_Names,0)),"000"))</f>
        <v>108.234.118</v>
      </c>
      <c r="C295" s="23" t="e">
        <f t="array" ref="C295">RANK($S295,IF(Combo_Species_Names=$N295,Combo_Gym_Offense),0)</f>
        <v>#VALUE!</v>
      </c>
      <c r="D295" s="24" t="e">
        <f t="array" ref="D295">$S295/MAX(IF(Combo_Species_Names=$N295,Combo_Gym_Offense))</f>
        <v>#VALUE!</v>
      </c>
      <c r="E295" s="23" t="e">
        <f t="array" ref="E295">RANK($Y295,IF(Combo_Species_Names=$N295,Combo_Gym_Defense),0)</f>
        <v>#VALUE!</v>
      </c>
      <c r="F295" s="25" t="e">
        <f t="array" ref="F295">$Y295/MAX(IF(Combo_Species_Names=$N295,Combo_Gym_Defense))</f>
        <v>#VALUE!</v>
      </c>
      <c r="G295" s="23" t="e">
        <f t="array" ref="G295">IF(OR(INDEX(Species_Availability,MATCH($N295,Species_Names,0))="No",INDEX(Species_Evo_Numbers,MATCH($N295,Species_Names,0))&lt;&gt;1),"N/A",RANK($R295,IF(NOT(ISNA(MATCH(Combo_Species_Names,IF(Species_Availability="Yes",IF(Species_Evo_Numbers=1,Species_Names)),0))),Combo_Duel_Ability),0))</f>
        <v>#VALUE!</v>
      </c>
      <c r="H295" s="24" t="e">
        <f t="array" ref="H295">IF(OR(INDEX(Species_Availability,MATCH($N295,Species_Names,0))="No",INDEX(Species_Evo_Numbers,MATCH($N295,Species_Names,0))&lt;&gt;1),"N/A",$R295/MAX(IF(NOT(ISNA(MATCH(Combo_Species_Names,IF(Species_Availability="Yes",IF(Species_Evo_Numbers=1,Species_Names)),0))),Combo_Duel_Ability)))</f>
        <v>#VALUE!</v>
      </c>
      <c r="I295" s="23" t="e">
        <f t="array" ref="I295">IF(OR(INDEX(Species_Availability,MATCH($N295,Species_Names,0))="No",INDEX(Species_Evo_Numbers,MATCH($N295,Species_Names,0))&lt;&gt;1),"N/A",RANK($S295,IF(NOT(ISNA(MATCH(Combo_Species_Names,IF(Species_Availability="Yes",IF(Species_Evo_Numbers=1,Species_Names)),0))),Combo_Gym_Offense),0))</f>
        <v>#VALUE!</v>
      </c>
      <c r="J295" s="24" t="e">
        <f t="array" ref="J295">IF(OR(INDEX(Species_Availability,MATCH($N295,Species_Names,0))="No",INDEX(Species_Evo_Numbers,MATCH($N295,Species_Names,0))&lt;&gt;1),"N/A",$S295/MAX(IF(NOT(ISNA(MATCH(Combo_Species_Names,IF(Species_Availability="Yes",IF(Species_Evo_Numbers=1,Species_Names)),0))),Combo_Gym_Offense)))</f>
        <v>#VALUE!</v>
      </c>
      <c r="K295" s="23" t="e">
        <f t="array" ref="K295">IF(OR(INDEX(Species_Availability,MATCH($N295,Species_Names,0))="No",INDEX(Species_Evo_Numbers,MATCH($N295,Species_Names,0))&lt;&gt;1),"N/A",RANK($Y295,IF(NOT(ISNA(MATCH(Combo_Species_Names,IF(Species_Availability="Yes",IF(Species_Evo_Numbers=1,Species_Names)),0))),Combo_Gym_Defense),0))</f>
        <v>#VALUE!</v>
      </c>
      <c r="L295" s="24" t="e">
        <f t="array" ref="L295">IF(OR(INDEX(Species_Availability,MATCH($N295,Species_Names,0))="No",INDEX(Species_Evo_Numbers,MATCH($N295,Species_Names,0))&lt;&gt;1),"N/A",$Y295/MAX(IF(NOT(ISNA(MATCH(Combo_Species_Names,IF(Species_Availability="Yes",IF(Species_Evo_Numbers=1,Species_Names)),0))),Combo_Gym_Defense)))</f>
        <v>#VALUE!</v>
      </c>
      <c r="M295" s="28">
        <f t="array" ref="M295">INDEX(Species_Pdex_Numbers,MATCH($N295,Species_Names,0))</f>
        <v>108</v>
      </c>
      <c r="N295" s="30" t="s">
        <v>320</v>
      </c>
      <c r="O295" s="31" t="s">
        <v>79</v>
      </c>
      <c r="P295" s="31" t="s">
        <v>165</v>
      </c>
      <c r="Q295" s="17" t="e">
        <f t="shared" si="8"/>
        <v>#VALUE!</v>
      </c>
      <c r="R295" s="32" t="e">
        <f t="array" ref="R295">IF(OR(AND(COUNTBLANK(Combo_Opponent_Type_1)=1,COUNTBLANK(Combo_Opponent_Type_2)=0),AND(AND(COUNTBLANK(Combo_Opponent_Type_1)=0,COUNTBLANK(Combo_Opponent_Type_2)=0),Combo_Opponent_Type_1=Combo_Opponent_Type_2)),
"Check Types",($S295*INDEX(Species_Tankiness,MATCH($N295,Species_Names,0)))/225)</f>
        <v>#VALUE!</v>
      </c>
      <c r="S295" s="32" t="e">
        <f t="array" ref="S295">IF(OR(AND(COUNTBLANK(Combo_Opponent_Type_1)=1,COUNTBLANK(Combo_Opponent_Type_2)=0),AND(AND(COUNTBLANK(Combo_Opponent_Type_1)=0,COUNTBLANK(Combo_Opponent_Type_2)=0),Combo_Opponent_Type_1=Combo_Opponent_Type_2)),
"Check Types",(
IF($W295&gt;=((1-Game_Weave_Human_Error)*$X295),$W295,$X295)*INDEX(Species_Attack,MATCH($N295,Species_Names,0)))/11)</f>
        <v>#VALUE!</v>
      </c>
      <c r="T295" s="33" t="e">
        <f t="shared" si="9"/>
        <v>#VALUE!</v>
      </c>
      <c r="U295" s="33">
        <f t="array" ref="U2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295,Quick_Names,0))),Type_Species)),0),1)*IF(COUNTBLANK(Combo_Opponent_Type_2)=0,INDEX(Type_Damage_Multipliers,MATCH(Combo_Opponent_Type_2,IF(Type_Move=(INDEX(Quick_Type,MATCH($O295,Quick_Names,0))),Type_Species)),0),1)*(IF(OR(INDEX(Quick_Type,MATCH($O295,Quick_Names,0))=INDEX(Species_Type_1,MATCH($N295,Species_Names,0)),INDEX(Quick_Type,MATCH($O295,Quick_Names,0))=INDEX(Species_Type_2,MATCH($N295,Species_Names,0))),Game_STAB_Multiplier,1)))</f>
        <v>1</v>
      </c>
      <c r="V295" s="33">
        <f t="array" ref="V2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295,Charge_Names,0))),Type_Species)),0),1)*IF(COUNTBLANK(Combo_Opponent_Type_2)=0,INDEX(Type_Damage_Multipliers,MATCH(Combo_Opponent_Type_2,IF(Type_Move=(INDEX(Charge_Type,MATCH($P295,Charge_Names,0))),Type_Species)),0),1)*
IF(OR(INDEX(Charge_Type,MATCH($P295,Charge_Names,0))=INDEX(Species_Type_1,MATCH($N295,Species_Names,0)),INDEX(Charge_Type,MATCH($P295,Charge_Names,0))=INDEX(Species_Type_2,MATCH($N295,Species_Names,0))),Game_STAB_Multiplier,1))</f>
        <v>1</v>
      </c>
      <c r="W295" s="33" t="s">
        <v>419</v>
      </c>
      <c r="X295" s="33" t="s">
        <v>798</v>
      </c>
      <c r="Y295" s="32" t="e">
        <f t="array" ref="Y295">((($Z295)*
INDEX(Species_Attack,MATCH($N295,Species_Names,0))*
INDEX(Species_Tankiness,MATCH($N295,Species_Names,0)))/1000)</f>
        <v>#VALUE!</v>
      </c>
      <c r="Z295" s="33" t="s">
        <v>799</v>
      </c>
    </row>
    <row r="296" spans="1:26" ht="14.25" customHeight="1" x14ac:dyDescent="0.2">
      <c r="A296" s="86"/>
      <c r="B296" s="22" t="str">
        <f t="array" ref="B296">CONCATENATE(TEXT($M296,"000"),".",TEXT(INDEX(Quick_Number,MATCH($O296,Quick_Names,0)),"000"),".",TEXT(INDEX(Charge_Number,MATCH($P296,Charge_Names,0)),"000"))</f>
        <v>082.205.036</v>
      </c>
      <c r="C296" s="23" t="e">
        <f t="array" ref="C296">RANK($S296,IF(Combo_Species_Names=$N296,Combo_Gym_Offense),0)</f>
        <v>#VALUE!</v>
      </c>
      <c r="D296" s="24" t="e">
        <f t="array" ref="D296">$S296/MAX(IF(Combo_Species_Names=$N296,Combo_Gym_Offense))</f>
        <v>#VALUE!</v>
      </c>
      <c r="E296" s="23" t="e">
        <f t="array" ref="E296">RANK($Y296,IF(Combo_Species_Names=$N296,Combo_Gym_Defense),0)</f>
        <v>#VALUE!</v>
      </c>
      <c r="F296" s="25" t="e">
        <f t="array" ref="F296">$Y296/MAX(IF(Combo_Species_Names=$N296,Combo_Gym_Defense))</f>
        <v>#VALUE!</v>
      </c>
      <c r="G296" s="23" t="e">
        <f t="array" ref="G296">IF(OR(INDEX(Species_Availability,MATCH($N296,Species_Names,0))="No",INDEX(Species_Evo_Numbers,MATCH($N296,Species_Names,0))&lt;&gt;1),"N/A",RANK($R296,IF(NOT(ISNA(MATCH(Combo_Species_Names,IF(Species_Availability="Yes",IF(Species_Evo_Numbers=1,Species_Names)),0))),Combo_Duel_Ability),0))</f>
        <v>#VALUE!</v>
      </c>
      <c r="H296" s="24" t="e">
        <f t="array" ref="H296">IF(OR(INDEX(Species_Availability,MATCH($N296,Species_Names,0))="No",INDEX(Species_Evo_Numbers,MATCH($N296,Species_Names,0))&lt;&gt;1),"N/A",$R296/MAX(IF(NOT(ISNA(MATCH(Combo_Species_Names,IF(Species_Availability="Yes",IF(Species_Evo_Numbers=1,Species_Names)),0))),Combo_Duel_Ability)))</f>
        <v>#VALUE!</v>
      </c>
      <c r="I296" s="23" t="e">
        <f t="array" ref="I296">IF(OR(INDEX(Species_Availability,MATCH($N296,Species_Names,0))="No",INDEX(Species_Evo_Numbers,MATCH($N296,Species_Names,0))&lt;&gt;1),"N/A",RANK($S296,IF(NOT(ISNA(MATCH(Combo_Species_Names,IF(Species_Availability="Yes",IF(Species_Evo_Numbers=1,Species_Names)),0))),Combo_Gym_Offense),0))</f>
        <v>#VALUE!</v>
      </c>
      <c r="J296" s="24" t="e">
        <f t="array" ref="J296">IF(OR(INDEX(Species_Availability,MATCH($N296,Species_Names,0))="No",INDEX(Species_Evo_Numbers,MATCH($N296,Species_Names,0))&lt;&gt;1),"N/A",$S296/MAX(IF(NOT(ISNA(MATCH(Combo_Species_Names,IF(Species_Availability="Yes",IF(Species_Evo_Numbers=1,Species_Names)),0))),Combo_Gym_Offense)))</f>
        <v>#VALUE!</v>
      </c>
      <c r="K296" s="23" t="e">
        <f t="array" ref="K296">IF(OR(INDEX(Species_Availability,MATCH($N296,Species_Names,0))="No",INDEX(Species_Evo_Numbers,MATCH($N296,Species_Names,0))&lt;&gt;1),"N/A",RANK($Y296,IF(NOT(ISNA(MATCH(Combo_Species_Names,IF(Species_Availability="Yes",IF(Species_Evo_Numbers=1,Species_Names)),0))),Combo_Gym_Defense),0))</f>
        <v>#VALUE!</v>
      </c>
      <c r="L296" s="24" t="e">
        <f t="array" ref="L296">IF(OR(INDEX(Species_Availability,MATCH($N296,Species_Names,0))="No",INDEX(Species_Evo_Numbers,MATCH($N296,Species_Names,0))&lt;&gt;1),"N/A",$Y296/MAX(IF(NOT(ISNA(MATCH(Combo_Species_Names,IF(Species_Availability="Yes",IF(Species_Evo_Numbers=1,Species_Names)),0))),Combo_Gym_Defense)))</f>
        <v>#VALUE!</v>
      </c>
      <c r="M296" s="28">
        <f t="array" ref="M296">INDEX(Species_Pdex_Numbers,MATCH($N296,Species_Names,0))</f>
        <v>82</v>
      </c>
      <c r="N296" s="30" t="s">
        <v>256</v>
      </c>
      <c r="O296" s="31" t="s">
        <v>115</v>
      </c>
      <c r="P296" s="31" t="s">
        <v>226</v>
      </c>
      <c r="Q296" s="17" t="e">
        <f t="shared" si="8"/>
        <v>#VALUE!</v>
      </c>
      <c r="R296" s="32" t="e">
        <f t="array" ref="R296">IF(OR(AND(COUNTBLANK(Combo_Opponent_Type_1)=1,COUNTBLANK(Combo_Opponent_Type_2)=0),AND(AND(COUNTBLANK(Combo_Opponent_Type_1)=0,COUNTBLANK(Combo_Opponent_Type_2)=0),Combo_Opponent_Type_1=Combo_Opponent_Type_2)),
"Check Types",($S296*INDEX(Species_Tankiness,MATCH($N296,Species_Names,0)))/225)</f>
        <v>#VALUE!</v>
      </c>
      <c r="S296" s="32" t="e">
        <f t="array" ref="S296">IF(OR(AND(COUNTBLANK(Combo_Opponent_Type_1)=1,COUNTBLANK(Combo_Opponent_Type_2)=0),AND(AND(COUNTBLANK(Combo_Opponent_Type_1)=0,COUNTBLANK(Combo_Opponent_Type_2)=0),Combo_Opponent_Type_1=Combo_Opponent_Type_2)),
"Check Types",(
IF($W296&gt;=((1-Game_Weave_Human_Error)*$X296),$W296,$X296)*INDEX(Species_Attack,MATCH($N296,Species_Names,0)))/11)</f>
        <v>#VALUE!</v>
      </c>
      <c r="T296" s="33" t="e">
        <f t="shared" si="9"/>
        <v>#VALUE!</v>
      </c>
      <c r="U296" s="33">
        <f t="array" ref="U2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296,Quick_Names,0))),Type_Species)),0),1)*IF(COUNTBLANK(Combo_Opponent_Type_2)=0,INDEX(Type_Damage_Multipliers,MATCH(Combo_Opponent_Type_2,IF(Type_Move=(INDEX(Quick_Type,MATCH($O296,Quick_Names,0))),Type_Species)),0),1)*(IF(OR(INDEX(Quick_Type,MATCH($O296,Quick_Names,0))=INDEX(Species_Type_1,MATCH($N296,Species_Names,0)),INDEX(Quick_Type,MATCH($O296,Quick_Names,0))=INDEX(Species_Type_2,MATCH($N296,Species_Names,0))),Game_STAB_Multiplier,1)))</f>
        <v>1.25</v>
      </c>
      <c r="V296" s="33">
        <f t="array" ref="V2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296,Charge_Names,0))),Type_Species)),0),1)*IF(COUNTBLANK(Combo_Opponent_Type_2)=0,INDEX(Type_Damage_Multipliers,MATCH(Combo_Opponent_Type_2,IF(Type_Move=(INDEX(Charge_Type,MATCH($P296,Charge_Names,0))),Type_Species)),0),1)*
IF(OR(INDEX(Charge_Type,MATCH($P296,Charge_Names,0))=INDEX(Species_Type_1,MATCH($N296,Species_Names,0)),INDEX(Charge_Type,MATCH($P296,Charge_Names,0))=INDEX(Species_Type_2,MATCH($N296,Species_Names,0))),Game_STAB_Multiplier,1))</f>
        <v>1.25</v>
      </c>
      <c r="W296" s="33" t="s">
        <v>678</v>
      </c>
      <c r="X296" s="33" t="s">
        <v>455</v>
      </c>
      <c r="Y296" s="32" t="e">
        <f t="array" ref="Y296">((($Z296)*
INDEX(Species_Attack,MATCH($N296,Species_Names,0))*
INDEX(Species_Tankiness,MATCH($N296,Species_Names,0)))/1000)</f>
        <v>#VALUE!</v>
      </c>
      <c r="Z296" s="33" t="s">
        <v>607</v>
      </c>
    </row>
    <row r="297" spans="1:26" ht="14.25" customHeight="1" x14ac:dyDescent="0.2">
      <c r="A297" s="86"/>
      <c r="B297" s="22" t="str">
        <f t="array" ref="B297">CONCATENATE(TEXT($M297,"000"),".",TEXT(INDEX(Quick_Number,MATCH($O297,Quick_Names,0)),"000"),".",TEXT(INDEX(Charge_Number,MATCH($P297,Charge_Names,0)),"000"))</f>
        <v>126.208.115</v>
      </c>
      <c r="C297" s="23" t="e">
        <f t="array" ref="C297">RANK($S297,IF(Combo_Species_Names=$N297,Combo_Gym_Offense),0)</f>
        <v>#VALUE!</v>
      </c>
      <c r="D297" s="24" t="e">
        <f t="array" ref="D297">$S297/MAX(IF(Combo_Species_Names=$N297,Combo_Gym_Offense))</f>
        <v>#VALUE!</v>
      </c>
      <c r="E297" s="23" t="e">
        <f t="array" ref="E297">RANK($Y297,IF(Combo_Species_Names=$N297,Combo_Gym_Defense),0)</f>
        <v>#VALUE!</v>
      </c>
      <c r="F297" s="25" t="e">
        <f t="array" ref="F297">$Y297/MAX(IF(Combo_Species_Names=$N297,Combo_Gym_Defense))</f>
        <v>#VALUE!</v>
      </c>
      <c r="G297" s="23" t="e">
        <f t="array" ref="G297">IF(OR(INDEX(Species_Availability,MATCH($N297,Species_Names,0))="No",INDEX(Species_Evo_Numbers,MATCH($N297,Species_Names,0))&lt;&gt;1),"N/A",RANK($R297,IF(NOT(ISNA(MATCH(Combo_Species_Names,IF(Species_Availability="Yes",IF(Species_Evo_Numbers=1,Species_Names)),0))),Combo_Duel_Ability),0))</f>
        <v>#VALUE!</v>
      </c>
      <c r="H297" s="24" t="e">
        <f t="array" ref="H297">IF(OR(INDEX(Species_Availability,MATCH($N297,Species_Names,0))="No",INDEX(Species_Evo_Numbers,MATCH($N297,Species_Names,0))&lt;&gt;1),"N/A",$R297/MAX(IF(NOT(ISNA(MATCH(Combo_Species_Names,IF(Species_Availability="Yes",IF(Species_Evo_Numbers=1,Species_Names)),0))),Combo_Duel_Ability)))</f>
        <v>#VALUE!</v>
      </c>
      <c r="I297" s="23" t="e">
        <f t="array" ref="I297">IF(OR(INDEX(Species_Availability,MATCH($N297,Species_Names,0))="No",INDEX(Species_Evo_Numbers,MATCH($N297,Species_Names,0))&lt;&gt;1),"N/A",RANK($S297,IF(NOT(ISNA(MATCH(Combo_Species_Names,IF(Species_Availability="Yes",IF(Species_Evo_Numbers=1,Species_Names)),0))),Combo_Gym_Offense),0))</f>
        <v>#VALUE!</v>
      </c>
      <c r="J297" s="24" t="e">
        <f t="array" ref="J297">IF(OR(INDEX(Species_Availability,MATCH($N297,Species_Names,0))="No",INDEX(Species_Evo_Numbers,MATCH($N297,Species_Names,0))&lt;&gt;1),"N/A",$S297/MAX(IF(NOT(ISNA(MATCH(Combo_Species_Names,IF(Species_Availability="Yes",IF(Species_Evo_Numbers=1,Species_Names)),0))),Combo_Gym_Offense)))</f>
        <v>#VALUE!</v>
      </c>
      <c r="K297" s="23" t="e">
        <f t="array" ref="K297">IF(OR(INDEX(Species_Availability,MATCH($N297,Species_Names,0))="No",INDEX(Species_Evo_Numbers,MATCH($N297,Species_Names,0))&lt;&gt;1),"N/A",RANK($Y297,IF(NOT(ISNA(MATCH(Combo_Species_Names,IF(Species_Availability="Yes",IF(Species_Evo_Numbers=1,Species_Names)),0))),Combo_Gym_Defense),0))</f>
        <v>#VALUE!</v>
      </c>
      <c r="L297" s="24" t="e">
        <f t="array" ref="L297">IF(OR(INDEX(Species_Availability,MATCH($N297,Species_Names,0))="No",INDEX(Species_Evo_Numbers,MATCH($N297,Species_Names,0))&lt;&gt;1),"N/A",$Y297/MAX(IF(NOT(ISNA(MATCH(Combo_Species_Names,IF(Species_Availability="Yes",IF(Species_Evo_Numbers=1,Species_Names)),0))),Combo_Gym_Defense)))</f>
        <v>#VALUE!</v>
      </c>
      <c r="M297" s="28">
        <f t="array" ref="M297">INDEX(Species_Pdex_Numbers,MATCH($N297,Species_Names,0))</f>
        <v>126</v>
      </c>
      <c r="N297" s="30" t="s">
        <v>343</v>
      </c>
      <c r="O297" s="31" t="s">
        <v>122</v>
      </c>
      <c r="P297" s="31" t="s">
        <v>238</v>
      </c>
      <c r="Q297" s="17" t="e">
        <f t="shared" si="8"/>
        <v>#VALUE!</v>
      </c>
      <c r="R297" s="32" t="e">
        <f t="array" ref="R297">IF(OR(AND(COUNTBLANK(Combo_Opponent_Type_1)=1,COUNTBLANK(Combo_Opponent_Type_2)=0),AND(AND(COUNTBLANK(Combo_Opponent_Type_1)=0,COUNTBLANK(Combo_Opponent_Type_2)=0),Combo_Opponent_Type_1=Combo_Opponent_Type_2)),
"Check Types",($S297*INDEX(Species_Tankiness,MATCH($N297,Species_Names,0)))/225)</f>
        <v>#VALUE!</v>
      </c>
      <c r="S297" s="32" t="e">
        <f t="array" ref="S297">IF(OR(AND(COUNTBLANK(Combo_Opponent_Type_1)=1,COUNTBLANK(Combo_Opponent_Type_2)=0),AND(AND(COUNTBLANK(Combo_Opponent_Type_1)=0,COUNTBLANK(Combo_Opponent_Type_2)=0),Combo_Opponent_Type_1=Combo_Opponent_Type_2)),
"Check Types",(
IF($W297&gt;=((1-Game_Weave_Human_Error)*$X297),$W297,$X297)*INDEX(Species_Attack,MATCH($N297,Species_Names,0)))/11)</f>
        <v>#VALUE!</v>
      </c>
      <c r="T297" s="33" t="e">
        <f t="shared" si="9"/>
        <v>#VALUE!</v>
      </c>
      <c r="U297" s="33">
        <f t="array" ref="U2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297,Quick_Names,0))),Type_Species)),0),1)*IF(COUNTBLANK(Combo_Opponent_Type_2)=0,INDEX(Type_Damage_Multipliers,MATCH(Combo_Opponent_Type_2,IF(Type_Move=(INDEX(Quick_Type,MATCH($O297,Quick_Names,0))),Type_Species)),0),1)*(IF(OR(INDEX(Quick_Type,MATCH($O297,Quick_Names,0))=INDEX(Species_Type_1,MATCH($N297,Species_Names,0)),INDEX(Quick_Type,MATCH($O297,Quick_Names,0))=INDEX(Species_Type_2,MATCH($N297,Species_Names,0))),Game_STAB_Multiplier,1)))</f>
        <v>1</v>
      </c>
      <c r="V297" s="33">
        <f t="array" ref="V2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297,Charge_Names,0))),Type_Species)),0),1)*IF(COUNTBLANK(Combo_Opponent_Type_2)=0,INDEX(Type_Damage_Multipliers,MATCH(Combo_Opponent_Type_2,IF(Type_Move=(INDEX(Charge_Type,MATCH($P297,Charge_Names,0))),Type_Species)),0),1)*
IF(OR(INDEX(Charge_Type,MATCH($P297,Charge_Names,0))=INDEX(Species_Type_1,MATCH($N297,Species_Names,0)),INDEX(Charge_Type,MATCH($P297,Charge_Names,0))=INDEX(Species_Type_2,MATCH($N297,Species_Names,0))),Game_STAB_Multiplier,1))</f>
        <v>1.25</v>
      </c>
      <c r="W297" s="33" t="s">
        <v>600</v>
      </c>
      <c r="X297" s="33" t="s">
        <v>800</v>
      </c>
      <c r="Y297" s="32" t="e">
        <f t="array" ref="Y297">((($Z297)*
INDEX(Species_Attack,MATCH($N297,Species_Names,0))*
INDEX(Species_Tankiness,MATCH($N297,Species_Names,0)))/1000)</f>
        <v>#VALUE!</v>
      </c>
      <c r="Z297" s="33" t="s">
        <v>801</v>
      </c>
    </row>
    <row r="298" spans="1:26" ht="14.25" customHeight="1" x14ac:dyDescent="0.2">
      <c r="A298" s="86"/>
      <c r="B298" s="22" t="str">
        <f t="array" ref="B298">CONCATENATE(TEXT($M298,"000"),".",TEXT(INDEX(Quick_Number,MATCH($O298,Quick_Names,0)),"000"),".",TEXT(INDEX(Charge_Number,MATCH($P298,Charge_Names,0)),"000"))</f>
        <v>065.226.070</v>
      </c>
      <c r="C298" s="23" t="e">
        <f t="array" ref="C298">RANK($S298,IF(Combo_Species_Names=$N298,Combo_Gym_Offense),0)</f>
        <v>#VALUE!</v>
      </c>
      <c r="D298" s="24" t="e">
        <f t="array" ref="D298">$S298/MAX(IF(Combo_Species_Names=$N298,Combo_Gym_Offense))</f>
        <v>#VALUE!</v>
      </c>
      <c r="E298" s="23" t="e">
        <f t="array" ref="E298">RANK($Y298,IF(Combo_Species_Names=$N298,Combo_Gym_Defense),0)</f>
        <v>#VALUE!</v>
      </c>
      <c r="F298" s="25" t="e">
        <f t="array" ref="F298">$Y298/MAX(IF(Combo_Species_Names=$N298,Combo_Gym_Defense))</f>
        <v>#VALUE!</v>
      </c>
      <c r="G298" s="23" t="e">
        <f t="array" ref="G298">IF(OR(INDEX(Species_Availability,MATCH($N298,Species_Names,0))="No",INDEX(Species_Evo_Numbers,MATCH($N298,Species_Names,0))&lt;&gt;1),"N/A",RANK($R298,IF(NOT(ISNA(MATCH(Combo_Species_Names,IF(Species_Availability="Yes",IF(Species_Evo_Numbers=1,Species_Names)),0))),Combo_Duel_Ability),0))</f>
        <v>#VALUE!</v>
      </c>
      <c r="H298" s="24" t="e">
        <f t="array" ref="H298">IF(OR(INDEX(Species_Availability,MATCH($N298,Species_Names,0))="No",INDEX(Species_Evo_Numbers,MATCH($N298,Species_Names,0))&lt;&gt;1),"N/A",$R298/MAX(IF(NOT(ISNA(MATCH(Combo_Species_Names,IF(Species_Availability="Yes",IF(Species_Evo_Numbers=1,Species_Names)),0))),Combo_Duel_Ability)))</f>
        <v>#VALUE!</v>
      </c>
      <c r="I298" s="23" t="e">
        <f t="array" ref="I298">IF(OR(INDEX(Species_Availability,MATCH($N298,Species_Names,0))="No",INDEX(Species_Evo_Numbers,MATCH($N298,Species_Names,0))&lt;&gt;1),"N/A",RANK($S298,IF(NOT(ISNA(MATCH(Combo_Species_Names,IF(Species_Availability="Yes",IF(Species_Evo_Numbers=1,Species_Names)),0))),Combo_Gym_Offense),0))</f>
        <v>#VALUE!</v>
      </c>
      <c r="J298" s="24" t="e">
        <f t="array" ref="J298">IF(OR(INDEX(Species_Availability,MATCH($N298,Species_Names,0))="No",INDEX(Species_Evo_Numbers,MATCH($N298,Species_Names,0))&lt;&gt;1),"N/A",$S298/MAX(IF(NOT(ISNA(MATCH(Combo_Species_Names,IF(Species_Availability="Yes",IF(Species_Evo_Numbers=1,Species_Names)),0))),Combo_Gym_Offense)))</f>
        <v>#VALUE!</v>
      </c>
      <c r="K298" s="23" t="e">
        <f t="array" ref="K298">IF(OR(INDEX(Species_Availability,MATCH($N298,Species_Names,0))="No",INDEX(Species_Evo_Numbers,MATCH($N298,Species_Names,0))&lt;&gt;1),"N/A",RANK($Y298,IF(NOT(ISNA(MATCH(Combo_Species_Names,IF(Species_Availability="Yes",IF(Species_Evo_Numbers=1,Species_Names)),0))),Combo_Gym_Defense),0))</f>
        <v>#VALUE!</v>
      </c>
      <c r="L298" s="24" t="e">
        <f t="array" ref="L298">IF(OR(INDEX(Species_Availability,MATCH($N298,Species_Names,0))="No",INDEX(Species_Evo_Numbers,MATCH($N298,Species_Names,0))&lt;&gt;1),"N/A",$Y298/MAX(IF(NOT(ISNA(MATCH(Combo_Species_Names,IF(Species_Availability="Yes",IF(Species_Evo_Numbers=1,Species_Names)),0))),Combo_Gym_Defense)))</f>
        <v>#VALUE!</v>
      </c>
      <c r="M298" s="28">
        <f t="array" ref="M298">INDEX(Species_Pdex_Numbers,MATCH($N298,Species_Names,0))</f>
        <v>65</v>
      </c>
      <c r="N298" s="30" t="s">
        <v>221</v>
      </c>
      <c r="O298" s="31" t="s">
        <v>57</v>
      </c>
      <c r="P298" s="31" t="s">
        <v>234</v>
      </c>
      <c r="Q298" s="17" t="e">
        <f t="shared" si="8"/>
        <v>#VALUE!</v>
      </c>
      <c r="R298" s="32" t="e">
        <f t="array" ref="R298">IF(OR(AND(COUNTBLANK(Combo_Opponent_Type_1)=1,COUNTBLANK(Combo_Opponent_Type_2)=0),AND(AND(COUNTBLANK(Combo_Opponent_Type_1)=0,COUNTBLANK(Combo_Opponent_Type_2)=0),Combo_Opponent_Type_1=Combo_Opponent_Type_2)),
"Check Types",($S298*INDEX(Species_Tankiness,MATCH($N298,Species_Names,0)))/225)</f>
        <v>#VALUE!</v>
      </c>
      <c r="S298" s="32" t="e">
        <f t="array" ref="S298">IF(OR(AND(COUNTBLANK(Combo_Opponent_Type_1)=1,COUNTBLANK(Combo_Opponent_Type_2)=0),AND(AND(COUNTBLANK(Combo_Opponent_Type_1)=0,COUNTBLANK(Combo_Opponent_Type_2)=0),Combo_Opponent_Type_1=Combo_Opponent_Type_2)),
"Check Types",(
IF($W298&gt;=((1-Game_Weave_Human_Error)*$X298),$W298,$X298)*INDEX(Species_Attack,MATCH($N298,Species_Names,0)))/11)</f>
        <v>#VALUE!</v>
      </c>
      <c r="T298" s="33" t="e">
        <f t="shared" si="9"/>
        <v>#VALUE!</v>
      </c>
      <c r="U298" s="33">
        <f t="array" ref="U2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298,Quick_Names,0))),Type_Species)),0),1)*IF(COUNTBLANK(Combo_Opponent_Type_2)=0,INDEX(Type_Damage_Multipliers,MATCH(Combo_Opponent_Type_2,IF(Type_Move=(INDEX(Quick_Type,MATCH($O298,Quick_Names,0))),Type_Species)),0),1)*(IF(OR(INDEX(Quick_Type,MATCH($O298,Quick_Names,0))=INDEX(Species_Type_1,MATCH($N298,Species_Names,0)),INDEX(Quick_Type,MATCH($O298,Quick_Names,0))=INDEX(Species_Type_2,MATCH($N298,Species_Names,0))),Game_STAB_Multiplier,1)))</f>
        <v>1.25</v>
      </c>
      <c r="V298" s="33">
        <f t="array" ref="V2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298,Charge_Names,0))),Type_Species)),0),1)*IF(COUNTBLANK(Combo_Opponent_Type_2)=0,INDEX(Type_Damage_Multipliers,MATCH(Combo_Opponent_Type_2,IF(Type_Move=(INDEX(Charge_Type,MATCH($P298,Charge_Names,0))),Type_Species)),0),1)*
IF(OR(INDEX(Charge_Type,MATCH($P298,Charge_Names,0))=INDEX(Species_Type_1,MATCH($N298,Species_Names,0)),INDEX(Charge_Type,MATCH($P298,Charge_Names,0))=INDEX(Species_Type_2,MATCH($N298,Species_Names,0))),Game_STAB_Multiplier,1))</f>
        <v>1</v>
      </c>
      <c r="W298" s="33" t="s">
        <v>753</v>
      </c>
      <c r="X298" s="33" t="s">
        <v>802</v>
      </c>
      <c r="Y298" s="32" t="e">
        <f t="array" ref="Y298">((($Z298)*
INDEX(Species_Attack,MATCH($N298,Species_Names,0))*
INDEX(Species_Tankiness,MATCH($N298,Species_Names,0)))/1000)</f>
        <v>#VALUE!</v>
      </c>
      <c r="Z298" s="33" t="s">
        <v>803</v>
      </c>
    </row>
    <row r="299" spans="1:26" ht="14.25" customHeight="1" x14ac:dyDescent="0.2">
      <c r="A299" s="86"/>
      <c r="B299" s="22" t="str">
        <f t="array" ref="B299">CONCATENATE(TEXT($M299,"000"),".",TEXT(INDEX(Quick_Number,MATCH($O299,Quick_Names,0)),"000"),".",TEXT(INDEX(Charge_Number,MATCH($P299,Charge_Names,0)),"000"))</f>
        <v>065.226.086</v>
      </c>
      <c r="C299" s="23" t="e">
        <f t="array" ref="C299">RANK($S299,IF(Combo_Species_Names=$N299,Combo_Gym_Offense),0)</f>
        <v>#VALUE!</v>
      </c>
      <c r="D299" s="24" t="e">
        <f t="array" ref="D299">$S299/MAX(IF(Combo_Species_Names=$N299,Combo_Gym_Offense))</f>
        <v>#VALUE!</v>
      </c>
      <c r="E299" s="23" t="e">
        <f t="array" ref="E299">RANK($Y299,IF(Combo_Species_Names=$N299,Combo_Gym_Defense),0)</f>
        <v>#VALUE!</v>
      </c>
      <c r="F299" s="25" t="e">
        <f t="array" ref="F299">$Y299/MAX(IF(Combo_Species_Names=$N299,Combo_Gym_Defense))</f>
        <v>#VALUE!</v>
      </c>
      <c r="G299" s="23" t="e">
        <f t="array" ref="G299">IF(OR(INDEX(Species_Availability,MATCH($N299,Species_Names,0))="No",INDEX(Species_Evo_Numbers,MATCH($N299,Species_Names,0))&lt;&gt;1),"N/A",RANK($R299,IF(NOT(ISNA(MATCH(Combo_Species_Names,IF(Species_Availability="Yes",IF(Species_Evo_Numbers=1,Species_Names)),0))),Combo_Duel_Ability),0))</f>
        <v>#VALUE!</v>
      </c>
      <c r="H299" s="24" t="e">
        <f t="array" ref="H299">IF(OR(INDEX(Species_Availability,MATCH($N299,Species_Names,0))="No",INDEX(Species_Evo_Numbers,MATCH($N299,Species_Names,0))&lt;&gt;1),"N/A",$R299/MAX(IF(NOT(ISNA(MATCH(Combo_Species_Names,IF(Species_Availability="Yes",IF(Species_Evo_Numbers=1,Species_Names)),0))),Combo_Duel_Ability)))</f>
        <v>#VALUE!</v>
      </c>
      <c r="I299" s="23" t="e">
        <f t="array" ref="I299">IF(OR(INDEX(Species_Availability,MATCH($N299,Species_Names,0))="No",INDEX(Species_Evo_Numbers,MATCH($N299,Species_Names,0))&lt;&gt;1),"N/A",RANK($S299,IF(NOT(ISNA(MATCH(Combo_Species_Names,IF(Species_Availability="Yes",IF(Species_Evo_Numbers=1,Species_Names)),0))),Combo_Gym_Offense),0))</f>
        <v>#VALUE!</v>
      </c>
      <c r="J299" s="24" t="e">
        <f t="array" ref="J299">IF(OR(INDEX(Species_Availability,MATCH($N299,Species_Names,0))="No",INDEX(Species_Evo_Numbers,MATCH($N299,Species_Names,0))&lt;&gt;1),"N/A",$S299/MAX(IF(NOT(ISNA(MATCH(Combo_Species_Names,IF(Species_Availability="Yes",IF(Species_Evo_Numbers=1,Species_Names)),0))),Combo_Gym_Offense)))</f>
        <v>#VALUE!</v>
      </c>
      <c r="K299" s="23" t="e">
        <f t="array" ref="K299">IF(OR(INDEX(Species_Availability,MATCH($N299,Species_Names,0))="No",INDEX(Species_Evo_Numbers,MATCH($N299,Species_Names,0))&lt;&gt;1),"N/A",RANK($Y299,IF(NOT(ISNA(MATCH(Combo_Species_Names,IF(Species_Availability="Yes",IF(Species_Evo_Numbers=1,Species_Names)),0))),Combo_Gym_Defense),0))</f>
        <v>#VALUE!</v>
      </c>
      <c r="L299" s="24" t="e">
        <f t="array" ref="L299">IF(OR(INDEX(Species_Availability,MATCH($N299,Species_Names,0))="No",INDEX(Species_Evo_Numbers,MATCH($N299,Species_Names,0))&lt;&gt;1),"N/A",$Y299/MAX(IF(NOT(ISNA(MATCH(Combo_Species_Names,IF(Species_Availability="Yes",IF(Species_Evo_Numbers=1,Species_Names)),0))),Combo_Gym_Defense)))</f>
        <v>#VALUE!</v>
      </c>
      <c r="M299" s="28">
        <f t="array" ref="M299">INDEX(Species_Pdex_Numbers,MATCH($N299,Species_Names,0))</f>
        <v>65</v>
      </c>
      <c r="N299" s="30" t="s">
        <v>221</v>
      </c>
      <c r="O299" s="31" t="s">
        <v>57</v>
      </c>
      <c r="P299" s="31" t="s">
        <v>257</v>
      </c>
      <c r="Q299" s="17" t="e">
        <f t="shared" si="8"/>
        <v>#VALUE!</v>
      </c>
      <c r="R299" s="32" t="e">
        <f t="array" ref="R299">IF(OR(AND(COUNTBLANK(Combo_Opponent_Type_1)=1,COUNTBLANK(Combo_Opponent_Type_2)=0),AND(AND(COUNTBLANK(Combo_Opponent_Type_1)=0,COUNTBLANK(Combo_Opponent_Type_2)=0),Combo_Opponent_Type_1=Combo_Opponent_Type_2)),
"Check Types",($S299*INDEX(Species_Tankiness,MATCH($N299,Species_Names,0)))/225)</f>
        <v>#VALUE!</v>
      </c>
      <c r="S299" s="32" t="e">
        <f t="array" ref="S299">IF(OR(AND(COUNTBLANK(Combo_Opponent_Type_1)=1,COUNTBLANK(Combo_Opponent_Type_2)=0),AND(AND(COUNTBLANK(Combo_Opponent_Type_1)=0,COUNTBLANK(Combo_Opponent_Type_2)=0),Combo_Opponent_Type_1=Combo_Opponent_Type_2)),
"Check Types",(
IF($W299&gt;=((1-Game_Weave_Human_Error)*$X299),$W299,$X299)*INDEX(Species_Attack,MATCH($N299,Species_Names,0)))/11)</f>
        <v>#VALUE!</v>
      </c>
      <c r="T299" s="33" t="e">
        <f t="shared" si="9"/>
        <v>#VALUE!</v>
      </c>
      <c r="U299" s="33">
        <f t="array" ref="U2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299,Quick_Names,0))),Type_Species)),0),1)*IF(COUNTBLANK(Combo_Opponent_Type_2)=0,INDEX(Type_Damage_Multipliers,MATCH(Combo_Opponent_Type_2,IF(Type_Move=(INDEX(Quick_Type,MATCH($O299,Quick_Names,0))),Type_Species)),0),1)*(IF(OR(INDEX(Quick_Type,MATCH($O299,Quick_Names,0))=INDEX(Species_Type_1,MATCH($N299,Species_Names,0)),INDEX(Quick_Type,MATCH($O299,Quick_Names,0))=INDEX(Species_Type_2,MATCH($N299,Species_Names,0))),Game_STAB_Multiplier,1)))</f>
        <v>1.25</v>
      </c>
      <c r="V299" s="33">
        <f t="array" ref="V2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299,Charge_Names,0))),Type_Species)),0),1)*IF(COUNTBLANK(Combo_Opponent_Type_2)=0,INDEX(Type_Damage_Multipliers,MATCH(Combo_Opponent_Type_2,IF(Type_Move=(INDEX(Charge_Type,MATCH($P299,Charge_Names,0))),Type_Species)),0),1)*
IF(OR(INDEX(Charge_Type,MATCH($P299,Charge_Names,0))=INDEX(Species_Type_1,MATCH($N299,Species_Names,0)),INDEX(Charge_Type,MATCH($P299,Charge_Names,0))=INDEX(Species_Type_2,MATCH($N299,Species_Names,0))),Game_STAB_Multiplier,1))</f>
        <v>1</v>
      </c>
      <c r="W299" s="33" t="s">
        <v>753</v>
      </c>
      <c r="X299" s="33" t="s">
        <v>804</v>
      </c>
      <c r="Y299" s="32" t="e">
        <f t="array" ref="Y299">((($Z299)*
INDEX(Species_Attack,MATCH($N299,Species_Names,0))*
INDEX(Species_Tankiness,MATCH($N299,Species_Names,0)))/1000)</f>
        <v>#VALUE!</v>
      </c>
      <c r="Z299" s="33" t="s">
        <v>462</v>
      </c>
    </row>
    <row r="300" spans="1:26" ht="14.25" customHeight="1" x14ac:dyDescent="0.2">
      <c r="A300" s="86"/>
      <c r="B300" s="22" t="str">
        <f t="array" ref="B300">CONCATENATE(TEXT($M300,"000"),".",TEXT(INDEX(Quick_Number,MATCH($O300,Quick_Names,0)),"000"),".",TEXT(INDEX(Charge_Number,MATCH($P300,Charge_Names,0)),"000"))</f>
        <v>065.235.108</v>
      </c>
      <c r="C300" s="23" t="e">
        <f t="array" ref="C300">RANK($S300,IF(Combo_Species_Names=$N300,Combo_Gym_Offense),0)</f>
        <v>#VALUE!</v>
      </c>
      <c r="D300" s="24" t="e">
        <f t="array" ref="D300">$S300/MAX(IF(Combo_Species_Names=$N300,Combo_Gym_Offense))</f>
        <v>#VALUE!</v>
      </c>
      <c r="E300" s="23" t="e">
        <f t="array" ref="E300">RANK($Y300,IF(Combo_Species_Names=$N300,Combo_Gym_Defense),0)</f>
        <v>#VALUE!</v>
      </c>
      <c r="F300" s="25" t="e">
        <f t="array" ref="F300">$Y300/MAX(IF(Combo_Species_Names=$N300,Combo_Gym_Defense))</f>
        <v>#VALUE!</v>
      </c>
      <c r="G300" s="23" t="e">
        <f t="array" ref="G300">IF(OR(INDEX(Species_Availability,MATCH($N300,Species_Names,0))="No",INDEX(Species_Evo_Numbers,MATCH($N300,Species_Names,0))&lt;&gt;1),"N/A",RANK($R300,IF(NOT(ISNA(MATCH(Combo_Species_Names,IF(Species_Availability="Yes",IF(Species_Evo_Numbers=1,Species_Names)),0))),Combo_Duel_Ability),0))</f>
        <v>#VALUE!</v>
      </c>
      <c r="H300" s="24" t="e">
        <f t="array" ref="H300">IF(OR(INDEX(Species_Availability,MATCH($N300,Species_Names,0))="No",INDEX(Species_Evo_Numbers,MATCH($N300,Species_Names,0))&lt;&gt;1),"N/A",$R300/MAX(IF(NOT(ISNA(MATCH(Combo_Species_Names,IF(Species_Availability="Yes",IF(Species_Evo_Numbers=1,Species_Names)),0))),Combo_Duel_Ability)))</f>
        <v>#VALUE!</v>
      </c>
      <c r="I300" s="23" t="e">
        <f t="array" ref="I300">IF(OR(INDEX(Species_Availability,MATCH($N300,Species_Names,0))="No",INDEX(Species_Evo_Numbers,MATCH($N300,Species_Names,0))&lt;&gt;1),"N/A",RANK($S300,IF(NOT(ISNA(MATCH(Combo_Species_Names,IF(Species_Availability="Yes",IF(Species_Evo_Numbers=1,Species_Names)),0))),Combo_Gym_Offense),0))</f>
        <v>#VALUE!</v>
      </c>
      <c r="J300" s="24" t="e">
        <f t="array" ref="J300">IF(OR(INDEX(Species_Availability,MATCH($N300,Species_Names,0))="No",INDEX(Species_Evo_Numbers,MATCH($N300,Species_Names,0))&lt;&gt;1),"N/A",$S300/MAX(IF(NOT(ISNA(MATCH(Combo_Species_Names,IF(Species_Availability="Yes",IF(Species_Evo_Numbers=1,Species_Names)),0))),Combo_Gym_Offense)))</f>
        <v>#VALUE!</v>
      </c>
      <c r="K300" s="23" t="e">
        <f t="array" ref="K300">IF(OR(INDEX(Species_Availability,MATCH($N300,Species_Names,0))="No",INDEX(Species_Evo_Numbers,MATCH($N300,Species_Names,0))&lt;&gt;1),"N/A",RANK($Y300,IF(NOT(ISNA(MATCH(Combo_Species_Names,IF(Species_Availability="Yes",IF(Species_Evo_Numbers=1,Species_Names)),0))),Combo_Gym_Defense),0))</f>
        <v>#VALUE!</v>
      </c>
      <c r="L300" s="24" t="e">
        <f t="array" ref="L300">IF(OR(INDEX(Species_Availability,MATCH($N300,Species_Names,0))="No",INDEX(Species_Evo_Numbers,MATCH($N300,Species_Names,0))&lt;&gt;1),"N/A",$Y300/MAX(IF(NOT(ISNA(MATCH(Combo_Species_Names,IF(Species_Availability="Yes",IF(Species_Evo_Numbers=1,Species_Names)),0))),Combo_Gym_Defense)))</f>
        <v>#VALUE!</v>
      </c>
      <c r="M300" s="28">
        <f t="array" ref="M300">INDEX(Species_Pdex_Numbers,MATCH($N300,Species_Names,0))</f>
        <v>65</v>
      </c>
      <c r="N300" s="30" t="s">
        <v>221</v>
      </c>
      <c r="O300" s="31" t="s">
        <v>108</v>
      </c>
      <c r="P300" s="31" t="s">
        <v>58</v>
      </c>
      <c r="Q300" s="17" t="e">
        <f t="shared" si="8"/>
        <v>#VALUE!</v>
      </c>
      <c r="R300" s="32" t="e">
        <f t="array" ref="R300">IF(OR(AND(COUNTBLANK(Combo_Opponent_Type_1)=1,COUNTBLANK(Combo_Opponent_Type_2)=0),AND(AND(COUNTBLANK(Combo_Opponent_Type_1)=0,COUNTBLANK(Combo_Opponent_Type_2)=0),Combo_Opponent_Type_1=Combo_Opponent_Type_2)),
"Check Types",($S300*INDEX(Species_Tankiness,MATCH($N300,Species_Names,0)))/225)</f>
        <v>#VALUE!</v>
      </c>
      <c r="S300" s="32" t="e">
        <f t="array" ref="S300">IF(OR(AND(COUNTBLANK(Combo_Opponent_Type_1)=1,COUNTBLANK(Combo_Opponent_Type_2)=0),AND(AND(COUNTBLANK(Combo_Opponent_Type_1)=0,COUNTBLANK(Combo_Opponent_Type_2)=0),Combo_Opponent_Type_1=Combo_Opponent_Type_2)),
"Check Types",(
IF($W300&gt;=((1-Game_Weave_Human_Error)*$X300),$W300,$X300)*INDEX(Species_Attack,MATCH($N300,Species_Names,0)))/11)</f>
        <v>#VALUE!</v>
      </c>
      <c r="T300" s="33" t="e">
        <f t="shared" si="9"/>
        <v>#VALUE!</v>
      </c>
      <c r="U300" s="33">
        <f t="array" ref="U3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300,Quick_Names,0))),Type_Species)),0),1)*IF(COUNTBLANK(Combo_Opponent_Type_2)=0,INDEX(Type_Damage_Multipliers,MATCH(Combo_Opponent_Type_2,IF(Type_Move=(INDEX(Quick_Type,MATCH($O300,Quick_Names,0))),Type_Species)),0),1)*(IF(OR(INDEX(Quick_Type,MATCH($O300,Quick_Names,0))=INDEX(Species_Type_1,MATCH($N300,Species_Names,0)),INDEX(Quick_Type,MATCH($O300,Quick_Names,0))=INDEX(Species_Type_2,MATCH($N300,Species_Names,0))),Game_STAB_Multiplier,1)))</f>
        <v>1.25</v>
      </c>
      <c r="V300" s="33">
        <f t="array" ref="V3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300,Charge_Names,0))),Type_Species)),0),1)*IF(COUNTBLANK(Combo_Opponent_Type_2)=0,INDEX(Type_Damage_Multipliers,MATCH(Combo_Opponent_Type_2,IF(Type_Move=(INDEX(Charge_Type,MATCH($P300,Charge_Names,0))),Type_Species)),0),1)*
IF(OR(INDEX(Charge_Type,MATCH($P300,Charge_Names,0))=INDEX(Species_Type_1,MATCH($N300,Species_Names,0)),INDEX(Charge_Type,MATCH($P300,Charge_Names,0))=INDEX(Species_Type_2,MATCH($N300,Species_Names,0))),Game_STAB_Multiplier,1))</f>
        <v>1.25</v>
      </c>
      <c r="W300" s="33" t="s">
        <v>467</v>
      </c>
      <c r="X300" s="33" t="s">
        <v>495</v>
      </c>
      <c r="Y300" s="32" t="e">
        <f t="array" ref="Y300">((($Z300)*
INDEX(Species_Attack,MATCH($N300,Species_Names,0))*
INDEX(Species_Tankiness,MATCH($N300,Species_Names,0)))/1000)</f>
        <v>#VALUE!</v>
      </c>
      <c r="Z300" s="33" t="s">
        <v>440</v>
      </c>
    </row>
    <row r="301" spans="1:26" ht="14.25" customHeight="1" x14ac:dyDescent="0.2">
      <c r="A301" s="86"/>
      <c r="B301" s="22" t="str">
        <f t="array" ref="B301">CONCATENATE(TEXT($M301,"000"),".",TEXT(INDEX(Quick_Number,MATCH($O301,Quick_Names,0)),"000"),".",TEXT(INDEX(Charge_Number,MATCH($P301,Charge_Names,0)),"000"))</f>
        <v>024.225.091</v>
      </c>
      <c r="C301" s="23" t="e">
        <f t="array" ref="C301">RANK($S301,IF(Combo_Species_Names=$N301,Combo_Gym_Offense),0)</f>
        <v>#VALUE!</v>
      </c>
      <c r="D301" s="24" t="e">
        <f t="array" ref="D301">$S301/MAX(IF(Combo_Species_Names=$N301,Combo_Gym_Offense))</f>
        <v>#VALUE!</v>
      </c>
      <c r="E301" s="23" t="e">
        <f t="array" ref="E301">RANK($Y301,IF(Combo_Species_Names=$N301,Combo_Gym_Defense),0)</f>
        <v>#VALUE!</v>
      </c>
      <c r="F301" s="25" t="e">
        <f t="array" ref="F301">$Y301/MAX(IF(Combo_Species_Names=$N301,Combo_Gym_Defense))</f>
        <v>#VALUE!</v>
      </c>
      <c r="G301" s="23" t="e">
        <f t="array" ref="G301">IF(OR(INDEX(Species_Availability,MATCH($N301,Species_Names,0))="No",INDEX(Species_Evo_Numbers,MATCH($N301,Species_Names,0))&lt;&gt;1),"N/A",RANK($R301,IF(NOT(ISNA(MATCH(Combo_Species_Names,IF(Species_Availability="Yes",IF(Species_Evo_Numbers=1,Species_Names)),0))),Combo_Duel_Ability),0))</f>
        <v>#VALUE!</v>
      </c>
      <c r="H301" s="24" t="e">
        <f t="array" ref="H301">IF(OR(INDEX(Species_Availability,MATCH($N301,Species_Names,0))="No",INDEX(Species_Evo_Numbers,MATCH($N301,Species_Names,0))&lt;&gt;1),"N/A",$R301/MAX(IF(NOT(ISNA(MATCH(Combo_Species_Names,IF(Species_Availability="Yes",IF(Species_Evo_Numbers=1,Species_Names)),0))),Combo_Duel_Ability)))</f>
        <v>#VALUE!</v>
      </c>
      <c r="I301" s="23" t="e">
        <f t="array" ref="I301">IF(OR(INDEX(Species_Availability,MATCH($N301,Species_Names,0))="No",INDEX(Species_Evo_Numbers,MATCH($N301,Species_Names,0))&lt;&gt;1),"N/A",RANK($S301,IF(NOT(ISNA(MATCH(Combo_Species_Names,IF(Species_Availability="Yes",IF(Species_Evo_Numbers=1,Species_Names)),0))),Combo_Gym_Offense),0))</f>
        <v>#VALUE!</v>
      </c>
      <c r="J301" s="24" t="e">
        <f t="array" ref="J301">IF(OR(INDEX(Species_Availability,MATCH($N301,Species_Names,0))="No",INDEX(Species_Evo_Numbers,MATCH($N301,Species_Names,0))&lt;&gt;1),"N/A",$S301/MAX(IF(NOT(ISNA(MATCH(Combo_Species_Names,IF(Species_Availability="Yes",IF(Species_Evo_Numbers=1,Species_Names)),0))),Combo_Gym_Offense)))</f>
        <v>#VALUE!</v>
      </c>
      <c r="K301" s="23" t="e">
        <f t="array" ref="K301">IF(OR(INDEX(Species_Availability,MATCH($N301,Species_Names,0))="No",INDEX(Species_Evo_Numbers,MATCH($N301,Species_Names,0))&lt;&gt;1),"N/A",RANK($Y301,IF(NOT(ISNA(MATCH(Combo_Species_Names,IF(Species_Availability="Yes",IF(Species_Evo_Numbers=1,Species_Names)),0))),Combo_Gym_Defense),0))</f>
        <v>#VALUE!</v>
      </c>
      <c r="L301" s="24" t="e">
        <f t="array" ref="L301">IF(OR(INDEX(Species_Availability,MATCH($N301,Species_Names,0))="No",INDEX(Species_Evo_Numbers,MATCH($N301,Species_Names,0))&lt;&gt;1),"N/A",$Y301/MAX(IF(NOT(ISNA(MATCH(Combo_Species_Names,IF(Species_Availability="Yes",IF(Species_Evo_Numbers=1,Species_Names)),0))),Combo_Gym_Defense)))</f>
        <v>#VALUE!</v>
      </c>
      <c r="M301" s="28">
        <f t="array" ref="M301">INDEX(Species_Pdex_Numbers,MATCH($N301,Species_Names,0))</f>
        <v>24</v>
      </c>
      <c r="N301" s="30" t="s">
        <v>134</v>
      </c>
      <c r="O301" s="31" t="s">
        <v>110</v>
      </c>
      <c r="P301" s="31" t="s">
        <v>186</v>
      </c>
      <c r="Q301" s="17" t="e">
        <f t="shared" si="8"/>
        <v>#VALUE!</v>
      </c>
      <c r="R301" s="32" t="e">
        <f t="array" ref="R301">IF(OR(AND(COUNTBLANK(Combo_Opponent_Type_1)=1,COUNTBLANK(Combo_Opponent_Type_2)=0),AND(AND(COUNTBLANK(Combo_Opponent_Type_1)=0,COUNTBLANK(Combo_Opponent_Type_2)=0),Combo_Opponent_Type_1=Combo_Opponent_Type_2)),
"Check Types",($S301*INDEX(Species_Tankiness,MATCH($N301,Species_Names,0)))/225)</f>
        <v>#VALUE!</v>
      </c>
      <c r="S301" s="32" t="e">
        <f t="array" ref="S301">IF(OR(AND(COUNTBLANK(Combo_Opponent_Type_1)=1,COUNTBLANK(Combo_Opponent_Type_2)=0),AND(AND(COUNTBLANK(Combo_Opponent_Type_1)=0,COUNTBLANK(Combo_Opponent_Type_2)=0),Combo_Opponent_Type_1=Combo_Opponent_Type_2)),
"Check Types",(
IF($W301&gt;=((1-Game_Weave_Human_Error)*$X301),$W301,$X301)*INDEX(Species_Attack,MATCH($N301,Species_Names,0)))/11)</f>
        <v>#VALUE!</v>
      </c>
      <c r="T301" s="33" t="e">
        <f t="shared" si="9"/>
        <v>#VALUE!</v>
      </c>
      <c r="U301" s="33">
        <f t="array" ref="U3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301,Quick_Names,0))),Type_Species)),0),1)*IF(COUNTBLANK(Combo_Opponent_Type_2)=0,INDEX(Type_Damage_Multipliers,MATCH(Combo_Opponent_Type_2,IF(Type_Move=(INDEX(Quick_Type,MATCH($O301,Quick_Names,0))),Type_Species)),0),1)*(IF(OR(INDEX(Quick_Type,MATCH($O301,Quick_Names,0))=INDEX(Species_Type_1,MATCH($N301,Species_Names,0)),INDEX(Quick_Type,MATCH($O301,Quick_Names,0))=INDEX(Species_Type_2,MATCH($N301,Species_Names,0))),Game_STAB_Multiplier,1)))</f>
        <v>1.25</v>
      </c>
      <c r="V301" s="33">
        <f t="array" ref="V3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301,Charge_Names,0))),Type_Species)),0),1)*IF(COUNTBLANK(Combo_Opponent_Type_2)=0,INDEX(Type_Damage_Multipliers,MATCH(Combo_Opponent_Type_2,IF(Type_Move=(INDEX(Charge_Type,MATCH($P301,Charge_Names,0))),Type_Species)),0),1)*
IF(OR(INDEX(Charge_Type,MATCH($P301,Charge_Names,0))=INDEX(Species_Type_1,MATCH($N301,Species_Names,0)),INDEX(Charge_Type,MATCH($P301,Charge_Names,0))=INDEX(Species_Type_2,MATCH($N301,Species_Names,0))),Game_STAB_Multiplier,1))</f>
        <v>1.25</v>
      </c>
      <c r="W301" s="33" t="s">
        <v>511</v>
      </c>
      <c r="X301" s="33" t="s">
        <v>523</v>
      </c>
      <c r="Y301" s="32" t="e">
        <f t="array" ref="Y301">((($Z301)*
INDEX(Species_Attack,MATCH($N301,Species_Names,0))*
INDEX(Species_Tankiness,MATCH($N301,Species_Names,0)))/1000)</f>
        <v>#VALUE!</v>
      </c>
      <c r="Z301" s="33" t="s">
        <v>524</v>
      </c>
    </row>
    <row r="302" spans="1:26" ht="14.25" customHeight="1" x14ac:dyDescent="0.2">
      <c r="A302" s="86"/>
      <c r="B302" s="22" t="str">
        <f t="array" ref="B302">CONCATENATE(TEXT($M302,"000"),".",TEXT(INDEX(Quick_Number,MATCH($O302,Quick_Names,0)),"000"),".",TEXT(INDEX(Charge_Number,MATCH($P302,Charge_Names,0)),"000"))</f>
        <v>127.200.054</v>
      </c>
      <c r="C302" s="23" t="e">
        <f t="array" ref="C302">RANK($S302,IF(Combo_Species_Names=$N302,Combo_Gym_Offense),0)</f>
        <v>#VALUE!</v>
      </c>
      <c r="D302" s="24" t="e">
        <f t="array" ref="D302">$S302/MAX(IF(Combo_Species_Names=$N302,Combo_Gym_Offense))</f>
        <v>#VALUE!</v>
      </c>
      <c r="E302" s="23" t="e">
        <f t="array" ref="E302">RANK($Y302,IF(Combo_Species_Names=$N302,Combo_Gym_Defense),0)</f>
        <v>#VALUE!</v>
      </c>
      <c r="F302" s="25" t="e">
        <f t="array" ref="F302">$Y302/MAX(IF(Combo_Species_Names=$N302,Combo_Gym_Defense))</f>
        <v>#VALUE!</v>
      </c>
      <c r="G302" s="23" t="e">
        <f t="array" ref="G302">IF(OR(INDEX(Species_Availability,MATCH($N302,Species_Names,0))="No",INDEX(Species_Evo_Numbers,MATCH($N302,Species_Names,0))&lt;&gt;1),"N/A",RANK($R302,IF(NOT(ISNA(MATCH(Combo_Species_Names,IF(Species_Availability="Yes",IF(Species_Evo_Numbers=1,Species_Names)),0))),Combo_Duel_Ability),0))</f>
        <v>#VALUE!</v>
      </c>
      <c r="H302" s="24" t="e">
        <f t="array" ref="H302">IF(OR(INDEX(Species_Availability,MATCH($N302,Species_Names,0))="No",INDEX(Species_Evo_Numbers,MATCH($N302,Species_Names,0))&lt;&gt;1),"N/A",$R302/MAX(IF(NOT(ISNA(MATCH(Combo_Species_Names,IF(Species_Availability="Yes",IF(Species_Evo_Numbers=1,Species_Names)),0))),Combo_Duel_Ability)))</f>
        <v>#VALUE!</v>
      </c>
      <c r="I302" s="23" t="e">
        <f t="array" ref="I302">IF(OR(INDEX(Species_Availability,MATCH($N302,Species_Names,0))="No",INDEX(Species_Evo_Numbers,MATCH($N302,Species_Names,0))&lt;&gt;1),"N/A",RANK($S302,IF(NOT(ISNA(MATCH(Combo_Species_Names,IF(Species_Availability="Yes",IF(Species_Evo_Numbers=1,Species_Names)),0))),Combo_Gym_Offense),0))</f>
        <v>#VALUE!</v>
      </c>
      <c r="J302" s="24" t="e">
        <f t="array" ref="J302">IF(OR(INDEX(Species_Availability,MATCH($N302,Species_Names,0))="No",INDEX(Species_Evo_Numbers,MATCH($N302,Species_Names,0))&lt;&gt;1),"N/A",$S302/MAX(IF(NOT(ISNA(MATCH(Combo_Species_Names,IF(Species_Availability="Yes",IF(Species_Evo_Numbers=1,Species_Names)),0))),Combo_Gym_Offense)))</f>
        <v>#VALUE!</v>
      </c>
      <c r="K302" s="23" t="e">
        <f t="array" ref="K302">IF(OR(INDEX(Species_Availability,MATCH($N302,Species_Names,0))="No",INDEX(Species_Evo_Numbers,MATCH($N302,Species_Names,0))&lt;&gt;1),"N/A",RANK($Y302,IF(NOT(ISNA(MATCH(Combo_Species_Names,IF(Species_Availability="Yes",IF(Species_Evo_Numbers=1,Species_Names)),0))),Combo_Gym_Defense),0))</f>
        <v>#VALUE!</v>
      </c>
      <c r="L302" s="24" t="e">
        <f t="array" ref="L302">IF(OR(INDEX(Species_Availability,MATCH($N302,Species_Names,0))="No",INDEX(Species_Evo_Numbers,MATCH($N302,Species_Names,0))&lt;&gt;1),"N/A",$Y302/MAX(IF(NOT(ISNA(MATCH(Combo_Species_Names,IF(Species_Availability="Yes",IF(Species_Evo_Numbers=1,Species_Names)),0))),Combo_Gym_Defense)))</f>
        <v>#VALUE!</v>
      </c>
      <c r="M302" s="28">
        <f t="array" ref="M302">INDEX(Species_Pdex_Numbers,MATCH($N302,Species_Names,0))</f>
        <v>127</v>
      </c>
      <c r="N302" s="30" t="s">
        <v>344</v>
      </c>
      <c r="O302" s="31" t="s">
        <v>121</v>
      </c>
      <c r="P302" s="31" t="s">
        <v>243</v>
      </c>
      <c r="Q302" s="17" t="e">
        <f t="shared" si="8"/>
        <v>#VALUE!</v>
      </c>
      <c r="R302" s="32" t="e">
        <f t="array" ref="R302">IF(OR(AND(COUNTBLANK(Combo_Opponent_Type_1)=1,COUNTBLANK(Combo_Opponent_Type_2)=0),AND(AND(COUNTBLANK(Combo_Opponent_Type_1)=0,COUNTBLANK(Combo_Opponent_Type_2)=0),Combo_Opponent_Type_1=Combo_Opponent_Type_2)),
"Check Types",($S302*INDEX(Species_Tankiness,MATCH($N302,Species_Names,0)))/225)</f>
        <v>#VALUE!</v>
      </c>
      <c r="S302" s="32" t="e">
        <f t="array" ref="S302">IF(OR(AND(COUNTBLANK(Combo_Opponent_Type_1)=1,COUNTBLANK(Combo_Opponent_Type_2)=0),AND(AND(COUNTBLANK(Combo_Opponent_Type_1)=0,COUNTBLANK(Combo_Opponent_Type_2)=0),Combo_Opponent_Type_1=Combo_Opponent_Type_2)),
"Check Types",(
IF($W302&gt;=((1-Game_Weave_Human_Error)*$X302),$W302,$X302)*INDEX(Species_Attack,MATCH($N302,Species_Names,0)))/11)</f>
        <v>#VALUE!</v>
      </c>
      <c r="T302" s="33" t="e">
        <f t="shared" si="9"/>
        <v>#VALUE!</v>
      </c>
      <c r="U302" s="33">
        <f t="array" ref="U3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302,Quick_Names,0))),Type_Species)),0),1)*IF(COUNTBLANK(Combo_Opponent_Type_2)=0,INDEX(Type_Damage_Multipliers,MATCH(Combo_Opponent_Type_2,IF(Type_Move=(INDEX(Quick_Type,MATCH($O302,Quick_Names,0))),Type_Species)),0),1)*(IF(OR(INDEX(Quick_Type,MATCH($O302,Quick_Names,0))=INDEX(Species_Type_1,MATCH($N302,Species_Names,0)),INDEX(Quick_Type,MATCH($O302,Quick_Names,0))=INDEX(Species_Type_2,MATCH($N302,Species_Names,0))),Game_STAB_Multiplier,1)))</f>
        <v>1.25</v>
      </c>
      <c r="V302" s="33">
        <f t="array" ref="V3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302,Charge_Names,0))),Type_Species)),0),1)*IF(COUNTBLANK(Combo_Opponent_Type_2)=0,INDEX(Type_Damage_Multipliers,MATCH(Combo_Opponent_Type_2,IF(Type_Move=(INDEX(Charge_Type,MATCH($P302,Charge_Names,0))),Type_Species)),0),1)*
IF(OR(INDEX(Charge_Type,MATCH($P302,Charge_Names,0))=INDEX(Species_Type_1,MATCH($N302,Species_Names,0)),INDEX(Charge_Type,MATCH($P302,Charge_Names,0))=INDEX(Species_Type_2,MATCH($N302,Species_Names,0))),Game_STAB_Multiplier,1))</f>
        <v>1</v>
      </c>
      <c r="W302" s="33" t="s">
        <v>564</v>
      </c>
      <c r="X302" s="33" t="s">
        <v>805</v>
      </c>
      <c r="Y302" s="32" t="e">
        <f t="array" ref="Y302">((($Z302)*
INDEX(Species_Attack,MATCH($N302,Species_Names,0))*
INDEX(Species_Tankiness,MATCH($N302,Species_Names,0)))/1000)</f>
        <v>#VALUE!</v>
      </c>
      <c r="Z302" s="33" t="s">
        <v>806</v>
      </c>
    </row>
    <row r="303" spans="1:26" ht="14.25" customHeight="1" x14ac:dyDescent="0.2">
      <c r="A303" s="86"/>
      <c r="B303" s="22" t="str">
        <f t="array" ref="B303">CONCATENATE(TEXT($M303,"000"),".",TEXT(INDEX(Quick_Number,MATCH($O303,Quick_Names,0)),"000"),".",TEXT(INDEX(Charge_Number,MATCH($P303,Charge_Names,0)),"000"))</f>
        <v>057.208.028</v>
      </c>
      <c r="C303" s="23" t="e">
        <f t="array" ref="C303">RANK($S303,IF(Combo_Species_Names=$N303,Combo_Gym_Offense),0)</f>
        <v>#VALUE!</v>
      </c>
      <c r="D303" s="24" t="e">
        <f t="array" ref="D303">$S303/MAX(IF(Combo_Species_Names=$N303,Combo_Gym_Offense))</f>
        <v>#VALUE!</v>
      </c>
      <c r="E303" s="23" t="e">
        <f t="array" ref="E303">RANK($Y303,IF(Combo_Species_Names=$N303,Combo_Gym_Defense),0)</f>
        <v>#VALUE!</v>
      </c>
      <c r="F303" s="25" t="e">
        <f t="array" ref="F303">$Y303/MAX(IF(Combo_Species_Names=$N303,Combo_Gym_Defense))</f>
        <v>#VALUE!</v>
      </c>
      <c r="G303" s="23" t="e">
        <f t="array" ref="G303">IF(OR(INDEX(Species_Availability,MATCH($N303,Species_Names,0))="No",INDEX(Species_Evo_Numbers,MATCH($N303,Species_Names,0))&lt;&gt;1),"N/A",RANK($R303,IF(NOT(ISNA(MATCH(Combo_Species_Names,IF(Species_Availability="Yes",IF(Species_Evo_Numbers=1,Species_Names)),0))),Combo_Duel_Ability),0))</f>
        <v>#VALUE!</v>
      </c>
      <c r="H303" s="24" t="e">
        <f t="array" ref="H303">IF(OR(INDEX(Species_Availability,MATCH($N303,Species_Names,0))="No",INDEX(Species_Evo_Numbers,MATCH($N303,Species_Names,0))&lt;&gt;1),"N/A",$R303/MAX(IF(NOT(ISNA(MATCH(Combo_Species_Names,IF(Species_Availability="Yes",IF(Species_Evo_Numbers=1,Species_Names)),0))),Combo_Duel_Ability)))</f>
        <v>#VALUE!</v>
      </c>
      <c r="I303" s="23" t="e">
        <f t="array" ref="I303">IF(OR(INDEX(Species_Availability,MATCH($N303,Species_Names,0))="No",INDEX(Species_Evo_Numbers,MATCH($N303,Species_Names,0))&lt;&gt;1),"N/A",RANK($S303,IF(NOT(ISNA(MATCH(Combo_Species_Names,IF(Species_Availability="Yes",IF(Species_Evo_Numbers=1,Species_Names)),0))),Combo_Gym_Offense),0))</f>
        <v>#VALUE!</v>
      </c>
      <c r="J303" s="24" t="e">
        <f t="array" ref="J303">IF(OR(INDEX(Species_Availability,MATCH($N303,Species_Names,0))="No",INDEX(Species_Evo_Numbers,MATCH($N303,Species_Names,0))&lt;&gt;1),"N/A",$S303/MAX(IF(NOT(ISNA(MATCH(Combo_Species_Names,IF(Species_Availability="Yes",IF(Species_Evo_Numbers=1,Species_Names)),0))),Combo_Gym_Offense)))</f>
        <v>#VALUE!</v>
      </c>
      <c r="K303" s="23" t="e">
        <f t="array" ref="K303">IF(OR(INDEX(Species_Availability,MATCH($N303,Species_Names,0))="No",INDEX(Species_Evo_Numbers,MATCH($N303,Species_Names,0))&lt;&gt;1),"N/A",RANK($Y303,IF(NOT(ISNA(MATCH(Combo_Species_Names,IF(Species_Availability="Yes",IF(Species_Evo_Numbers=1,Species_Names)),0))),Combo_Gym_Defense),0))</f>
        <v>#VALUE!</v>
      </c>
      <c r="L303" s="24" t="e">
        <f t="array" ref="L303">IF(OR(INDEX(Species_Availability,MATCH($N303,Species_Names,0))="No",INDEX(Species_Evo_Numbers,MATCH($N303,Species_Names,0))&lt;&gt;1),"N/A",$Y303/MAX(IF(NOT(ISNA(MATCH(Combo_Species_Names,IF(Species_Availability="Yes",IF(Species_Evo_Numbers=1,Species_Names)),0))),Combo_Gym_Defense)))</f>
        <v>#VALUE!</v>
      </c>
      <c r="M303" s="28">
        <f t="array" ref="M303">INDEX(Species_Pdex_Numbers,MATCH($N303,Species_Names,0))</f>
        <v>57</v>
      </c>
      <c r="N303" s="30" t="s">
        <v>203</v>
      </c>
      <c r="O303" s="31" t="s">
        <v>122</v>
      </c>
      <c r="P303" s="31" t="s">
        <v>146</v>
      </c>
      <c r="Q303" s="17" t="e">
        <f t="shared" si="8"/>
        <v>#VALUE!</v>
      </c>
      <c r="R303" s="32" t="e">
        <f t="array" ref="R303">IF(OR(AND(COUNTBLANK(Combo_Opponent_Type_1)=1,COUNTBLANK(Combo_Opponent_Type_2)=0),AND(AND(COUNTBLANK(Combo_Opponent_Type_1)=0,COUNTBLANK(Combo_Opponent_Type_2)=0),Combo_Opponent_Type_1=Combo_Opponent_Type_2)),
"Check Types",($S303*INDEX(Species_Tankiness,MATCH($N303,Species_Names,0)))/225)</f>
        <v>#VALUE!</v>
      </c>
      <c r="S303" s="32" t="e">
        <f t="array" ref="S303">IF(OR(AND(COUNTBLANK(Combo_Opponent_Type_1)=1,COUNTBLANK(Combo_Opponent_Type_2)=0),AND(AND(COUNTBLANK(Combo_Opponent_Type_1)=0,COUNTBLANK(Combo_Opponent_Type_2)=0),Combo_Opponent_Type_1=Combo_Opponent_Type_2)),
"Check Types",(
IF($W303&gt;=((1-Game_Weave_Human_Error)*$X303),$W303,$X303)*INDEX(Species_Attack,MATCH($N303,Species_Names,0)))/11)</f>
        <v>#VALUE!</v>
      </c>
      <c r="T303" s="33" t="e">
        <f t="shared" si="9"/>
        <v>#VALUE!</v>
      </c>
      <c r="U303" s="33">
        <f t="array" ref="U3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303,Quick_Names,0))),Type_Species)),0),1)*IF(COUNTBLANK(Combo_Opponent_Type_2)=0,INDEX(Type_Damage_Multipliers,MATCH(Combo_Opponent_Type_2,IF(Type_Move=(INDEX(Quick_Type,MATCH($O303,Quick_Names,0))),Type_Species)),0),1)*(IF(OR(INDEX(Quick_Type,MATCH($O303,Quick_Names,0))=INDEX(Species_Type_1,MATCH($N303,Species_Names,0)),INDEX(Quick_Type,MATCH($O303,Quick_Names,0))=INDEX(Species_Type_2,MATCH($N303,Species_Names,0))),Game_STAB_Multiplier,1)))</f>
        <v>1.25</v>
      </c>
      <c r="V303" s="33">
        <f t="array" ref="V3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303,Charge_Names,0))),Type_Species)),0),1)*IF(COUNTBLANK(Combo_Opponent_Type_2)=0,INDEX(Type_Damage_Multipliers,MATCH(Combo_Opponent_Type_2,IF(Type_Move=(INDEX(Charge_Type,MATCH($P303,Charge_Names,0))),Type_Species)),0),1)*
IF(OR(INDEX(Charge_Type,MATCH($P303,Charge_Names,0))=INDEX(Species_Type_1,MATCH($N303,Species_Names,0)),INDEX(Charge_Type,MATCH($P303,Charge_Names,0))=INDEX(Species_Type_2,MATCH($N303,Species_Names,0))),Game_STAB_Multiplier,1))</f>
        <v>1.25</v>
      </c>
      <c r="W303" s="33" t="s">
        <v>564</v>
      </c>
      <c r="X303" s="33" t="s">
        <v>579</v>
      </c>
      <c r="Y303" s="32" t="e">
        <f t="array" ref="Y303">((($Z303)*
INDEX(Species_Attack,MATCH($N303,Species_Names,0))*
INDEX(Species_Tankiness,MATCH($N303,Species_Names,0)))/1000)</f>
        <v>#VALUE!</v>
      </c>
      <c r="Z303" s="33" t="s">
        <v>580</v>
      </c>
    </row>
    <row r="304" spans="1:26" ht="14.25" customHeight="1" x14ac:dyDescent="0.2">
      <c r="A304" s="86"/>
      <c r="B304" s="22" t="str">
        <f t="array" ref="B304">CONCATENATE(TEXT($M304,"000"),".",TEXT(INDEX(Quick_Number,MATCH($O304,Quick_Names,0)),"000"),".",TEXT(INDEX(Charge_Number,MATCH($P304,Charge_Names,0)),"000"))</f>
        <v>105.233.094</v>
      </c>
      <c r="C304" s="23" t="e">
        <f t="array" ref="C304">RANK($S304,IF(Combo_Species_Names=$N304,Combo_Gym_Offense),0)</f>
        <v>#VALUE!</v>
      </c>
      <c r="D304" s="24" t="e">
        <f t="array" ref="D304">$S304/MAX(IF(Combo_Species_Names=$N304,Combo_Gym_Offense))</f>
        <v>#VALUE!</v>
      </c>
      <c r="E304" s="23" t="e">
        <f t="array" ref="E304">RANK($Y304,IF(Combo_Species_Names=$N304,Combo_Gym_Defense),0)</f>
        <v>#VALUE!</v>
      </c>
      <c r="F304" s="25" t="e">
        <f t="array" ref="F304">$Y304/MAX(IF(Combo_Species_Names=$N304,Combo_Gym_Defense))</f>
        <v>#VALUE!</v>
      </c>
      <c r="G304" s="23" t="e">
        <f t="array" ref="G304">IF(OR(INDEX(Species_Availability,MATCH($N304,Species_Names,0))="No",INDEX(Species_Evo_Numbers,MATCH($N304,Species_Names,0))&lt;&gt;1),"N/A",RANK($R304,IF(NOT(ISNA(MATCH(Combo_Species_Names,IF(Species_Availability="Yes",IF(Species_Evo_Numbers=1,Species_Names)),0))),Combo_Duel_Ability),0))</f>
        <v>#VALUE!</v>
      </c>
      <c r="H304" s="24" t="e">
        <f t="array" ref="H304">IF(OR(INDEX(Species_Availability,MATCH($N304,Species_Names,0))="No",INDEX(Species_Evo_Numbers,MATCH($N304,Species_Names,0))&lt;&gt;1),"N/A",$R304/MAX(IF(NOT(ISNA(MATCH(Combo_Species_Names,IF(Species_Availability="Yes",IF(Species_Evo_Numbers=1,Species_Names)),0))),Combo_Duel_Ability)))</f>
        <v>#VALUE!</v>
      </c>
      <c r="I304" s="23" t="e">
        <f t="array" ref="I304">IF(OR(INDEX(Species_Availability,MATCH($N304,Species_Names,0))="No",INDEX(Species_Evo_Numbers,MATCH($N304,Species_Names,0))&lt;&gt;1),"N/A",RANK($S304,IF(NOT(ISNA(MATCH(Combo_Species_Names,IF(Species_Availability="Yes",IF(Species_Evo_Numbers=1,Species_Names)),0))),Combo_Gym_Offense),0))</f>
        <v>#VALUE!</v>
      </c>
      <c r="J304" s="24" t="e">
        <f t="array" ref="J304">IF(OR(INDEX(Species_Availability,MATCH($N304,Species_Names,0))="No",INDEX(Species_Evo_Numbers,MATCH($N304,Species_Names,0))&lt;&gt;1),"N/A",$S304/MAX(IF(NOT(ISNA(MATCH(Combo_Species_Names,IF(Species_Availability="Yes",IF(Species_Evo_Numbers=1,Species_Names)),0))),Combo_Gym_Offense)))</f>
        <v>#VALUE!</v>
      </c>
      <c r="K304" s="23" t="e">
        <f t="array" ref="K304">IF(OR(INDEX(Species_Availability,MATCH($N304,Species_Names,0))="No",INDEX(Species_Evo_Numbers,MATCH($N304,Species_Names,0))&lt;&gt;1),"N/A",RANK($Y304,IF(NOT(ISNA(MATCH(Combo_Species_Names,IF(Species_Availability="Yes",IF(Species_Evo_Numbers=1,Species_Names)),0))),Combo_Gym_Defense),0))</f>
        <v>#VALUE!</v>
      </c>
      <c r="L304" s="24" t="e">
        <f t="array" ref="L304">IF(OR(INDEX(Species_Availability,MATCH($N304,Species_Names,0))="No",INDEX(Species_Evo_Numbers,MATCH($N304,Species_Names,0))&lt;&gt;1),"N/A",$Y304/MAX(IF(NOT(ISNA(MATCH(Combo_Species_Names,IF(Species_Availability="Yes",IF(Species_Evo_Numbers=1,Species_Names)),0))),Combo_Gym_Defense)))</f>
        <v>#VALUE!</v>
      </c>
      <c r="M304" s="28">
        <f t="array" ref="M304">INDEX(Species_Pdex_Numbers,MATCH($N304,Species_Names,0))</f>
        <v>105</v>
      </c>
      <c r="N304" s="30" t="s">
        <v>313</v>
      </c>
      <c r="O304" s="31" t="s">
        <v>84</v>
      </c>
      <c r="P304" s="31" t="s">
        <v>224</v>
      </c>
      <c r="Q304" s="17" t="e">
        <f t="shared" si="8"/>
        <v>#VALUE!</v>
      </c>
      <c r="R304" s="32" t="e">
        <f t="array" ref="R304">IF(OR(AND(COUNTBLANK(Combo_Opponent_Type_1)=1,COUNTBLANK(Combo_Opponent_Type_2)=0),AND(AND(COUNTBLANK(Combo_Opponent_Type_1)=0,COUNTBLANK(Combo_Opponent_Type_2)=0),Combo_Opponent_Type_1=Combo_Opponent_Type_2)),
"Check Types",($S304*INDEX(Species_Tankiness,MATCH($N304,Species_Names,0)))/225)</f>
        <v>#VALUE!</v>
      </c>
      <c r="S304" s="32" t="e">
        <f t="array" ref="S304">IF(OR(AND(COUNTBLANK(Combo_Opponent_Type_1)=1,COUNTBLANK(Combo_Opponent_Type_2)=0),AND(AND(COUNTBLANK(Combo_Opponent_Type_1)=0,COUNTBLANK(Combo_Opponent_Type_2)=0),Combo_Opponent_Type_1=Combo_Opponent_Type_2)),
"Check Types",(
IF($W304&gt;=((1-Game_Weave_Human_Error)*$X304),$W304,$X304)*INDEX(Species_Attack,MATCH($N304,Species_Names,0)))/11)</f>
        <v>#VALUE!</v>
      </c>
      <c r="T304" s="33" t="e">
        <f t="shared" si="9"/>
        <v>#VALUE!</v>
      </c>
      <c r="U304" s="33">
        <f t="array" ref="U3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304,Quick_Names,0))),Type_Species)),0),1)*IF(COUNTBLANK(Combo_Opponent_Type_2)=0,INDEX(Type_Damage_Multipliers,MATCH(Combo_Opponent_Type_2,IF(Type_Move=(INDEX(Quick_Type,MATCH($O304,Quick_Names,0))),Type_Species)),0),1)*(IF(OR(INDEX(Quick_Type,MATCH($O304,Quick_Names,0))=INDEX(Species_Type_1,MATCH($N304,Species_Names,0)),INDEX(Quick_Type,MATCH($O304,Quick_Names,0))=INDEX(Species_Type_2,MATCH($N304,Species_Names,0))),Game_STAB_Multiplier,1)))</f>
        <v>1.25</v>
      </c>
      <c r="V304" s="33">
        <f t="array" ref="V3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304,Charge_Names,0))),Type_Species)),0),1)*IF(COUNTBLANK(Combo_Opponent_Type_2)=0,INDEX(Type_Damage_Multipliers,MATCH(Combo_Opponent_Type_2,IF(Type_Move=(INDEX(Charge_Type,MATCH($P304,Charge_Names,0))),Type_Species)),0),1)*
IF(OR(INDEX(Charge_Type,MATCH($P304,Charge_Names,0))=INDEX(Species_Type_1,MATCH($N304,Species_Names,0)),INDEX(Charge_Type,MATCH($P304,Charge_Names,0))=INDEX(Species_Type_2,MATCH($N304,Species_Names,0))),Game_STAB_Multiplier,1))</f>
        <v>1.25</v>
      </c>
      <c r="W304" s="33" t="s">
        <v>436</v>
      </c>
      <c r="X304" s="33" t="s">
        <v>541</v>
      </c>
      <c r="Y304" s="32" t="e">
        <f t="array" ref="Y304">((($Z304)*
INDEX(Species_Attack,MATCH($N304,Species_Names,0))*
INDEX(Species_Tankiness,MATCH($N304,Species_Names,0)))/1000)</f>
        <v>#VALUE!</v>
      </c>
      <c r="Z304" s="33" t="s">
        <v>807</v>
      </c>
    </row>
    <row r="305" spans="1:26" ht="14.25" customHeight="1" x14ac:dyDescent="0.2">
      <c r="A305" s="86"/>
      <c r="B305" s="22" t="str">
        <f t="array" ref="B305">CONCATENATE(TEXT($M305,"000"),".",TEXT(INDEX(Quick_Number,MATCH($O305,Quick_Names,0)),"000"),".",TEXT(INDEX(Charge_Number,MATCH($P305,Charge_Names,0)),"000"))</f>
        <v>105.233.026</v>
      </c>
      <c r="C305" s="23" t="e">
        <f t="array" ref="C305">RANK($S305,IF(Combo_Species_Names=$N305,Combo_Gym_Offense),0)</f>
        <v>#VALUE!</v>
      </c>
      <c r="D305" s="24" t="e">
        <f t="array" ref="D305">$S305/MAX(IF(Combo_Species_Names=$N305,Combo_Gym_Offense))</f>
        <v>#VALUE!</v>
      </c>
      <c r="E305" s="23" t="e">
        <f t="array" ref="E305">RANK($Y305,IF(Combo_Species_Names=$N305,Combo_Gym_Defense),0)</f>
        <v>#VALUE!</v>
      </c>
      <c r="F305" s="25" t="e">
        <f t="array" ref="F305">$Y305/MAX(IF(Combo_Species_Names=$N305,Combo_Gym_Defense))</f>
        <v>#VALUE!</v>
      </c>
      <c r="G305" s="23" t="e">
        <f t="array" ref="G305">IF(OR(INDEX(Species_Availability,MATCH($N305,Species_Names,0))="No",INDEX(Species_Evo_Numbers,MATCH($N305,Species_Names,0))&lt;&gt;1),"N/A",RANK($R305,IF(NOT(ISNA(MATCH(Combo_Species_Names,IF(Species_Availability="Yes",IF(Species_Evo_Numbers=1,Species_Names)),0))),Combo_Duel_Ability),0))</f>
        <v>#VALUE!</v>
      </c>
      <c r="H305" s="24" t="e">
        <f t="array" ref="H305">IF(OR(INDEX(Species_Availability,MATCH($N305,Species_Names,0))="No",INDEX(Species_Evo_Numbers,MATCH($N305,Species_Names,0))&lt;&gt;1),"N/A",$R305/MAX(IF(NOT(ISNA(MATCH(Combo_Species_Names,IF(Species_Availability="Yes",IF(Species_Evo_Numbers=1,Species_Names)),0))),Combo_Duel_Ability)))</f>
        <v>#VALUE!</v>
      </c>
      <c r="I305" s="23" t="e">
        <f t="array" ref="I305">IF(OR(INDEX(Species_Availability,MATCH($N305,Species_Names,0))="No",INDEX(Species_Evo_Numbers,MATCH($N305,Species_Names,0))&lt;&gt;1),"N/A",RANK($S305,IF(NOT(ISNA(MATCH(Combo_Species_Names,IF(Species_Availability="Yes",IF(Species_Evo_Numbers=1,Species_Names)),0))),Combo_Gym_Offense),0))</f>
        <v>#VALUE!</v>
      </c>
      <c r="J305" s="24" t="e">
        <f t="array" ref="J305">IF(OR(INDEX(Species_Availability,MATCH($N305,Species_Names,0))="No",INDEX(Species_Evo_Numbers,MATCH($N305,Species_Names,0))&lt;&gt;1),"N/A",$S305/MAX(IF(NOT(ISNA(MATCH(Combo_Species_Names,IF(Species_Availability="Yes",IF(Species_Evo_Numbers=1,Species_Names)),0))),Combo_Gym_Offense)))</f>
        <v>#VALUE!</v>
      </c>
      <c r="K305" s="23" t="e">
        <f t="array" ref="K305">IF(OR(INDEX(Species_Availability,MATCH($N305,Species_Names,0))="No",INDEX(Species_Evo_Numbers,MATCH($N305,Species_Names,0))&lt;&gt;1),"N/A",RANK($Y305,IF(NOT(ISNA(MATCH(Combo_Species_Names,IF(Species_Availability="Yes",IF(Species_Evo_Numbers=1,Species_Names)),0))),Combo_Gym_Defense),0))</f>
        <v>#VALUE!</v>
      </c>
      <c r="L305" s="24" t="e">
        <f t="array" ref="L305">IF(OR(INDEX(Species_Availability,MATCH($N305,Species_Names,0))="No",INDEX(Species_Evo_Numbers,MATCH($N305,Species_Names,0))&lt;&gt;1),"N/A",$Y305/MAX(IF(NOT(ISNA(MATCH(Combo_Species_Names,IF(Species_Availability="Yes",IF(Species_Evo_Numbers=1,Species_Names)),0))),Combo_Gym_Defense)))</f>
        <v>#VALUE!</v>
      </c>
      <c r="M305" s="28">
        <f t="array" ref="M305">INDEX(Species_Pdex_Numbers,MATCH($N305,Species_Names,0))</f>
        <v>105</v>
      </c>
      <c r="N305" s="30" t="s">
        <v>313</v>
      </c>
      <c r="O305" s="31" t="s">
        <v>84</v>
      </c>
      <c r="P305" s="31" t="s">
        <v>264</v>
      </c>
      <c r="Q305" s="17" t="e">
        <f t="shared" si="8"/>
        <v>#VALUE!</v>
      </c>
      <c r="R305" s="32" t="e">
        <f t="array" ref="R305">IF(OR(AND(COUNTBLANK(Combo_Opponent_Type_1)=1,COUNTBLANK(Combo_Opponent_Type_2)=0),AND(AND(COUNTBLANK(Combo_Opponent_Type_1)=0,COUNTBLANK(Combo_Opponent_Type_2)=0),Combo_Opponent_Type_1=Combo_Opponent_Type_2)),
"Check Types",($S305*INDEX(Species_Tankiness,MATCH($N305,Species_Names,0)))/225)</f>
        <v>#VALUE!</v>
      </c>
      <c r="S305" s="32" t="e">
        <f t="array" ref="S305">IF(OR(AND(COUNTBLANK(Combo_Opponent_Type_1)=1,COUNTBLANK(Combo_Opponent_Type_2)=0),AND(AND(COUNTBLANK(Combo_Opponent_Type_1)=0,COUNTBLANK(Combo_Opponent_Type_2)=0),Combo_Opponent_Type_1=Combo_Opponent_Type_2)),
"Check Types",(
IF($W305&gt;=((1-Game_Weave_Human_Error)*$X305),$W305,$X305)*INDEX(Species_Attack,MATCH($N305,Species_Names,0)))/11)</f>
        <v>#VALUE!</v>
      </c>
      <c r="T305" s="33" t="e">
        <f t="shared" si="9"/>
        <v>#VALUE!</v>
      </c>
      <c r="U305" s="33">
        <f t="array" ref="U3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305,Quick_Names,0))),Type_Species)),0),1)*IF(COUNTBLANK(Combo_Opponent_Type_2)=0,INDEX(Type_Damage_Multipliers,MATCH(Combo_Opponent_Type_2,IF(Type_Move=(INDEX(Quick_Type,MATCH($O305,Quick_Names,0))),Type_Species)),0),1)*(IF(OR(INDEX(Quick_Type,MATCH($O305,Quick_Names,0))=INDEX(Species_Type_1,MATCH($N305,Species_Names,0)),INDEX(Quick_Type,MATCH($O305,Quick_Names,0))=INDEX(Species_Type_2,MATCH($N305,Species_Names,0))),Game_STAB_Multiplier,1)))</f>
        <v>1.25</v>
      </c>
      <c r="V305" s="33">
        <f t="array" ref="V3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305,Charge_Names,0))),Type_Species)),0),1)*IF(COUNTBLANK(Combo_Opponent_Type_2)=0,INDEX(Type_Damage_Multipliers,MATCH(Combo_Opponent_Type_2,IF(Type_Move=(INDEX(Charge_Type,MATCH($P305,Charge_Names,0))),Type_Species)),0),1)*
IF(OR(INDEX(Charge_Type,MATCH($P305,Charge_Names,0))=INDEX(Species_Type_1,MATCH($N305,Species_Names,0)),INDEX(Charge_Type,MATCH($P305,Charge_Names,0))=INDEX(Species_Type_2,MATCH($N305,Species_Names,0))),Game_STAB_Multiplier,1))</f>
        <v>1.25</v>
      </c>
      <c r="W305" s="33" t="s">
        <v>436</v>
      </c>
      <c r="X305" s="33" t="s">
        <v>808</v>
      </c>
      <c r="Y305" s="32" t="e">
        <f t="array" ref="Y305">((($Z305)*
INDEX(Species_Attack,MATCH($N305,Species_Names,0))*
INDEX(Species_Tankiness,MATCH($N305,Species_Names,0)))/1000)</f>
        <v>#VALUE!</v>
      </c>
      <c r="Z305" s="33" t="s">
        <v>809</v>
      </c>
    </row>
    <row r="306" spans="1:26" ht="14.25" customHeight="1" x14ac:dyDescent="0.2">
      <c r="A306" s="86"/>
      <c r="B306" s="22" t="str">
        <f t="array" ref="B306">CONCATENATE(TEXT($M306,"000"),".",TEXT(INDEX(Quick_Number,MATCH($O306,Quick_Names,0)),"000"),".",TEXT(INDEX(Charge_Number,MATCH($P306,Charge_Names,0)),"000"))</f>
        <v>141.216.062</v>
      </c>
      <c r="C306" s="23" t="e">
        <f t="array" ref="C306">RANK($S306,IF(Combo_Species_Names=$N306,Combo_Gym_Offense),0)</f>
        <v>#VALUE!</v>
      </c>
      <c r="D306" s="24" t="e">
        <f t="array" ref="D306">$S306/MAX(IF(Combo_Species_Names=$N306,Combo_Gym_Offense))</f>
        <v>#VALUE!</v>
      </c>
      <c r="E306" s="23" t="e">
        <f t="array" ref="E306">RANK($Y306,IF(Combo_Species_Names=$N306,Combo_Gym_Defense),0)</f>
        <v>#VALUE!</v>
      </c>
      <c r="F306" s="25" t="e">
        <f t="array" ref="F306">$Y306/MAX(IF(Combo_Species_Names=$N306,Combo_Gym_Defense))</f>
        <v>#VALUE!</v>
      </c>
      <c r="G306" s="23" t="e">
        <f t="array" ref="G306">IF(OR(INDEX(Species_Availability,MATCH($N306,Species_Names,0))="No",INDEX(Species_Evo_Numbers,MATCH($N306,Species_Names,0))&lt;&gt;1),"N/A",RANK($R306,IF(NOT(ISNA(MATCH(Combo_Species_Names,IF(Species_Availability="Yes",IF(Species_Evo_Numbers=1,Species_Names)),0))),Combo_Duel_Ability),0))</f>
        <v>#VALUE!</v>
      </c>
      <c r="H306" s="24" t="e">
        <f t="array" ref="H306">IF(OR(INDEX(Species_Availability,MATCH($N306,Species_Names,0))="No",INDEX(Species_Evo_Numbers,MATCH($N306,Species_Names,0))&lt;&gt;1),"N/A",$R306/MAX(IF(NOT(ISNA(MATCH(Combo_Species_Names,IF(Species_Availability="Yes",IF(Species_Evo_Numbers=1,Species_Names)),0))),Combo_Duel_Ability)))</f>
        <v>#VALUE!</v>
      </c>
      <c r="I306" s="23" t="e">
        <f t="array" ref="I306">IF(OR(INDEX(Species_Availability,MATCH($N306,Species_Names,0))="No",INDEX(Species_Evo_Numbers,MATCH($N306,Species_Names,0))&lt;&gt;1),"N/A",RANK($S306,IF(NOT(ISNA(MATCH(Combo_Species_Names,IF(Species_Availability="Yes",IF(Species_Evo_Numbers=1,Species_Names)),0))),Combo_Gym_Offense),0))</f>
        <v>#VALUE!</v>
      </c>
      <c r="J306" s="24" t="e">
        <f t="array" ref="J306">IF(OR(INDEX(Species_Availability,MATCH($N306,Species_Names,0))="No",INDEX(Species_Evo_Numbers,MATCH($N306,Species_Names,0))&lt;&gt;1),"N/A",$S306/MAX(IF(NOT(ISNA(MATCH(Combo_Species_Names,IF(Species_Availability="Yes",IF(Species_Evo_Numbers=1,Species_Names)),0))),Combo_Gym_Offense)))</f>
        <v>#VALUE!</v>
      </c>
      <c r="K306" s="23" t="e">
        <f t="array" ref="K306">IF(OR(INDEX(Species_Availability,MATCH($N306,Species_Names,0))="No",INDEX(Species_Evo_Numbers,MATCH($N306,Species_Names,0))&lt;&gt;1),"N/A",RANK($Y306,IF(NOT(ISNA(MATCH(Combo_Species_Names,IF(Species_Availability="Yes",IF(Species_Evo_Numbers=1,Species_Names)),0))),Combo_Gym_Defense),0))</f>
        <v>#VALUE!</v>
      </c>
      <c r="L306" s="24" t="e">
        <f t="array" ref="L306">IF(OR(INDEX(Species_Availability,MATCH($N306,Species_Names,0))="No",INDEX(Species_Evo_Numbers,MATCH($N306,Species_Names,0))&lt;&gt;1),"N/A",$Y306/MAX(IF(NOT(ISNA(MATCH(Combo_Species_Names,IF(Species_Availability="Yes",IF(Species_Evo_Numbers=1,Species_Names)),0))),Combo_Gym_Defense)))</f>
        <v>#VALUE!</v>
      </c>
      <c r="M306" s="28">
        <f t="array" ref="M306">INDEX(Species_Pdex_Numbers,MATCH($N306,Species_Names,0))</f>
        <v>141</v>
      </c>
      <c r="N306" s="30" t="s">
        <v>359</v>
      </c>
      <c r="O306" s="31" t="s">
        <v>89</v>
      </c>
      <c r="P306" s="31" t="s">
        <v>297</v>
      </c>
      <c r="Q306" s="17" t="e">
        <f t="shared" si="8"/>
        <v>#VALUE!</v>
      </c>
      <c r="R306" s="32" t="e">
        <f t="array" ref="R306">IF(OR(AND(COUNTBLANK(Combo_Opponent_Type_1)=1,COUNTBLANK(Combo_Opponent_Type_2)=0),AND(AND(COUNTBLANK(Combo_Opponent_Type_1)=0,COUNTBLANK(Combo_Opponent_Type_2)=0),Combo_Opponent_Type_1=Combo_Opponent_Type_2)),
"Check Types",($S306*INDEX(Species_Tankiness,MATCH($N306,Species_Names,0)))/225)</f>
        <v>#VALUE!</v>
      </c>
      <c r="S306" s="32" t="e">
        <f t="array" ref="S306">IF(OR(AND(COUNTBLANK(Combo_Opponent_Type_1)=1,COUNTBLANK(Combo_Opponent_Type_2)=0),AND(AND(COUNTBLANK(Combo_Opponent_Type_1)=0,COUNTBLANK(Combo_Opponent_Type_2)=0),Combo_Opponent_Type_1=Combo_Opponent_Type_2)),
"Check Types",(
IF($W306&gt;=((1-Game_Weave_Human_Error)*$X306),$W306,$X306)*INDEX(Species_Attack,MATCH($N306,Species_Names,0)))/11)</f>
        <v>#VALUE!</v>
      </c>
      <c r="T306" s="33" t="e">
        <f t="shared" si="9"/>
        <v>#VALUE!</v>
      </c>
      <c r="U306" s="33">
        <f t="array" ref="U3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306,Quick_Names,0))),Type_Species)),0),1)*IF(COUNTBLANK(Combo_Opponent_Type_2)=0,INDEX(Type_Damage_Multipliers,MATCH(Combo_Opponent_Type_2,IF(Type_Move=(INDEX(Quick_Type,MATCH($O306,Quick_Names,0))),Type_Species)),0),1)*(IF(OR(INDEX(Quick_Type,MATCH($O306,Quick_Names,0))=INDEX(Species_Type_1,MATCH($N306,Species_Names,0)),INDEX(Quick_Type,MATCH($O306,Quick_Names,0))=INDEX(Species_Type_2,MATCH($N306,Species_Names,0))),Game_STAB_Multiplier,1)))</f>
        <v>1</v>
      </c>
      <c r="V306" s="33">
        <f t="array" ref="V3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306,Charge_Names,0))),Type_Species)),0),1)*IF(COUNTBLANK(Combo_Opponent_Type_2)=0,INDEX(Type_Damage_Multipliers,MATCH(Combo_Opponent_Type_2,IF(Type_Move=(INDEX(Charge_Type,MATCH($P306,Charge_Names,0))),Type_Species)),0),1)*
IF(OR(INDEX(Charge_Type,MATCH($P306,Charge_Names,0))=INDEX(Species_Type_1,MATCH($N306,Species_Names,0)),INDEX(Charge_Type,MATCH($P306,Charge_Names,0))=INDEX(Species_Type_2,MATCH($N306,Species_Names,0))),Game_STAB_Multiplier,1))</f>
        <v>1.25</v>
      </c>
      <c r="W306" s="33" t="s">
        <v>518</v>
      </c>
      <c r="X306" s="33" t="s">
        <v>715</v>
      </c>
      <c r="Y306" s="32" t="e">
        <f t="array" ref="Y306">((($Z306)*
INDEX(Species_Attack,MATCH($N306,Species_Names,0))*
INDEX(Species_Tankiness,MATCH($N306,Species_Names,0)))/1000)</f>
        <v>#VALUE!</v>
      </c>
      <c r="Z306" s="33" t="s">
        <v>810</v>
      </c>
    </row>
    <row r="307" spans="1:26" ht="14.25" customHeight="1" x14ac:dyDescent="0.2">
      <c r="A307" s="86"/>
      <c r="B307" s="22" t="str">
        <f t="array" ref="B307">CONCATENATE(TEXT($M307,"000"),".",TEXT(INDEX(Quick_Number,MATCH($O307,Quick_Names,0)),"000"),".",TEXT(INDEX(Charge_Number,MATCH($P307,Charge_Names,0)),"000"))</f>
        <v>108.212.118</v>
      </c>
      <c r="C307" s="23" t="e">
        <f t="array" ref="C307">RANK($S307,IF(Combo_Species_Names=$N307,Combo_Gym_Offense),0)</f>
        <v>#VALUE!</v>
      </c>
      <c r="D307" s="24" t="e">
        <f t="array" ref="D307">$S307/MAX(IF(Combo_Species_Names=$N307,Combo_Gym_Offense))</f>
        <v>#VALUE!</v>
      </c>
      <c r="E307" s="23" t="e">
        <f t="array" ref="E307">RANK($Y307,IF(Combo_Species_Names=$N307,Combo_Gym_Defense),0)</f>
        <v>#VALUE!</v>
      </c>
      <c r="F307" s="25" t="e">
        <f t="array" ref="F307">$Y307/MAX(IF(Combo_Species_Names=$N307,Combo_Gym_Defense))</f>
        <v>#VALUE!</v>
      </c>
      <c r="G307" s="23" t="e">
        <f t="array" ref="G307">IF(OR(INDEX(Species_Availability,MATCH($N307,Species_Names,0))="No",INDEX(Species_Evo_Numbers,MATCH($N307,Species_Names,0))&lt;&gt;1),"N/A",RANK($R307,IF(NOT(ISNA(MATCH(Combo_Species_Names,IF(Species_Availability="Yes",IF(Species_Evo_Numbers=1,Species_Names)),0))),Combo_Duel_Ability),0))</f>
        <v>#VALUE!</v>
      </c>
      <c r="H307" s="24" t="e">
        <f t="array" ref="H307">IF(OR(INDEX(Species_Availability,MATCH($N307,Species_Names,0))="No",INDEX(Species_Evo_Numbers,MATCH($N307,Species_Names,0))&lt;&gt;1),"N/A",$R307/MAX(IF(NOT(ISNA(MATCH(Combo_Species_Names,IF(Species_Availability="Yes",IF(Species_Evo_Numbers=1,Species_Names)),0))),Combo_Duel_Ability)))</f>
        <v>#VALUE!</v>
      </c>
      <c r="I307" s="23" t="e">
        <f t="array" ref="I307">IF(OR(INDEX(Species_Availability,MATCH($N307,Species_Names,0))="No",INDEX(Species_Evo_Numbers,MATCH($N307,Species_Names,0))&lt;&gt;1),"N/A",RANK($S307,IF(NOT(ISNA(MATCH(Combo_Species_Names,IF(Species_Availability="Yes",IF(Species_Evo_Numbers=1,Species_Names)),0))),Combo_Gym_Offense),0))</f>
        <v>#VALUE!</v>
      </c>
      <c r="J307" s="24" t="e">
        <f t="array" ref="J307">IF(OR(INDEX(Species_Availability,MATCH($N307,Species_Names,0))="No",INDEX(Species_Evo_Numbers,MATCH($N307,Species_Names,0))&lt;&gt;1),"N/A",$S307/MAX(IF(NOT(ISNA(MATCH(Combo_Species_Names,IF(Species_Availability="Yes",IF(Species_Evo_Numbers=1,Species_Names)),0))),Combo_Gym_Offense)))</f>
        <v>#VALUE!</v>
      </c>
      <c r="K307" s="23" t="e">
        <f t="array" ref="K307">IF(OR(INDEX(Species_Availability,MATCH($N307,Species_Names,0))="No",INDEX(Species_Evo_Numbers,MATCH($N307,Species_Names,0))&lt;&gt;1),"N/A",RANK($Y307,IF(NOT(ISNA(MATCH(Combo_Species_Names,IF(Species_Availability="Yes",IF(Species_Evo_Numbers=1,Species_Names)),0))),Combo_Gym_Defense),0))</f>
        <v>#VALUE!</v>
      </c>
      <c r="L307" s="24" t="e">
        <f t="array" ref="L307">IF(OR(INDEX(Species_Availability,MATCH($N307,Species_Names,0))="No",INDEX(Species_Evo_Numbers,MATCH($N307,Species_Names,0))&lt;&gt;1),"N/A",$Y307/MAX(IF(NOT(ISNA(MATCH(Combo_Species_Names,IF(Species_Availability="Yes",IF(Species_Evo_Numbers=1,Species_Names)),0))),Combo_Gym_Defense)))</f>
        <v>#VALUE!</v>
      </c>
      <c r="M307" s="28">
        <f t="array" ref="M307">INDEX(Species_Pdex_Numbers,MATCH($N307,Species_Names,0))</f>
        <v>108</v>
      </c>
      <c r="N307" s="30" t="s">
        <v>320</v>
      </c>
      <c r="O307" s="31" t="s">
        <v>105</v>
      </c>
      <c r="P307" s="31" t="s">
        <v>165</v>
      </c>
      <c r="Q307" s="17" t="e">
        <f t="shared" si="8"/>
        <v>#VALUE!</v>
      </c>
      <c r="R307" s="32" t="e">
        <f t="array" ref="R307">IF(OR(AND(COUNTBLANK(Combo_Opponent_Type_1)=1,COUNTBLANK(Combo_Opponent_Type_2)=0),AND(AND(COUNTBLANK(Combo_Opponent_Type_1)=0,COUNTBLANK(Combo_Opponent_Type_2)=0),Combo_Opponent_Type_1=Combo_Opponent_Type_2)),
"Check Types",($S307*INDEX(Species_Tankiness,MATCH($N307,Species_Names,0)))/225)</f>
        <v>#VALUE!</v>
      </c>
      <c r="S307" s="32" t="e">
        <f t="array" ref="S307">IF(OR(AND(COUNTBLANK(Combo_Opponent_Type_1)=1,COUNTBLANK(Combo_Opponent_Type_2)=0),AND(AND(COUNTBLANK(Combo_Opponent_Type_1)=0,COUNTBLANK(Combo_Opponent_Type_2)=0),Combo_Opponent_Type_1=Combo_Opponent_Type_2)),
"Check Types",(
IF($W307&gt;=((1-Game_Weave_Human_Error)*$X307),$W307,$X307)*INDEX(Species_Attack,MATCH($N307,Species_Names,0)))/11)</f>
        <v>#VALUE!</v>
      </c>
      <c r="T307" s="33" t="e">
        <f t="shared" si="9"/>
        <v>#VALUE!</v>
      </c>
      <c r="U307" s="33">
        <f t="array" ref="U3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307,Quick_Names,0))),Type_Species)),0),1)*IF(COUNTBLANK(Combo_Opponent_Type_2)=0,INDEX(Type_Damage_Multipliers,MATCH(Combo_Opponent_Type_2,IF(Type_Move=(INDEX(Quick_Type,MATCH($O307,Quick_Names,0))),Type_Species)),0),1)*(IF(OR(INDEX(Quick_Type,MATCH($O307,Quick_Names,0))=INDEX(Species_Type_1,MATCH($N307,Species_Names,0)),INDEX(Quick_Type,MATCH($O307,Quick_Names,0))=INDEX(Species_Type_2,MATCH($N307,Species_Names,0))),Game_STAB_Multiplier,1)))</f>
        <v>1</v>
      </c>
      <c r="V307" s="33">
        <f t="array" ref="V3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307,Charge_Names,0))),Type_Species)),0),1)*IF(COUNTBLANK(Combo_Opponent_Type_2)=0,INDEX(Type_Damage_Multipliers,MATCH(Combo_Opponent_Type_2,IF(Type_Move=(INDEX(Charge_Type,MATCH($P307,Charge_Names,0))),Type_Species)),0),1)*
IF(OR(INDEX(Charge_Type,MATCH($P307,Charge_Names,0))=INDEX(Species_Type_1,MATCH($N307,Species_Names,0)),INDEX(Charge_Type,MATCH($P307,Charge_Names,0))=INDEX(Species_Type_2,MATCH($N307,Species_Names,0))),Game_STAB_Multiplier,1))</f>
        <v>1</v>
      </c>
      <c r="W307" s="33" t="s">
        <v>409</v>
      </c>
      <c r="X307" s="33" t="s">
        <v>536</v>
      </c>
      <c r="Y307" s="32" t="e">
        <f t="array" ref="Y307">((($Z307)*
INDEX(Species_Attack,MATCH($N307,Species_Names,0))*
INDEX(Species_Tankiness,MATCH($N307,Species_Names,0)))/1000)</f>
        <v>#VALUE!</v>
      </c>
      <c r="Z307" s="33" t="s">
        <v>811</v>
      </c>
    </row>
    <row r="308" spans="1:26" ht="14.25" customHeight="1" x14ac:dyDescent="0.2">
      <c r="A308" s="86"/>
      <c r="B308" s="22" t="str">
        <f t="array" ref="B308">CONCATENATE(TEXT($M308,"000"),".",TEXT(INDEX(Quick_Number,MATCH($O308,Quick_Names,0)),"000"),".",TEXT(INDEX(Charge_Number,MATCH($P308,Charge_Names,0)),"000"))</f>
        <v>026.205.123</v>
      </c>
      <c r="C308" s="23" t="e">
        <f t="array" ref="C308">RANK($S308,IF(Combo_Species_Names=$N308,Combo_Gym_Offense),0)</f>
        <v>#VALUE!</v>
      </c>
      <c r="D308" s="24" t="e">
        <f t="array" ref="D308">$S308/MAX(IF(Combo_Species_Names=$N308,Combo_Gym_Offense))</f>
        <v>#VALUE!</v>
      </c>
      <c r="E308" s="23" t="e">
        <f t="array" ref="E308">RANK($Y308,IF(Combo_Species_Names=$N308,Combo_Gym_Defense),0)</f>
        <v>#VALUE!</v>
      </c>
      <c r="F308" s="25" t="e">
        <f t="array" ref="F308">$Y308/MAX(IF(Combo_Species_Names=$N308,Combo_Gym_Defense))</f>
        <v>#VALUE!</v>
      </c>
      <c r="G308" s="23" t="e">
        <f t="array" ref="G308">IF(OR(INDEX(Species_Availability,MATCH($N308,Species_Names,0))="No",INDEX(Species_Evo_Numbers,MATCH($N308,Species_Names,0))&lt;&gt;1),"N/A",RANK($R308,IF(NOT(ISNA(MATCH(Combo_Species_Names,IF(Species_Availability="Yes",IF(Species_Evo_Numbers=1,Species_Names)),0))),Combo_Duel_Ability),0))</f>
        <v>#VALUE!</v>
      </c>
      <c r="H308" s="24" t="e">
        <f t="array" ref="H308">IF(OR(INDEX(Species_Availability,MATCH($N308,Species_Names,0))="No",INDEX(Species_Evo_Numbers,MATCH($N308,Species_Names,0))&lt;&gt;1),"N/A",$R308/MAX(IF(NOT(ISNA(MATCH(Combo_Species_Names,IF(Species_Availability="Yes",IF(Species_Evo_Numbers=1,Species_Names)),0))),Combo_Duel_Ability)))</f>
        <v>#VALUE!</v>
      </c>
      <c r="I308" s="23" t="e">
        <f t="array" ref="I308">IF(OR(INDEX(Species_Availability,MATCH($N308,Species_Names,0))="No",INDEX(Species_Evo_Numbers,MATCH($N308,Species_Names,0))&lt;&gt;1),"N/A",RANK($S308,IF(NOT(ISNA(MATCH(Combo_Species_Names,IF(Species_Availability="Yes",IF(Species_Evo_Numbers=1,Species_Names)),0))),Combo_Gym_Offense),0))</f>
        <v>#VALUE!</v>
      </c>
      <c r="J308" s="24" t="e">
        <f t="array" ref="J308">IF(OR(INDEX(Species_Availability,MATCH($N308,Species_Names,0))="No",INDEX(Species_Evo_Numbers,MATCH($N308,Species_Names,0))&lt;&gt;1),"N/A",$S308/MAX(IF(NOT(ISNA(MATCH(Combo_Species_Names,IF(Species_Availability="Yes",IF(Species_Evo_Numbers=1,Species_Names)),0))),Combo_Gym_Offense)))</f>
        <v>#VALUE!</v>
      </c>
      <c r="K308" s="23" t="e">
        <f t="array" ref="K308">IF(OR(INDEX(Species_Availability,MATCH($N308,Species_Names,0))="No",INDEX(Species_Evo_Numbers,MATCH($N308,Species_Names,0))&lt;&gt;1),"N/A",RANK($Y308,IF(NOT(ISNA(MATCH(Combo_Species_Names,IF(Species_Availability="Yes",IF(Species_Evo_Numbers=1,Species_Names)),0))),Combo_Gym_Defense),0))</f>
        <v>#VALUE!</v>
      </c>
      <c r="L308" s="24" t="e">
        <f t="array" ref="L308">IF(OR(INDEX(Species_Availability,MATCH($N308,Species_Names,0))="No",INDEX(Species_Evo_Numbers,MATCH($N308,Species_Names,0))&lt;&gt;1),"N/A",$Y308/MAX(IF(NOT(ISNA(MATCH(Combo_Species_Names,IF(Species_Availability="Yes",IF(Species_Evo_Numbers=1,Species_Names)),0))),Combo_Gym_Defense)))</f>
        <v>#VALUE!</v>
      </c>
      <c r="M308" s="28">
        <f t="array" ref="M308">INDEX(Species_Pdex_Numbers,MATCH($N308,Species_Names,0))</f>
        <v>26</v>
      </c>
      <c r="N308" s="30" t="s">
        <v>136</v>
      </c>
      <c r="O308" s="31" t="s">
        <v>115</v>
      </c>
      <c r="P308" s="31" t="s">
        <v>188</v>
      </c>
      <c r="Q308" s="17" t="e">
        <f t="shared" si="8"/>
        <v>#VALUE!</v>
      </c>
      <c r="R308" s="32" t="e">
        <f t="array" ref="R308">IF(OR(AND(COUNTBLANK(Combo_Opponent_Type_1)=1,COUNTBLANK(Combo_Opponent_Type_2)=0),AND(AND(COUNTBLANK(Combo_Opponent_Type_1)=0,COUNTBLANK(Combo_Opponent_Type_2)=0),Combo_Opponent_Type_1=Combo_Opponent_Type_2)),
"Check Types",($S308*INDEX(Species_Tankiness,MATCH($N308,Species_Names,0)))/225)</f>
        <v>#VALUE!</v>
      </c>
      <c r="S308" s="32" t="e">
        <f t="array" ref="S308">IF(OR(AND(COUNTBLANK(Combo_Opponent_Type_1)=1,COUNTBLANK(Combo_Opponent_Type_2)=0),AND(AND(COUNTBLANK(Combo_Opponent_Type_1)=0,COUNTBLANK(Combo_Opponent_Type_2)=0),Combo_Opponent_Type_1=Combo_Opponent_Type_2)),
"Check Types",(
IF($W308&gt;=((1-Game_Weave_Human_Error)*$X308),$W308,$X308)*INDEX(Species_Attack,MATCH($N308,Species_Names,0)))/11)</f>
        <v>#VALUE!</v>
      </c>
      <c r="T308" s="33" t="e">
        <f t="shared" si="9"/>
        <v>#VALUE!</v>
      </c>
      <c r="U308" s="33">
        <f t="array" ref="U3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308,Quick_Names,0))),Type_Species)),0),1)*IF(COUNTBLANK(Combo_Opponent_Type_2)=0,INDEX(Type_Damage_Multipliers,MATCH(Combo_Opponent_Type_2,IF(Type_Move=(INDEX(Quick_Type,MATCH($O308,Quick_Names,0))),Type_Species)),0),1)*(IF(OR(INDEX(Quick_Type,MATCH($O308,Quick_Names,0))=INDEX(Species_Type_1,MATCH($N308,Species_Names,0)),INDEX(Quick_Type,MATCH($O308,Quick_Names,0))=INDEX(Species_Type_2,MATCH($N308,Species_Names,0))),Game_STAB_Multiplier,1)))</f>
        <v>1.25</v>
      </c>
      <c r="V308" s="33">
        <f t="array" ref="V3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308,Charge_Names,0))),Type_Species)),0),1)*IF(COUNTBLANK(Combo_Opponent_Type_2)=0,INDEX(Type_Damage_Multipliers,MATCH(Combo_Opponent_Type_2,IF(Type_Move=(INDEX(Charge_Type,MATCH($P308,Charge_Names,0))),Type_Species)),0),1)*
IF(OR(INDEX(Charge_Type,MATCH($P308,Charge_Names,0))=INDEX(Species_Type_1,MATCH($N308,Species_Names,0)),INDEX(Charge_Type,MATCH($P308,Charge_Names,0))=INDEX(Species_Type_2,MATCH($N308,Species_Names,0))),Game_STAB_Multiplier,1))</f>
        <v>1</v>
      </c>
      <c r="W308" s="33" t="s">
        <v>678</v>
      </c>
      <c r="X308" s="33" t="s">
        <v>812</v>
      </c>
      <c r="Y308" s="32" t="e">
        <f t="array" ref="Y308">((($Z308)*
INDEX(Species_Attack,MATCH($N308,Species_Names,0))*
INDEX(Species_Tankiness,MATCH($N308,Species_Names,0)))/1000)</f>
        <v>#VALUE!</v>
      </c>
      <c r="Z308" s="33" t="s">
        <v>813</v>
      </c>
    </row>
    <row r="309" spans="1:26" ht="14.25" customHeight="1" x14ac:dyDescent="0.2">
      <c r="A309" s="86"/>
      <c r="B309" s="22" t="str">
        <f t="array" ref="B309">CONCATENATE(TEXT($M309,"000"),".",TEXT(INDEX(Quick_Number,MATCH($O309,Quick_Names,0)),"000"),".",TEXT(INDEX(Charge_Number,MATCH($P309,Charge_Names,0)),"000"))</f>
        <v>108.234.127</v>
      </c>
      <c r="C309" s="23" t="e">
        <f t="array" ref="C309">RANK($S309,IF(Combo_Species_Names=$N309,Combo_Gym_Offense),0)</f>
        <v>#VALUE!</v>
      </c>
      <c r="D309" s="24" t="e">
        <f t="array" ref="D309">$S309/MAX(IF(Combo_Species_Names=$N309,Combo_Gym_Offense))</f>
        <v>#VALUE!</v>
      </c>
      <c r="E309" s="23" t="e">
        <f t="array" ref="E309">RANK($Y309,IF(Combo_Species_Names=$N309,Combo_Gym_Defense),0)</f>
        <v>#VALUE!</v>
      </c>
      <c r="F309" s="25" t="e">
        <f t="array" ref="F309">$Y309/MAX(IF(Combo_Species_Names=$N309,Combo_Gym_Defense))</f>
        <v>#VALUE!</v>
      </c>
      <c r="G309" s="23" t="e">
        <f t="array" ref="G309">IF(OR(INDEX(Species_Availability,MATCH($N309,Species_Names,0))="No",INDEX(Species_Evo_Numbers,MATCH($N309,Species_Names,0))&lt;&gt;1),"N/A",RANK($R309,IF(NOT(ISNA(MATCH(Combo_Species_Names,IF(Species_Availability="Yes",IF(Species_Evo_Numbers=1,Species_Names)),0))),Combo_Duel_Ability),0))</f>
        <v>#VALUE!</v>
      </c>
      <c r="H309" s="24" t="e">
        <f t="array" ref="H309">IF(OR(INDEX(Species_Availability,MATCH($N309,Species_Names,0))="No",INDEX(Species_Evo_Numbers,MATCH($N309,Species_Names,0))&lt;&gt;1),"N/A",$R309/MAX(IF(NOT(ISNA(MATCH(Combo_Species_Names,IF(Species_Availability="Yes",IF(Species_Evo_Numbers=1,Species_Names)),0))),Combo_Duel_Ability)))</f>
        <v>#VALUE!</v>
      </c>
      <c r="I309" s="23" t="e">
        <f t="array" ref="I309">IF(OR(INDEX(Species_Availability,MATCH($N309,Species_Names,0))="No",INDEX(Species_Evo_Numbers,MATCH($N309,Species_Names,0))&lt;&gt;1),"N/A",RANK($S309,IF(NOT(ISNA(MATCH(Combo_Species_Names,IF(Species_Availability="Yes",IF(Species_Evo_Numbers=1,Species_Names)),0))),Combo_Gym_Offense),0))</f>
        <v>#VALUE!</v>
      </c>
      <c r="J309" s="24" t="e">
        <f t="array" ref="J309">IF(OR(INDEX(Species_Availability,MATCH($N309,Species_Names,0))="No",INDEX(Species_Evo_Numbers,MATCH($N309,Species_Names,0))&lt;&gt;1),"N/A",$S309/MAX(IF(NOT(ISNA(MATCH(Combo_Species_Names,IF(Species_Availability="Yes",IF(Species_Evo_Numbers=1,Species_Names)),0))),Combo_Gym_Offense)))</f>
        <v>#VALUE!</v>
      </c>
      <c r="K309" s="23" t="e">
        <f t="array" ref="K309">IF(OR(INDEX(Species_Availability,MATCH($N309,Species_Names,0))="No",INDEX(Species_Evo_Numbers,MATCH($N309,Species_Names,0))&lt;&gt;1),"N/A",RANK($Y309,IF(NOT(ISNA(MATCH(Combo_Species_Names,IF(Species_Availability="Yes",IF(Species_Evo_Numbers=1,Species_Names)),0))),Combo_Gym_Defense),0))</f>
        <v>#VALUE!</v>
      </c>
      <c r="L309" s="24" t="e">
        <f t="array" ref="L309">IF(OR(INDEX(Species_Availability,MATCH($N309,Species_Names,0))="No",INDEX(Species_Evo_Numbers,MATCH($N309,Species_Names,0))&lt;&gt;1),"N/A",$Y309/MAX(IF(NOT(ISNA(MATCH(Combo_Species_Names,IF(Species_Availability="Yes",IF(Species_Evo_Numbers=1,Species_Names)),0))),Combo_Gym_Defense)))</f>
        <v>#VALUE!</v>
      </c>
      <c r="M309" s="28">
        <f t="array" ref="M309">INDEX(Species_Pdex_Numbers,MATCH($N309,Species_Names,0))</f>
        <v>108</v>
      </c>
      <c r="N309" s="30" t="s">
        <v>320</v>
      </c>
      <c r="O309" s="31" t="s">
        <v>79</v>
      </c>
      <c r="P309" s="31" t="s">
        <v>241</v>
      </c>
      <c r="Q309" s="17" t="e">
        <f t="shared" si="8"/>
        <v>#VALUE!</v>
      </c>
      <c r="R309" s="32" t="e">
        <f t="array" ref="R309">IF(OR(AND(COUNTBLANK(Combo_Opponent_Type_1)=1,COUNTBLANK(Combo_Opponent_Type_2)=0),AND(AND(COUNTBLANK(Combo_Opponent_Type_1)=0,COUNTBLANK(Combo_Opponent_Type_2)=0),Combo_Opponent_Type_1=Combo_Opponent_Type_2)),
"Check Types",($S309*INDEX(Species_Tankiness,MATCH($N309,Species_Names,0)))/225)</f>
        <v>#VALUE!</v>
      </c>
      <c r="S309" s="32" t="e">
        <f t="array" ref="S309">IF(OR(AND(COUNTBLANK(Combo_Opponent_Type_1)=1,COUNTBLANK(Combo_Opponent_Type_2)=0),AND(AND(COUNTBLANK(Combo_Opponent_Type_1)=0,COUNTBLANK(Combo_Opponent_Type_2)=0),Combo_Opponent_Type_1=Combo_Opponent_Type_2)),
"Check Types",(
IF($W309&gt;=((1-Game_Weave_Human_Error)*$X309),$W309,$X309)*INDEX(Species_Attack,MATCH($N309,Species_Names,0)))/11)</f>
        <v>#VALUE!</v>
      </c>
      <c r="T309" s="33" t="e">
        <f t="shared" si="9"/>
        <v>#VALUE!</v>
      </c>
      <c r="U309" s="33">
        <f t="array" ref="U3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309,Quick_Names,0))),Type_Species)),0),1)*IF(COUNTBLANK(Combo_Opponent_Type_2)=0,INDEX(Type_Damage_Multipliers,MATCH(Combo_Opponent_Type_2,IF(Type_Move=(INDEX(Quick_Type,MATCH($O309,Quick_Names,0))),Type_Species)),0),1)*(IF(OR(INDEX(Quick_Type,MATCH($O309,Quick_Names,0))=INDEX(Species_Type_1,MATCH($N309,Species_Names,0)),INDEX(Quick_Type,MATCH($O309,Quick_Names,0))=INDEX(Species_Type_2,MATCH($N309,Species_Names,0))),Game_STAB_Multiplier,1)))</f>
        <v>1</v>
      </c>
      <c r="V309" s="33">
        <f t="array" ref="V3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309,Charge_Names,0))),Type_Species)),0),1)*IF(COUNTBLANK(Combo_Opponent_Type_2)=0,INDEX(Type_Damage_Multipliers,MATCH(Combo_Opponent_Type_2,IF(Type_Move=(INDEX(Charge_Type,MATCH($P309,Charge_Names,0))),Type_Species)),0),1)*
IF(OR(INDEX(Charge_Type,MATCH($P309,Charge_Names,0))=INDEX(Species_Type_1,MATCH($N309,Species_Names,0)),INDEX(Charge_Type,MATCH($P309,Charge_Names,0))=INDEX(Species_Type_2,MATCH($N309,Species_Names,0))),Game_STAB_Multiplier,1))</f>
        <v>1.25</v>
      </c>
      <c r="W309" s="33" t="s">
        <v>419</v>
      </c>
      <c r="X309" s="33" t="s">
        <v>528</v>
      </c>
      <c r="Y309" s="32" t="e">
        <f t="array" ref="Y309">((($Z309)*
INDEX(Species_Attack,MATCH($N309,Species_Names,0))*
INDEX(Species_Tankiness,MATCH($N309,Species_Names,0)))/1000)</f>
        <v>#VALUE!</v>
      </c>
      <c r="Z309" s="33" t="s">
        <v>814</v>
      </c>
    </row>
    <row r="310" spans="1:26" ht="14.25" customHeight="1" x14ac:dyDescent="0.2">
      <c r="A310" s="86"/>
      <c r="B310" s="22" t="str">
        <f t="array" ref="B310">CONCATENATE(TEXT($M310,"000"),".",TEXT(INDEX(Quick_Number,MATCH($O310,Quick_Names,0)),"000"),".",TEXT(INDEX(Charge_Number,MATCH($P310,Charge_Names,0)),"000"))</f>
        <v>127.241.020</v>
      </c>
      <c r="C310" s="23" t="e">
        <f t="array" ref="C310">RANK($S310,IF(Combo_Species_Names=$N310,Combo_Gym_Offense),0)</f>
        <v>#VALUE!</v>
      </c>
      <c r="D310" s="24" t="e">
        <f t="array" ref="D310">$S310/MAX(IF(Combo_Species_Names=$N310,Combo_Gym_Offense))</f>
        <v>#VALUE!</v>
      </c>
      <c r="E310" s="23" t="e">
        <f t="array" ref="E310">RANK($Y310,IF(Combo_Species_Names=$N310,Combo_Gym_Defense),0)</f>
        <v>#VALUE!</v>
      </c>
      <c r="F310" s="25" t="e">
        <f t="array" ref="F310">$Y310/MAX(IF(Combo_Species_Names=$N310,Combo_Gym_Defense))</f>
        <v>#VALUE!</v>
      </c>
      <c r="G310" s="23" t="e">
        <f t="array" ref="G310">IF(OR(INDEX(Species_Availability,MATCH($N310,Species_Names,0))="No",INDEX(Species_Evo_Numbers,MATCH($N310,Species_Names,0))&lt;&gt;1),"N/A",RANK($R310,IF(NOT(ISNA(MATCH(Combo_Species_Names,IF(Species_Availability="Yes",IF(Species_Evo_Numbers=1,Species_Names)),0))),Combo_Duel_Ability),0))</f>
        <v>#VALUE!</v>
      </c>
      <c r="H310" s="24" t="e">
        <f t="array" ref="H310">IF(OR(INDEX(Species_Availability,MATCH($N310,Species_Names,0))="No",INDEX(Species_Evo_Numbers,MATCH($N310,Species_Names,0))&lt;&gt;1),"N/A",$R310/MAX(IF(NOT(ISNA(MATCH(Combo_Species_Names,IF(Species_Availability="Yes",IF(Species_Evo_Numbers=1,Species_Names)),0))),Combo_Duel_Ability)))</f>
        <v>#VALUE!</v>
      </c>
      <c r="I310" s="23" t="e">
        <f t="array" ref="I310">IF(OR(INDEX(Species_Availability,MATCH($N310,Species_Names,0))="No",INDEX(Species_Evo_Numbers,MATCH($N310,Species_Names,0))&lt;&gt;1),"N/A",RANK($S310,IF(NOT(ISNA(MATCH(Combo_Species_Names,IF(Species_Availability="Yes",IF(Species_Evo_Numbers=1,Species_Names)),0))),Combo_Gym_Offense),0))</f>
        <v>#VALUE!</v>
      </c>
      <c r="J310" s="24" t="e">
        <f t="array" ref="J310">IF(OR(INDEX(Species_Availability,MATCH($N310,Species_Names,0))="No",INDEX(Species_Evo_Numbers,MATCH($N310,Species_Names,0))&lt;&gt;1),"N/A",$S310/MAX(IF(NOT(ISNA(MATCH(Combo_Species_Names,IF(Species_Availability="Yes",IF(Species_Evo_Numbers=1,Species_Names)),0))),Combo_Gym_Offense)))</f>
        <v>#VALUE!</v>
      </c>
      <c r="K310" s="23" t="e">
        <f t="array" ref="K310">IF(OR(INDEX(Species_Availability,MATCH($N310,Species_Names,0))="No",INDEX(Species_Evo_Numbers,MATCH($N310,Species_Names,0))&lt;&gt;1),"N/A",RANK($Y310,IF(NOT(ISNA(MATCH(Combo_Species_Names,IF(Species_Availability="Yes",IF(Species_Evo_Numbers=1,Species_Names)),0))),Combo_Gym_Defense),0))</f>
        <v>#VALUE!</v>
      </c>
      <c r="L310" s="24" t="e">
        <f t="array" ref="L310">IF(OR(INDEX(Species_Availability,MATCH($N310,Species_Names,0))="No",INDEX(Species_Evo_Numbers,MATCH($N310,Species_Names,0))&lt;&gt;1),"N/A",$Y310/MAX(IF(NOT(ISNA(MATCH(Combo_Species_Names,IF(Species_Availability="Yes",IF(Species_Evo_Numbers=1,Species_Names)),0))),Combo_Gym_Defense)))</f>
        <v>#VALUE!</v>
      </c>
      <c r="M310" s="28">
        <f t="array" ref="M310">INDEX(Species_Pdex_Numbers,MATCH($N310,Species_Names,0))</f>
        <v>127</v>
      </c>
      <c r="N310" s="30" t="s">
        <v>344</v>
      </c>
      <c r="O310" s="31" t="s">
        <v>97</v>
      </c>
      <c r="P310" s="31" t="s">
        <v>267</v>
      </c>
      <c r="Q310" s="17" t="e">
        <f t="shared" si="8"/>
        <v>#VALUE!</v>
      </c>
      <c r="R310" s="32" t="e">
        <f t="array" ref="R310">IF(OR(AND(COUNTBLANK(Combo_Opponent_Type_1)=1,COUNTBLANK(Combo_Opponent_Type_2)=0),AND(AND(COUNTBLANK(Combo_Opponent_Type_1)=0,COUNTBLANK(Combo_Opponent_Type_2)=0),Combo_Opponent_Type_1=Combo_Opponent_Type_2)),
"Check Types",($S310*INDEX(Species_Tankiness,MATCH($N310,Species_Names,0)))/225)</f>
        <v>#VALUE!</v>
      </c>
      <c r="S310" s="32" t="e">
        <f t="array" ref="S310">IF(OR(AND(COUNTBLANK(Combo_Opponent_Type_1)=1,COUNTBLANK(Combo_Opponent_Type_2)=0),AND(AND(COUNTBLANK(Combo_Opponent_Type_1)=0,COUNTBLANK(Combo_Opponent_Type_2)=0),Combo_Opponent_Type_1=Combo_Opponent_Type_2)),
"Check Types",(
IF($W310&gt;=((1-Game_Weave_Human_Error)*$X310),$W310,$X310)*INDEX(Species_Attack,MATCH($N310,Species_Names,0)))/11)</f>
        <v>#VALUE!</v>
      </c>
      <c r="T310" s="33" t="e">
        <f t="shared" si="9"/>
        <v>#VALUE!</v>
      </c>
      <c r="U310" s="33">
        <f t="array" ref="U3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310,Quick_Names,0))),Type_Species)),0),1)*IF(COUNTBLANK(Combo_Opponent_Type_2)=0,INDEX(Type_Damage_Multipliers,MATCH(Combo_Opponent_Type_2,IF(Type_Move=(INDEX(Quick_Type,MATCH($O310,Quick_Names,0))),Type_Species)),0),1)*(IF(OR(INDEX(Quick_Type,MATCH($O310,Quick_Names,0))=INDEX(Species_Type_1,MATCH($N310,Species_Names,0)),INDEX(Quick_Type,MATCH($O310,Quick_Names,0))=INDEX(Species_Type_2,MATCH($N310,Species_Names,0))),Game_STAB_Multiplier,1)))</f>
        <v>1</v>
      </c>
      <c r="V310" s="33">
        <f t="array" ref="V3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310,Charge_Names,0))),Type_Species)),0),1)*IF(COUNTBLANK(Combo_Opponent_Type_2)=0,INDEX(Type_Damage_Multipliers,MATCH(Combo_Opponent_Type_2,IF(Type_Move=(INDEX(Charge_Type,MATCH($P310,Charge_Names,0))),Type_Species)),0),1)*
IF(OR(INDEX(Charge_Type,MATCH($P310,Charge_Names,0))=INDEX(Species_Type_1,MATCH($N310,Species_Names,0)),INDEX(Charge_Type,MATCH($P310,Charge_Names,0))=INDEX(Species_Type_2,MATCH($N310,Species_Names,0))),Game_STAB_Multiplier,1))</f>
        <v>1</v>
      </c>
      <c r="W310" s="33" t="s">
        <v>577</v>
      </c>
      <c r="X310" s="33" t="s">
        <v>815</v>
      </c>
      <c r="Y310" s="32" t="e">
        <f t="array" ref="Y310">((($Z310)*
INDEX(Species_Attack,MATCH($N310,Species_Names,0))*
INDEX(Species_Tankiness,MATCH($N310,Species_Names,0)))/1000)</f>
        <v>#VALUE!</v>
      </c>
      <c r="Z310" s="33" t="s">
        <v>816</v>
      </c>
    </row>
    <row r="311" spans="1:26" ht="14.25" customHeight="1" x14ac:dyDescent="0.2">
      <c r="A311" s="86"/>
      <c r="B311" s="22" t="str">
        <f t="array" ref="B311">CONCATENATE(TEXT($M311,"000"),".",TEXT(INDEX(Quick_Number,MATCH($O311,Quick_Names,0)),"000"),".",TEXT(INDEX(Charge_Number,MATCH($P311,Charge_Names,0)),"000"))</f>
        <v>128.234.074</v>
      </c>
      <c r="C311" s="23" t="e">
        <f t="array" ref="C311">RANK($S311,IF(Combo_Species_Names=$N311,Combo_Gym_Offense),0)</f>
        <v>#VALUE!</v>
      </c>
      <c r="D311" s="24" t="e">
        <f t="array" ref="D311">$S311/MAX(IF(Combo_Species_Names=$N311,Combo_Gym_Offense))</f>
        <v>#VALUE!</v>
      </c>
      <c r="E311" s="23" t="e">
        <f t="array" ref="E311">RANK($Y311,IF(Combo_Species_Names=$N311,Combo_Gym_Defense),0)</f>
        <v>#VALUE!</v>
      </c>
      <c r="F311" s="25" t="e">
        <f t="array" ref="F311">$Y311/MAX(IF(Combo_Species_Names=$N311,Combo_Gym_Defense))</f>
        <v>#VALUE!</v>
      </c>
      <c r="G311" s="23" t="e">
        <f t="array" ref="G311">IF(OR(INDEX(Species_Availability,MATCH($N311,Species_Names,0))="No",INDEX(Species_Evo_Numbers,MATCH($N311,Species_Names,0))&lt;&gt;1),"N/A",RANK($R311,IF(NOT(ISNA(MATCH(Combo_Species_Names,IF(Species_Availability="Yes",IF(Species_Evo_Numbers=1,Species_Names)),0))),Combo_Duel_Ability),0))</f>
        <v>#VALUE!</v>
      </c>
      <c r="H311" s="24" t="e">
        <f t="array" ref="H311">IF(OR(INDEX(Species_Availability,MATCH($N311,Species_Names,0))="No",INDEX(Species_Evo_Numbers,MATCH($N311,Species_Names,0))&lt;&gt;1),"N/A",$R311/MAX(IF(NOT(ISNA(MATCH(Combo_Species_Names,IF(Species_Availability="Yes",IF(Species_Evo_Numbers=1,Species_Names)),0))),Combo_Duel_Ability)))</f>
        <v>#VALUE!</v>
      </c>
      <c r="I311" s="23" t="e">
        <f t="array" ref="I311">IF(OR(INDEX(Species_Availability,MATCH($N311,Species_Names,0))="No",INDEX(Species_Evo_Numbers,MATCH($N311,Species_Names,0))&lt;&gt;1),"N/A",RANK($S311,IF(NOT(ISNA(MATCH(Combo_Species_Names,IF(Species_Availability="Yes",IF(Species_Evo_Numbers=1,Species_Names)),0))),Combo_Gym_Offense),0))</f>
        <v>#VALUE!</v>
      </c>
      <c r="J311" s="24" t="e">
        <f t="array" ref="J311">IF(OR(INDEX(Species_Availability,MATCH($N311,Species_Names,0))="No",INDEX(Species_Evo_Numbers,MATCH($N311,Species_Names,0))&lt;&gt;1),"N/A",$S311/MAX(IF(NOT(ISNA(MATCH(Combo_Species_Names,IF(Species_Availability="Yes",IF(Species_Evo_Numbers=1,Species_Names)),0))),Combo_Gym_Offense)))</f>
        <v>#VALUE!</v>
      </c>
      <c r="K311" s="23" t="e">
        <f t="array" ref="K311">IF(OR(INDEX(Species_Availability,MATCH($N311,Species_Names,0))="No",INDEX(Species_Evo_Numbers,MATCH($N311,Species_Names,0))&lt;&gt;1),"N/A",RANK($Y311,IF(NOT(ISNA(MATCH(Combo_Species_Names,IF(Species_Availability="Yes",IF(Species_Evo_Numbers=1,Species_Names)),0))),Combo_Gym_Defense),0))</f>
        <v>#VALUE!</v>
      </c>
      <c r="L311" s="24" t="e">
        <f t="array" ref="L311">IF(OR(INDEX(Species_Availability,MATCH($N311,Species_Names,0))="No",INDEX(Species_Evo_Numbers,MATCH($N311,Species_Names,0))&lt;&gt;1),"N/A",$Y311/MAX(IF(NOT(ISNA(MATCH(Combo_Species_Names,IF(Species_Availability="Yes",IF(Species_Evo_Numbers=1,Species_Names)),0))),Combo_Gym_Defense)))</f>
        <v>#VALUE!</v>
      </c>
      <c r="M311" s="28">
        <f t="array" ref="M311">INDEX(Species_Pdex_Numbers,MATCH($N311,Species_Names,0))</f>
        <v>128</v>
      </c>
      <c r="N311" s="30" t="s">
        <v>345</v>
      </c>
      <c r="O311" s="31" t="s">
        <v>79</v>
      </c>
      <c r="P311" s="31" t="s">
        <v>228</v>
      </c>
      <c r="Q311" s="17" t="e">
        <f t="shared" si="8"/>
        <v>#VALUE!</v>
      </c>
      <c r="R311" s="32" t="e">
        <f t="array" ref="R311">IF(OR(AND(COUNTBLANK(Combo_Opponent_Type_1)=1,COUNTBLANK(Combo_Opponent_Type_2)=0),AND(AND(COUNTBLANK(Combo_Opponent_Type_1)=0,COUNTBLANK(Combo_Opponent_Type_2)=0),Combo_Opponent_Type_1=Combo_Opponent_Type_2)),
"Check Types",($S311*INDEX(Species_Tankiness,MATCH($N311,Species_Names,0)))/225)</f>
        <v>#VALUE!</v>
      </c>
      <c r="S311" s="32" t="e">
        <f t="array" ref="S311">IF(OR(AND(COUNTBLANK(Combo_Opponent_Type_1)=1,COUNTBLANK(Combo_Opponent_Type_2)=0),AND(AND(COUNTBLANK(Combo_Opponent_Type_1)=0,COUNTBLANK(Combo_Opponent_Type_2)=0),Combo_Opponent_Type_1=Combo_Opponent_Type_2)),
"Check Types",(
IF($W311&gt;=((1-Game_Weave_Human_Error)*$X311),$W311,$X311)*INDEX(Species_Attack,MATCH($N311,Species_Names,0)))/11)</f>
        <v>#VALUE!</v>
      </c>
      <c r="T311" s="33" t="e">
        <f t="shared" si="9"/>
        <v>#VALUE!</v>
      </c>
      <c r="U311" s="33">
        <f t="array" ref="U3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311,Quick_Names,0))),Type_Species)),0),1)*IF(COUNTBLANK(Combo_Opponent_Type_2)=0,INDEX(Type_Damage_Multipliers,MATCH(Combo_Opponent_Type_2,IF(Type_Move=(INDEX(Quick_Type,MATCH($O311,Quick_Names,0))),Type_Species)),0),1)*(IF(OR(INDEX(Quick_Type,MATCH($O311,Quick_Names,0))=INDEX(Species_Type_1,MATCH($N311,Species_Names,0)),INDEX(Quick_Type,MATCH($O311,Quick_Names,0))=INDEX(Species_Type_2,MATCH($N311,Species_Names,0))),Game_STAB_Multiplier,1)))</f>
        <v>1</v>
      </c>
      <c r="V311" s="33">
        <f t="array" ref="V3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311,Charge_Names,0))),Type_Species)),0),1)*IF(COUNTBLANK(Combo_Opponent_Type_2)=0,INDEX(Type_Damage_Multipliers,MATCH(Combo_Opponent_Type_2,IF(Type_Move=(INDEX(Charge_Type,MATCH($P311,Charge_Names,0))),Type_Species)),0),1)*
IF(OR(INDEX(Charge_Type,MATCH($P311,Charge_Names,0))=INDEX(Species_Type_1,MATCH($N311,Species_Names,0)),INDEX(Charge_Type,MATCH($P311,Charge_Names,0))=INDEX(Species_Type_2,MATCH($N311,Species_Names,0))),Game_STAB_Multiplier,1))</f>
        <v>1</v>
      </c>
      <c r="W311" s="33" t="s">
        <v>419</v>
      </c>
      <c r="X311" s="33" t="s">
        <v>778</v>
      </c>
      <c r="Y311" s="32" t="e">
        <f t="array" ref="Y311">((($Z311)*
INDEX(Species_Attack,MATCH($N311,Species_Names,0))*
INDEX(Species_Tankiness,MATCH($N311,Species_Names,0)))/1000)</f>
        <v>#VALUE!</v>
      </c>
      <c r="Z311" s="33" t="s">
        <v>817</v>
      </c>
    </row>
    <row r="312" spans="1:26" ht="14.25" customHeight="1" x14ac:dyDescent="0.2">
      <c r="A312" s="86"/>
      <c r="B312" s="22" t="str">
        <f t="array" ref="B312">CONCATENATE(TEXT($M312,"000"),".",TEXT(INDEX(Quick_Number,MATCH($O312,Quick_Names,0)),"000"),".",TEXT(INDEX(Charge_Number,MATCH($P312,Charge_Names,0)),"000"))</f>
        <v>128.234.126</v>
      </c>
      <c r="C312" s="23" t="e">
        <f t="array" ref="C312">RANK($S312,IF(Combo_Species_Names=$N312,Combo_Gym_Offense),0)</f>
        <v>#VALUE!</v>
      </c>
      <c r="D312" s="24" t="e">
        <f t="array" ref="D312">$S312/MAX(IF(Combo_Species_Names=$N312,Combo_Gym_Offense))</f>
        <v>#VALUE!</v>
      </c>
      <c r="E312" s="23" t="e">
        <f t="array" ref="E312">RANK($Y312,IF(Combo_Species_Names=$N312,Combo_Gym_Defense),0)</f>
        <v>#VALUE!</v>
      </c>
      <c r="F312" s="25" t="e">
        <f t="array" ref="F312">$Y312/MAX(IF(Combo_Species_Names=$N312,Combo_Gym_Defense))</f>
        <v>#VALUE!</v>
      </c>
      <c r="G312" s="23" t="e">
        <f t="array" ref="G312">IF(OR(INDEX(Species_Availability,MATCH($N312,Species_Names,0))="No",INDEX(Species_Evo_Numbers,MATCH($N312,Species_Names,0))&lt;&gt;1),"N/A",RANK($R312,IF(NOT(ISNA(MATCH(Combo_Species_Names,IF(Species_Availability="Yes",IF(Species_Evo_Numbers=1,Species_Names)),0))),Combo_Duel_Ability),0))</f>
        <v>#VALUE!</v>
      </c>
      <c r="H312" s="24" t="e">
        <f t="array" ref="H312">IF(OR(INDEX(Species_Availability,MATCH($N312,Species_Names,0))="No",INDEX(Species_Evo_Numbers,MATCH($N312,Species_Names,0))&lt;&gt;1),"N/A",$R312/MAX(IF(NOT(ISNA(MATCH(Combo_Species_Names,IF(Species_Availability="Yes",IF(Species_Evo_Numbers=1,Species_Names)),0))),Combo_Duel_Ability)))</f>
        <v>#VALUE!</v>
      </c>
      <c r="I312" s="23" t="e">
        <f t="array" ref="I312">IF(OR(INDEX(Species_Availability,MATCH($N312,Species_Names,0))="No",INDEX(Species_Evo_Numbers,MATCH($N312,Species_Names,0))&lt;&gt;1),"N/A",RANK($S312,IF(NOT(ISNA(MATCH(Combo_Species_Names,IF(Species_Availability="Yes",IF(Species_Evo_Numbers=1,Species_Names)),0))),Combo_Gym_Offense),0))</f>
        <v>#VALUE!</v>
      </c>
      <c r="J312" s="24" t="e">
        <f t="array" ref="J312">IF(OR(INDEX(Species_Availability,MATCH($N312,Species_Names,0))="No",INDEX(Species_Evo_Numbers,MATCH($N312,Species_Names,0))&lt;&gt;1),"N/A",$S312/MAX(IF(NOT(ISNA(MATCH(Combo_Species_Names,IF(Species_Availability="Yes",IF(Species_Evo_Numbers=1,Species_Names)),0))),Combo_Gym_Offense)))</f>
        <v>#VALUE!</v>
      </c>
      <c r="K312" s="23" t="e">
        <f t="array" ref="K312">IF(OR(INDEX(Species_Availability,MATCH($N312,Species_Names,0))="No",INDEX(Species_Evo_Numbers,MATCH($N312,Species_Names,0))&lt;&gt;1),"N/A",RANK($Y312,IF(NOT(ISNA(MATCH(Combo_Species_Names,IF(Species_Availability="Yes",IF(Species_Evo_Numbers=1,Species_Names)),0))),Combo_Gym_Defense),0))</f>
        <v>#VALUE!</v>
      </c>
      <c r="L312" s="24" t="e">
        <f t="array" ref="L312">IF(OR(INDEX(Species_Availability,MATCH($N312,Species_Names,0))="No",INDEX(Species_Evo_Numbers,MATCH($N312,Species_Names,0))&lt;&gt;1),"N/A",$Y312/MAX(IF(NOT(ISNA(MATCH(Combo_Species_Names,IF(Species_Availability="Yes",IF(Species_Evo_Numbers=1,Species_Names)),0))),Combo_Gym_Defense)))</f>
        <v>#VALUE!</v>
      </c>
      <c r="M312" s="28">
        <f t="array" ref="M312">INDEX(Species_Pdex_Numbers,MATCH($N312,Species_Names,0))</f>
        <v>128</v>
      </c>
      <c r="N312" s="30" t="s">
        <v>345</v>
      </c>
      <c r="O312" s="31" t="s">
        <v>79</v>
      </c>
      <c r="P312" s="31" t="s">
        <v>275</v>
      </c>
      <c r="Q312" s="17" t="e">
        <f t="shared" si="8"/>
        <v>#VALUE!</v>
      </c>
      <c r="R312" s="32" t="e">
        <f t="array" ref="R312">IF(OR(AND(COUNTBLANK(Combo_Opponent_Type_1)=1,COUNTBLANK(Combo_Opponent_Type_2)=0),AND(AND(COUNTBLANK(Combo_Opponent_Type_1)=0,COUNTBLANK(Combo_Opponent_Type_2)=0),Combo_Opponent_Type_1=Combo_Opponent_Type_2)),
"Check Types",($S312*INDEX(Species_Tankiness,MATCH($N312,Species_Names,0)))/225)</f>
        <v>#VALUE!</v>
      </c>
      <c r="S312" s="32" t="e">
        <f t="array" ref="S312">IF(OR(AND(COUNTBLANK(Combo_Opponent_Type_1)=1,COUNTBLANK(Combo_Opponent_Type_2)=0),AND(AND(COUNTBLANK(Combo_Opponent_Type_1)=0,COUNTBLANK(Combo_Opponent_Type_2)=0),Combo_Opponent_Type_1=Combo_Opponent_Type_2)),
"Check Types",(
IF($W312&gt;=((1-Game_Weave_Human_Error)*$X312),$W312,$X312)*INDEX(Species_Attack,MATCH($N312,Species_Names,0)))/11)</f>
        <v>#VALUE!</v>
      </c>
      <c r="T312" s="33" t="e">
        <f t="shared" si="9"/>
        <v>#VALUE!</v>
      </c>
      <c r="U312" s="33">
        <f t="array" ref="U3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312,Quick_Names,0))),Type_Species)),0),1)*IF(COUNTBLANK(Combo_Opponent_Type_2)=0,INDEX(Type_Damage_Multipliers,MATCH(Combo_Opponent_Type_2,IF(Type_Move=(INDEX(Quick_Type,MATCH($O312,Quick_Names,0))),Type_Species)),0),1)*(IF(OR(INDEX(Quick_Type,MATCH($O312,Quick_Names,0))=INDEX(Species_Type_1,MATCH($N312,Species_Names,0)),INDEX(Quick_Type,MATCH($O312,Quick_Names,0))=INDEX(Species_Type_2,MATCH($N312,Species_Names,0))),Game_STAB_Multiplier,1)))</f>
        <v>1</v>
      </c>
      <c r="V312" s="33">
        <f t="array" ref="V3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312,Charge_Names,0))),Type_Species)),0),1)*IF(COUNTBLANK(Combo_Opponent_Type_2)=0,INDEX(Type_Damage_Multipliers,MATCH(Combo_Opponent_Type_2,IF(Type_Move=(INDEX(Charge_Type,MATCH($P312,Charge_Names,0))),Type_Species)),0),1)*
IF(OR(INDEX(Charge_Type,MATCH($P312,Charge_Names,0))=INDEX(Species_Type_1,MATCH($N312,Species_Names,0)),INDEX(Charge_Type,MATCH($P312,Charge_Names,0))=INDEX(Species_Type_2,MATCH($N312,Species_Names,0))),Game_STAB_Multiplier,1))</f>
        <v>1.25</v>
      </c>
      <c r="W312" s="33" t="s">
        <v>419</v>
      </c>
      <c r="X312" s="33" t="s">
        <v>818</v>
      </c>
      <c r="Y312" s="32" t="e">
        <f t="array" ref="Y312">((($Z312)*
INDEX(Species_Attack,MATCH($N312,Species_Names,0))*
INDEX(Species_Tankiness,MATCH($N312,Species_Names,0)))/1000)</f>
        <v>#VALUE!</v>
      </c>
      <c r="Z312" s="33" t="s">
        <v>671</v>
      </c>
    </row>
    <row r="313" spans="1:26" ht="14.25" customHeight="1" x14ac:dyDescent="0.2">
      <c r="A313" s="86"/>
      <c r="B313" s="22" t="str">
        <f t="array" ref="B313">CONCATENATE(TEXT($M313,"000"),".",TEXT(INDEX(Quick_Number,MATCH($O313,Quick_Names,0)),"000"),".",TEXT(INDEX(Charge_Number,MATCH($P313,Charge_Names,0)),"000"))</f>
        <v>117.204.040</v>
      </c>
      <c r="C313" s="23" t="e">
        <f t="array" ref="C313">RANK($S313,IF(Combo_Species_Names=$N313,Combo_Gym_Offense),0)</f>
        <v>#VALUE!</v>
      </c>
      <c r="D313" s="24" t="e">
        <f t="array" ref="D313">$S313/MAX(IF(Combo_Species_Names=$N313,Combo_Gym_Offense))</f>
        <v>#VALUE!</v>
      </c>
      <c r="E313" s="23" t="e">
        <f t="array" ref="E313">RANK($Y313,IF(Combo_Species_Names=$N313,Combo_Gym_Defense),0)</f>
        <v>#VALUE!</v>
      </c>
      <c r="F313" s="25" t="e">
        <f t="array" ref="F313">$Y313/MAX(IF(Combo_Species_Names=$N313,Combo_Gym_Defense))</f>
        <v>#VALUE!</v>
      </c>
      <c r="G313" s="23" t="e">
        <f t="array" ref="G313">IF(OR(INDEX(Species_Availability,MATCH($N313,Species_Names,0))="No",INDEX(Species_Evo_Numbers,MATCH($N313,Species_Names,0))&lt;&gt;1),"N/A",RANK($R313,IF(NOT(ISNA(MATCH(Combo_Species_Names,IF(Species_Availability="Yes",IF(Species_Evo_Numbers=1,Species_Names)),0))),Combo_Duel_Ability),0))</f>
        <v>#VALUE!</v>
      </c>
      <c r="H313" s="24" t="e">
        <f t="array" ref="H313">IF(OR(INDEX(Species_Availability,MATCH($N313,Species_Names,0))="No",INDEX(Species_Evo_Numbers,MATCH($N313,Species_Names,0))&lt;&gt;1),"N/A",$R313/MAX(IF(NOT(ISNA(MATCH(Combo_Species_Names,IF(Species_Availability="Yes",IF(Species_Evo_Numbers=1,Species_Names)),0))),Combo_Duel_Ability)))</f>
        <v>#VALUE!</v>
      </c>
      <c r="I313" s="23" t="e">
        <f t="array" ref="I313">IF(OR(INDEX(Species_Availability,MATCH($N313,Species_Names,0))="No",INDEX(Species_Evo_Numbers,MATCH($N313,Species_Names,0))&lt;&gt;1),"N/A",RANK($S313,IF(NOT(ISNA(MATCH(Combo_Species_Names,IF(Species_Availability="Yes",IF(Species_Evo_Numbers=1,Species_Names)),0))),Combo_Gym_Offense),0))</f>
        <v>#VALUE!</v>
      </c>
      <c r="J313" s="24" t="e">
        <f t="array" ref="J313">IF(OR(INDEX(Species_Availability,MATCH($N313,Species_Names,0))="No",INDEX(Species_Evo_Numbers,MATCH($N313,Species_Names,0))&lt;&gt;1),"N/A",$S313/MAX(IF(NOT(ISNA(MATCH(Combo_Species_Names,IF(Species_Availability="Yes",IF(Species_Evo_Numbers=1,Species_Names)),0))),Combo_Gym_Offense)))</f>
        <v>#VALUE!</v>
      </c>
      <c r="K313" s="23" t="e">
        <f t="array" ref="K313">IF(OR(INDEX(Species_Availability,MATCH($N313,Species_Names,0))="No",INDEX(Species_Evo_Numbers,MATCH($N313,Species_Names,0))&lt;&gt;1),"N/A",RANK($Y313,IF(NOT(ISNA(MATCH(Combo_Species_Names,IF(Species_Availability="Yes",IF(Species_Evo_Numbers=1,Species_Names)),0))),Combo_Gym_Defense),0))</f>
        <v>#VALUE!</v>
      </c>
      <c r="L313" s="24" t="e">
        <f t="array" ref="L313">IF(OR(INDEX(Species_Availability,MATCH($N313,Species_Names,0))="No",INDEX(Species_Evo_Numbers,MATCH($N313,Species_Names,0))&lt;&gt;1),"N/A",$Y313/MAX(IF(NOT(ISNA(MATCH(Combo_Species_Names,IF(Species_Availability="Yes",IF(Species_Evo_Numbers=1,Species_Names)),0))),Combo_Gym_Defense)))</f>
        <v>#VALUE!</v>
      </c>
      <c r="M313" s="28">
        <f t="array" ref="M313">INDEX(Species_Pdex_Numbers,MATCH($N313,Species_Names,0))</f>
        <v>117</v>
      </c>
      <c r="N313" s="30" t="s">
        <v>330</v>
      </c>
      <c r="O313" s="31" t="s">
        <v>62</v>
      </c>
      <c r="P313" s="31" t="s">
        <v>153</v>
      </c>
      <c r="Q313" s="17" t="e">
        <f t="shared" si="8"/>
        <v>#VALUE!</v>
      </c>
      <c r="R313" s="32" t="e">
        <f t="array" ref="R313">IF(OR(AND(COUNTBLANK(Combo_Opponent_Type_1)=1,COUNTBLANK(Combo_Opponent_Type_2)=0),AND(AND(COUNTBLANK(Combo_Opponent_Type_1)=0,COUNTBLANK(Combo_Opponent_Type_2)=0),Combo_Opponent_Type_1=Combo_Opponent_Type_2)),
"Check Types",($S313*INDEX(Species_Tankiness,MATCH($N313,Species_Names,0)))/225)</f>
        <v>#VALUE!</v>
      </c>
      <c r="S313" s="32" t="e">
        <f t="array" ref="S313">IF(OR(AND(COUNTBLANK(Combo_Opponent_Type_1)=1,COUNTBLANK(Combo_Opponent_Type_2)=0),AND(AND(COUNTBLANK(Combo_Opponent_Type_1)=0,COUNTBLANK(Combo_Opponent_Type_2)=0),Combo_Opponent_Type_1=Combo_Opponent_Type_2)),
"Check Types",(
IF($W313&gt;=((1-Game_Weave_Human_Error)*$X313),$W313,$X313)*INDEX(Species_Attack,MATCH($N313,Species_Names,0)))/11)</f>
        <v>#VALUE!</v>
      </c>
      <c r="T313" s="33" t="e">
        <f t="shared" si="9"/>
        <v>#VALUE!</v>
      </c>
      <c r="U313" s="33">
        <f t="array" ref="U3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313,Quick_Names,0))),Type_Species)),0),1)*IF(COUNTBLANK(Combo_Opponent_Type_2)=0,INDEX(Type_Damage_Multipliers,MATCH(Combo_Opponent_Type_2,IF(Type_Move=(INDEX(Quick_Type,MATCH($O313,Quick_Names,0))),Type_Species)),0),1)*(IF(OR(INDEX(Quick_Type,MATCH($O313,Quick_Names,0))=INDEX(Species_Type_1,MATCH($N313,Species_Names,0)),INDEX(Quick_Type,MATCH($O313,Quick_Names,0))=INDEX(Species_Type_2,MATCH($N313,Species_Names,0))),Game_STAB_Multiplier,1)))</f>
        <v>1</v>
      </c>
      <c r="V313" s="33">
        <f t="array" ref="V3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313,Charge_Names,0))),Type_Species)),0),1)*IF(COUNTBLANK(Combo_Opponent_Type_2)=0,INDEX(Type_Damage_Multipliers,MATCH(Combo_Opponent_Type_2,IF(Type_Move=(INDEX(Charge_Type,MATCH($P313,Charge_Names,0))),Type_Species)),0),1)*
IF(OR(INDEX(Charge_Type,MATCH($P313,Charge_Names,0))=INDEX(Species_Type_1,MATCH($N313,Species_Names,0)),INDEX(Charge_Type,MATCH($P313,Charge_Names,0))=INDEX(Species_Type_2,MATCH($N313,Species_Names,0))),Game_STAB_Multiplier,1))</f>
        <v>1</v>
      </c>
      <c r="W313" s="33" t="s">
        <v>453</v>
      </c>
      <c r="X313" s="33" t="s">
        <v>819</v>
      </c>
      <c r="Y313" s="32" t="e">
        <f t="array" ref="Y313">((($Z313)*
INDEX(Species_Attack,MATCH($N313,Species_Names,0))*
INDEX(Species_Tankiness,MATCH($N313,Species_Names,0)))/1000)</f>
        <v>#VALUE!</v>
      </c>
      <c r="Z313" s="33" t="s">
        <v>820</v>
      </c>
    </row>
    <row r="314" spans="1:26" ht="14.25" customHeight="1" x14ac:dyDescent="0.2">
      <c r="A314" s="86"/>
      <c r="B314" s="22" t="str">
        <f t="array" ref="B314">CONCATENATE(TEXT($M314,"000"),".",TEXT(INDEX(Quick_Number,MATCH($O314,Quick_Names,0)),"000"),".",TEXT(INDEX(Charge_Number,MATCH($P314,Charge_Names,0)),"000"))</f>
        <v>101.221.079</v>
      </c>
      <c r="C314" s="23" t="e">
        <f t="array" ref="C314">RANK($S314,IF(Combo_Species_Names=$N314,Combo_Gym_Offense),0)</f>
        <v>#VALUE!</v>
      </c>
      <c r="D314" s="24" t="e">
        <f t="array" ref="D314">$S314/MAX(IF(Combo_Species_Names=$N314,Combo_Gym_Offense))</f>
        <v>#VALUE!</v>
      </c>
      <c r="E314" s="23" t="e">
        <f t="array" ref="E314">RANK($Y314,IF(Combo_Species_Names=$N314,Combo_Gym_Defense),0)</f>
        <v>#VALUE!</v>
      </c>
      <c r="F314" s="25" t="e">
        <f t="array" ref="F314">$Y314/MAX(IF(Combo_Species_Names=$N314,Combo_Gym_Defense))</f>
        <v>#VALUE!</v>
      </c>
      <c r="G314" s="23" t="e">
        <f t="array" ref="G314">IF(OR(INDEX(Species_Availability,MATCH($N314,Species_Names,0))="No",INDEX(Species_Evo_Numbers,MATCH($N314,Species_Names,0))&lt;&gt;1),"N/A",RANK($R314,IF(NOT(ISNA(MATCH(Combo_Species_Names,IF(Species_Availability="Yes",IF(Species_Evo_Numbers=1,Species_Names)),0))),Combo_Duel_Ability),0))</f>
        <v>#VALUE!</v>
      </c>
      <c r="H314" s="24" t="e">
        <f t="array" ref="H314">IF(OR(INDEX(Species_Availability,MATCH($N314,Species_Names,0))="No",INDEX(Species_Evo_Numbers,MATCH($N314,Species_Names,0))&lt;&gt;1),"N/A",$R314/MAX(IF(NOT(ISNA(MATCH(Combo_Species_Names,IF(Species_Availability="Yes",IF(Species_Evo_Numbers=1,Species_Names)),0))),Combo_Duel_Ability)))</f>
        <v>#VALUE!</v>
      </c>
      <c r="I314" s="23" t="e">
        <f t="array" ref="I314">IF(OR(INDEX(Species_Availability,MATCH($N314,Species_Names,0))="No",INDEX(Species_Evo_Numbers,MATCH($N314,Species_Names,0))&lt;&gt;1),"N/A",RANK($S314,IF(NOT(ISNA(MATCH(Combo_Species_Names,IF(Species_Availability="Yes",IF(Species_Evo_Numbers=1,Species_Names)),0))),Combo_Gym_Offense),0))</f>
        <v>#VALUE!</v>
      </c>
      <c r="J314" s="24" t="e">
        <f t="array" ref="J314">IF(OR(INDEX(Species_Availability,MATCH($N314,Species_Names,0))="No",INDEX(Species_Evo_Numbers,MATCH($N314,Species_Names,0))&lt;&gt;1),"N/A",$S314/MAX(IF(NOT(ISNA(MATCH(Combo_Species_Names,IF(Species_Availability="Yes",IF(Species_Evo_Numbers=1,Species_Names)),0))),Combo_Gym_Offense)))</f>
        <v>#VALUE!</v>
      </c>
      <c r="K314" s="23" t="e">
        <f t="array" ref="K314">IF(OR(INDEX(Species_Availability,MATCH($N314,Species_Names,0))="No",INDEX(Species_Evo_Numbers,MATCH($N314,Species_Names,0))&lt;&gt;1),"N/A",RANK($Y314,IF(NOT(ISNA(MATCH(Combo_Species_Names,IF(Species_Availability="Yes",IF(Species_Evo_Numbers=1,Species_Names)),0))),Combo_Gym_Defense),0))</f>
        <v>#VALUE!</v>
      </c>
      <c r="L314" s="24" t="e">
        <f t="array" ref="L314">IF(OR(INDEX(Species_Availability,MATCH($N314,Species_Names,0))="No",INDEX(Species_Evo_Numbers,MATCH($N314,Species_Names,0))&lt;&gt;1),"N/A",$Y314/MAX(IF(NOT(ISNA(MATCH(Combo_Species_Names,IF(Species_Availability="Yes",IF(Species_Evo_Numbers=1,Species_Names)),0))),Combo_Gym_Defense)))</f>
        <v>#VALUE!</v>
      </c>
      <c r="M314" s="28">
        <f t="array" ref="M314">INDEX(Species_Pdex_Numbers,MATCH($N314,Species_Names,0))</f>
        <v>101</v>
      </c>
      <c r="N314" s="30" t="s">
        <v>303</v>
      </c>
      <c r="O314" s="31" t="s">
        <v>91</v>
      </c>
      <c r="P314" s="31" t="s">
        <v>190</v>
      </c>
      <c r="Q314" s="17" t="e">
        <f t="shared" si="8"/>
        <v>#VALUE!</v>
      </c>
      <c r="R314" s="32" t="e">
        <f t="array" ref="R314">IF(OR(AND(COUNTBLANK(Combo_Opponent_Type_1)=1,COUNTBLANK(Combo_Opponent_Type_2)=0),AND(AND(COUNTBLANK(Combo_Opponent_Type_1)=0,COUNTBLANK(Combo_Opponent_Type_2)=0),Combo_Opponent_Type_1=Combo_Opponent_Type_2)),
"Check Types",($S314*INDEX(Species_Tankiness,MATCH($N314,Species_Names,0)))/225)</f>
        <v>#VALUE!</v>
      </c>
      <c r="S314" s="32" t="e">
        <f t="array" ref="S314">IF(OR(AND(COUNTBLANK(Combo_Opponent_Type_1)=1,COUNTBLANK(Combo_Opponent_Type_2)=0),AND(AND(COUNTBLANK(Combo_Opponent_Type_1)=0,COUNTBLANK(Combo_Opponent_Type_2)=0),Combo_Opponent_Type_1=Combo_Opponent_Type_2)),
"Check Types",(
IF($W314&gt;=((1-Game_Weave_Human_Error)*$X314),$W314,$X314)*INDEX(Species_Attack,MATCH($N314,Species_Names,0)))/11)</f>
        <v>#VALUE!</v>
      </c>
      <c r="T314" s="33" t="e">
        <f t="shared" si="9"/>
        <v>#VALUE!</v>
      </c>
      <c r="U314" s="33">
        <f t="array" ref="U3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314,Quick_Names,0))),Type_Species)),0),1)*IF(COUNTBLANK(Combo_Opponent_Type_2)=0,INDEX(Type_Damage_Multipliers,MATCH(Combo_Opponent_Type_2,IF(Type_Move=(INDEX(Quick_Type,MATCH($O314,Quick_Names,0))),Type_Species)),0),1)*(IF(OR(INDEX(Quick_Type,MATCH($O314,Quick_Names,0))=INDEX(Species_Type_1,MATCH($N314,Species_Names,0)),INDEX(Quick_Type,MATCH($O314,Quick_Names,0))=INDEX(Species_Type_2,MATCH($N314,Species_Names,0))),Game_STAB_Multiplier,1)))</f>
        <v>1</v>
      </c>
      <c r="V314" s="33">
        <f t="array" ref="V3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314,Charge_Names,0))),Type_Species)),0),1)*IF(COUNTBLANK(Combo_Opponent_Type_2)=0,INDEX(Type_Damage_Multipliers,MATCH(Combo_Opponent_Type_2,IF(Type_Move=(INDEX(Charge_Type,MATCH($P314,Charge_Names,0))),Type_Species)),0),1)*
IF(OR(INDEX(Charge_Type,MATCH($P314,Charge_Names,0))=INDEX(Species_Type_1,MATCH($N314,Species_Names,0)),INDEX(Charge_Type,MATCH($P314,Charge_Names,0))=INDEX(Species_Type_2,MATCH($N314,Species_Names,0))),Game_STAB_Multiplier,1))</f>
        <v>1.25</v>
      </c>
      <c r="W314" s="33" t="s">
        <v>658</v>
      </c>
      <c r="X314" s="33" t="s">
        <v>821</v>
      </c>
      <c r="Y314" s="32" t="e">
        <f t="array" ref="Y314">((($Z314)*
INDEX(Species_Attack,MATCH($N314,Species_Names,0))*
INDEX(Species_Tankiness,MATCH($N314,Species_Names,0)))/1000)</f>
        <v>#VALUE!</v>
      </c>
      <c r="Z314" s="33" t="s">
        <v>643</v>
      </c>
    </row>
    <row r="315" spans="1:26" ht="14.25" customHeight="1" x14ac:dyDescent="0.2">
      <c r="A315" s="86"/>
      <c r="B315" s="22" t="str">
        <f t="array" ref="B315">CONCATENATE(TEXT($M315,"000"),".",TEXT(INDEX(Quick_Number,MATCH($O315,Quick_Names,0)),"000"),".",TEXT(INDEX(Charge_Number,MATCH($P315,Charge_Names,0)),"000"))</f>
        <v>047.201.089</v>
      </c>
      <c r="C315" s="23" t="e">
        <f t="array" ref="C315">RANK($S315,IF(Combo_Species_Names=$N315,Combo_Gym_Offense),0)</f>
        <v>#VALUE!</v>
      </c>
      <c r="D315" s="24" t="e">
        <f t="array" ref="D315">$S315/MAX(IF(Combo_Species_Names=$N315,Combo_Gym_Offense))</f>
        <v>#VALUE!</v>
      </c>
      <c r="E315" s="23" t="e">
        <f t="array" ref="E315">RANK($Y315,IF(Combo_Species_Names=$N315,Combo_Gym_Defense),0)</f>
        <v>#VALUE!</v>
      </c>
      <c r="F315" s="25" t="e">
        <f t="array" ref="F315">$Y315/MAX(IF(Combo_Species_Names=$N315,Combo_Gym_Defense))</f>
        <v>#VALUE!</v>
      </c>
      <c r="G315" s="23" t="e">
        <f t="array" ref="G315">IF(OR(INDEX(Species_Availability,MATCH($N315,Species_Names,0))="No",INDEX(Species_Evo_Numbers,MATCH($N315,Species_Names,0))&lt;&gt;1),"N/A",RANK($R315,IF(NOT(ISNA(MATCH(Combo_Species_Names,IF(Species_Availability="Yes",IF(Species_Evo_Numbers=1,Species_Names)),0))),Combo_Duel_Ability),0))</f>
        <v>#VALUE!</v>
      </c>
      <c r="H315" s="24" t="e">
        <f t="array" ref="H315">IF(OR(INDEX(Species_Availability,MATCH($N315,Species_Names,0))="No",INDEX(Species_Evo_Numbers,MATCH($N315,Species_Names,0))&lt;&gt;1),"N/A",$R315/MAX(IF(NOT(ISNA(MATCH(Combo_Species_Names,IF(Species_Availability="Yes",IF(Species_Evo_Numbers=1,Species_Names)),0))),Combo_Duel_Ability)))</f>
        <v>#VALUE!</v>
      </c>
      <c r="I315" s="23" t="e">
        <f t="array" ref="I315">IF(OR(INDEX(Species_Availability,MATCH($N315,Species_Names,0))="No",INDEX(Species_Evo_Numbers,MATCH($N315,Species_Names,0))&lt;&gt;1),"N/A",RANK($S315,IF(NOT(ISNA(MATCH(Combo_Species_Names,IF(Species_Availability="Yes",IF(Species_Evo_Numbers=1,Species_Names)),0))),Combo_Gym_Offense),0))</f>
        <v>#VALUE!</v>
      </c>
      <c r="J315" s="24" t="e">
        <f t="array" ref="J315">IF(OR(INDEX(Species_Availability,MATCH($N315,Species_Names,0))="No",INDEX(Species_Evo_Numbers,MATCH($N315,Species_Names,0))&lt;&gt;1),"N/A",$S315/MAX(IF(NOT(ISNA(MATCH(Combo_Species_Names,IF(Species_Availability="Yes",IF(Species_Evo_Numbers=1,Species_Names)),0))),Combo_Gym_Offense)))</f>
        <v>#VALUE!</v>
      </c>
      <c r="K315" s="23" t="e">
        <f t="array" ref="K315">IF(OR(INDEX(Species_Availability,MATCH($N315,Species_Names,0))="No",INDEX(Species_Evo_Numbers,MATCH($N315,Species_Names,0))&lt;&gt;1),"N/A",RANK($Y315,IF(NOT(ISNA(MATCH(Combo_Species_Names,IF(Species_Availability="Yes",IF(Species_Evo_Numbers=1,Species_Names)),0))),Combo_Gym_Defense),0))</f>
        <v>#VALUE!</v>
      </c>
      <c r="L315" s="24" t="e">
        <f t="array" ref="L315">IF(OR(INDEX(Species_Availability,MATCH($N315,Species_Names,0))="No",INDEX(Species_Evo_Numbers,MATCH($N315,Species_Names,0))&lt;&gt;1),"N/A",$Y315/MAX(IF(NOT(ISNA(MATCH(Combo_Species_Names,IF(Species_Availability="Yes",IF(Species_Evo_Numbers=1,Species_Names)),0))),Combo_Gym_Defense)))</f>
        <v>#VALUE!</v>
      </c>
      <c r="M315" s="28">
        <f t="array" ref="M315">INDEX(Species_Pdex_Numbers,MATCH($N315,Species_Names,0))</f>
        <v>47</v>
      </c>
      <c r="N315" s="30" t="s">
        <v>184</v>
      </c>
      <c r="O315" s="31" t="s">
        <v>82</v>
      </c>
      <c r="P315" s="31" t="s">
        <v>206</v>
      </c>
      <c r="Q315" s="17" t="e">
        <f t="shared" si="8"/>
        <v>#VALUE!</v>
      </c>
      <c r="R315" s="32" t="e">
        <f t="array" ref="R315">IF(OR(AND(COUNTBLANK(Combo_Opponent_Type_1)=1,COUNTBLANK(Combo_Opponent_Type_2)=0),AND(AND(COUNTBLANK(Combo_Opponent_Type_1)=0,COUNTBLANK(Combo_Opponent_Type_2)=0),Combo_Opponent_Type_1=Combo_Opponent_Type_2)),
"Check Types",($S315*INDEX(Species_Tankiness,MATCH($N315,Species_Names,0)))/225)</f>
        <v>#VALUE!</v>
      </c>
      <c r="S315" s="32" t="e">
        <f t="array" ref="S315">IF(OR(AND(COUNTBLANK(Combo_Opponent_Type_1)=1,COUNTBLANK(Combo_Opponent_Type_2)=0),AND(AND(COUNTBLANK(Combo_Opponent_Type_1)=0,COUNTBLANK(Combo_Opponent_Type_2)=0),Combo_Opponent_Type_1=Combo_Opponent_Type_2)),
"Check Types",(
IF($W315&gt;=((1-Game_Weave_Human_Error)*$X315),$W315,$X315)*INDEX(Species_Attack,MATCH($N315,Species_Names,0)))/11)</f>
        <v>#VALUE!</v>
      </c>
      <c r="T315" s="33" t="e">
        <f t="shared" si="9"/>
        <v>#VALUE!</v>
      </c>
      <c r="U315" s="33">
        <f t="array" ref="U3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315,Quick_Names,0))),Type_Species)),0),1)*IF(COUNTBLANK(Combo_Opponent_Type_2)=0,INDEX(Type_Damage_Multipliers,MATCH(Combo_Opponent_Type_2,IF(Type_Move=(INDEX(Quick_Type,MATCH($O315,Quick_Names,0))),Type_Species)),0),1)*(IF(OR(INDEX(Quick_Type,MATCH($O315,Quick_Names,0))=INDEX(Species_Type_1,MATCH($N315,Species_Names,0)),INDEX(Quick_Type,MATCH($O315,Quick_Names,0))=INDEX(Species_Type_2,MATCH($N315,Species_Names,0))),Game_STAB_Multiplier,1)))</f>
        <v>1.25</v>
      </c>
      <c r="V315" s="33">
        <f t="array" ref="V3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315,Charge_Names,0))),Type_Species)),0),1)*IF(COUNTBLANK(Combo_Opponent_Type_2)=0,INDEX(Type_Damage_Multipliers,MATCH(Combo_Opponent_Type_2,IF(Type_Move=(INDEX(Charge_Type,MATCH($P315,Charge_Names,0))),Type_Species)),0),1)*
IF(OR(INDEX(Charge_Type,MATCH($P315,Charge_Names,0))=INDEX(Species_Type_1,MATCH($N315,Species_Names,0)),INDEX(Charge_Type,MATCH($P315,Charge_Names,0))=INDEX(Species_Type_2,MATCH($N315,Species_Names,0))),Game_STAB_Multiplier,1))</f>
        <v>1</v>
      </c>
      <c r="W315" s="33" t="s">
        <v>436</v>
      </c>
      <c r="X315" s="33" t="s">
        <v>822</v>
      </c>
      <c r="Y315" s="32" t="e">
        <f t="array" ref="Y315">((($Z315)*
INDEX(Species_Attack,MATCH($N315,Species_Names,0))*
INDEX(Species_Tankiness,MATCH($N315,Species_Names,0)))/1000)</f>
        <v>#VALUE!</v>
      </c>
      <c r="Z315" s="33" t="s">
        <v>823</v>
      </c>
    </row>
    <row r="316" spans="1:26" ht="14.25" customHeight="1" x14ac:dyDescent="0.2">
      <c r="A316" s="86"/>
      <c r="B316" s="22" t="str">
        <f t="array" ref="B316">CONCATENATE(TEXT($M316,"000"),".",TEXT(INDEX(Quick_Number,MATCH($O316,Quick_Names,0)),"000"),".",TEXT(INDEX(Charge_Number,MATCH($P316,Charge_Names,0)),"000"))</f>
        <v>101.221.014</v>
      </c>
      <c r="C316" s="23" t="e">
        <f t="array" ref="C316">RANK($S316,IF(Combo_Species_Names=$N316,Combo_Gym_Offense),0)</f>
        <v>#VALUE!</v>
      </c>
      <c r="D316" s="24" t="e">
        <f t="array" ref="D316">$S316/MAX(IF(Combo_Species_Names=$N316,Combo_Gym_Offense))</f>
        <v>#VALUE!</v>
      </c>
      <c r="E316" s="23" t="e">
        <f t="array" ref="E316">RANK($Y316,IF(Combo_Species_Names=$N316,Combo_Gym_Defense),0)</f>
        <v>#VALUE!</v>
      </c>
      <c r="F316" s="25" t="e">
        <f t="array" ref="F316">$Y316/MAX(IF(Combo_Species_Names=$N316,Combo_Gym_Defense))</f>
        <v>#VALUE!</v>
      </c>
      <c r="G316" s="23" t="e">
        <f t="array" ref="G316">IF(OR(INDEX(Species_Availability,MATCH($N316,Species_Names,0))="No",INDEX(Species_Evo_Numbers,MATCH($N316,Species_Names,0))&lt;&gt;1),"N/A",RANK($R316,IF(NOT(ISNA(MATCH(Combo_Species_Names,IF(Species_Availability="Yes",IF(Species_Evo_Numbers=1,Species_Names)),0))),Combo_Duel_Ability),0))</f>
        <v>#VALUE!</v>
      </c>
      <c r="H316" s="24" t="e">
        <f t="array" ref="H316">IF(OR(INDEX(Species_Availability,MATCH($N316,Species_Names,0))="No",INDEX(Species_Evo_Numbers,MATCH($N316,Species_Names,0))&lt;&gt;1),"N/A",$R316/MAX(IF(NOT(ISNA(MATCH(Combo_Species_Names,IF(Species_Availability="Yes",IF(Species_Evo_Numbers=1,Species_Names)),0))),Combo_Duel_Ability)))</f>
        <v>#VALUE!</v>
      </c>
      <c r="I316" s="23" t="e">
        <f t="array" ref="I316">IF(OR(INDEX(Species_Availability,MATCH($N316,Species_Names,0))="No",INDEX(Species_Evo_Numbers,MATCH($N316,Species_Names,0))&lt;&gt;1),"N/A",RANK($S316,IF(NOT(ISNA(MATCH(Combo_Species_Names,IF(Species_Availability="Yes",IF(Species_Evo_Numbers=1,Species_Names)),0))),Combo_Gym_Offense),0))</f>
        <v>#VALUE!</v>
      </c>
      <c r="J316" s="24" t="e">
        <f t="array" ref="J316">IF(OR(INDEX(Species_Availability,MATCH($N316,Species_Names,0))="No",INDEX(Species_Evo_Numbers,MATCH($N316,Species_Names,0))&lt;&gt;1),"N/A",$S316/MAX(IF(NOT(ISNA(MATCH(Combo_Species_Names,IF(Species_Availability="Yes",IF(Species_Evo_Numbers=1,Species_Names)),0))),Combo_Gym_Offense)))</f>
        <v>#VALUE!</v>
      </c>
      <c r="K316" s="23" t="e">
        <f t="array" ref="K316">IF(OR(INDEX(Species_Availability,MATCH($N316,Species_Names,0))="No",INDEX(Species_Evo_Numbers,MATCH($N316,Species_Names,0))&lt;&gt;1),"N/A",RANK($Y316,IF(NOT(ISNA(MATCH(Combo_Species_Names,IF(Species_Availability="Yes",IF(Species_Evo_Numbers=1,Species_Names)),0))),Combo_Gym_Defense),0))</f>
        <v>#VALUE!</v>
      </c>
      <c r="L316" s="24" t="e">
        <f t="array" ref="L316">IF(OR(INDEX(Species_Availability,MATCH($N316,Species_Names,0))="No",INDEX(Species_Evo_Numbers,MATCH($N316,Species_Names,0))&lt;&gt;1),"N/A",$Y316/MAX(IF(NOT(ISNA(MATCH(Combo_Species_Names,IF(Species_Availability="Yes",IF(Species_Evo_Numbers=1,Species_Names)),0))),Combo_Gym_Defense)))</f>
        <v>#VALUE!</v>
      </c>
      <c r="M316" s="28">
        <f t="array" ref="M316">INDEX(Species_Pdex_Numbers,MATCH($N316,Species_Names,0))</f>
        <v>101</v>
      </c>
      <c r="N316" s="30" t="s">
        <v>303</v>
      </c>
      <c r="O316" s="31" t="s">
        <v>91</v>
      </c>
      <c r="P316" s="31" t="s">
        <v>130</v>
      </c>
      <c r="Q316" s="17" t="e">
        <f t="shared" si="8"/>
        <v>#VALUE!</v>
      </c>
      <c r="R316" s="32" t="e">
        <f t="array" ref="R316">IF(OR(AND(COUNTBLANK(Combo_Opponent_Type_1)=1,COUNTBLANK(Combo_Opponent_Type_2)=0),AND(AND(COUNTBLANK(Combo_Opponent_Type_1)=0,COUNTBLANK(Combo_Opponent_Type_2)=0),Combo_Opponent_Type_1=Combo_Opponent_Type_2)),
"Check Types",($S316*INDEX(Species_Tankiness,MATCH($N316,Species_Names,0)))/225)</f>
        <v>#VALUE!</v>
      </c>
      <c r="S316" s="32" t="e">
        <f t="array" ref="S316">IF(OR(AND(COUNTBLANK(Combo_Opponent_Type_1)=1,COUNTBLANK(Combo_Opponent_Type_2)=0),AND(AND(COUNTBLANK(Combo_Opponent_Type_1)=0,COUNTBLANK(Combo_Opponent_Type_2)=0),Combo_Opponent_Type_1=Combo_Opponent_Type_2)),
"Check Types",(
IF($W316&gt;=((1-Game_Weave_Human_Error)*$X316),$W316,$X316)*INDEX(Species_Attack,MATCH($N316,Species_Names,0)))/11)</f>
        <v>#VALUE!</v>
      </c>
      <c r="T316" s="33" t="e">
        <f t="shared" si="9"/>
        <v>#VALUE!</v>
      </c>
      <c r="U316" s="33">
        <f t="array" ref="U3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316,Quick_Names,0))),Type_Species)),0),1)*IF(COUNTBLANK(Combo_Opponent_Type_2)=0,INDEX(Type_Damage_Multipliers,MATCH(Combo_Opponent_Type_2,IF(Type_Move=(INDEX(Quick_Type,MATCH($O316,Quick_Names,0))),Type_Species)),0),1)*(IF(OR(INDEX(Quick_Type,MATCH($O316,Quick_Names,0))=INDEX(Species_Type_1,MATCH($N316,Species_Names,0)),INDEX(Quick_Type,MATCH($O316,Quick_Names,0))=INDEX(Species_Type_2,MATCH($N316,Species_Names,0))),Game_STAB_Multiplier,1)))</f>
        <v>1</v>
      </c>
      <c r="V316" s="33">
        <f t="array" ref="V3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316,Charge_Names,0))),Type_Species)),0),1)*IF(COUNTBLANK(Combo_Opponent_Type_2)=0,INDEX(Type_Damage_Multipliers,MATCH(Combo_Opponent_Type_2,IF(Type_Move=(INDEX(Charge_Type,MATCH($P316,Charge_Names,0))),Type_Species)),0),1)*
IF(OR(INDEX(Charge_Type,MATCH($P316,Charge_Names,0))=INDEX(Species_Type_1,MATCH($N316,Species_Names,0)),INDEX(Charge_Type,MATCH($P316,Charge_Names,0))=INDEX(Species_Type_2,MATCH($N316,Species_Names,0))),Game_STAB_Multiplier,1))</f>
        <v>1</v>
      </c>
      <c r="W316" s="33" t="s">
        <v>658</v>
      </c>
      <c r="X316" s="33" t="s">
        <v>824</v>
      </c>
      <c r="Y316" s="32" t="e">
        <f t="array" ref="Y316">((($Z316)*
INDEX(Species_Attack,MATCH($N316,Species_Names,0))*
INDEX(Species_Tankiness,MATCH($N316,Species_Names,0)))/1000)</f>
        <v>#VALUE!</v>
      </c>
      <c r="Z316" s="33" t="s">
        <v>542</v>
      </c>
    </row>
    <row r="317" spans="1:26" ht="14.25" customHeight="1" x14ac:dyDescent="0.2">
      <c r="A317" s="86"/>
      <c r="B317" s="22" t="str">
        <f t="array" ref="B317">CONCATENATE(TEXT($M317,"000"),".",TEXT(INDEX(Quick_Number,MATCH($O317,Quick_Names,0)),"000"),".",TEXT(INDEX(Charge_Number,MATCH($P317,Charge_Names,0)),"000"))</f>
        <v>049.235.108</v>
      </c>
      <c r="C317" s="23" t="e">
        <f t="array" ref="C317">RANK($S317,IF(Combo_Species_Names=$N317,Combo_Gym_Offense),0)</f>
        <v>#VALUE!</v>
      </c>
      <c r="D317" s="24" t="e">
        <f t="array" ref="D317">$S317/MAX(IF(Combo_Species_Names=$N317,Combo_Gym_Offense))</f>
        <v>#VALUE!</v>
      </c>
      <c r="E317" s="23" t="e">
        <f t="array" ref="E317">RANK($Y317,IF(Combo_Species_Names=$N317,Combo_Gym_Defense),0)</f>
        <v>#VALUE!</v>
      </c>
      <c r="F317" s="25" t="e">
        <f t="array" ref="F317">$Y317/MAX(IF(Combo_Species_Names=$N317,Combo_Gym_Defense))</f>
        <v>#VALUE!</v>
      </c>
      <c r="G317" s="23" t="e">
        <f t="array" ref="G317">IF(OR(INDEX(Species_Availability,MATCH($N317,Species_Names,0))="No",INDEX(Species_Evo_Numbers,MATCH($N317,Species_Names,0))&lt;&gt;1),"N/A",RANK($R317,IF(NOT(ISNA(MATCH(Combo_Species_Names,IF(Species_Availability="Yes",IF(Species_Evo_Numbers=1,Species_Names)),0))),Combo_Duel_Ability),0))</f>
        <v>#VALUE!</v>
      </c>
      <c r="H317" s="24" t="e">
        <f t="array" ref="H317">IF(OR(INDEX(Species_Availability,MATCH($N317,Species_Names,0))="No",INDEX(Species_Evo_Numbers,MATCH($N317,Species_Names,0))&lt;&gt;1),"N/A",$R317/MAX(IF(NOT(ISNA(MATCH(Combo_Species_Names,IF(Species_Availability="Yes",IF(Species_Evo_Numbers=1,Species_Names)),0))),Combo_Duel_Ability)))</f>
        <v>#VALUE!</v>
      </c>
      <c r="I317" s="23" t="e">
        <f t="array" ref="I317">IF(OR(INDEX(Species_Availability,MATCH($N317,Species_Names,0))="No",INDEX(Species_Evo_Numbers,MATCH($N317,Species_Names,0))&lt;&gt;1),"N/A",RANK($S317,IF(NOT(ISNA(MATCH(Combo_Species_Names,IF(Species_Availability="Yes",IF(Species_Evo_Numbers=1,Species_Names)),0))),Combo_Gym_Offense),0))</f>
        <v>#VALUE!</v>
      </c>
      <c r="J317" s="24" t="e">
        <f t="array" ref="J317">IF(OR(INDEX(Species_Availability,MATCH($N317,Species_Names,0))="No",INDEX(Species_Evo_Numbers,MATCH($N317,Species_Names,0))&lt;&gt;1),"N/A",$S317/MAX(IF(NOT(ISNA(MATCH(Combo_Species_Names,IF(Species_Availability="Yes",IF(Species_Evo_Numbers=1,Species_Names)),0))),Combo_Gym_Offense)))</f>
        <v>#VALUE!</v>
      </c>
      <c r="K317" s="23" t="e">
        <f t="array" ref="K317">IF(OR(INDEX(Species_Availability,MATCH($N317,Species_Names,0))="No",INDEX(Species_Evo_Numbers,MATCH($N317,Species_Names,0))&lt;&gt;1),"N/A",RANK($Y317,IF(NOT(ISNA(MATCH(Combo_Species_Names,IF(Species_Availability="Yes",IF(Species_Evo_Numbers=1,Species_Names)),0))),Combo_Gym_Defense),0))</f>
        <v>#VALUE!</v>
      </c>
      <c r="L317" s="24" t="e">
        <f t="array" ref="L317">IF(OR(INDEX(Species_Availability,MATCH($N317,Species_Names,0))="No",INDEX(Species_Evo_Numbers,MATCH($N317,Species_Names,0))&lt;&gt;1),"N/A",$Y317/MAX(IF(NOT(ISNA(MATCH(Combo_Species_Names,IF(Species_Availability="Yes",IF(Species_Evo_Numbers=1,Species_Names)),0))),Combo_Gym_Defense)))</f>
        <v>#VALUE!</v>
      </c>
      <c r="M317" s="28">
        <f t="array" ref="M317">INDEX(Species_Pdex_Numbers,MATCH($N317,Species_Names,0))</f>
        <v>49</v>
      </c>
      <c r="N317" s="30" t="s">
        <v>189</v>
      </c>
      <c r="O317" s="31" t="s">
        <v>108</v>
      </c>
      <c r="P317" s="31" t="s">
        <v>58</v>
      </c>
      <c r="Q317" s="17" t="e">
        <f t="shared" si="8"/>
        <v>#VALUE!</v>
      </c>
      <c r="R317" s="32" t="e">
        <f t="array" ref="R317">IF(OR(AND(COUNTBLANK(Combo_Opponent_Type_1)=1,COUNTBLANK(Combo_Opponent_Type_2)=0),AND(AND(COUNTBLANK(Combo_Opponent_Type_1)=0,COUNTBLANK(Combo_Opponent_Type_2)=0),Combo_Opponent_Type_1=Combo_Opponent_Type_2)),
"Check Types",($S317*INDEX(Species_Tankiness,MATCH($N317,Species_Names,0)))/225)</f>
        <v>#VALUE!</v>
      </c>
      <c r="S317" s="32" t="e">
        <f t="array" ref="S317">IF(OR(AND(COUNTBLANK(Combo_Opponent_Type_1)=1,COUNTBLANK(Combo_Opponent_Type_2)=0),AND(AND(COUNTBLANK(Combo_Opponent_Type_1)=0,COUNTBLANK(Combo_Opponent_Type_2)=0),Combo_Opponent_Type_1=Combo_Opponent_Type_2)),
"Check Types",(
IF($W317&gt;=((1-Game_Weave_Human_Error)*$X317),$W317,$X317)*INDEX(Species_Attack,MATCH($N317,Species_Names,0)))/11)</f>
        <v>#VALUE!</v>
      </c>
      <c r="T317" s="33" t="e">
        <f t="shared" si="9"/>
        <v>#VALUE!</v>
      </c>
      <c r="U317" s="33">
        <f t="array" ref="U3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317,Quick_Names,0))),Type_Species)),0),1)*IF(COUNTBLANK(Combo_Opponent_Type_2)=0,INDEX(Type_Damage_Multipliers,MATCH(Combo_Opponent_Type_2,IF(Type_Move=(INDEX(Quick_Type,MATCH($O317,Quick_Names,0))),Type_Species)),0),1)*(IF(OR(INDEX(Quick_Type,MATCH($O317,Quick_Names,0))=INDEX(Species_Type_1,MATCH($N317,Species_Names,0)),INDEX(Quick_Type,MATCH($O317,Quick_Names,0))=INDEX(Species_Type_2,MATCH($N317,Species_Names,0))),Game_STAB_Multiplier,1)))</f>
        <v>1</v>
      </c>
      <c r="V317" s="33">
        <f t="array" ref="V3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317,Charge_Names,0))),Type_Species)),0),1)*IF(COUNTBLANK(Combo_Opponent_Type_2)=0,INDEX(Type_Damage_Multipliers,MATCH(Combo_Opponent_Type_2,IF(Type_Move=(INDEX(Charge_Type,MATCH($P317,Charge_Names,0))),Type_Species)),0),1)*
IF(OR(INDEX(Charge_Type,MATCH($P317,Charge_Names,0))=INDEX(Species_Type_1,MATCH($N317,Species_Names,0)),INDEX(Charge_Type,MATCH($P317,Charge_Names,0))=INDEX(Species_Type_2,MATCH($N317,Species_Names,0))),Game_STAB_Multiplier,1))</f>
        <v>1</v>
      </c>
      <c r="W317" s="33" t="s">
        <v>631</v>
      </c>
      <c r="X317" s="33" t="s">
        <v>688</v>
      </c>
      <c r="Y317" s="32" t="e">
        <f t="array" ref="Y317">((($Z317)*
INDEX(Species_Attack,MATCH($N317,Species_Names,0))*
INDEX(Species_Tankiness,MATCH($N317,Species_Names,0)))/1000)</f>
        <v>#VALUE!</v>
      </c>
      <c r="Z317" s="33" t="s">
        <v>527</v>
      </c>
    </row>
    <row r="318" spans="1:26" ht="14.25" customHeight="1" x14ac:dyDescent="0.2">
      <c r="A318" s="86"/>
      <c r="B318" s="22" t="str">
        <f t="array" ref="B318">CONCATENATE(TEXT($M318,"000"),".",TEXT(INDEX(Quick_Number,MATCH($O318,Quick_Names,0)),"000"),".",TEXT(INDEX(Charge_Number,MATCH($P318,Charge_Names,0)),"000"))</f>
        <v>082.206.035</v>
      </c>
      <c r="C318" s="23" t="e">
        <f t="array" ref="C318">RANK($S318,IF(Combo_Species_Names=$N318,Combo_Gym_Offense),0)</f>
        <v>#VALUE!</v>
      </c>
      <c r="D318" s="24" t="e">
        <f t="array" ref="D318">$S318/MAX(IF(Combo_Species_Names=$N318,Combo_Gym_Offense))</f>
        <v>#VALUE!</v>
      </c>
      <c r="E318" s="23" t="e">
        <f t="array" ref="E318">RANK($Y318,IF(Combo_Species_Names=$N318,Combo_Gym_Defense),0)</f>
        <v>#VALUE!</v>
      </c>
      <c r="F318" s="25" t="e">
        <f t="array" ref="F318">$Y318/MAX(IF(Combo_Species_Names=$N318,Combo_Gym_Defense))</f>
        <v>#VALUE!</v>
      </c>
      <c r="G318" s="23" t="e">
        <f t="array" ref="G318">IF(OR(INDEX(Species_Availability,MATCH($N318,Species_Names,0))="No",INDEX(Species_Evo_Numbers,MATCH($N318,Species_Names,0))&lt;&gt;1),"N/A",RANK($R318,IF(NOT(ISNA(MATCH(Combo_Species_Names,IF(Species_Availability="Yes",IF(Species_Evo_Numbers=1,Species_Names)),0))),Combo_Duel_Ability),0))</f>
        <v>#VALUE!</v>
      </c>
      <c r="H318" s="24" t="e">
        <f t="array" ref="H318">IF(OR(INDEX(Species_Availability,MATCH($N318,Species_Names,0))="No",INDEX(Species_Evo_Numbers,MATCH($N318,Species_Names,0))&lt;&gt;1),"N/A",$R318/MAX(IF(NOT(ISNA(MATCH(Combo_Species_Names,IF(Species_Availability="Yes",IF(Species_Evo_Numbers=1,Species_Names)),0))),Combo_Duel_Ability)))</f>
        <v>#VALUE!</v>
      </c>
      <c r="I318" s="23" t="e">
        <f t="array" ref="I318">IF(OR(INDEX(Species_Availability,MATCH($N318,Species_Names,0))="No",INDEX(Species_Evo_Numbers,MATCH($N318,Species_Names,0))&lt;&gt;1),"N/A",RANK($S318,IF(NOT(ISNA(MATCH(Combo_Species_Names,IF(Species_Availability="Yes",IF(Species_Evo_Numbers=1,Species_Names)),0))),Combo_Gym_Offense),0))</f>
        <v>#VALUE!</v>
      </c>
      <c r="J318" s="24" t="e">
        <f t="array" ref="J318">IF(OR(INDEX(Species_Availability,MATCH($N318,Species_Names,0))="No",INDEX(Species_Evo_Numbers,MATCH($N318,Species_Names,0))&lt;&gt;1),"N/A",$S318/MAX(IF(NOT(ISNA(MATCH(Combo_Species_Names,IF(Species_Availability="Yes",IF(Species_Evo_Numbers=1,Species_Names)),0))),Combo_Gym_Offense)))</f>
        <v>#VALUE!</v>
      </c>
      <c r="K318" s="23" t="e">
        <f t="array" ref="K318">IF(OR(INDEX(Species_Availability,MATCH($N318,Species_Names,0))="No",INDEX(Species_Evo_Numbers,MATCH($N318,Species_Names,0))&lt;&gt;1),"N/A",RANK($Y318,IF(NOT(ISNA(MATCH(Combo_Species_Names,IF(Species_Availability="Yes",IF(Species_Evo_Numbers=1,Species_Names)),0))),Combo_Gym_Defense),0))</f>
        <v>#VALUE!</v>
      </c>
      <c r="L318" s="24" t="e">
        <f t="array" ref="L318">IF(OR(INDEX(Species_Availability,MATCH($N318,Species_Names,0))="No",INDEX(Species_Evo_Numbers,MATCH($N318,Species_Names,0))&lt;&gt;1),"N/A",$Y318/MAX(IF(NOT(ISNA(MATCH(Combo_Species_Names,IF(Species_Availability="Yes",IF(Species_Evo_Numbers=1,Species_Names)),0))),Combo_Gym_Defense)))</f>
        <v>#VALUE!</v>
      </c>
      <c r="M318" s="28">
        <f t="array" ref="M318">INDEX(Species_Pdex_Numbers,MATCH($N318,Species_Names,0))</f>
        <v>82</v>
      </c>
      <c r="N318" s="30" t="s">
        <v>256</v>
      </c>
      <c r="O318" s="31" t="s">
        <v>106</v>
      </c>
      <c r="P318" s="31" t="s">
        <v>245</v>
      </c>
      <c r="Q318" s="17" t="e">
        <f t="shared" si="8"/>
        <v>#VALUE!</v>
      </c>
      <c r="R318" s="32" t="e">
        <f t="array" ref="R318">IF(OR(AND(COUNTBLANK(Combo_Opponent_Type_1)=1,COUNTBLANK(Combo_Opponent_Type_2)=0),AND(AND(COUNTBLANK(Combo_Opponent_Type_1)=0,COUNTBLANK(Combo_Opponent_Type_2)=0),Combo_Opponent_Type_1=Combo_Opponent_Type_2)),
"Check Types",($S318*INDEX(Species_Tankiness,MATCH($N318,Species_Names,0)))/225)</f>
        <v>#VALUE!</v>
      </c>
      <c r="S318" s="32" t="e">
        <f t="array" ref="S318">IF(OR(AND(COUNTBLANK(Combo_Opponent_Type_1)=1,COUNTBLANK(Combo_Opponent_Type_2)=0),AND(AND(COUNTBLANK(Combo_Opponent_Type_1)=0,COUNTBLANK(Combo_Opponent_Type_2)=0),Combo_Opponent_Type_1=Combo_Opponent_Type_2)),
"Check Types",(
IF($W318&gt;=((1-Game_Weave_Human_Error)*$X318),$W318,$X318)*INDEX(Species_Attack,MATCH($N318,Species_Names,0)))/11)</f>
        <v>#VALUE!</v>
      </c>
      <c r="T318" s="33" t="e">
        <f t="shared" si="9"/>
        <v>#VALUE!</v>
      </c>
      <c r="U318" s="33">
        <f t="array" ref="U3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318,Quick_Names,0))),Type_Species)),0),1)*IF(COUNTBLANK(Combo_Opponent_Type_2)=0,INDEX(Type_Damage_Multipliers,MATCH(Combo_Opponent_Type_2,IF(Type_Move=(INDEX(Quick_Type,MATCH($O318,Quick_Names,0))),Type_Species)),0),1)*(IF(OR(INDEX(Quick_Type,MATCH($O318,Quick_Names,0))=INDEX(Species_Type_1,MATCH($N318,Species_Names,0)),INDEX(Quick_Type,MATCH($O318,Quick_Names,0))=INDEX(Species_Type_2,MATCH($N318,Species_Names,0))),Game_STAB_Multiplier,1)))</f>
        <v>1.25</v>
      </c>
      <c r="V318" s="33">
        <f t="array" ref="V3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318,Charge_Names,0))),Type_Species)),0),1)*IF(COUNTBLANK(Combo_Opponent_Type_2)=0,INDEX(Type_Damage_Multipliers,MATCH(Combo_Opponent_Type_2,IF(Type_Move=(INDEX(Charge_Type,MATCH($P318,Charge_Names,0))),Type_Species)),0),1)*
IF(OR(INDEX(Charge_Type,MATCH($P318,Charge_Names,0))=INDEX(Species_Type_1,MATCH($N318,Species_Names,0)),INDEX(Charge_Type,MATCH($P318,Charge_Names,0))=INDEX(Species_Type_2,MATCH($N318,Species_Names,0))),Game_STAB_Multiplier,1))</f>
        <v>1.25</v>
      </c>
      <c r="W318" s="33" t="s">
        <v>708</v>
      </c>
      <c r="X318" s="33" t="s">
        <v>825</v>
      </c>
      <c r="Y318" s="32" t="e">
        <f t="array" ref="Y318">((($Z318)*
INDEX(Species_Attack,MATCH($N318,Species_Names,0))*
INDEX(Species_Tankiness,MATCH($N318,Species_Names,0)))/1000)</f>
        <v>#VALUE!</v>
      </c>
      <c r="Z318" s="33" t="s">
        <v>547</v>
      </c>
    </row>
    <row r="319" spans="1:26" ht="14.25" customHeight="1" x14ac:dyDescent="0.2">
      <c r="A319" s="86"/>
      <c r="B319" s="22" t="str">
        <f t="array" ref="B319">CONCATENATE(TEXT($M319,"000"),".",TEXT(INDEX(Quick_Number,MATCH($O319,Quick_Names,0)),"000"),".",TEXT(INDEX(Charge_Number,MATCH($P319,Charge_Names,0)),"000"))</f>
        <v>108.212.127</v>
      </c>
      <c r="C319" s="23" t="e">
        <f t="array" ref="C319">RANK($S319,IF(Combo_Species_Names=$N319,Combo_Gym_Offense),0)</f>
        <v>#VALUE!</v>
      </c>
      <c r="D319" s="24" t="e">
        <f t="array" ref="D319">$S319/MAX(IF(Combo_Species_Names=$N319,Combo_Gym_Offense))</f>
        <v>#VALUE!</v>
      </c>
      <c r="E319" s="23" t="e">
        <f t="array" ref="E319">RANK($Y319,IF(Combo_Species_Names=$N319,Combo_Gym_Defense),0)</f>
        <v>#VALUE!</v>
      </c>
      <c r="F319" s="25" t="e">
        <f t="array" ref="F319">$Y319/MAX(IF(Combo_Species_Names=$N319,Combo_Gym_Defense))</f>
        <v>#VALUE!</v>
      </c>
      <c r="G319" s="23" t="e">
        <f t="array" ref="G319">IF(OR(INDEX(Species_Availability,MATCH($N319,Species_Names,0))="No",INDEX(Species_Evo_Numbers,MATCH($N319,Species_Names,0))&lt;&gt;1),"N/A",RANK($R319,IF(NOT(ISNA(MATCH(Combo_Species_Names,IF(Species_Availability="Yes",IF(Species_Evo_Numbers=1,Species_Names)),0))),Combo_Duel_Ability),0))</f>
        <v>#VALUE!</v>
      </c>
      <c r="H319" s="24" t="e">
        <f t="array" ref="H319">IF(OR(INDEX(Species_Availability,MATCH($N319,Species_Names,0))="No",INDEX(Species_Evo_Numbers,MATCH($N319,Species_Names,0))&lt;&gt;1),"N/A",$R319/MAX(IF(NOT(ISNA(MATCH(Combo_Species_Names,IF(Species_Availability="Yes",IF(Species_Evo_Numbers=1,Species_Names)),0))),Combo_Duel_Ability)))</f>
        <v>#VALUE!</v>
      </c>
      <c r="I319" s="23" t="e">
        <f t="array" ref="I319">IF(OR(INDEX(Species_Availability,MATCH($N319,Species_Names,0))="No",INDEX(Species_Evo_Numbers,MATCH($N319,Species_Names,0))&lt;&gt;1),"N/A",RANK($S319,IF(NOT(ISNA(MATCH(Combo_Species_Names,IF(Species_Availability="Yes",IF(Species_Evo_Numbers=1,Species_Names)),0))),Combo_Gym_Offense),0))</f>
        <v>#VALUE!</v>
      </c>
      <c r="J319" s="24" t="e">
        <f t="array" ref="J319">IF(OR(INDEX(Species_Availability,MATCH($N319,Species_Names,0))="No",INDEX(Species_Evo_Numbers,MATCH($N319,Species_Names,0))&lt;&gt;1),"N/A",$S319/MAX(IF(NOT(ISNA(MATCH(Combo_Species_Names,IF(Species_Availability="Yes",IF(Species_Evo_Numbers=1,Species_Names)),0))),Combo_Gym_Offense)))</f>
        <v>#VALUE!</v>
      </c>
      <c r="K319" s="23" t="e">
        <f t="array" ref="K319">IF(OR(INDEX(Species_Availability,MATCH($N319,Species_Names,0))="No",INDEX(Species_Evo_Numbers,MATCH($N319,Species_Names,0))&lt;&gt;1),"N/A",RANK($Y319,IF(NOT(ISNA(MATCH(Combo_Species_Names,IF(Species_Availability="Yes",IF(Species_Evo_Numbers=1,Species_Names)),0))),Combo_Gym_Defense),0))</f>
        <v>#VALUE!</v>
      </c>
      <c r="L319" s="24" t="e">
        <f t="array" ref="L319">IF(OR(INDEX(Species_Availability,MATCH($N319,Species_Names,0))="No",INDEX(Species_Evo_Numbers,MATCH($N319,Species_Names,0))&lt;&gt;1),"N/A",$Y319/MAX(IF(NOT(ISNA(MATCH(Combo_Species_Names,IF(Species_Availability="Yes",IF(Species_Evo_Numbers=1,Species_Names)),0))),Combo_Gym_Defense)))</f>
        <v>#VALUE!</v>
      </c>
      <c r="M319" s="28">
        <f t="array" ref="M319">INDEX(Species_Pdex_Numbers,MATCH($N319,Species_Names,0))</f>
        <v>108</v>
      </c>
      <c r="N319" s="30" t="s">
        <v>320</v>
      </c>
      <c r="O319" s="31" t="s">
        <v>105</v>
      </c>
      <c r="P319" s="31" t="s">
        <v>241</v>
      </c>
      <c r="Q319" s="17" t="e">
        <f t="shared" si="8"/>
        <v>#VALUE!</v>
      </c>
      <c r="R319" s="32" t="e">
        <f t="array" ref="R319">IF(OR(AND(COUNTBLANK(Combo_Opponent_Type_1)=1,COUNTBLANK(Combo_Opponent_Type_2)=0),AND(AND(COUNTBLANK(Combo_Opponent_Type_1)=0,COUNTBLANK(Combo_Opponent_Type_2)=0),Combo_Opponent_Type_1=Combo_Opponent_Type_2)),
"Check Types",($S319*INDEX(Species_Tankiness,MATCH($N319,Species_Names,0)))/225)</f>
        <v>#VALUE!</v>
      </c>
      <c r="S319" s="32" t="e">
        <f t="array" ref="S319">IF(OR(AND(COUNTBLANK(Combo_Opponent_Type_1)=1,COUNTBLANK(Combo_Opponent_Type_2)=0),AND(AND(COUNTBLANK(Combo_Opponent_Type_1)=0,COUNTBLANK(Combo_Opponent_Type_2)=0),Combo_Opponent_Type_1=Combo_Opponent_Type_2)),
"Check Types",(
IF($W319&gt;=((1-Game_Weave_Human_Error)*$X319),$W319,$X319)*INDEX(Species_Attack,MATCH($N319,Species_Names,0)))/11)</f>
        <v>#VALUE!</v>
      </c>
      <c r="T319" s="33" t="e">
        <f t="shared" si="9"/>
        <v>#VALUE!</v>
      </c>
      <c r="U319" s="33">
        <f t="array" ref="U3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319,Quick_Names,0))),Type_Species)),0),1)*IF(COUNTBLANK(Combo_Opponent_Type_2)=0,INDEX(Type_Damage_Multipliers,MATCH(Combo_Opponent_Type_2,IF(Type_Move=(INDEX(Quick_Type,MATCH($O319,Quick_Names,0))),Type_Species)),0),1)*(IF(OR(INDEX(Quick_Type,MATCH($O319,Quick_Names,0))=INDEX(Species_Type_1,MATCH($N319,Species_Names,0)),INDEX(Quick_Type,MATCH($O319,Quick_Names,0))=INDEX(Species_Type_2,MATCH($N319,Species_Names,0))),Game_STAB_Multiplier,1)))</f>
        <v>1</v>
      </c>
      <c r="V319" s="33">
        <f t="array" ref="V3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319,Charge_Names,0))),Type_Species)),0),1)*IF(COUNTBLANK(Combo_Opponent_Type_2)=0,INDEX(Type_Damage_Multipliers,MATCH(Combo_Opponent_Type_2,IF(Type_Move=(INDEX(Charge_Type,MATCH($P319,Charge_Names,0))),Type_Species)),0),1)*
IF(OR(INDEX(Charge_Type,MATCH($P319,Charge_Names,0))=INDEX(Species_Type_1,MATCH($N319,Species_Names,0)),INDEX(Charge_Type,MATCH($P319,Charge_Names,0))=INDEX(Species_Type_2,MATCH($N319,Species_Names,0))),Game_STAB_Multiplier,1))</f>
        <v>1.25</v>
      </c>
      <c r="W319" s="33" t="s">
        <v>409</v>
      </c>
      <c r="X319" s="33" t="s">
        <v>826</v>
      </c>
      <c r="Y319" s="32" t="e">
        <f t="array" ref="Y319">((($Z319)*
INDEX(Species_Attack,MATCH($N319,Species_Names,0))*
INDEX(Species_Tankiness,MATCH($N319,Species_Names,0)))/1000)</f>
        <v>#VALUE!</v>
      </c>
      <c r="Z319" s="33" t="s">
        <v>545</v>
      </c>
    </row>
    <row r="320" spans="1:26" ht="14.25" customHeight="1" x14ac:dyDescent="0.2">
      <c r="A320" s="86"/>
      <c r="B320" s="22" t="str">
        <f t="array" ref="B320">CONCATENATE(TEXT($M320,"000"),".",TEXT(INDEX(Quick_Number,MATCH($O320,Quick_Names,0)),"000"),".",TEXT(INDEX(Charge_Number,MATCH($P320,Charge_Names,0)),"000"))</f>
        <v>123.200.051</v>
      </c>
      <c r="C320" s="23" t="e">
        <f t="array" ref="C320">RANK($S320,IF(Combo_Species_Names=$N320,Combo_Gym_Offense),0)</f>
        <v>#VALUE!</v>
      </c>
      <c r="D320" s="24" t="e">
        <f t="array" ref="D320">$S320/MAX(IF(Combo_Species_Names=$N320,Combo_Gym_Offense))</f>
        <v>#VALUE!</v>
      </c>
      <c r="E320" s="23" t="e">
        <f t="array" ref="E320">RANK($Y320,IF(Combo_Species_Names=$N320,Combo_Gym_Defense),0)</f>
        <v>#VALUE!</v>
      </c>
      <c r="F320" s="25" t="e">
        <f t="array" ref="F320">$Y320/MAX(IF(Combo_Species_Names=$N320,Combo_Gym_Defense))</f>
        <v>#VALUE!</v>
      </c>
      <c r="G320" s="23" t="e">
        <f t="array" ref="G320">IF(OR(INDEX(Species_Availability,MATCH($N320,Species_Names,0))="No",INDEX(Species_Evo_Numbers,MATCH($N320,Species_Names,0))&lt;&gt;1),"N/A",RANK($R320,IF(NOT(ISNA(MATCH(Combo_Species_Names,IF(Species_Availability="Yes",IF(Species_Evo_Numbers=1,Species_Names)),0))),Combo_Duel_Ability),0))</f>
        <v>#VALUE!</v>
      </c>
      <c r="H320" s="24" t="e">
        <f t="array" ref="H320">IF(OR(INDEX(Species_Availability,MATCH($N320,Species_Names,0))="No",INDEX(Species_Evo_Numbers,MATCH($N320,Species_Names,0))&lt;&gt;1),"N/A",$R320/MAX(IF(NOT(ISNA(MATCH(Combo_Species_Names,IF(Species_Availability="Yes",IF(Species_Evo_Numbers=1,Species_Names)),0))),Combo_Duel_Ability)))</f>
        <v>#VALUE!</v>
      </c>
      <c r="I320" s="23" t="e">
        <f t="array" ref="I320">IF(OR(INDEX(Species_Availability,MATCH($N320,Species_Names,0))="No",INDEX(Species_Evo_Numbers,MATCH($N320,Species_Names,0))&lt;&gt;1),"N/A",RANK($S320,IF(NOT(ISNA(MATCH(Combo_Species_Names,IF(Species_Availability="Yes",IF(Species_Evo_Numbers=1,Species_Names)),0))),Combo_Gym_Offense),0))</f>
        <v>#VALUE!</v>
      </c>
      <c r="J320" s="24" t="e">
        <f t="array" ref="J320">IF(OR(INDEX(Species_Availability,MATCH($N320,Species_Names,0))="No",INDEX(Species_Evo_Numbers,MATCH($N320,Species_Names,0))&lt;&gt;1),"N/A",$S320/MAX(IF(NOT(ISNA(MATCH(Combo_Species_Names,IF(Species_Availability="Yes",IF(Species_Evo_Numbers=1,Species_Names)),0))),Combo_Gym_Offense)))</f>
        <v>#VALUE!</v>
      </c>
      <c r="K320" s="23" t="e">
        <f t="array" ref="K320">IF(OR(INDEX(Species_Availability,MATCH($N320,Species_Names,0))="No",INDEX(Species_Evo_Numbers,MATCH($N320,Species_Names,0))&lt;&gt;1),"N/A",RANK($Y320,IF(NOT(ISNA(MATCH(Combo_Species_Names,IF(Species_Availability="Yes",IF(Species_Evo_Numbers=1,Species_Names)),0))),Combo_Gym_Defense),0))</f>
        <v>#VALUE!</v>
      </c>
      <c r="L320" s="24" t="e">
        <f t="array" ref="L320">IF(OR(INDEX(Species_Availability,MATCH($N320,Species_Names,0))="No",INDEX(Species_Evo_Numbers,MATCH($N320,Species_Names,0))&lt;&gt;1),"N/A",$Y320/MAX(IF(NOT(ISNA(MATCH(Combo_Species_Names,IF(Species_Availability="Yes",IF(Species_Evo_Numbers=1,Species_Names)),0))),Combo_Gym_Defense)))</f>
        <v>#VALUE!</v>
      </c>
      <c r="M320" s="28">
        <f t="array" ref="M320">INDEX(Species_Pdex_Numbers,MATCH($N320,Species_Names,0))</f>
        <v>123</v>
      </c>
      <c r="N320" s="30" t="s">
        <v>340</v>
      </c>
      <c r="O320" s="31" t="s">
        <v>121</v>
      </c>
      <c r="P320" s="31" t="s">
        <v>262</v>
      </c>
      <c r="Q320" s="17" t="e">
        <f t="shared" si="8"/>
        <v>#VALUE!</v>
      </c>
      <c r="R320" s="32" t="e">
        <f t="array" ref="R320">IF(OR(AND(COUNTBLANK(Combo_Opponent_Type_1)=1,COUNTBLANK(Combo_Opponent_Type_2)=0),AND(AND(COUNTBLANK(Combo_Opponent_Type_1)=0,COUNTBLANK(Combo_Opponent_Type_2)=0),Combo_Opponent_Type_1=Combo_Opponent_Type_2)),
"Check Types",($S320*INDEX(Species_Tankiness,MATCH($N320,Species_Names,0)))/225)</f>
        <v>#VALUE!</v>
      </c>
      <c r="S320" s="32" t="e">
        <f t="array" ref="S320">IF(OR(AND(COUNTBLANK(Combo_Opponent_Type_1)=1,COUNTBLANK(Combo_Opponent_Type_2)=0),AND(AND(COUNTBLANK(Combo_Opponent_Type_1)=0,COUNTBLANK(Combo_Opponent_Type_2)=0),Combo_Opponent_Type_1=Combo_Opponent_Type_2)),
"Check Types",(
IF($W320&gt;=((1-Game_Weave_Human_Error)*$X320),$W320,$X320)*INDEX(Species_Attack,MATCH($N320,Species_Names,0)))/11)</f>
        <v>#VALUE!</v>
      </c>
      <c r="T320" s="33" t="e">
        <f t="shared" si="9"/>
        <v>#VALUE!</v>
      </c>
      <c r="U320" s="33">
        <f t="array" ref="U3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320,Quick_Names,0))),Type_Species)),0),1)*IF(COUNTBLANK(Combo_Opponent_Type_2)=0,INDEX(Type_Damage_Multipliers,MATCH(Combo_Opponent_Type_2,IF(Type_Move=(INDEX(Quick_Type,MATCH($O320,Quick_Names,0))),Type_Species)),0),1)*(IF(OR(INDEX(Quick_Type,MATCH($O320,Quick_Names,0))=INDEX(Species_Type_1,MATCH($N320,Species_Names,0)),INDEX(Quick_Type,MATCH($O320,Quick_Names,0))=INDEX(Species_Type_2,MATCH($N320,Species_Names,0))),Game_STAB_Multiplier,1)))</f>
        <v>1.25</v>
      </c>
      <c r="V320" s="33">
        <f t="array" ref="V3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320,Charge_Names,0))),Type_Species)),0),1)*IF(COUNTBLANK(Combo_Opponent_Type_2)=0,INDEX(Type_Damage_Multipliers,MATCH(Combo_Opponent_Type_2,IF(Type_Move=(INDEX(Charge_Type,MATCH($P320,Charge_Names,0))),Type_Species)),0),1)*
IF(OR(INDEX(Charge_Type,MATCH($P320,Charge_Names,0))=INDEX(Species_Type_1,MATCH($N320,Species_Names,0)),INDEX(Charge_Type,MATCH($P320,Charge_Names,0))=INDEX(Species_Type_2,MATCH($N320,Species_Names,0))),Game_STAB_Multiplier,1))</f>
        <v>1</v>
      </c>
      <c r="W320" s="33" t="s">
        <v>564</v>
      </c>
      <c r="X320" s="33" t="s">
        <v>827</v>
      </c>
      <c r="Y320" s="32" t="e">
        <f t="array" ref="Y320">((($Z320)*
INDEX(Species_Attack,MATCH($N320,Species_Names,0))*
INDEX(Species_Tankiness,MATCH($N320,Species_Names,0)))/1000)</f>
        <v>#VALUE!</v>
      </c>
      <c r="Z320" s="33" t="s">
        <v>811</v>
      </c>
    </row>
    <row r="321" spans="1:26" ht="14.25" customHeight="1" x14ac:dyDescent="0.2">
      <c r="A321" s="86"/>
      <c r="B321" s="22" t="str">
        <f t="array" ref="B321">CONCATENATE(TEXT($M321,"000"),".",TEXT(INDEX(Quick_Number,MATCH($O321,Quick_Names,0)),"000"),".",TEXT(INDEX(Charge_Number,MATCH($P321,Charge_Names,0)),"000"))</f>
        <v>047.200.100</v>
      </c>
      <c r="C321" s="23" t="e">
        <f t="array" ref="C321">RANK($S321,IF(Combo_Species_Names=$N321,Combo_Gym_Offense),0)</f>
        <v>#VALUE!</v>
      </c>
      <c r="D321" s="24" t="e">
        <f t="array" ref="D321">$S321/MAX(IF(Combo_Species_Names=$N321,Combo_Gym_Offense))</f>
        <v>#VALUE!</v>
      </c>
      <c r="E321" s="23" t="e">
        <f t="array" ref="E321">RANK($Y321,IF(Combo_Species_Names=$N321,Combo_Gym_Defense),0)</f>
        <v>#VALUE!</v>
      </c>
      <c r="F321" s="25" t="e">
        <f t="array" ref="F321">$Y321/MAX(IF(Combo_Species_Names=$N321,Combo_Gym_Defense))</f>
        <v>#VALUE!</v>
      </c>
      <c r="G321" s="23" t="e">
        <f t="array" ref="G321">IF(OR(INDEX(Species_Availability,MATCH($N321,Species_Names,0))="No",INDEX(Species_Evo_Numbers,MATCH($N321,Species_Names,0))&lt;&gt;1),"N/A",RANK($R321,IF(NOT(ISNA(MATCH(Combo_Species_Names,IF(Species_Availability="Yes",IF(Species_Evo_Numbers=1,Species_Names)),0))),Combo_Duel_Ability),0))</f>
        <v>#VALUE!</v>
      </c>
      <c r="H321" s="24" t="e">
        <f t="array" ref="H321">IF(OR(INDEX(Species_Availability,MATCH($N321,Species_Names,0))="No",INDEX(Species_Evo_Numbers,MATCH($N321,Species_Names,0))&lt;&gt;1),"N/A",$R321/MAX(IF(NOT(ISNA(MATCH(Combo_Species_Names,IF(Species_Availability="Yes",IF(Species_Evo_Numbers=1,Species_Names)),0))),Combo_Duel_Ability)))</f>
        <v>#VALUE!</v>
      </c>
      <c r="I321" s="23" t="e">
        <f t="array" ref="I321">IF(OR(INDEX(Species_Availability,MATCH($N321,Species_Names,0))="No",INDEX(Species_Evo_Numbers,MATCH($N321,Species_Names,0))&lt;&gt;1),"N/A",RANK($S321,IF(NOT(ISNA(MATCH(Combo_Species_Names,IF(Species_Availability="Yes",IF(Species_Evo_Numbers=1,Species_Names)),0))),Combo_Gym_Offense),0))</f>
        <v>#VALUE!</v>
      </c>
      <c r="J321" s="24" t="e">
        <f t="array" ref="J321">IF(OR(INDEX(Species_Availability,MATCH($N321,Species_Names,0))="No",INDEX(Species_Evo_Numbers,MATCH($N321,Species_Names,0))&lt;&gt;1),"N/A",$S321/MAX(IF(NOT(ISNA(MATCH(Combo_Species_Names,IF(Species_Availability="Yes",IF(Species_Evo_Numbers=1,Species_Names)),0))),Combo_Gym_Offense)))</f>
        <v>#VALUE!</v>
      </c>
      <c r="K321" s="23" t="e">
        <f t="array" ref="K321">IF(OR(INDEX(Species_Availability,MATCH($N321,Species_Names,0))="No",INDEX(Species_Evo_Numbers,MATCH($N321,Species_Names,0))&lt;&gt;1),"N/A",RANK($Y321,IF(NOT(ISNA(MATCH(Combo_Species_Names,IF(Species_Availability="Yes",IF(Species_Evo_Numbers=1,Species_Names)),0))),Combo_Gym_Defense),0))</f>
        <v>#VALUE!</v>
      </c>
      <c r="L321" s="24" t="e">
        <f t="array" ref="L321">IF(OR(INDEX(Species_Availability,MATCH($N321,Species_Names,0))="No",INDEX(Species_Evo_Numbers,MATCH($N321,Species_Names,0))&lt;&gt;1),"N/A",$Y321/MAX(IF(NOT(ISNA(MATCH(Combo_Species_Names,IF(Species_Availability="Yes",IF(Species_Evo_Numbers=1,Species_Names)),0))),Combo_Gym_Defense)))</f>
        <v>#VALUE!</v>
      </c>
      <c r="M321" s="28">
        <f t="array" ref="M321">INDEX(Species_Pdex_Numbers,MATCH($N321,Species_Names,0))</f>
        <v>47</v>
      </c>
      <c r="N321" s="30" t="s">
        <v>184</v>
      </c>
      <c r="O321" s="31" t="s">
        <v>121</v>
      </c>
      <c r="P321" s="31" t="s">
        <v>218</v>
      </c>
      <c r="Q321" s="17" t="e">
        <f t="shared" si="8"/>
        <v>#VALUE!</v>
      </c>
      <c r="R321" s="32" t="e">
        <f t="array" ref="R321">IF(OR(AND(COUNTBLANK(Combo_Opponent_Type_1)=1,COUNTBLANK(Combo_Opponent_Type_2)=0),AND(AND(COUNTBLANK(Combo_Opponent_Type_1)=0,COUNTBLANK(Combo_Opponent_Type_2)=0),Combo_Opponent_Type_1=Combo_Opponent_Type_2)),
"Check Types",($S321*INDEX(Species_Tankiness,MATCH($N321,Species_Names,0)))/225)</f>
        <v>#VALUE!</v>
      </c>
      <c r="S321" s="32" t="e">
        <f t="array" ref="S321">IF(OR(AND(COUNTBLANK(Combo_Opponent_Type_1)=1,COUNTBLANK(Combo_Opponent_Type_2)=0),AND(AND(COUNTBLANK(Combo_Opponent_Type_1)=0,COUNTBLANK(Combo_Opponent_Type_2)=0),Combo_Opponent_Type_1=Combo_Opponent_Type_2)),
"Check Types",(
IF($W321&gt;=((1-Game_Weave_Human_Error)*$X321),$W321,$X321)*INDEX(Species_Attack,MATCH($N321,Species_Names,0)))/11)</f>
        <v>#VALUE!</v>
      </c>
      <c r="T321" s="33" t="e">
        <f t="shared" si="9"/>
        <v>#VALUE!</v>
      </c>
      <c r="U321" s="33">
        <f t="array" ref="U3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321,Quick_Names,0))),Type_Species)),0),1)*IF(COUNTBLANK(Combo_Opponent_Type_2)=0,INDEX(Type_Damage_Multipliers,MATCH(Combo_Opponent_Type_2,IF(Type_Move=(INDEX(Quick_Type,MATCH($O321,Quick_Names,0))),Type_Species)),0),1)*(IF(OR(INDEX(Quick_Type,MATCH($O321,Quick_Names,0))=INDEX(Species_Type_1,MATCH($N321,Species_Names,0)),INDEX(Quick_Type,MATCH($O321,Quick_Names,0))=INDEX(Species_Type_2,MATCH($N321,Species_Names,0))),Game_STAB_Multiplier,1)))</f>
        <v>1.25</v>
      </c>
      <c r="V321" s="33">
        <f t="array" ref="V3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321,Charge_Names,0))),Type_Species)),0),1)*IF(COUNTBLANK(Combo_Opponent_Type_2)=0,INDEX(Type_Damage_Multipliers,MATCH(Combo_Opponent_Type_2,IF(Type_Move=(INDEX(Charge_Type,MATCH($P321,Charge_Names,0))),Type_Species)),0),1)*
IF(OR(INDEX(Charge_Type,MATCH($P321,Charge_Names,0))=INDEX(Species_Type_1,MATCH($N321,Species_Names,0)),INDEX(Charge_Type,MATCH($P321,Charge_Names,0))=INDEX(Species_Type_2,MATCH($N321,Species_Names,0))),Game_STAB_Multiplier,1))</f>
        <v>1.25</v>
      </c>
      <c r="W321" s="33" t="s">
        <v>564</v>
      </c>
      <c r="X321" s="33" t="s">
        <v>722</v>
      </c>
      <c r="Y321" s="32" t="e">
        <f t="array" ref="Y321">((($Z321)*
INDEX(Species_Attack,MATCH($N321,Species_Names,0))*
INDEX(Species_Tankiness,MATCH($N321,Species_Names,0)))/1000)</f>
        <v>#VALUE!</v>
      </c>
      <c r="Z321" s="33" t="s">
        <v>723</v>
      </c>
    </row>
    <row r="322" spans="1:26" ht="14.25" customHeight="1" x14ac:dyDescent="0.2">
      <c r="A322" s="86"/>
      <c r="B322" s="22" t="str">
        <f t="array" ref="B322">CONCATENATE(TEXT($M322,"000"),".",TEXT(INDEX(Quick_Number,MATCH($O322,Quick_Names,0)),"000"),".",TEXT(INDEX(Charge_Number,MATCH($P322,Charge_Names,0)),"000"))</f>
        <v>141.200.105</v>
      </c>
      <c r="C322" s="23" t="e">
        <f t="array" ref="C322">RANK($S322,IF(Combo_Species_Names=$N322,Combo_Gym_Offense),0)</f>
        <v>#VALUE!</v>
      </c>
      <c r="D322" s="24" t="e">
        <f t="array" ref="D322">$S322/MAX(IF(Combo_Species_Names=$N322,Combo_Gym_Offense))</f>
        <v>#VALUE!</v>
      </c>
      <c r="E322" s="23" t="e">
        <f t="array" ref="E322">RANK($Y322,IF(Combo_Species_Names=$N322,Combo_Gym_Defense),0)</f>
        <v>#VALUE!</v>
      </c>
      <c r="F322" s="25" t="e">
        <f t="array" ref="F322">$Y322/MAX(IF(Combo_Species_Names=$N322,Combo_Gym_Defense))</f>
        <v>#VALUE!</v>
      </c>
      <c r="G322" s="23" t="e">
        <f t="array" ref="G322">IF(OR(INDEX(Species_Availability,MATCH($N322,Species_Names,0))="No",INDEX(Species_Evo_Numbers,MATCH($N322,Species_Names,0))&lt;&gt;1),"N/A",RANK($R322,IF(NOT(ISNA(MATCH(Combo_Species_Names,IF(Species_Availability="Yes",IF(Species_Evo_Numbers=1,Species_Names)),0))),Combo_Duel_Ability),0))</f>
        <v>#VALUE!</v>
      </c>
      <c r="H322" s="24" t="e">
        <f t="array" ref="H322">IF(OR(INDEX(Species_Availability,MATCH($N322,Species_Names,0))="No",INDEX(Species_Evo_Numbers,MATCH($N322,Species_Names,0))&lt;&gt;1),"N/A",$R322/MAX(IF(NOT(ISNA(MATCH(Combo_Species_Names,IF(Species_Availability="Yes",IF(Species_Evo_Numbers=1,Species_Names)),0))),Combo_Duel_Ability)))</f>
        <v>#VALUE!</v>
      </c>
      <c r="I322" s="23" t="e">
        <f t="array" ref="I322">IF(OR(INDEX(Species_Availability,MATCH($N322,Species_Names,0))="No",INDEX(Species_Evo_Numbers,MATCH($N322,Species_Names,0))&lt;&gt;1),"N/A",RANK($S322,IF(NOT(ISNA(MATCH(Combo_Species_Names,IF(Species_Availability="Yes",IF(Species_Evo_Numbers=1,Species_Names)),0))),Combo_Gym_Offense),0))</f>
        <v>#VALUE!</v>
      </c>
      <c r="J322" s="24" t="e">
        <f t="array" ref="J322">IF(OR(INDEX(Species_Availability,MATCH($N322,Species_Names,0))="No",INDEX(Species_Evo_Numbers,MATCH($N322,Species_Names,0))&lt;&gt;1),"N/A",$S322/MAX(IF(NOT(ISNA(MATCH(Combo_Species_Names,IF(Species_Availability="Yes",IF(Species_Evo_Numbers=1,Species_Names)),0))),Combo_Gym_Offense)))</f>
        <v>#VALUE!</v>
      </c>
      <c r="K322" s="23" t="e">
        <f t="array" ref="K322">IF(OR(INDEX(Species_Availability,MATCH($N322,Species_Names,0))="No",INDEX(Species_Evo_Numbers,MATCH($N322,Species_Names,0))&lt;&gt;1),"N/A",RANK($Y322,IF(NOT(ISNA(MATCH(Combo_Species_Names,IF(Species_Availability="Yes",IF(Species_Evo_Numbers=1,Species_Names)),0))),Combo_Gym_Defense),0))</f>
        <v>#VALUE!</v>
      </c>
      <c r="L322" s="24" t="e">
        <f t="array" ref="L322">IF(OR(INDEX(Species_Availability,MATCH($N322,Species_Names,0))="No",INDEX(Species_Evo_Numbers,MATCH($N322,Species_Names,0))&lt;&gt;1),"N/A",$Y322/MAX(IF(NOT(ISNA(MATCH(Combo_Species_Names,IF(Species_Availability="Yes",IF(Species_Evo_Numbers=1,Species_Names)),0))),Combo_Gym_Defense)))</f>
        <v>#VALUE!</v>
      </c>
      <c r="M322" s="28">
        <f t="array" ref="M322">INDEX(Species_Pdex_Numbers,MATCH($N322,Species_Names,0))</f>
        <v>141</v>
      </c>
      <c r="N322" s="30" t="s">
        <v>359</v>
      </c>
      <c r="O322" s="31" t="s">
        <v>121</v>
      </c>
      <c r="P322" s="31" t="s">
        <v>281</v>
      </c>
      <c r="Q322" s="17" t="e">
        <f t="shared" si="8"/>
        <v>#VALUE!</v>
      </c>
      <c r="R322" s="32" t="e">
        <f t="array" ref="R322">IF(OR(AND(COUNTBLANK(Combo_Opponent_Type_1)=1,COUNTBLANK(Combo_Opponent_Type_2)=0),AND(AND(COUNTBLANK(Combo_Opponent_Type_1)=0,COUNTBLANK(Combo_Opponent_Type_2)=0),Combo_Opponent_Type_1=Combo_Opponent_Type_2)),
"Check Types",($S322*INDEX(Species_Tankiness,MATCH($N322,Species_Names,0)))/225)</f>
        <v>#VALUE!</v>
      </c>
      <c r="S322" s="32" t="e">
        <f t="array" ref="S322">IF(OR(AND(COUNTBLANK(Combo_Opponent_Type_1)=1,COUNTBLANK(Combo_Opponent_Type_2)=0),AND(AND(COUNTBLANK(Combo_Opponent_Type_1)=0,COUNTBLANK(Combo_Opponent_Type_2)=0),Combo_Opponent_Type_1=Combo_Opponent_Type_2)),
"Check Types",(
IF($W322&gt;=((1-Game_Weave_Human_Error)*$X322),$W322,$X322)*INDEX(Species_Attack,MATCH($N322,Species_Names,0)))/11)</f>
        <v>#VALUE!</v>
      </c>
      <c r="T322" s="33" t="e">
        <f t="shared" si="9"/>
        <v>#VALUE!</v>
      </c>
      <c r="U322" s="33">
        <f t="array" ref="U3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322,Quick_Names,0))),Type_Species)),0),1)*IF(COUNTBLANK(Combo_Opponent_Type_2)=0,INDEX(Type_Damage_Multipliers,MATCH(Combo_Opponent_Type_2,IF(Type_Move=(INDEX(Quick_Type,MATCH($O322,Quick_Names,0))),Type_Species)),0),1)*(IF(OR(INDEX(Quick_Type,MATCH($O322,Quick_Names,0))=INDEX(Species_Type_1,MATCH($N322,Species_Names,0)),INDEX(Quick_Type,MATCH($O322,Quick_Names,0))=INDEX(Species_Type_2,MATCH($N322,Species_Names,0))),Game_STAB_Multiplier,1)))</f>
        <v>1</v>
      </c>
      <c r="V322" s="33">
        <f t="array" ref="V3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322,Charge_Names,0))),Type_Species)),0),1)*IF(COUNTBLANK(Combo_Opponent_Type_2)=0,INDEX(Type_Damage_Multipliers,MATCH(Combo_Opponent_Type_2,IF(Type_Move=(INDEX(Charge_Type,MATCH($P322,Charge_Names,0))),Type_Species)),0),1)*
IF(OR(INDEX(Charge_Type,MATCH($P322,Charge_Names,0))=INDEX(Species_Type_1,MATCH($N322,Species_Names,0)),INDEX(Charge_Type,MATCH($P322,Charge_Names,0))=INDEX(Species_Type_2,MATCH($N322,Species_Names,0))),Game_STAB_Multiplier,1))</f>
        <v>1.25</v>
      </c>
      <c r="W322" s="33" t="s">
        <v>600</v>
      </c>
      <c r="X322" s="33" t="s">
        <v>793</v>
      </c>
      <c r="Y322" s="32" t="e">
        <f t="array" ref="Y322">((($Z322)*
INDEX(Species_Attack,MATCH($N322,Species_Names,0))*
INDEX(Species_Tankiness,MATCH($N322,Species_Names,0)))/1000)</f>
        <v>#VALUE!</v>
      </c>
      <c r="Z322" s="33" t="s">
        <v>828</v>
      </c>
    </row>
    <row r="323" spans="1:26" ht="14.25" customHeight="1" x14ac:dyDescent="0.2">
      <c r="A323" s="86"/>
      <c r="B323" s="22" t="str">
        <f t="array" ref="B323">CONCATENATE(TEXT($M323,"000"),".",TEXT(INDEX(Quick_Number,MATCH($O323,Quick_Names,0)),"000"),".",TEXT(INDEX(Charge_Number,MATCH($P323,Charge_Names,0)),"000"))</f>
        <v>053.220.088</v>
      </c>
      <c r="C323" s="23" t="e">
        <f t="array" ref="C323">RANK($S323,IF(Combo_Species_Names=$N323,Combo_Gym_Offense),0)</f>
        <v>#VALUE!</v>
      </c>
      <c r="D323" s="24" t="e">
        <f t="array" ref="D323">$S323/MAX(IF(Combo_Species_Names=$N323,Combo_Gym_Offense))</f>
        <v>#VALUE!</v>
      </c>
      <c r="E323" s="23" t="e">
        <f t="array" ref="E323">RANK($Y323,IF(Combo_Species_Names=$N323,Combo_Gym_Defense),0)</f>
        <v>#VALUE!</v>
      </c>
      <c r="F323" s="25" t="e">
        <f t="array" ref="F323">$Y323/MAX(IF(Combo_Species_Names=$N323,Combo_Gym_Defense))</f>
        <v>#VALUE!</v>
      </c>
      <c r="G323" s="23" t="e">
        <f t="array" ref="G323">IF(OR(INDEX(Species_Availability,MATCH($N323,Species_Names,0))="No",INDEX(Species_Evo_Numbers,MATCH($N323,Species_Names,0))&lt;&gt;1),"N/A",RANK($R323,IF(NOT(ISNA(MATCH(Combo_Species_Names,IF(Species_Availability="Yes",IF(Species_Evo_Numbers=1,Species_Names)),0))),Combo_Duel_Ability),0))</f>
        <v>#VALUE!</v>
      </c>
      <c r="H323" s="24" t="e">
        <f t="array" ref="H323">IF(OR(INDEX(Species_Availability,MATCH($N323,Species_Names,0))="No",INDEX(Species_Evo_Numbers,MATCH($N323,Species_Names,0))&lt;&gt;1),"N/A",$R323/MAX(IF(NOT(ISNA(MATCH(Combo_Species_Names,IF(Species_Availability="Yes",IF(Species_Evo_Numbers=1,Species_Names)),0))),Combo_Duel_Ability)))</f>
        <v>#VALUE!</v>
      </c>
      <c r="I323" s="23" t="e">
        <f t="array" ref="I323">IF(OR(INDEX(Species_Availability,MATCH($N323,Species_Names,0))="No",INDEX(Species_Evo_Numbers,MATCH($N323,Species_Names,0))&lt;&gt;1),"N/A",RANK($S323,IF(NOT(ISNA(MATCH(Combo_Species_Names,IF(Species_Availability="Yes",IF(Species_Evo_Numbers=1,Species_Names)),0))),Combo_Gym_Offense),0))</f>
        <v>#VALUE!</v>
      </c>
      <c r="J323" s="24" t="e">
        <f t="array" ref="J323">IF(OR(INDEX(Species_Availability,MATCH($N323,Species_Names,0))="No",INDEX(Species_Evo_Numbers,MATCH($N323,Species_Names,0))&lt;&gt;1),"N/A",$S323/MAX(IF(NOT(ISNA(MATCH(Combo_Species_Names,IF(Species_Availability="Yes",IF(Species_Evo_Numbers=1,Species_Names)),0))),Combo_Gym_Offense)))</f>
        <v>#VALUE!</v>
      </c>
      <c r="K323" s="23" t="e">
        <f t="array" ref="K323">IF(OR(INDEX(Species_Availability,MATCH($N323,Species_Names,0))="No",INDEX(Species_Evo_Numbers,MATCH($N323,Species_Names,0))&lt;&gt;1),"N/A",RANK($Y323,IF(NOT(ISNA(MATCH(Combo_Species_Names,IF(Species_Availability="Yes",IF(Species_Evo_Numbers=1,Species_Names)),0))),Combo_Gym_Defense),0))</f>
        <v>#VALUE!</v>
      </c>
      <c r="L323" s="24" t="e">
        <f t="array" ref="L323">IF(OR(INDEX(Species_Availability,MATCH($N323,Species_Names,0))="No",INDEX(Species_Evo_Numbers,MATCH($N323,Species_Names,0))&lt;&gt;1),"N/A",$Y323/MAX(IF(NOT(ISNA(MATCH(Combo_Species_Names,IF(Species_Availability="Yes",IF(Species_Evo_Numbers=1,Species_Names)),0))),Combo_Gym_Defense)))</f>
        <v>#VALUE!</v>
      </c>
      <c r="M323" s="28">
        <f t="array" ref="M323">INDEX(Species_Pdex_Numbers,MATCH($N323,Species_Names,0))</f>
        <v>53</v>
      </c>
      <c r="N323" s="30" t="s">
        <v>195</v>
      </c>
      <c r="O323" s="31" t="s">
        <v>64</v>
      </c>
      <c r="P323" s="31" t="s">
        <v>202</v>
      </c>
      <c r="Q323" s="17" t="e">
        <f t="shared" si="8"/>
        <v>#VALUE!</v>
      </c>
      <c r="R323" s="32" t="e">
        <f t="array" ref="R323">IF(OR(AND(COUNTBLANK(Combo_Opponent_Type_1)=1,COUNTBLANK(Combo_Opponent_Type_2)=0),AND(AND(COUNTBLANK(Combo_Opponent_Type_1)=0,COUNTBLANK(Combo_Opponent_Type_2)=0),Combo_Opponent_Type_1=Combo_Opponent_Type_2)),
"Check Types",($S323*INDEX(Species_Tankiness,MATCH($N323,Species_Names,0)))/225)</f>
        <v>#VALUE!</v>
      </c>
      <c r="S323" s="32" t="e">
        <f t="array" ref="S323">IF(OR(AND(COUNTBLANK(Combo_Opponent_Type_1)=1,COUNTBLANK(Combo_Opponent_Type_2)=0),AND(AND(COUNTBLANK(Combo_Opponent_Type_1)=0,COUNTBLANK(Combo_Opponent_Type_2)=0),Combo_Opponent_Type_1=Combo_Opponent_Type_2)),
"Check Types",(
IF($W323&gt;=((1-Game_Weave_Human_Error)*$X323),$W323,$X323)*INDEX(Species_Attack,MATCH($N323,Species_Names,0)))/11)</f>
        <v>#VALUE!</v>
      </c>
      <c r="T323" s="33" t="e">
        <f t="shared" si="9"/>
        <v>#VALUE!</v>
      </c>
      <c r="U323" s="33">
        <f t="array" ref="U3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323,Quick_Names,0))),Type_Species)),0),1)*IF(COUNTBLANK(Combo_Opponent_Type_2)=0,INDEX(Type_Damage_Multipliers,MATCH(Combo_Opponent_Type_2,IF(Type_Move=(INDEX(Quick_Type,MATCH($O323,Quick_Names,0))),Type_Species)),0),1)*(IF(OR(INDEX(Quick_Type,MATCH($O323,Quick_Names,0))=INDEX(Species_Type_1,MATCH($N323,Species_Names,0)),INDEX(Quick_Type,MATCH($O323,Quick_Names,0))=INDEX(Species_Type_2,MATCH($N323,Species_Names,0))),Game_STAB_Multiplier,1)))</f>
        <v>1.25</v>
      </c>
      <c r="V323" s="33">
        <f t="array" ref="V3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323,Charge_Names,0))),Type_Species)),0),1)*IF(COUNTBLANK(Combo_Opponent_Type_2)=0,INDEX(Type_Damage_Multipliers,MATCH(Combo_Opponent_Type_2,IF(Type_Move=(INDEX(Charge_Type,MATCH($P323,Charge_Names,0))),Type_Species)),0),1)*
IF(OR(INDEX(Charge_Type,MATCH($P323,Charge_Names,0))=INDEX(Species_Type_1,MATCH($N323,Species_Names,0)),INDEX(Charge_Type,MATCH($P323,Charge_Names,0))=INDEX(Species_Type_2,MATCH($N323,Species_Names,0))),Game_STAB_Multiplier,1))</f>
        <v>1</v>
      </c>
      <c r="W323" s="33" t="s">
        <v>412</v>
      </c>
      <c r="X323" s="33" t="s">
        <v>829</v>
      </c>
      <c r="Y323" s="32" t="e">
        <f t="array" ref="Y323">((($Z323)*
INDEX(Species_Attack,MATCH($N323,Species_Names,0))*
INDEX(Species_Tankiness,MATCH($N323,Species_Names,0)))/1000)</f>
        <v>#VALUE!</v>
      </c>
      <c r="Z323" s="33" t="s">
        <v>411</v>
      </c>
    </row>
    <row r="324" spans="1:26" ht="14.25" customHeight="1" x14ac:dyDescent="0.2">
      <c r="A324" s="86"/>
      <c r="B324" s="22" t="str">
        <f t="array" ref="B324">CONCATENATE(TEXT($M324,"000"),".",TEXT(INDEX(Quick_Number,MATCH($O324,Quick_Names,0)),"000"),".",TEXT(INDEX(Charge_Number,MATCH($P324,Charge_Names,0)),"000"))</f>
        <v>053.220.065</v>
      </c>
      <c r="C324" s="23" t="e">
        <f t="array" ref="C324">RANK($S324,IF(Combo_Species_Names=$N324,Combo_Gym_Offense),0)</f>
        <v>#VALUE!</v>
      </c>
      <c r="D324" s="24" t="e">
        <f t="array" ref="D324">$S324/MAX(IF(Combo_Species_Names=$N324,Combo_Gym_Offense))</f>
        <v>#VALUE!</v>
      </c>
      <c r="E324" s="23" t="e">
        <f t="array" ref="E324">RANK($Y324,IF(Combo_Species_Names=$N324,Combo_Gym_Defense),0)</f>
        <v>#VALUE!</v>
      </c>
      <c r="F324" s="25" t="e">
        <f t="array" ref="F324">$Y324/MAX(IF(Combo_Species_Names=$N324,Combo_Gym_Defense))</f>
        <v>#VALUE!</v>
      </c>
      <c r="G324" s="23" t="e">
        <f t="array" ref="G324">IF(OR(INDEX(Species_Availability,MATCH($N324,Species_Names,0))="No",INDEX(Species_Evo_Numbers,MATCH($N324,Species_Names,0))&lt;&gt;1),"N/A",RANK($R324,IF(NOT(ISNA(MATCH(Combo_Species_Names,IF(Species_Availability="Yes",IF(Species_Evo_Numbers=1,Species_Names)),0))),Combo_Duel_Ability),0))</f>
        <v>#VALUE!</v>
      </c>
      <c r="H324" s="24" t="e">
        <f t="array" ref="H324">IF(OR(INDEX(Species_Availability,MATCH($N324,Species_Names,0))="No",INDEX(Species_Evo_Numbers,MATCH($N324,Species_Names,0))&lt;&gt;1),"N/A",$R324/MAX(IF(NOT(ISNA(MATCH(Combo_Species_Names,IF(Species_Availability="Yes",IF(Species_Evo_Numbers=1,Species_Names)),0))),Combo_Duel_Ability)))</f>
        <v>#VALUE!</v>
      </c>
      <c r="I324" s="23" t="e">
        <f t="array" ref="I324">IF(OR(INDEX(Species_Availability,MATCH($N324,Species_Names,0))="No",INDEX(Species_Evo_Numbers,MATCH($N324,Species_Names,0))&lt;&gt;1),"N/A",RANK($S324,IF(NOT(ISNA(MATCH(Combo_Species_Names,IF(Species_Availability="Yes",IF(Species_Evo_Numbers=1,Species_Names)),0))),Combo_Gym_Offense),0))</f>
        <v>#VALUE!</v>
      </c>
      <c r="J324" s="24" t="e">
        <f t="array" ref="J324">IF(OR(INDEX(Species_Availability,MATCH($N324,Species_Names,0))="No",INDEX(Species_Evo_Numbers,MATCH($N324,Species_Names,0))&lt;&gt;1),"N/A",$S324/MAX(IF(NOT(ISNA(MATCH(Combo_Species_Names,IF(Species_Availability="Yes",IF(Species_Evo_Numbers=1,Species_Names)),0))),Combo_Gym_Offense)))</f>
        <v>#VALUE!</v>
      </c>
      <c r="K324" s="23" t="e">
        <f t="array" ref="K324">IF(OR(INDEX(Species_Availability,MATCH($N324,Species_Names,0))="No",INDEX(Species_Evo_Numbers,MATCH($N324,Species_Names,0))&lt;&gt;1),"N/A",RANK($Y324,IF(NOT(ISNA(MATCH(Combo_Species_Names,IF(Species_Availability="Yes",IF(Species_Evo_Numbers=1,Species_Names)),0))),Combo_Gym_Defense),0))</f>
        <v>#VALUE!</v>
      </c>
      <c r="L324" s="24" t="e">
        <f t="array" ref="L324">IF(OR(INDEX(Species_Availability,MATCH($N324,Species_Names,0))="No",INDEX(Species_Evo_Numbers,MATCH($N324,Species_Names,0))&lt;&gt;1),"N/A",$Y324/MAX(IF(NOT(ISNA(MATCH(Combo_Species_Names,IF(Species_Availability="Yes",IF(Species_Evo_Numbers=1,Species_Names)),0))),Combo_Gym_Defense)))</f>
        <v>#VALUE!</v>
      </c>
      <c r="M324" s="28">
        <f t="array" ref="M324">INDEX(Species_Pdex_Numbers,MATCH($N324,Species_Names,0))</f>
        <v>53</v>
      </c>
      <c r="N324" s="30" t="s">
        <v>195</v>
      </c>
      <c r="O324" s="31" t="s">
        <v>64</v>
      </c>
      <c r="P324" s="31" t="s">
        <v>249</v>
      </c>
      <c r="Q324" s="17" t="e">
        <f t="shared" si="8"/>
        <v>#VALUE!</v>
      </c>
      <c r="R324" s="32" t="e">
        <f t="array" ref="R324">IF(OR(AND(COUNTBLANK(Combo_Opponent_Type_1)=1,COUNTBLANK(Combo_Opponent_Type_2)=0),AND(AND(COUNTBLANK(Combo_Opponent_Type_1)=0,COUNTBLANK(Combo_Opponent_Type_2)=0),Combo_Opponent_Type_1=Combo_Opponent_Type_2)),
"Check Types",($S324*INDEX(Species_Tankiness,MATCH($N324,Species_Names,0)))/225)</f>
        <v>#VALUE!</v>
      </c>
      <c r="S324" s="32" t="e">
        <f t="array" ref="S324">IF(OR(AND(COUNTBLANK(Combo_Opponent_Type_1)=1,COUNTBLANK(Combo_Opponent_Type_2)=0),AND(AND(COUNTBLANK(Combo_Opponent_Type_1)=0,COUNTBLANK(Combo_Opponent_Type_2)=0),Combo_Opponent_Type_1=Combo_Opponent_Type_2)),
"Check Types",(
IF($W324&gt;=((1-Game_Weave_Human_Error)*$X324),$W324,$X324)*INDEX(Species_Attack,MATCH($N324,Species_Names,0)))/11)</f>
        <v>#VALUE!</v>
      </c>
      <c r="T324" s="33" t="e">
        <f t="shared" si="9"/>
        <v>#VALUE!</v>
      </c>
      <c r="U324" s="33">
        <f t="array" ref="U3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324,Quick_Names,0))),Type_Species)),0),1)*IF(COUNTBLANK(Combo_Opponent_Type_2)=0,INDEX(Type_Damage_Multipliers,MATCH(Combo_Opponent_Type_2,IF(Type_Move=(INDEX(Quick_Type,MATCH($O324,Quick_Names,0))),Type_Species)),0),1)*(IF(OR(INDEX(Quick_Type,MATCH($O324,Quick_Names,0))=INDEX(Species_Type_1,MATCH($N324,Species_Names,0)),INDEX(Quick_Type,MATCH($O324,Quick_Names,0))=INDEX(Species_Type_2,MATCH($N324,Species_Names,0))),Game_STAB_Multiplier,1)))</f>
        <v>1.25</v>
      </c>
      <c r="V324" s="33">
        <f t="array" ref="V3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324,Charge_Names,0))),Type_Species)),0),1)*IF(COUNTBLANK(Combo_Opponent_Type_2)=0,INDEX(Type_Damage_Multipliers,MATCH(Combo_Opponent_Type_2,IF(Type_Move=(INDEX(Charge_Type,MATCH($P324,Charge_Names,0))),Type_Species)),0),1)*
IF(OR(INDEX(Charge_Type,MATCH($P324,Charge_Names,0))=INDEX(Species_Type_1,MATCH($N324,Species_Names,0)),INDEX(Charge_Type,MATCH($P324,Charge_Names,0))=INDEX(Species_Type_2,MATCH($N324,Species_Names,0))),Game_STAB_Multiplier,1))</f>
        <v>1</v>
      </c>
      <c r="W324" s="33" t="s">
        <v>412</v>
      </c>
      <c r="X324" s="33" t="s">
        <v>476</v>
      </c>
      <c r="Y324" s="32" t="e">
        <f t="array" ref="Y324">((($Z324)*
INDEX(Species_Attack,MATCH($N324,Species_Names,0))*
INDEX(Species_Tankiness,MATCH($N324,Species_Names,0)))/1000)</f>
        <v>#VALUE!</v>
      </c>
      <c r="Z324" s="33" t="s">
        <v>686</v>
      </c>
    </row>
    <row r="325" spans="1:26" ht="14.25" customHeight="1" x14ac:dyDescent="0.2">
      <c r="A325" s="86"/>
      <c r="B325" s="22" t="str">
        <f t="array" ref="B325">CONCATENATE(TEXT($M325,"000"),".",TEXT(INDEX(Quick_Number,MATCH($O325,Quick_Names,0)),"000"),".",TEXT(INDEX(Charge_Number,MATCH($P325,Charge_Names,0)),"000"))</f>
        <v>053.220.051</v>
      </c>
      <c r="C325" s="23" t="e">
        <f t="array" ref="C325">RANK($S325,IF(Combo_Species_Names=$N325,Combo_Gym_Offense),0)</f>
        <v>#VALUE!</v>
      </c>
      <c r="D325" s="24" t="e">
        <f t="array" ref="D325">$S325/MAX(IF(Combo_Species_Names=$N325,Combo_Gym_Offense))</f>
        <v>#VALUE!</v>
      </c>
      <c r="E325" s="23" t="e">
        <f t="array" ref="E325">RANK($Y325,IF(Combo_Species_Names=$N325,Combo_Gym_Defense),0)</f>
        <v>#VALUE!</v>
      </c>
      <c r="F325" s="25" t="e">
        <f t="array" ref="F325">$Y325/MAX(IF(Combo_Species_Names=$N325,Combo_Gym_Defense))</f>
        <v>#VALUE!</v>
      </c>
      <c r="G325" s="23" t="e">
        <f t="array" ref="G325">IF(OR(INDEX(Species_Availability,MATCH($N325,Species_Names,0))="No",INDEX(Species_Evo_Numbers,MATCH($N325,Species_Names,0))&lt;&gt;1),"N/A",RANK($R325,IF(NOT(ISNA(MATCH(Combo_Species_Names,IF(Species_Availability="Yes",IF(Species_Evo_Numbers=1,Species_Names)),0))),Combo_Duel_Ability),0))</f>
        <v>#VALUE!</v>
      </c>
      <c r="H325" s="24" t="e">
        <f t="array" ref="H325">IF(OR(INDEX(Species_Availability,MATCH($N325,Species_Names,0))="No",INDEX(Species_Evo_Numbers,MATCH($N325,Species_Names,0))&lt;&gt;1),"N/A",$R325/MAX(IF(NOT(ISNA(MATCH(Combo_Species_Names,IF(Species_Availability="Yes",IF(Species_Evo_Numbers=1,Species_Names)),0))),Combo_Duel_Ability)))</f>
        <v>#VALUE!</v>
      </c>
      <c r="I325" s="23" t="e">
        <f t="array" ref="I325">IF(OR(INDEX(Species_Availability,MATCH($N325,Species_Names,0))="No",INDEX(Species_Evo_Numbers,MATCH($N325,Species_Names,0))&lt;&gt;1),"N/A",RANK($S325,IF(NOT(ISNA(MATCH(Combo_Species_Names,IF(Species_Availability="Yes",IF(Species_Evo_Numbers=1,Species_Names)),0))),Combo_Gym_Offense),0))</f>
        <v>#VALUE!</v>
      </c>
      <c r="J325" s="24" t="e">
        <f t="array" ref="J325">IF(OR(INDEX(Species_Availability,MATCH($N325,Species_Names,0))="No",INDEX(Species_Evo_Numbers,MATCH($N325,Species_Names,0))&lt;&gt;1),"N/A",$S325/MAX(IF(NOT(ISNA(MATCH(Combo_Species_Names,IF(Species_Availability="Yes",IF(Species_Evo_Numbers=1,Species_Names)),0))),Combo_Gym_Offense)))</f>
        <v>#VALUE!</v>
      </c>
      <c r="K325" s="23" t="e">
        <f t="array" ref="K325">IF(OR(INDEX(Species_Availability,MATCH($N325,Species_Names,0))="No",INDEX(Species_Evo_Numbers,MATCH($N325,Species_Names,0))&lt;&gt;1),"N/A",RANK($Y325,IF(NOT(ISNA(MATCH(Combo_Species_Names,IF(Species_Availability="Yes",IF(Species_Evo_Numbers=1,Species_Names)),0))),Combo_Gym_Defense),0))</f>
        <v>#VALUE!</v>
      </c>
      <c r="L325" s="24" t="e">
        <f t="array" ref="L325">IF(OR(INDEX(Species_Availability,MATCH($N325,Species_Names,0))="No",INDEX(Species_Evo_Numbers,MATCH($N325,Species_Names,0))&lt;&gt;1),"N/A",$Y325/MAX(IF(NOT(ISNA(MATCH(Combo_Species_Names,IF(Species_Availability="Yes",IF(Species_Evo_Numbers=1,Species_Names)),0))),Combo_Gym_Defense)))</f>
        <v>#VALUE!</v>
      </c>
      <c r="M325" s="28">
        <f t="array" ref="M325">INDEX(Species_Pdex_Numbers,MATCH($N325,Species_Names,0))</f>
        <v>53</v>
      </c>
      <c r="N325" s="30" t="s">
        <v>195</v>
      </c>
      <c r="O325" s="31" t="s">
        <v>64</v>
      </c>
      <c r="P325" s="31" t="s">
        <v>262</v>
      </c>
      <c r="Q325" s="17" t="e">
        <f t="shared" si="8"/>
        <v>#VALUE!</v>
      </c>
      <c r="R325" s="32" t="e">
        <f t="array" ref="R325">IF(OR(AND(COUNTBLANK(Combo_Opponent_Type_1)=1,COUNTBLANK(Combo_Opponent_Type_2)=0),AND(AND(COUNTBLANK(Combo_Opponent_Type_1)=0,COUNTBLANK(Combo_Opponent_Type_2)=0),Combo_Opponent_Type_1=Combo_Opponent_Type_2)),
"Check Types",($S325*INDEX(Species_Tankiness,MATCH($N325,Species_Names,0)))/225)</f>
        <v>#VALUE!</v>
      </c>
      <c r="S325" s="32" t="e">
        <f t="array" ref="S325">IF(OR(AND(COUNTBLANK(Combo_Opponent_Type_1)=1,COUNTBLANK(Combo_Opponent_Type_2)=0),AND(AND(COUNTBLANK(Combo_Opponent_Type_1)=0,COUNTBLANK(Combo_Opponent_Type_2)=0),Combo_Opponent_Type_1=Combo_Opponent_Type_2)),
"Check Types",(
IF($W325&gt;=((1-Game_Weave_Human_Error)*$X325),$W325,$X325)*INDEX(Species_Attack,MATCH($N325,Species_Names,0)))/11)</f>
        <v>#VALUE!</v>
      </c>
      <c r="T325" s="33" t="e">
        <f t="shared" si="9"/>
        <v>#VALUE!</v>
      </c>
      <c r="U325" s="33">
        <f t="array" ref="U3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325,Quick_Names,0))),Type_Species)),0),1)*IF(COUNTBLANK(Combo_Opponent_Type_2)=0,INDEX(Type_Damage_Multipliers,MATCH(Combo_Opponent_Type_2,IF(Type_Move=(INDEX(Quick_Type,MATCH($O325,Quick_Names,0))),Type_Species)),0),1)*(IF(OR(INDEX(Quick_Type,MATCH($O325,Quick_Names,0))=INDEX(Species_Type_1,MATCH($N325,Species_Names,0)),INDEX(Quick_Type,MATCH($O325,Quick_Names,0))=INDEX(Species_Type_2,MATCH($N325,Species_Names,0))),Game_STAB_Multiplier,1)))</f>
        <v>1.25</v>
      </c>
      <c r="V325" s="33">
        <f t="array" ref="V3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325,Charge_Names,0))),Type_Species)),0),1)*IF(COUNTBLANK(Combo_Opponent_Type_2)=0,INDEX(Type_Damage_Multipliers,MATCH(Combo_Opponent_Type_2,IF(Type_Move=(INDEX(Charge_Type,MATCH($P325,Charge_Names,0))),Type_Species)),0),1)*
IF(OR(INDEX(Charge_Type,MATCH($P325,Charge_Names,0))=INDEX(Species_Type_1,MATCH($N325,Species_Names,0)),INDEX(Charge_Type,MATCH($P325,Charge_Names,0))=INDEX(Species_Type_2,MATCH($N325,Species_Names,0))),Game_STAB_Multiplier,1))</f>
        <v>1</v>
      </c>
      <c r="W325" s="33" t="s">
        <v>412</v>
      </c>
      <c r="X325" s="33" t="s">
        <v>830</v>
      </c>
      <c r="Y325" s="32" t="e">
        <f t="array" ref="Y325">((($Z325)*
INDEX(Species_Attack,MATCH($N325,Species_Names,0))*
INDEX(Species_Tankiness,MATCH($N325,Species_Names,0)))/1000)</f>
        <v>#VALUE!</v>
      </c>
      <c r="Z325" s="33" t="s">
        <v>635</v>
      </c>
    </row>
    <row r="326" spans="1:26" ht="14.25" customHeight="1" x14ac:dyDescent="0.2">
      <c r="A326" s="86"/>
      <c r="B326" s="22" t="str">
        <f t="array" ref="B326">CONCATENATE(TEXT($M326,"000"),".",TEXT(INDEX(Quick_Number,MATCH($O326,Quick_Names,0)),"000"),".",TEXT(INDEX(Charge_Number,MATCH($P326,Charge_Names,0)),"000"))</f>
        <v>124.218.060</v>
      </c>
      <c r="C326" s="23" t="e">
        <f t="array" ref="C326">RANK($S326,IF(Combo_Species_Names=$N326,Combo_Gym_Offense),0)</f>
        <v>#VALUE!</v>
      </c>
      <c r="D326" s="24" t="e">
        <f t="array" ref="D326">$S326/MAX(IF(Combo_Species_Names=$N326,Combo_Gym_Offense))</f>
        <v>#VALUE!</v>
      </c>
      <c r="E326" s="23" t="e">
        <f t="array" ref="E326">RANK($Y326,IF(Combo_Species_Names=$N326,Combo_Gym_Defense),0)</f>
        <v>#VALUE!</v>
      </c>
      <c r="F326" s="25" t="e">
        <f t="array" ref="F326">$Y326/MAX(IF(Combo_Species_Names=$N326,Combo_Gym_Defense))</f>
        <v>#VALUE!</v>
      </c>
      <c r="G326" s="23" t="e">
        <f t="array" ref="G326">IF(OR(INDEX(Species_Availability,MATCH($N326,Species_Names,0))="No",INDEX(Species_Evo_Numbers,MATCH($N326,Species_Names,0))&lt;&gt;1),"N/A",RANK($R326,IF(NOT(ISNA(MATCH(Combo_Species_Names,IF(Species_Availability="Yes",IF(Species_Evo_Numbers=1,Species_Names)),0))),Combo_Duel_Ability),0))</f>
        <v>#VALUE!</v>
      </c>
      <c r="H326" s="24" t="e">
        <f t="array" ref="H326">IF(OR(INDEX(Species_Availability,MATCH($N326,Species_Names,0))="No",INDEX(Species_Evo_Numbers,MATCH($N326,Species_Names,0))&lt;&gt;1),"N/A",$R326/MAX(IF(NOT(ISNA(MATCH(Combo_Species_Names,IF(Species_Availability="Yes",IF(Species_Evo_Numbers=1,Species_Names)),0))),Combo_Duel_Ability)))</f>
        <v>#VALUE!</v>
      </c>
      <c r="I326" s="23" t="e">
        <f t="array" ref="I326">IF(OR(INDEX(Species_Availability,MATCH($N326,Species_Names,0))="No",INDEX(Species_Evo_Numbers,MATCH($N326,Species_Names,0))&lt;&gt;1),"N/A",RANK($S326,IF(NOT(ISNA(MATCH(Combo_Species_Names,IF(Species_Availability="Yes",IF(Species_Evo_Numbers=1,Species_Names)),0))),Combo_Gym_Offense),0))</f>
        <v>#VALUE!</v>
      </c>
      <c r="J326" s="24" t="e">
        <f t="array" ref="J326">IF(OR(INDEX(Species_Availability,MATCH($N326,Species_Names,0))="No",INDEX(Species_Evo_Numbers,MATCH($N326,Species_Names,0))&lt;&gt;1),"N/A",$S326/MAX(IF(NOT(ISNA(MATCH(Combo_Species_Names,IF(Species_Availability="Yes",IF(Species_Evo_Numbers=1,Species_Names)),0))),Combo_Gym_Offense)))</f>
        <v>#VALUE!</v>
      </c>
      <c r="K326" s="23" t="e">
        <f t="array" ref="K326">IF(OR(INDEX(Species_Availability,MATCH($N326,Species_Names,0))="No",INDEX(Species_Evo_Numbers,MATCH($N326,Species_Names,0))&lt;&gt;1),"N/A",RANK($Y326,IF(NOT(ISNA(MATCH(Combo_Species_Names,IF(Species_Availability="Yes",IF(Species_Evo_Numbers=1,Species_Names)),0))),Combo_Gym_Defense),0))</f>
        <v>#VALUE!</v>
      </c>
      <c r="L326" s="24" t="e">
        <f t="array" ref="L326">IF(OR(INDEX(Species_Availability,MATCH($N326,Species_Names,0))="No",INDEX(Species_Evo_Numbers,MATCH($N326,Species_Names,0))&lt;&gt;1),"N/A",$Y326/MAX(IF(NOT(ISNA(MATCH(Combo_Species_Names,IF(Species_Availability="Yes",IF(Species_Evo_Numbers=1,Species_Names)),0))),Combo_Gym_Defense)))</f>
        <v>#VALUE!</v>
      </c>
      <c r="M326" s="28">
        <f t="array" ref="M326">INDEX(Species_Pdex_Numbers,MATCH($N326,Species_Names,0))</f>
        <v>124</v>
      </c>
      <c r="N326" s="30" t="s">
        <v>341</v>
      </c>
      <c r="O326" s="31" t="s">
        <v>87</v>
      </c>
      <c r="P326" s="31" t="s">
        <v>232</v>
      </c>
      <c r="Q326" s="17" t="e">
        <f t="shared" ref="Q326:Q389" si="10">IF(OR(AND(COUNTBLANK(Combo_Opponent_Type_1)=1,COUNTBLANK(Combo_Opponent_Type_2)=0),AND(AND(COUNTBLANK(Combo_Opponent_Type_1)=0,COUNTBLANK(Combo_Opponent_Type_2)=0),Combo_Opponent_Type_1=Combo_Opponent_Type_2)),
"Check Types",IF($W326&gt;=((1-Game_Weave_Human_Error)*$X326),"Quick Only","Weave"))</f>
        <v>#VALUE!</v>
      </c>
      <c r="R326" s="32" t="e">
        <f t="array" ref="R326">IF(OR(AND(COUNTBLANK(Combo_Opponent_Type_1)=1,COUNTBLANK(Combo_Opponent_Type_2)=0),AND(AND(COUNTBLANK(Combo_Opponent_Type_1)=0,COUNTBLANK(Combo_Opponent_Type_2)=0),Combo_Opponent_Type_1=Combo_Opponent_Type_2)),
"Check Types",($S326*INDEX(Species_Tankiness,MATCH($N326,Species_Names,0)))/225)</f>
        <v>#VALUE!</v>
      </c>
      <c r="S326" s="32" t="e">
        <f t="array" ref="S326">IF(OR(AND(COUNTBLANK(Combo_Opponent_Type_1)=1,COUNTBLANK(Combo_Opponent_Type_2)=0),AND(AND(COUNTBLANK(Combo_Opponent_Type_1)=0,COUNTBLANK(Combo_Opponent_Type_2)=0),Combo_Opponent_Type_1=Combo_Opponent_Type_2)),
"Check Types",(
IF($W326&gt;=((1-Game_Weave_Human_Error)*$X326),$W326,$X326)*INDEX(Species_Attack,MATCH($N326,Species_Names,0)))/11)</f>
        <v>#VALUE!</v>
      </c>
      <c r="T326" s="33" t="e">
        <f t="shared" ref="T326:T389" si="11">IF(OR(AND(COUNTBLANK(Combo_Opponent_Type_1)=1,COUNTBLANK(Combo_Opponent_Type_2)=0),AND(AND(COUNTBLANK(Combo_Opponent_Type_1)=0,COUNTBLANK(Combo_Opponent_Type_2)=0),Combo_Opponent_Type_1=Combo_Opponent_Type_2)),
"Check Types",IF($W326&gt;=((1-Game_Weave_Human_Error)*$X326),$W326,$X326))</f>
        <v>#VALUE!</v>
      </c>
      <c r="U326" s="33">
        <f t="array" ref="U3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326,Quick_Names,0))),Type_Species)),0),1)*IF(COUNTBLANK(Combo_Opponent_Type_2)=0,INDEX(Type_Damage_Multipliers,MATCH(Combo_Opponent_Type_2,IF(Type_Move=(INDEX(Quick_Type,MATCH($O326,Quick_Names,0))),Type_Species)),0),1)*(IF(OR(INDEX(Quick_Type,MATCH($O326,Quick_Names,0))=INDEX(Species_Type_1,MATCH($N326,Species_Names,0)),INDEX(Quick_Type,MATCH($O326,Quick_Names,0))=INDEX(Species_Type_2,MATCH($N326,Species_Names,0))),Game_STAB_Multiplier,1)))</f>
        <v>1.25</v>
      </c>
      <c r="V326" s="33">
        <f t="array" ref="V3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326,Charge_Names,0))),Type_Species)),0),1)*IF(COUNTBLANK(Combo_Opponent_Type_2)=0,INDEX(Type_Damage_Multipliers,MATCH(Combo_Opponent_Type_2,IF(Type_Move=(INDEX(Charge_Type,MATCH($P326,Charge_Names,0))),Type_Species)),0),1)*
IF(OR(INDEX(Charge_Type,MATCH($P326,Charge_Names,0))=INDEX(Species_Type_1,MATCH($N326,Species_Names,0)),INDEX(Charge_Type,MATCH($P326,Charge_Names,0))=INDEX(Species_Type_2,MATCH($N326,Species_Names,0))),Game_STAB_Multiplier,1))</f>
        <v>1.25</v>
      </c>
      <c r="W326" s="33" t="s">
        <v>422</v>
      </c>
      <c r="X326" s="33" t="s">
        <v>831</v>
      </c>
      <c r="Y326" s="32" t="e">
        <f t="array" ref="Y326">((($Z326)*
INDEX(Species_Attack,MATCH($N326,Species_Names,0))*
INDEX(Species_Tankiness,MATCH($N326,Species_Names,0)))/1000)</f>
        <v>#VALUE!</v>
      </c>
      <c r="Z326" s="33" t="s">
        <v>542</v>
      </c>
    </row>
    <row r="327" spans="1:26" ht="14.25" customHeight="1" x14ac:dyDescent="0.2">
      <c r="A327" s="86"/>
      <c r="B327" s="22" t="str">
        <f t="array" ref="B327">CONCATENATE(TEXT($M327,"000"),".",TEXT(INDEX(Quick_Number,MATCH($O327,Quick_Names,0)),"000"),".",TEXT(INDEX(Charge_Number,MATCH($P327,Charge_Names,0)),"000"))</f>
        <v>085.238.038</v>
      </c>
      <c r="C327" s="23" t="e">
        <f t="array" ref="C327">RANK($S327,IF(Combo_Species_Names=$N327,Combo_Gym_Offense),0)</f>
        <v>#VALUE!</v>
      </c>
      <c r="D327" s="24" t="e">
        <f t="array" ref="D327">$S327/MAX(IF(Combo_Species_Names=$N327,Combo_Gym_Offense))</f>
        <v>#VALUE!</v>
      </c>
      <c r="E327" s="23" t="e">
        <f t="array" ref="E327">RANK($Y327,IF(Combo_Species_Names=$N327,Combo_Gym_Defense),0)</f>
        <v>#VALUE!</v>
      </c>
      <c r="F327" s="25" t="e">
        <f t="array" ref="F327">$Y327/MAX(IF(Combo_Species_Names=$N327,Combo_Gym_Defense))</f>
        <v>#VALUE!</v>
      </c>
      <c r="G327" s="23" t="e">
        <f t="array" ref="G327">IF(OR(INDEX(Species_Availability,MATCH($N327,Species_Names,0))="No",INDEX(Species_Evo_Numbers,MATCH($N327,Species_Names,0))&lt;&gt;1),"N/A",RANK($R327,IF(NOT(ISNA(MATCH(Combo_Species_Names,IF(Species_Availability="Yes",IF(Species_Evo_Numbers=1,Species_Names)),0))),Combo_Duel_Ability),0))</f>
        <v>#VALUE!</v>
      </c>
      <c r="H327" s="24" t="e">
        <f t="array" ref="H327">IF(OR(INDEX(Species_Availability,MATCH($N327,Species_Names,0))="No",INDEX(Species_Evo_Numbers,MATCH($N327,Species_Names,0))&lt;&gt;1),"N/A",$R327/MAX(IF(NOT(ISNA(MATCH(Combo_Species_Names,IF(Species_Availability="Yes",IF(Species_Evo_Numbers=1,Species_Names)),0))),Combo_Duel_Ability)))</f>
        <v>#VALUE!</v>
      </c>
      <c r="I327" s="23" t="e">
        <f t="array" ref="I327">IF(OR(INDEX(Species_Availability,MATCH($N327,Species_Names,0))="No",INDEX(Species_Evo_Numbers,MATCH($N327,Species_Names,0))&lt;&gt;1),"N/A",RANK($S327,IF(NOT(ISNA(MATCH(Combo_Species_Names,IF(Species_Availability="Yes",IF(Species_Evo_Numbers=1,Species_Names)),0))),Combo_Gym_Offense),0))</f>
        <v>#VALUE!</v>
      </c>
      <c r="J327" s="24" t="e">
        <f t="array" ref="J327">IF(OR(INDEX(Species_Availability,MATCH($N327,Species_Names,0))="No",INDEX(Species_Evo_Numbers,MATCH($N327,Species_Names,0))&lt;&gt;1),"N/A",$S327/MAX(IF(NOT(ISNA(MATCH(Combo_Species_Names,IF(Species_Availability="Yes",IF(Species_Evo_Numbers=1,Species_Names)),0))),Combo_Gym_Offense)))</f>
        <v>#VALUE!</v>
      </c>
      <c r="K327" s="23" t="e">
        <f t="array" ref="K327">IF(OR(INDEX(Species_Availability,MATCH($N327,Species_Names,0))="No",INDEX(Species_Evo_Numbers,MATCH($N327,Species_Names,0))&lt;&gt;1),"N/A",RANK($Y327,IF(NOT(ISNA(MATCH(Combo_Species_Names,IF(Species_Availability="Yes",IF(Species_Evo_Numbers=1,Species_Names)),0))),Combo_Gym_Defense),0))</f>
        <v>#VALUE!</v>
      </c>
      <c r="L327" s="24" t="e">
        <f t="array" ref="L327">IF(OR(INDEX(Species_Availability,MATCH($N327,Species_Names,0))="No",INDEX(Species_Evo_Numbers,MATCH($N327,Species_Names,0))&lt;&gt;1),"N/A",$Y327/MAX(IF(NOT(ISNA(MATCH(Combo_Species_Names,IF(Species_Availability="Yes",IF(Species_Evo_Numbers=1,Species_Names)),0))),Combo_Gym_Defense)))</f>
        <v>#VALUE!</v>
      </c>
      <c r="M327" s="28">
        <f t="array" ref="M327">INDEX(Species_Pdex_Numbers,MATCH($N327,Species_Names,0))</f>
        <v>85</v>
      </c>
      <c r="N327" s="30" t="s">
        <v>263</v>
      </c>
      <c r="O327" s="31" t="s">
        <v>76</v>
      </c>
      <c r="P327" s="31" t="s">
        <v>230</v>
      </c>
      <c r="Q327" s="17" t="e">
        <f t="shared" si="10"/>
        <v>#VALUE!</v>
      </c>
      <c r="R327" s="32" t="e">
        <f t="array" ref="R327">IF(OR(AND(COUNTBLANK(Combo_Opponent_Type_1)=1,COUNTBLANK(Combo_Opponent_Type_2)=0),AND(AND(COUNTBLANK(Combo_Opponent_Type_1)=0,COUNTBLANK(Combo_Opponent_Type_2)=0),Combo_Opponent_Type_1=Combo_Opponent_Type_2)),
"Check Types",($S327*INDEX(Species_Tankiness,MATCH($N327,Species_Names,0)))/225)</f>
        <v>#VALUE!</v>
      </c>
      <c r="S327" s="32" t="e">
        <f t="array" ref="S327">IF(OR(AND(COUNTBLANK(Combo_Opponent_Type_1)=1,COUNTBLANK(Combo_Opponent_Type_2)=0),AND(AND(COUNTBLANK(Combo_Opponent_Type_1)=0,COUNTBLANK(Combo_Opponent_Type_2)=0),Combo_Opponent_Type_1=Combo_Opponent_Type_2)),
"Check Types",(
IF($W327&gt;=((1-Game_Weave_Human_Error)*$X327),$W327,$X327)*INDEX(Species_Attack,MATCH($N327,Species_Names,0)))/11)</f>
        <v>#VALUE!</v>
      </c>
      <c r="T327" s="33" t="e">
        <f t="shared" si="11"/>
        <v>#VALUE!</v>
      </c>
      <c r="U327" s="33">
        <f t="array" ref="U3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327,Quick_Names,0))),Type_Species)),0),1)*IF(COUNTBLANK(Combo_Opponent_Type_2)=0,INDEX(Type_Damage_Multipliers,MATCH(Combo_Opponent_Type_2,IF(Type_Move=(INDEX(Quick_Type,MATCH($O327,Quick_Names,0))),Type_Species)),0),1)*(IF(OR(INDEX(Quick_Type,MATCH($O327,Quick_Names,0))=INDEX(Species_Type_1,MATCH($N327,Species_Names,0)),INDEX(Quick_Type,MATCH($O327,Quick_Names,0))=INDEX(Species_Type_2,MATCH($N327,Species_Names,0))),Game_STAB_Multiplier,1)))</f>
        <v>1</v>
      </c>
      <c r="V327" s="33">
        <f t="array" ref="V3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327,Charge_Names,0))),Type_Species)),0),1)*IF(COUNTBLANK(Combo_Opponent_Type_2)=0,INDEX(Type_Damage_Multipliers,MATCH(Combo_Opponent_Type_2,IF(Type_Move=(INDEX(Charge_Type,MATCH($P327,Charge_Names,0))),Type_Species)),0),1)*
IF(OR(INDEX(Charge_Type,MATCH($P327,Charge_Names,0))=INDEX(Species_Type_1,MATCH($N327,Species_Names,0)),INDEX(Charge_Type,MATCH($P327,Charge_Names,0))=INDEX(Species_Type_2,MATCH($N327,Species_Names,0))),Game_STAB_Multiplier,1))</f>
        <v>1.25</v>
      </c>
      <c r="W327" s="33" t="s">
        <v>589</v>
      </c>
      <c r="X327" s="33" t="s">
        <v>832</v>
      </c>
      <c r="Y327" s="32" t="e">
        <f t="array" ref="Y327">((($Z327)*
INDEX(Species_Attack,MATCH($N327,Species_Names,0))*
INDEX(Species_Tankiness,MATCH($N327,Species_Names,0)))/1000)</f>
        <v>#VALUE!</v>
      </c>
      <c r="Z327" s="33" t="s">
        <v>833</v>
      </c>
    </row>
    <row r="328" spans="1:26" ht="14.25" customHeight="1" x14ac:dyDescent="0.2">
      <c r="A328" s="86"/>
      <c r="B328" s="22" t="str">
        <f t="array" ref="B328">CONCATENATE(TEXT($M328,"000"),".",TEXT(INDEX(Quick_Number,MATCH($O328,Quick_Names,0)),"000"),".",TEXT(INDEX(Charge_Number,MATCH($P328,Charge_Names,0)),"000"))</f>
        <v>020.202.014</v>
      </c>
      <c r="C328" s="23" t="e">
        <f t="array" ref="C328">RANK($S328,IF(Combo_Species_Names=$N328,Combo_Gym_Offense),0)</f>
        <v>#VALUE!</v>
      </c>
      <c r="D328" s="24" t="e">
        <f t="array" ref="D328">$S328/MAX(IF(Combo_Species_Names=$N328,Combo_Gym_Offense))</f>
        <v>#VALUE!</v>
      </c>
      <c r="E328" s="23" t="e">
        <f t="array" ref="E328">RANK($Y328,IF(Combo_Species_Names=$N328,Combo_Gym_Defense),0)</f>
        <v>#VALUE!</v>
      </c>
      <c r="F328" s="25" t="e">
        <f t="array" ref="F328">$Y328/MAX(IF(Combo_Species_Names=$N328,Combo_Gym_Defense))</f>
        <v>#VALUE!</v>
      </c>
      <c r="G328" s="23" t="e">
        <f t="array" ref="G328">IF(OR(INDEX(Species_Availability,MATCH($N328,Species_Names,0))="No",INDEX(Species_Evo_Numbers,MATCH($N328,Species_Names,0))&lt;&gt;1),"N/A",RANK($R328,IF(NOT(ISNA(MATCH(Combo_Species_Names,IF(Species_Availability="Yes",IF(Species_Evo_Numbers=1,Species_Names)),0))),Combo_Duel_Ability),0))</f>
        <v>#VALUE!</v>
      </c>
      <c r="H328" s="24" t="e">
        <f t="array" ref="H328">IF(OR(INDEX(Species_Availability,MATCH($N328,Species_Names,0))="No",INDEX(Species_Evo_Numbers,MATCH($N328,Species_Names,0))&lt;&gt;1),"N/A",$R328/MAX(IF(NOT(ISNA(MATCH(Combo_Species_Names,IF(Species_Availability="Yes",IF(Species_Evo_Numbers=1,Species_Names)),0))),Combo_Duel_Ability)))</f>
        <v>#VALUE!</v>
      </c>
      <c r="I328" s="23" t="e">
        <f t="array" ref="I328">IF(OR(INDEX(Species_Availability,MATCH($N328,Species_Names,0))="No",INDEX(Species_Evo_Numbers,MATCH($N328,Species_Names,0))&lt;&gt;1),"N/A",RANK($S328,IF(NOT(ISNA(MATCH(Combo_Species_Names,IF(Species_Availability="Yes",IF(Species_Evo_Numbers=1,Species_Names)),0))),Combo_Gym_Offense),0))</f>
        <v>#VALUE!</v>
      </c>
      <c r="J328" s="24" t="e">
        <f t="array" ref="J328">IF(OR(INDEX(Species_Availability,MATCH($N328,Species_Names,0))="No",INDEX(Species_Evo_Numbers,MATCH($N328,Species_Names,0))&lt;&gt;1),"N/A",$S328/MAX(IF(NOT(ISNA(MATCH(Combo_Species_Names,IF(Species_Availability="Yes",IF(Species_Evo_Numbers=1,Species_Names)),0))),Combo_Gym_Offense)))</f>
        <v>#VALUE!</v>
      </c>
      <c r="K328" s="23" t="e">
        <f t="array" ref="K328">IF(OR(INDEX(Species_Availability,MATCH($N328,Species_Names,0))="No",INDEX(Species_Evo_Numbers,MATCH($N328,Species_Names,0))&lt;&gt;1),"N/A",RANK($Y328,IF(NOT(ISNA(MATCH(Combo_Species_Names,IF(Species_Availability="Yes",IF(Species_Evo_Numbers=1,Species_Names)),0))),Combo_Gym_Defense),0))</f>
        <v>#VALUE!</v>
      </c>
      <c r="L328" s="24" t="e">
        <f t="array" ref="L328">IF(OR(INDEX(Species_Availability,MATCH($N328,Species_Names,0))="No",INDEX(Species_Evo_Numbers,MATCH($N328,Species_Names,0))&lt;&gt;1),"N/A",$Y328/MAX(IF(NOT(ISNA(MATCH(Combo_Species_Names,IF(Species_Availability="Yes",IF(Species_Evo_Numbers=1,Species_Names)),0))),Combo_Gym_Defense)))</f>
        <v>#VALUE!</v>
      </c>
      <c r="M328" s="28">
        <f t="array" ref="M328">INDEX(Species_Pdex_Numbers,MATCH($N328,Species_Names,0))</f>
        <v>20</v>
      </c>
      <c r="N328" s="30" t="s">
        <v>129</v>
      </c>
      <c r="O328" s="31" t="s">
        <v>59</v>
      </c>
      <c r="P328" s="31" t="s">
        <v>130</v>
      </c>
      <c r="Q328" s="17" t="e">
        <f t="shared" si="10"/>
        <v>#VALUE!</v>
      </c>
      <c r="R328" s="32" t="e">
        <f t="array" ref="R328">IF(OR(AND(COUNTBLANK(Combo_Opponent_Type_1)=1,COUNTBLANK(Combo_Opponent_Type_2)=0),AND(AND(COUNTBLANK(Combo_Opponent_Type_1)=0,COUNTBLANK(Combo_Opponent_Type_2)=0),Combo_Opponent_Type_1=Combo_Opponent_Type_2)),
"Check Types",($S328*INDEX(Species_Tankiness,MATCH($N328,Species_Names,0)))/225)</f>
        <v>#VALUE!</v>
      </c>
      <c r="S328" s="32" t="e">
        <f t="array" ref="S328">IF(OR(AND(COUNTBLANK(Combo_Opponent_Type_1)=1,COUNTBLANK(Combo_Opponent_Type_2)=0),AND(AND(COUNTBLANK(Combo_Opponent_Type_1)=0,COUNTBLANK(Combo_Opponent_Type_2)=0),Combo_Opponent_Type_1=Combo_Opponent_Type_2)),
"Check Types",(
IF($W328&gt;=((1-Game_Weave_Human_Error)*$X328),$W328,$X328)*INDEX(Species_Attack,MATCH($N328,Species_Names,0)))/11)</f>
        <v>#VALUE!</v>
      </c>
      <c r="T328" s="33" t="e">
        <f t="shared" si="11"/>
        <v>#VALUE!</v>
      </c>
      <c r="U328" s="33">
        <f t="array" ref="U3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328,Quick_Names,0))),Type_Species)),0),1)*IF(COUNTBLANK(Combo_Opponent_Type_2)=0,INDEX(Type_Damage_Multipliers,MATCH(Combo_Opponent_Type_2,IF(Type_Move=(INDEX(Quick_Type,MATCH($O328,Quick_Names,0))),Type_Species)),0),1)*(IF(OR(INDEX(Quick_Type,MATCH($O328,Quick_Names,0))=INDEX(Species_Type_1,MATCH($N328,Species_Names,0)),INDEX(Quick_Type,MATCH($O328,Quick_Names,0))=INDEX(Species_Type_2,MATCH($N328,Species_Names,0))),Game_STAB_Multiplier,1)))</f>
        <v>1</v>
      </c>
      <c r="V328" s="33">
        <f t="array" ref="V3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328,Charge_Names,0))),Type_Species)),0),1)*IF(COUNTBLANK(Combo_Opponent_Type_2)=0,INDEX(Type_Damage_Multipliers,MATCH(Combo_Opponent_Type_2,IF(Type_Move=(INDEX(Charge_Type,MATCH($P328,Charge_Names,0))),Type_Species)),0),1)*
IF(OR(INDEX(Charge_Type,MATCH($P328,Charge_Names,0))=INDEX(Species_Type_1,MATCH($N328,Species_Names,0)),INDEX(Charge_Type,MATCH($P328,Charge_Names,0))=INDEX(Species_Type_2,MATCH($N328,Species_Names,0))),Game_STAB_Multiplier,1))</f>
        <v>1.25</v>
      </c>
      <c r="W328" s="33" t="s">
        <v>453</v>
      </c>
      <c r="X328" s="33" t="s">
        <v>834</v>
      </c>
      <c r="Y328" s="32" t="e">
        <f t="array" ref="Y328">((($Z328)*
INDEX(Species_Attack,MATCH($N328,Species_Names,0))*
INDEX(Species_Tankiness,MATCH($N328,Species_Names,0)))/1000)</f>
        <v>#VALUE!</v>
      </c>
      <c r="Z328" s="33" t="s">
        <v>645</v>
      </c>
    </row>
    <row r="329" spans="1:26" ht="14.25" customHeight="1" x14ac:dyDescent="0.2">
      <c r="A329" s="86"/>
      <c r="B329" s="22" t="str">
        <f t="array" ref="B329">CONCATENATE(TEXT($M329,"000"),".",TEXT(INDEX(Quick_Number,MATCH($O329,Quick_Names,0)),"000"),".",TEXT(INDEX(Charge_Number,MATCH($P329,Charge_Names,0)),"000"))</f>
        <v>121.219.030</v>
      </c>
      <c r="C329" s="23" t="e">
        <f t="array" ref="C329">RANK($S329,IF(Combo_Species_Names=$N329,Combo_Gym_Offense),0)</f>
        <v>#VALUE!</v>
      </c>
      <c r="D329" s="24" t="e">
        <f t="array" ref="D329">$S329/MAX(IF(Combo_Species_Names=$N329,Combo_Gym_Offense))</f>
        <v>#VALUE!</v>
      </c>
      <c r="E329" s="23" t="e">
        <f t="array" ref="E329">RANK($Y329,IF(Combo_Species_Names=$N329,Combo_Gym_Defense),0)</f>
        <v>#VALUE!</v>
      </c>
      <c r="F329" s="25" t="e">
        <f t="array" ref="F329">$Y329/MAX(IF(Combo_Species_Names=$N329,Combo_Gym_Defense))</f>
        <v>#VALUE!</v>
      </c>
      <c r="G329" s="23" t="e">
        <f t="array" ref="G329">IF(OR(INDEX(Species_Availability,MATCH($N329,Species_Names,0))="No",INDEX(Species_Evo_Numbers,MATCH($N329,Species_Names,0))&lt;&gt;1),"N/A",RANK($R329,IF(NOT(ISNA(MATCH(Combo_Species_Names,IF(Species_Availability="Yes",IF(Species_Evo_Numbers=1,Species_Names)),0))),Combo_Duel_Ability),0))</f>
        <v>#VALUE!</v>
      </c>
      <c r="H329" s="24" t="e">
        <f t="array" ref="H329">IF(OR(INDEX(Species_Availability,MATCH($N329,Species_Names,0))="No",INDEX(Species_Evo_Numbers,MATCH($N329,Species_Names,0))&lt;&gt;1),"N/A",$R329/MAX(IF(NOT(ISNA(MATCH(Combo_Species_Names,IF(Species_Availability="Yes",IF(Species_Evo_Numbers=1,Species_Names)),0))),Combo_Duel_Ability)))</f>
        <v>#VALUE!</v>
      </c>
      <c r="I329" s="23" t="e">
        <f t="array" ref="I329">IF(OR(INDEX(Species_Availability,MATCH($N329,Species_Names,0))="No",INDEX(Species_Evo_Numbers,MATCH($N329,Species_Names,0))&lt;&gt;1),"N/A",RANK($S329,IF(NOT(ISNA(MATCH(Combo_Species_Names,IF(Species_Availability="Yes",IF(Species_Evo_Numbers=1,Species_Names)),0))),Combo_Gym_Offense),0))</f>
        <v>#VALUE!</v>
      </c>
      <c r="J329" s="24" t="e">
        <f t="array" ref="J329">IF(OR(INDEX(Species_Availability,MATCH($N329,Species_Names,0))="No",INDEX(Species_Evo_Numbers,MATCH($N329,Species_Names,0))&lt;&gt;1),"N/A",$S329/MAX(IF(NOT(ISNA(MATCH(Combo_Species_Names,IF(Species_Availability="Yes",IF(Species_Evo_Numbers=1,Species_Names)),0))),Combo_Gym_Offense)))</f>
        <v>#VALUE!</v>
      </c>
      <c r="K329" s="23" t="e">
        <f t="array" ref="K329">IF(OR(INDEX(Species_Availability,MATCH($N329,Species_Names,0))="No",INDEX(Species_Evo_Numbers,MATCH($N329,Species_Names,0))&lt;&gt;1),"N/A",RANK($Y329,IF(NOT(ISNA(MATCH(Combo_Species_Names,IF(Species_Availability="Yes",IF(Species_Evo_Numbers=1,Species_Names)),0))),Combo_Gym_Defense),0))</f>
        <v>#VALUE!</v>
      </c>
      <c r="L329" s="24" t="e">
        <f t="array" ref="L329">IF(OR(INDEX(Species_Availability,MATCH($N329,Species_Names,0))="No",INDEX(Species_Evo_Numbers,MATCH($N329,Species_Names,0))&lt;&gt;1),"N/A",$Y329/MAX(IF(NOT(ISNA(MATCH(Combo_Species_Names,IF(Species_Availability="Yes",IF(Species_Evo_Numbers=1,Species_Names)),0))),Combo_Gym_Defense)))</f>
        <v>#VALUE!</v>
      </c>
      <c r="M329" s="28">
        <f t="array" ref="M329">INDEX(Species_Pdex_Numbers,MATCH($N329,Species_Names,0))</f>
        <v>121</v>
      </c>
      <c r="N329" s="30" t="s">
        <v>338</v>
      </c>
      <c r="O329" s="31" t="s">
        <v>119</v>
      </c>
      <c r="P329" s="31" t="s">
        <v>283</v>
      </c>
      <c r="Q329" s="17" t="e">
        <f t="shared" si="10"/>
        <v>#VALUE!</v>
      </c>
      <c r="R329" s="32" t="e">
        <f t="array" ref="R329">IF(OR(AND(COUNTBLANK(Combo_Opponent_Type_1)=1,COUNTBLANK(Combo_Opponent_Type_2)=0),AND(AND(COUNTBLANK(Combo_Opponent_Type_1)=0,COUNTBLANK(Combo_Opponent_Type_2)=0),Combo_Opponent_Type_1=Combo_Opponent_Type_2)),
"Check Types",($S329*INDEX(Species_Tankiness,MATCH($N329,Species_Names,0)))/225)</f>
        <v>#VALUE!</v>
      </c>
      <c r="S329" s="32" t="e">
        <f t="array" ref="S329">IF(OR(AND(COUNTBLANK(Combo_Opponent_Type_1)=1,COUNTBLANK(Combo_Opponent_Type_2)=0),AND(AND(COUNTBLANK(Combo_Opponent_Type_1)=0,COUNTBLANK(Combo_Opponent_Type_2)=0),Combo_Opponent_Type_1=Combo_Opponent_Type_2)),
"Check Types",(
IF($W329&gt;=((1-Game_Weave_Human_Error)*$X329),$W329,$X329)*INDEX(Species_Attack,MATCH($N329,Species_Names,0)))/11)</f>
        <v>#VALUE!</v>
      </c>
      <c r="T329" s="33" t="e">
        <f t="shared" si="11"/>
        <v>#VALUE!</v>
      </c>
      <c r="U329" s="33">
        <f t="array" ref="U3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329,Quick_Names,0))),Type_Species)),0),1)*IF(COUNTBLANK(Combo_Opponent_Type_2)=0,INDEX(Type_Damage_Multipliers,MATCH(Combo_Opponent_Type_2,IF(Type_Move=(INDEX(Quick_Type,MATCH($O329,Quick_Names,0))),Type_Species)),0),1)*(IF(OR(INDEX(Quick_Type,MATCH($O329,Quick_Names,0))=INDEX(Species_Type_1,MATCH($N329,Species_Names,0)),INDEX(Quick_Type,MATCH($O329,Quick_Names,0))=INDEX(Species_Type_2,MATCH($N329,Species_Names,0))),Game_STAB_Multiplier,1)))</f>
        <v>1</v>
      </c>
      <c r="V329" s="33">
        <f t="array" ref="V3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329,Charge_Names,0))),Type_Species)),0),1)*IF(COUNTBLANK(Combo_Opponent_Type_2)=0,INDEX(Type_Damage_Multipliers,MATCH(Combo_Opponent_Type_2,IF(Type_Move=(INDEX(Charge_Type,MATCH($P329,Charge_Names,0))),Type_Species)),0),1)*
IF(OR(INDEX(Charge_Type,MATCH($P329,Charge_Names,0))=INDEX(Species_Type_1,MATCH($N329,Species_Names,0)),INDEX(Charge_Type,MATCH($P329,Charge_Names,0))=INDEX(Species_Type_2,MATCH($N329,Species_Names,0))),Game_STAB_Multiplier,1))</f>
        <v>1.25</v>
      </c>
      <c r="W329" s="33" t="s">
        <v>600</v>
      </c>
      <c r="X329" s="33" t="s">
        <v>835</v>
      </c>
      <c r="Y329" s="32" t="e">
        <f t="array" ref="Y329">((($Z329)*
INDEX(Species_Attack,MATCH($N329,Species_Names,0))*
INDEX(Species_Tankiness,MATCH($N329,Species_Names,0)))/1000)</f>
        <v>#VALUE!</v>
      </c>
      <c r="Z329" s="33" t="s">
        <v>654</v>
      </c>
    </row>
    <row r="330" spans="1:26" ht="14.25" customHeight="1" x14ac:dyDescent="0.2">
      <c r="A330" s="86"/>
      <c r="B330" s="22" t="str">
        <f t="array" ref="B330">CONCATENATE(TEXT($M330,"000"),".",TEXT(INDEX(Quick_Number,MATCH($O330,Quick_Names,0)),"000"),".",TEXT(INDEX(Charge_Number,MATCH($P330,Charge_Names,0)),"000"))</f>
        <v>117.230.082</v>
      </c>
      <c r="C330" s="23" t="e">
        <f t="array" ref="C330">RANK($S330,IF(Combo_Species_Names=$N330,Combo_Gym_Offense),0)</f>
        <v>#VALUE!</v>
      </c>
      <c r="D330" s="24" t="e">
        <f t="array" ref="D330">$S330/MAX(IF(Combo_Species_Names=$N330,Combo_Gym_Offense))</f>
        <v>#VALUE!</v>
      </c>
      <c r="E330" s="23" t="e">
        <f t="array" ref="E330">RANK($Y330,IF(Combo_Species_Names=$N330,Combo_Gym_Defense),0)</f>
        <v>#VALUE!</v>
      </c>
      <c r="F330" s="25" t="e">
        <f t="array" ref="F330">$Y330/MAX(IF(Combo_Species_Names=$N330,Combo_Gym_Defense))</f>
        <v>#VALUE!</v>
      </c>
      <c r="G330" s="23" t="e">
        <f t="array" ref="G330">IF(OR(INDEX(Species_Availability,MATCH($N330,Species_Names,0))="No",INDEX(Species_Evo_Numbers,MATCH($N330,Species_Names,0))&lt;&gt;1),"N/A",RANK($R330,IF(NOT(ISNA(MATCH(Combo_Species_Names,IF(Species_Availability="Yes",IF(Species_Evo_Numbers=1,Species_Names)),0))),Combo_Duel_Ability),0))</f>
        <v>#VALUE!</v>
      </c>
      <c r="H330" s="24" t="e">
        <f t="array" ref="H330">IF(OR(INDEX(Species_Availability,MATCH($N330,Species_Names,0))="No",INDEX(Species_Evo_Numbers,MATCH($N330,Species_Names,0))&lt;&gt;1),"N/A",$R330/MAX(IF(NOT(ISNA(MATCH(Combo_Species_Names,IF(Species_Availability="Yes",IF(Species_Evo_Numbers=1,Species_Names)),0))),Combo_Duel_Ability)))</f>
        <v>#VALUE!</v>
      </c>
      <c r="I330" s="23" t="e">
        <f t="array" ref="I330">IF(OR(INDEX(Species_Availability,MATCH($N330,Species_Names,0))="No",INDEX(Species_Evo_Numbers,MATCH($N330,Species_Names,0))&lt;&gt;1),"N/A",RANK($S330,IF(NOT(ISNA(MATCH(Combo_Species_Names,IF(Species_Availability="Yes",IF(Species_Evo_Numbers=1,Species_Names)),0))),Combo_Gym_Offense),0))</f>
        <v>#VALUE!</v>
      </c>
      <c r="J330" s="24" t="e">
        <f t="array" ref="J330">IF(OR(INDEX(Species_Availability,MATCH($N330,Species_Names,0))="No",INDEX(Species_Evo_Numbers,MATCH($N330,Species_Names,0))&lt;&gt;1),"N/A",$S330/MAX(IF(NOT(ISNA(MATCH(Combo_Species_Names,IF(Species_Availability="Yes",IF(Species_Evo_Numbers=1,Species_Names)),0))),Combo_Gym_Offense)))</f>
        <v>#VALUE!</v>
      </c>
      <c r="K330" s="23" t="e">
        <f t="array" ref="K330">IF(OR(INDEX(Species_Availability,MATCH($N330,Species_Names,0))="No",INDEX(Species_Evo_Numbers,MATCH($N330,Species_Names,0))&lt;&gt;1),"N/A",RANK($Y330,IF(NOT(ISNA(MATCH(Combo_Species_Names,IF(Species_Availability="Yes",IF(Species_Evo_Numbers=1,Species_Names)),0))),Combo_Gym_Defense),0))</f>
        <v>#VALUE!</v>
      </c>
      <c r="L330" s="24" t="e">
        <f t="array" ref="L330">IF(OR(INDEX(Species_Availability,MATCH($N330,Species_Names,0))="No",INDEX(Species_Evo_Numbers,MATCH($N330,Species_Names,0))&lt;&gt;1),"N/A",$Y330/MAX(IF(NOT(ISNA(MATCH(Combo_Species_Names,IF(Species_Availability="Yes",IF(Species_Evo_Numbers=1,Species_Names)),0))),Combo_Gym_Defense)))</f>
        <v>#VALUE!</v>
      </c>
      <c r="M330" s="28">
        <f t="array" ref="M330">INDEX(Species_Pdex_Numbers,MATCH($N330,Species_Names,0))</f>
        <v>117</v>
      </c>
      <c r="N330" s="30" t="s">
        <v>330</v>
      </c>
      <c r="O330" s="31" t="s">
        <v>65</v>
      </c>
      <c r="P330" s="31" t="s">
        <v>207</v>
      </c>
      <c r="Q330" s="17" t="e">
        <f t="shared" si="10"/>
        <v>#VALUE!</v>
      </c>
      <c r="R330" s="32" t="e">
        <f t="array" ref="R330">IF(OR(AND(COUNTBLANK(Combo_Opponent_Type_1)=1,COUNTBLANK(Combo_Opponent_Type_2)=0),AND(AND(COUNTBLANK(Combo_Opponent_Type_1)=0,COUNTBLANK(Combo_Opponent_Type_2)=0),Combo_Opponent_Type_1=Combo_Opponent_Type_2)),
"Check Types",($S330*INDEX(Species_Tankiness,MATCH($N330,Species_Names,0)))/225)</f>
        <v>#VALUE!</v>
      </c>
      <c r="S330" s="32" t="e">
        <f t="array" ref="S330">IF(OR(AND(COUNTBLANK(Combo_Opponent_Type_1)=1,COUNTBLANK(Combo_Opponent_Type_2)=0),AND(AND(COUNTBLANK(Combo_Opponent_Type_1)=0,COUNTBLANK(Combo_Opponent_Type_2)=0),Combo_Opponent_Type_1=Combo_Opponent_Type_2)),
"Check Types",(
IF($W330&gt;=((1-Game_Weave_Human_Error)*$X330),$W330,$X330)*INDEX(Species_Attack,MATCH($N330,Species_Names,0)))/11)</f>
        <v>#VALUE!</v>
      </c>
      <c r="T330" s="33" t="e">
        <f t="shared" si="11"/>
        <v>#VALUE!</v>
      </c>
      <c r="U330" s="33">
        <f t="array" ref="U3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330,Quick_Names,0))),Type_Species)),0),1)*IF(COUNTBLANK(Combo_Opponent_Type_2)=0,INDEX(Type_Damage_Multipliers,MATCH(Combo_Opponent_Type_2,IF(Type_Move=(INDEX(Quick_Type,MATCH($O330,Quick_Names,0))),Type_Species)),0),1)*(IF(OR(INDEX(Quick_Type,MATCH($O330,Quick_Names,0))=INDEX(Species_Type_1,MATCH($N330,Species_Names,0)),INDEX(Quick_Type,MATCH($O330,Quick_Names,0))=INDEX(Species_Type_2,MATCH($N330,Species_Names,0))),Game_STAB_Multiplier,1)))</f>
        <v>1.25</v>
      </c>
      <c r="V330" s="33">
        <f t="array" ref="V3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330,Charge_Names,0))),Type_Species)),0),1)*IF(COUNTBLANK(Combo_Opponent_Type_2)=0,INDEX(Type_Damage_Multipliers,MATCH(Combo_Opponent_Type_2,IF(Type_Move=(INDEX(Charge_Type,MATCH($P330,Charge_Names,0))),Type_Species)),0),1)*
IF(OR(INDEX(Charge_Type,MATCH($P330,Charge_Names,0))=INDEX(Species_Type_1,MATCH($N330,Species_Names,0)),INDEX(Charge_Type,MATCH($P330,Charge_Names,0))=INDEX(Species_Type_2,MATCH($N330,Species_Names,0))),Game_STAB_Multiplier,1))</f>
        <v>1</v>
      </c>
      <c r="W330" s="33" t="s">
        <v>412</v>
      </c>
      <c r="X330" s="33" t="s">
        <v>836</v>
      </c>
      <c r="Y330" s="32" t="e">
        <f t="array" ref="Y330">((($Z330)*
INDEX(Species_Attack,MATCH($N330,Species_Names,0))*
INDEX(Species_Tankiness,MATCH($N330,Species_Names,0)))/1000)</f>
        <v>#VALUE!</v>
      </c>
      <c r="Z330" s="33" t="s">
        <v>515</v>
      </c>
    </row>
    <row r="331" spans="1:26" ht="14.25" customHeight="1" x14ac:dyDescent="0.2">
      <c r="A331" s="86"/>
      <c r="B331" s="22" t="str">
        <f t="array" ref="B331">CONCATENATE(TEXT($M331,"000"),".",TEXT(INDEX(Quick_Number,MATCH($O331,Quick_Names,0)),"000"),".",TEXT(INDEX(Charge_Number,MATCH($P331,Charge_Names,0)),"000"))</f>
        <v>124.222.060</v>
      </c>
      <c r="C331" s="23" t="e">
        <f t="array" ref="C331">RANK($S331,IF(Combo_Species_Names=$N331,Combo_Gym_Offense),0)</f>
        <v>#VALUE!</v>
      </c>
      <c r="D331" s="24" t="e">
        <f t="array" ref="D331">$S331/MAX(IF(Combo_Species_Names=$N331,Combo_Gym_Offense))</f>
        <v>#VALUE!</v>
      </c>
      <c r="E331" s="23" t="e">
        <f t="array" ref="E331">RANK($Y331,IF(Combo_Species_Names=$N331,Combo_Gym_Defense),0)</f>
        <v>#VALUE!</v>
      </c>
      <c r="F331" s="25" t="e">
        <f t="array" ref="F331">$Y331/MAX(IF(Combo_Species_Names=$N331,Combo_Gym_Defense))</f>
        <v>#VALUE!</v>
      </c>
      <c r="G331" s="23" t="e">
        <f t="array" ref="G331">IF(OR(INDEX(Species_Availability,MATCH($N331,Species_Names,0))="No",INDEX(Species_Evo_Numbers,MATCH($N331,Species_Names,0))&lt;&gt;1),"N/A",RANK($R331,IF(NOT(ISNA(MATCH(Combo_Species_Names,IF(Species_Availability="Yes",IF(Species_Evo_Numbers=1,Species_Names)),0))),Combo_Duel_Ability),0))</f>
        <v>#VALUE!</v>
      </c>
      <c r="H331" s="24" t="e">
        <f t="array" ref="H331">IF(OR(INDEX(Species_Availability,MATCH($N331,Species_Names,0))="No",INDEX(Species_Evo_Numbers,MATCH($N331,Species_Names,0))&lt;&gt;1),"N/A",$R331/MAX(IF(NOT(ISNA(MATCH(Combo_Species_Names,IF(Species_Availability="Yes",IF(Species_Evo_Numbers=1,Species_Names)),0))),Combo_Duel_Ability)))</f>
        <v>#VALUE!</v>
      </c>
      <c r="I331" s="23" t="e">
        <f t="array" ref="I331">IF(OR(INDEX(Species_Availability,MATCH($N331,Species_Names,0))="No",INDEX(Species_Evo_Numbers,MATCH($N331,Species_Names,0))&lt;&gt;1),"N/A",RANK($S331,IF(NOT(ISNA(MATCH(Combo_Species_Names,IF(Species_Availability="Yes",IF(Species_Evo_Numbers=1,Species_Names)),0))),Combo_Gym_Offense),0))</f>
        <v>#VALUE!</v>
      </c>
      <c r="J331" s="24" t="e">
        <f t="array" ref="J331">IF(OR(INDEX(Species_Availability,MATCH($N331,Species_Names,0))="No",INDEX(Species_Evo_Numbers,MATCH($N331,Species_Names,0))&lt;&gt;1),"N/A",$S331/MAX(IF(NOT(ISNA(MATCH(Combo_Species_Names,IF(Species_Availability="Yes",IF(Species_Evo_Numbers=1,Species_Names)),0))),Combo_Gym_Offense)))</f>
        <v>#VALUE!</v>
      </c>
      <c r="K331" s="23" t="e">
        <f t="array" ref="K331">IF(OR(INDEX(Species_Availability,MATCH($N331,Species_Names,0))="No",INDEX(Species_Evo_Numbers,MATCH($N331,Species_Names,0))&lt;&gt;1),"N/A",RANK($Y331,IF(NOT(ISNA(MATCH(Combo_Species_Names,IF(Species_Availability="Yes",IF(Species_Evo_Numbers=1,Species_Names)),0))),Combo_Gym_Defense),0))</f>
        <v>#VALUE!</v>
      </c>
      <c r="L331" s="24" t="e">
        <f t="array" ref="L331">IF(OR(INDEX(Species_Availability,MATCH($N331,Species_Names,0))="No",INDEX(Species_Evo_Numbers,MATCH($N331,Species_Names,0))&lt;&gt;1),"N/A",$Y331/MAX(IF(NOT(ISNA(MATCH(Combo_Species_Names,IF(Species_Availability="Yes",IF(Species_Evo_Numbers=1,Species_Names)),0))),Combo_Gym_Defense)))</f>
        <v>#VALUE!</v>
      </c>
      <c r="M331" s="28">
        <f t="array" ref="M331">INDEX(Species_Pdex_Numbers,MATCH($N331,Species_Names,0))</f>
        <v>124</v>
      </c>
      <c r="N331" s="30" t="s">
        <v>341</v>
      </c>
      <c r="O331" s="31" t="s">
        <v>32</v>
      </c>
      <c r="P331" s="31" t="s">
        <v>232</v>
      </c>
      <c r="Q331" s="17" t="e">
        <f t="shared" si="10"/>
        <v>#VALUE!</v>
      </c>
      <c r="R331" s="32" t="e">
        <f t="array" ref="R331">IF(OR(AND(COUNTBLANK(Combo_Opponent_Type_1)=1,COUNTBLANK(Combo_Opponent_Type_2)=0),AND(AND(COUNTBLANK(Combo_Opponent_Type_1)=0,COUNTBLANK(Combo_Opponent_Type_2)=0),Combo_Opponent_Type_1=Combo_Opponent_Type_2)),
"Check Types",($S331*INDEX(Species_Tankiness,MATCH($N331,Species_Names,0)))/225)</f>
        <v>#VALUE!</v>
      </c>
      <c r="S331" s="32" t="e">
        <f t="array" ref="S331">IF(OR(AND(COUNTBLANK(Combo_Opponent_Type_1)=1,COUNTBLANK(Combo_Opponent_Type_2)=0),AND(AND(COUNTBLANK(Combo_Opponent_Type_1)=0,COUNTBLANK(Combo_Opponent_Type_2)=0),Combo_Opponent_Type_1=Combo_Opponent_Type_2)),
"Check Types",(
IF($W331&gt;=((1-Game_Weave_Human_Error)*$X331),$W331,$X331)*INDEX(Species_Attack,MATCH($N331,Species_Names,0)))/11)</f>
        <v>#VALUE!</v>
      </c>
      <c r="T331" s="33" t="e">
        <f t="shared" si="11"/>
        <v>#VALUE!</v>
      </c>
      <c r="U331" s="33">
        <f t="array" ref="U3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331,Quick_Names,0))),Type_Species)),0),1)*IF(COUNTBLANK(Combo_Opponent_Type_2)=0,INDEX(Type_Damage_Multipliers,MATCH(Combo_Opponent_Type_2,IF(Type_Move=(INDEX(Quick_Type,MATCH($O331,Quick_Names,0))),Type_Species)),0),1)*(IF(OR(INDEX(Quick_Type,MATCH($O331,Quick_Names,0))=INDEX(Species_Type_1,MATCH($N331,Species_Names,0)),INDEX(Quick_Type,MATCH($O331,Quick_Names,0))=INDEX(Species_Type_2,MATCH($N331,Species_Names,0))),Game_STAB_Multiplier,1)))</f>
        <v>1</v>
      </c>
      <c r="V331" s="33">
        <f t="array" ref="V3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331,Charge_Names,0))),Type_Species)),0),1)*IF(COUNTBLANK(Combo_Opponent_Type_2)=0,INDEX(Type_Damage_Multipliers,MATCH(Combo_Opponent_Type_2,IF(Type_Move=(INDEX(Charge_Type,MATCH($P331,Charge_Names,0))),Type_Species)),0),1)*
IF(OR(INDEX(Charge_Type,MATCH($P331,Charge_Names,0))=INDEX(Species_Type_1,MATCH($N331,Species_Names,0)),INDEX(Charge_Type,MATCH($P331,Charge_Names,0))=INDEX(Species_Type_2,MATCH($N331,Species_Names,0))),Game_STAB_Multiplier,1))</f>
        <v>1.25</v>
      </c>
      <c r="W331" s="33" t="s">
        <v>536</v>
      </c>
      <c r="X331" s="33" t="s">
        <v>837</v>
      </c>
      <c r="Y331" s="32" t="e">
        <f t="array" ref="Y331">((($Z331)*
INDEX(Species_Attack,MATCH($N331,Species_Names,0))*
INDEX(Species_Tankiness,MATCH($N331,Species_Names,0)))/1000)</f>
        <v>#VALUE!</v>
      </c>
      <c r="Z331" s="33" t="s">
        <v>838</v>
      </c>
    </row>
    <row r="332" spans="1:26" ht="14.25" customHeight="1" x14ac:dyDescent="0.2">
      <c r="A332" s="86"/>
      <c r="B332" s="22" t="str">
        <f t="array" ref="B332">CONCATENATE(TEXT($M332,"000"),".",TEXT(INDEX(Quick_Number,MATCH($O332,Quick_Names,0)),"000"),".",TEXT(INDEX(Charge_Number,MATCH($P332,Charge_Names,0)),"000"))</f>
        <v>137.221.099</v>
      </c>
      <c r="C332" s="23" t="e">
        <f t="array" ref="C332">RANK($S332,IF(Combo_Species_Names=$N332,Combo_Gym_Offense),0)</f>
        <v>#VALUE!</v>
      </c>
      <c r="D332" s="24" t="e">
        <f t="array" ref="D332">$S332/MAX(IF(Combo_Species_Names=$N332,Combo_Gym_Offense))</f>
        <v>#VALUE!</v>
      </c>
      <c r="E332" s="23" t="e">
        <f t="array" ref="E332">RANK($Y332,IF(Combo_Species_Names=$N332,Combo_Gym_Defense),0)</f>
        <v>#VALUE!</v>
      </c>
      <c r="F332" s="25" t="e">
        <f t="array" ref="F332">$Y332/MAX(IF(Combo_Species_Names=$N332,Combo_Gym_Defense))</f>
        <v>#VALUE!</v>
      </c>
      <c r="G332" s="23" t="e">
        <f t="array" ref="G332">IF(OR(INDEX(Species_Availability,MATCH($N332,Species_Names,0))="No",INDEX(Species_Evo_Numbers,MATCH($N332,Species_Names,0))&lt;&gt;1),"N/A",RANK($R332,IF(NOT(ISNA(MATCH(Combo_Species_Names,IF(Species_Availability="Yes",IF(Species_Evo_Numbers=1,Species_Names)),0))),Combo_Duel_Ability),0))</f>
        <v>#VALUE!</v>
      </c>
      <c r="H332" s="24" t="e">
        <f t="array" ref="H332">IF(OR(INDEX(Species_Availability,MATCH($N332,Species_Names,0))="No",INDEX(Species_Evo_Numbers,MATCH($N332,Species_Names,0))&lt;&gt;1),"N/A",$R332/MAX(IF(NOT(ISNA(MATCH(Combo_Species_Names,IF(Species_Availability="Yes",IF(Species_Evo_Numbers=1,Species_Names)),0))),Combo_Duel_Ability)))</f>
        <v>#VALUE!</v>
      </c>
      <c r="I332" s="23" t="e">
        <f t="array" ref="I332">IF(OR(INDEX(Species_Availability,MATCH($N332,Species_Names,0))="No",INDEX(Species_Evo_Numbers,MATCH($N332,Species_Names,0))&lt;&gt;1),"N/A",RANK($S332,IF(NOT(ISNA(MATCH(Combo_Species_Names,IF(Species_Availability="Yes",IF(Species_Evo_Numbers=1,Species_Names)),0))),Combo_Gym_Offense),0))</f>
        <v>#VALUE!</v>
      </c>
      <c r="J332" s="24" t="e">
        <f t="array" ref="J332">IF(OR(INDEX(Species_Availability,MATCH($N332,Species_Names,0))="No",INDEX(Species_Evo_Numbers,MATCH($N332,Species_Names,0))&lt;&gt;1),"N/A",$S332/MAX(IF(NOT(ISNA(MATCH(Combo_Species_Names,IF(Species_Availability="Yes",IF(Species_Evo_Numbers=1,Species_Names)),0))),Combo_Gym_Offense)))</f>
        <v>#VALUE!</v>
      </c>
      <c r="K332" s="23" t="e">
        <f t="array" ref="K332">IF(OR(INDEX(Species_Availability,MATCH($N332,Species_Names,0))="No",INDEX(Species_Evo_Numbers,MATCH($N332,Species_Names,0))&lt;&gt;1),"N/A",RANK($Y332,IF(NOT(ISNA(MATCH(Combo_Species_Names,IF(Species_Availability="Yes",IF(Species_Evo_Numbers=1,Species_Names)),0))),Combo_Gym_Defense),0))</f>
        <v>#VALUE!</v>
      </c>
      <c r="L332" s="24" t="e">
        <f t="array" ref="L332">IF(OR(INDEX(Species_Availability,MATCH($N332,Species_Names,0))="No",INDEX(Species_Evo_Numbers,MATCH($N332,Species_Names,0))&lt;&gt;1),"N/A",$Y332/MAX(IF(NOT(ISNA(MATCH(Combo_Species_Names,IF(Species_Availability="Yes",IF(Species_Evo_Numbers=1,Species_Names)),0))),Combo_Gym_Defense)))</f>
        <v>#VALUE!</v>
      </c>
      <c r="M332" s="28">
        <f t="array" ref="M332">INDEX(Species_Pdex_Numbers,MATCH($N332,Species_Names,0))</f>
        <v>137</v>
      </c>
      <c r="N332" s="30" t="s">
        <v>355</v>
      </c>
      <c r="O332" s="31" t="s">
        <v>91</v>
      </c>
      <c r="P332" s="31" t="s">
        <v>236</v>
      </c>
      <c r="Q332" s="17" t="e">
        <f t="shared" si="10"/>
        <v>#VALUE!</v>
      </c>
      <c r="R332" s="32" t="e">
        <f t="array" ref="R332">IF(OR(AND(COUNTBLANK(Combo_Opponent_Type_1)=1,COUNTBLANK(Combo_Opponent_Type_2)=0),AND(AND(COUNTBLANK(Combo_Opponent_Type_1)=0,COUNTBLANK(Combo_Opponent_Type_2)=0),Combo_Opponent_Type_1=Combo_Opponent_Type_2)),
"Check Types",($S332*INDEX(Species_Tankiness,MATCH($N332,Species_Names,0)))/225)</f>
        <v>#VALUE!</v>
      </c>
      <c r="S332" s="32" t="e">
        <f t="array" ref="S332">IF(OR(AND(COUNTBLANK(Combo_Opponent_Type_1)=1,COUNTBLANK(Combo_Opponent_Type_2)=0),AND(AND(COUNTBLANK(Combo_Opponent_Type_1)=0,COUNTBLANK(Combo_Opponent_Type_2)=0),Combo_Opponent_Type_1=Combo_Opponent_Type_2)),
"Check Types",(
IF($W332&gt;=((1-Game_Weave_Human_Error)*$X332),$W332,$X332)*INDEX(Species_Attack,MATCH($N332,Species_Names,0)))/11)</f>
        <v>#VALUE!</v>
      </c>
      <c r="T332" s="33" t="e">
        <f t="shared" si="11"/>
        <v>#VALUE!</v>
      </c>
      <c r="U332" s="33">
        <f t="array" ref="U3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332,Quick_Names,0))),Type_Species)),0),1)*IF(COUNTBLANK(Combo_Opponent_Type_2)=0,INDEX(Type_Damage_Multipliers,MATCH(Combo_Opponent_Type_2,IF(Type_Move=(INDEX(Quick_Type,MATCH($O332,Quick_Names,0))),Type_Species)),0),1)*(IF(OR(INDEX(Quick_Type,MATCH($O332,Quick_Names,0))=INDEX(Species_Type_1,MATCH($N332,Species_Names,0)),INDEX(Quick_Type,MATCH($O332,Quick_Names,0))=INDEX(Species_Type_2,MATCH($N332,Species_Names,0))),Game_STAB_Multiplier,1)))</f>
        <v>1.25</v>
      </c>
      <c r="V332" s="33">
        <f t="array" ref="V3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332,Charge_Names,0))),Type_Species)),0),1)*IF(COUNTBLANK(Combo_Opponent_Type_2)=0,INDEX(Type_Damage_Multipliers,MATCH(Combo_Opponent_Type_2,IF(Type_Move=(INDEX(Charge_Type,MATCH($P332,Charge_Names,0))),Type_Species)),0),1)*
IF(OR(INDEX(Charge_Type,MATCH($P332,Charge_Names,0))=INDEX(Species_Type_1,MATCH($N332,Species_Names,0)),INDEX(Charge_Type,MATCH($P332,Charge_Names,0))=INDEX(Species_Type_2,MATCH($N332,Species_Names,0))),Game_STAB_Multiplier,1))</f>
        <v>1</v>
      </c>
      <c r="W332" s="33" t="s">
        <v>700</v>
      </c>
      <c r="X332" s="33" t="s">
        <v>839</v>
      </c>
      <c r="Y332" s="32" t="e">
        <f t="array" ref="Y332">((($Z332)*
INDEX(Species_Attack,MATCH($N332,Species_Names,0))*
INDEX(Species_Tankiness,MATCH($N332,Species_Names,0)))/1000)</f>
        <v>#VALUE!</v>
      </c>
      <c r="Z332" s="33" t="s">
        <v>529</v>
      </c>
    </row>
    <row r="333" spans="1:26" ht="14.25" customHeight="1" x14ac:dyDescent="0.2">
      <c r="A333" s="86"/>
      <c r="B333" s="22" t="str">
        <f t="array" ref="B333">CONCATENATE(TEXT($M333,"000"),".",TEXT(INDEX(Quick_Number,MATCH($O333,Quick_Names,0)),"000"),".",TEXT(INDEX(Charge_Number,MATCH($P333,Charge_Names,0)),"000"))</f>
        <v>137.221.030</v>
      </c>
      <c r="C333" s="23" t="e">
        <f t="array" ref="C333">RANK($S333,IF(Combo_Species_Names=$N333,Combo_Gym_Offense),0)</f>
        <v>#VALUE!</v>
      </c>
      <c r="D333" s="24" t="e">
        <f t="array" ref="D333">$S333/MAX(IF(Combo_Species_Names=$N333,Combo_Gym_Offense))</f>
        <v>#VALUE!</v>
      </c>
      <c r="E333" s="23" t="e">
        <f t="array" ref="E333">RANK($Y333,IF(Combo_Species_Names=$N333,Combo_Gym_Defense),0)</f>
        <v>#VALUE!</v>
      </c>
      <c r="F333" s="25" t="e">
        <f t="array" ref="F333">$Y333/MAX(IF(Combo_Species_Names=$N333,Combo_Gym_Defense))</f>
        <v>#VALUE!</v>
      </c>
      <c r="G333" s="23" t="e">
        <f t="array" ref="G333">IF(OR(INDEX(Species_Availability,MATCH($N333,Species_Names,0))="No",INDEX(Species_Evo_Numbers,MATCH($N333,Species_Names,0))&lt;&gt;1),"N/A",RANK($R333,IF(NOT(ISNA(MATCH(Combo_Species_Names,IF(Species_Availability="Yes",IF(Species_Evo_Numbers=1,Species_Names)),0))),Combo_Duel_Ability),0))</f>
        <v>#VALUE!</v>
      </c>
      <c r="H333" s="24" t="e">
        <f t="array" ref="H333">IF(OR(INDEX(Species_Availability,MATCH($N333,Species_Names,0))="No",INDEX(Species_Evo_Numbers,MATCH($N333,Species_Names,0))&lt;&gt;1),"N/A",$R333/MAX(IF(NOT(ISNA(MATCH(Combo_Species_Names,IF(Species_Availability="Yes",IF(Species_Evo_Numbers=1,Species_Names)),0))),Combo_Duel_Ability)))</f>
        <v>#VALUE!</v>
      </c>
      <c r="I333" s="23" t="e">
        <f t="array" ref="I333">IF(OR(INDEX(Species_Availability,MATCH($N333,Species_Names,0))="No",INDEX(Species_Evo_Numbers,MATCH($N333,Species_Names,0))&lt;&gt;1),"N/A",RANK($S333,IF(NOT(ISNA(MATCH(Combo_Species_Names,IF(Species_Availability="Yes",IF(Species_Evo_Numbers=1,Species_Names)),0))),Combo_Gym_Offense),0))</f>
        <v>#VALUE!</v>
      </c>
      <c r="J333" s="24" t="e">
        <f t="array" ref="J333">IF(OR(INDEX(Species_Availability,MATCH($N333,Species_Names,0))="No",INDEX(Species_Evo_Numbers,MATCH($N333,Species_Names,0))&lt;&gt;1),"N/A",$S333/MAX(IF(NOT(ISNA(MATCH(Combo_Species_Names,IF(Species_Availability="Yes",IF(Species_Evo_Numbers=1,Species_Names)),0))),Combo_Gym_Offense)))</f>
        <v>#VALUE!</v>
      </c>
      <c r="K333" s="23" t="e">
        <f t="array" ref="K333">IF(OR(INDEX(Species_Availability,MATCH($N333,Species_Names,0))="No",INDEX(Species_Evo_Numbers,MATCH($N333,Species_Names,0))&lt;&gt;1),"N/A",RANK($Y333,IF(NOT(ISNA(MATCH(Combo_Species_Names,IF(Species_Availability="Yes",IF(Species_Evo_Numbers=1,Species_Names)),0))),Combo_Gym_Defense),0))</f>
        <v>#VALUE!</v>
      </c>
      <c r="L333" s="24" t="e">
        <f t="array" ref="L333">IF(OR(INDEX(Species_Availability,MATCH($N333,Species_Names,0))="No",INDEX(Species_Evo_Numbers,MATCH($N333,Species_Names,0))&lt;&gt;1),"N/A",$Y333/MAX(IF(NOT(ISNA(MATCH(Combo_Species_Names,IF(Species_Availability="Yes",IF(Species_Evo_Numbers=1,Species_Names)),0))),Combo_Gym_Defense)))</f>
        <v>#VALUE!</v>
      </c>
      <c r="M333" s="28">
        <f t="array" ref="M333">INDEX(Species_Pdex_Numbers,MATCH($N333,Species_Names,0))</f>
        <v>137</v>
      </c>
      <c r="N333" s="30" t="s">
        <v>355</v>
      </c>
      <c r="O333" s="31" t="s">
        <v>91</v>
      </c>
      <c r="P333" s="31" t="s">
        <v>283</v>
      </c>
      <c r="Q333" s="17" t="e">
        <f t="shared" si="10"/>
        <v>#VALUE!</v>
      </c>
      <c r="R333" s="32" t="e">
        <f t="array" ref="R333">IF(OR(AND(COUNTBLANK(Combo_Opponent_Type_1)=1,COUNTBLANK(Combo_Opponent_Type_2)=0),AND(AND(COUNTBLANK(Combo_Opponent_Type_1)=0,COUNTBLANK(Combo_Opponent_Type_2)=0),Combo_Opponent_Type_1=Combo_Opponent_Type_2)),
"Check Types",($S333*INDEX(Species_Tankiness,MATCH($N333,Species_Names,0)))/225)</f>
        <v>#VALUE!</v>
      </c>
      <c r="S333" s="32" t="e">
        <f t="array" ref="S333">IF(OR(AND(COUNTBLANK(Combo_Opponent_Type_1)=1,COUNTBLANK(Combo_Opponent_Type_2)=0),AND(AND(COUNTBLANK(Combo_Opponent_Type_1)=0,COUNTBLANK(Combo_Opponent_Type_2)=0),Combo_Opponent_Type_1=Combo_Opponent_Type_2)),
"Check Types",(
IF($W333&gt;=((1-Game_Weave_Human_Error)*$X333),$W333,$X333)*INDEX(Species_Attack,MATCH($N333,Species_Names,0)))/11)</f>
        <v>#VALUE!</v>
      </c>
      <c r="T333" s="33" t="e">
        <f t="shared" si="11"/>
        <v>#VALUE!</v>
      </c>
      <c r="U333" s="33">
        <f t="array" ref="U3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333,Quick_Names,0))),Type_Species)),0),1)*IF(COUNTBLANK(Combo_Opponent_Type_2)=0,INDEX(Type_Damage_Multipliers,MATCH(Combo_Opponent_Type_2,IF(Type_Move=(INDEX(Quick_Type,MATCH($O333,Quick_Names,0))),Type_Species)),0),1)*(IF(OR(INDEX(Quick_Type,MATCH($O333,Quick_Names,0))=INDEX(Species_Type_1,MATCH($N333,Species_Names,0)),INDEX(Quick_Type,MATCH($O333,Quick_Names,0))=INDEX(Species_Type_2,MATCH($N333,Species_Names,0))),Game_STAB_Multiplier,1)))</f>
        <v>1.25</v>
      </c>
      <c r="V333" s="33">
        <f t="array" ref="V3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333,Charge_Names,0))),Type_Species)),0),1)*IF(COUNTBLANK(Combo_Opponent_Type_2)=0,INDEX(Type_Damage_Multipliers,MATCH(Combo_Opponent_Type_2,IF(Type_Move=(INDEX(Charge_Type,MATCH($P333,Charge_Names,0))),Type_Species)),0),1)*
IF(OR(INDEX(Charge_Type,MATCH($P333,Charge_Names,0))=INDEX(Species_Type_1,MATCH($N333,Species_Names,0)),INDEX(Charge_Type,MATCH($P333,Charge_Names,0))=INDEX(Species_Type_2,MATCH($N333,Species_Names,0))),Game_STAB_Multiplier,1))</f>
        <v>1</v>
      </c>
      <c r="W333" s="33" t="s">
        <v>700</v>
      </c>
      <c r="X333" s="33" t="s">
        <v>840</v>
      </c>
      <c r="Y333" s="32" t="e">
        <f t="array" ref="Y333">((($Z333)*
INDEX(Species_Attack,MATCH($N333,Species_Names,0))*
INDEX(Species_Tankiness,MATCH($N333,Species_Names,0)))/1000)</f>
        <v>#VALUE!</v>
      </c>
      <c r="Z333" s="33" t="s">
        <v>833</v>
      </c>
    </row>
    <row r="334" spans="1:26" ht="14.25" customHeight="1" x14ac:dyDescent="0.2">
      <c r="A334" s="86"/>
      <c r="B334" s="22" t="str">
        <f t="array" ref="B334">CONCATENATE(TEXT($M334,"000"),".",TEXT(INDEX(Quick_Number,MATCH($O334,Quick_Names,0)),"000"),".",TEXT(INDEX(Charge_Number,MATCH($P334,Charge_Names,0)),"000"))</f>
        <v>137.221.035</v>
      </c>
      <c r="C334" s="23" t="e">
        <f t="array" ref="C334">RANK($S334,IF(Combo_Species_Names=$N334,Combo_Gym_Offense),0)</f>
        <v>#VALUE!</v>
      </c>
      <c r="D334" s="24" t="e">
        <f t="array" ref="D334">$S334/MAX(IF(Combo_Species_Names=$N334,Combo_Gym_Offense))</f>
        <v>#VALUE!</v>
      </c>
      <c r="E334" s="23" t="e">
        <f t="array" ref="E334">RANK($Y334,IF(Combo_Species_Names=$N334,Combo_Gym_Defense),0)</f>
        <v>#VALUE!</v>
      </c>
      <c r="F334" s="25" t="e">
        <f t="array" ref="F334">$Y334/MAX(IF(Combo_Species_Names=$N334,Combo_Gym_Defense))</f>
        <v>#VALUE!</v>
      </c>
      <c r="G334" s="23" t="e">
        <f t="array" ref="G334">IF(OR(INDEX(Species_Availability,MATCH($N334,Species_Names,0))="No",INDEX(Species_Evo_Numbers,MATCH($N334,Species_Names,0))&lt;&gt;1),"N/A",RANK($R334,IF(NOT(ISNA(MATCH(Combo_Species_Names,IF(Species_Availability="Yes",IF(Species_Evo_Numbers=1,Species_Names)),0))),Combo_Duel_Ability),0))</f>
        <v>#VALUE!</v>
      </c>
      <c r="H334" s="24" t="e">
        <f t="array" ref="H334">IF(OR(INDEX(Species_Availability,MATCH($N334,Species_Names,0))="No",INDEX(Species_Evo_Numbers,MATCH($N334,Species_Names,0))&lt;&gt;1),"N/A",$R334/MAX(IF(NOT(ISNA(MATCH(Combo_Species_Names,IF(Species_Availability="Yes",IF(Species_Evo_Numbers=1,Species_Names)),0))),Combo_Duel_Ability)))</f>
        <v>#VALUE!</v>
      </c>
      <c r="I334" s="23" t="e">
        <f t="array" ref="I334">IF(OR(INDEX(Species_Availability,MATCH($N334,Species_Names,0))="No",INDEX(Species_Evo_Numbers,MATCH($N334,Species_Names,0))&lt;&gt;1),"N/A",RANK($S334,IF(NOT(ISNA(MATCH(Combo_Species_Names,IF(Species_Availability="Yes",IF(Species_Evo_Numbers=1,Species_Names)),0))),Combo_Gym_Offense),0))</f>
        <v>#VALUE!</v>
      </c>
      <c r="J334" s="24" t="e">
        <f t="array" ref="J334">IF(OR(INDEX(Species_Availability,MATCH($N334,Species_Names,0))="No",INDEX(Species_Evo_Numbers,MATCH($N334,Species_Names,0))&lt;&gt;1),"N/A",$S334/MAX(IF(NOT(ISNA(MATCH(Combo_Species_Names,IF(Species_Availability="Yes",IF(Species_Evo_Numbers=1,Species_Names)),0))),Combo_Gym_Offense)))</f>
        <v>#VALUE!</v>
      </c>
      <c r="K334" s="23" t="e">
        <f t="array" ref="K334">IF(OR(INDEX(Species_Availability,MATCH($N334,Species_Names,0))="No",INDEX(Species_Evo_Numbers,MATCH($N334,Species_Names,0))&lt;&gt;1),"N/A",RANK($Y334,IF(NOT(ISNA(MATCH(Combo_Species_Names,IF(Species_Availability="Yes",IF(Species_Evo_Numbers=1,Species_Names)),0))),Combo_Gym_Defense),0))</f>
        <v>#VALUE!</v>
      </c>
      <c r="L334" s="24" t="e">
        <f t="array" ref="L334">IF(OR(INDEX(Species_Availability,MATCH($N334,Species_Names,0))="No",INDEX(Species_Evo_Numbers,MATCH($N334,Species_Names,0))&lt;&gt;1),"N/A",$Y334/MAX(IF(NOT(ISNA(MATCH(Combo_Species_Names,IF(Species_Availability="Yes",IF(Species_Evo_Numbers=1,Species_Names)),0))),Combo_Gym_Defense)))</f>
        <v>#VALUE!</v>
      </c>
      <c r="M334" s="28">
        <f t="array" ref="M334">INDEX(Species_Pdex_Numbers,MATCH($N334,Species_Names,0))</f>
        <v>137</v>
      </c>
      <c r="N334" s="30" t="s">
        <v>355</v>
      </c>
      <c r="O334" s="31" t="s">
        <v>91</v>
      </c>
      <c r="P334" s="31" t="s">
        <v>245</v>
      </c>
      <c r="Q334" s="17" t="e">
        <f t="shared" si="10"/>
        <v>#VALUE!</v>
      </c>
      <c r="R334" s="32" t="e">
        <f t="array" ref="R334">IF(OR(AND(COUNTBLANK(Combo_Opponent_Type_1)=1,COUNTBLANK(Combo_Opponent_Type_2)=0),AND(AND(COUNTBLANK(Combo_Opponent_Type_1)=0,COUNTBLANK(Combo_Opponent_Type_2)=0),Combo_Opponent_Type_1=Combo_Opponent_Type_2)),
"Check Types",($S334*INDEX(Species_Tankiness,MATCH($N334,Species_Names,0)))/225)</f>
        <v>#VALUE!</v>
      </c>
      <c r="S334" s="32" t="e">
        <f t="array" ref="S334">IF(OR(AND(COUNTBLANK(Combo_Opponent_Type_1)=1,COUNTBLANK(Combo_Opponent_Type_2)=0),AND(AND(COUNTBLANK(Combo_Opponent_Type_1)=0,COUNTBLANK(Combo_Opponent_Type_2)=0),Combo_Opponent_Type_1=Combo_Opponent_Type_2)),
"Check Types",(
IF($W334&gt;=((1-Game_Weave_Human_Error)*$X334),$W334,$X334)*INDEX(Species_Attack,MATCH($N334,Species_Names,0)))/11)</f>
        <v>#VALUE!</v>
      </c>
      <c r="T334" s="33" t="e">
        <f t="shared" si="11"/>
        <v>#VALUE!</v>
      </c>
      <c r="U334" s="33">
        <f t="array" ref="U3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334,Quick_Names,0))),Type_Species)),0),1)*IF(COUNTBLANK(Combo_Opponent_Type_2)=0,INDEX(Type_Damage_Multipliers,MATCH(Combo_Opponent_Type_2,IF(Type_Move=(INDEX(Quick_Type,MATCH($O334,Quick_Names,0))),Type_Species)),0),1)*(IF(OR(INDEX(Quick_Type,MATCH($O334,Quick_Names,0))=INDEX(Species_Type_1,MATCH($N334,Species_Names,0)),INDEX(Quick_Type,MATCH($O334,Quick_Names,0))=INDEX(Species_Type_2,MATCH($N334,Species_Names,0))),Game_STAB_Multiplier,1)))</f>
        <v>1.25</v>
      </c>
      <c r="V334" s="33">
        <f t="array" ref="V3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334,Charge_Names,0))),Type_Species)),0),1)*IF(COUNTBLANK(Combo_Opponent_Type_2)=0,INDEX(Type_Damage_Multipliers,MATCH(Combo_Opponent_Type_2,IF(Type_Move=(INDEX(Charge_Type,MATCH($P334,Charge_Names,0))),Type_Species)),0),1)*
IF(OR(INDEX(Charge_Type,MATCH($P334,Charge_Names,0))=INDEX(Species_Type_1,MATCH($N334,Species_Names,0)),INDEX(Charge_Type,MATCH($P334,Charge_Names,0))=INDEX(Species_Type_2,MATCH($N334,Species_Names,0))),Game_STAB_Multiplier,1))</f>
        <v>1</v>
      </c>
      <c r="W334" s="33" t="s">
        <v>700</v>
      </c>
      <c r="X334" s="33" t="s">
        <v>841</v>
      </c>
      <c r="Y334" s="32" t="e">
        <f t="array" ref="Y334">((($Z334)*
INDEX(Species_Attack,MATCH($N334,Species_Names,0))*
INDEX(Species_Tankiness,MATCH($N334,Species_Names,0)))/1000)</f>
        <v>#VALUE!</v>
      </c>
      <c r="Z334" s="33" t="s">
        <v>814</v>
      </c>
    </row>
    <row r="335" spans="1:26" ht="14.25" customHeight="1" x14ac:dyDescent="0.2">
      <c r="A335" s="86"/>
      <c r="B335" s="22" t="str">
        <f t="array" ref="B335">CONCATENATE(TEXT($M335,"000"),".",TEXT(INDEX(Quick_Number,MATCH($O335,Quick_Names,0)),"000"),".",TEXT(INDEX(Charge_Number,MATCH($P335,Charge_Names,0)),"000"))</f>
        <v>107.241.123</v>
      </c>
      <c r="C335" s="23" t="e">
        <f t="array" ref="C335">RANK($S335,IF(Combo_Species_Names=$N335,Combo_Gym_Offense),0)</f>
        <v>#VALUE!</v>
      </c>
      <c r="D335" s="24" t="e">
        <f t="array" ref="D335">$S335/MAX(IF(Combo_Species_Names=$N335,Combo_Gym_Offense))</f>
        <v>#VALUE!</v>
      </c>
      <c r="E335" s="23" t="e">
        <f t="array" ref="E335">RANK($Y335,IF(Combo_Species_Names=$N335,Combo_Gym_Defense),0)</f>
        <v>#VALUE!</v>
      </c>
      <c r="F335" s="25" t="e">
        <f t="array" ref="F335">$Y335/MAX(IF(Combo_Species_Names=$N335,Combo_Gym_Defense))</f>
        <v>#VALUE!</v>
      </c>
      <c r="G335" s="23" t="e">
        <f t="array" ref="G335">IF(OR(INDEX(Species_Availability,MATCH($N335,Species_Names,0))="No",INDEX(Species_Evo_Numbers,MATCH($N335,Species_Names,0))&lt;&gt;1),"N/A",RANK($R335,IF(NOT(ISNA(MATCH(Combo_Species_Names,IF(Species_Availability="Yes",IF(Species_Evo_Numbers=1,Species_Names)),0))),Combo_Duel_Ability),0))</f>
        <v>#VALUE!</v>
      </c>
      <c r="H335" s="24" t="e">
        <f t="array" ref="H335">IF(OR(INDEX(Species_Availability,MATCH($N335,Species_Names,0))="No",INDEX(Species_Evo_Numbers,MATCH($N335,Species_Names,0))&lt;&gt;1),"N/A",$R335/MAX(IF(NOT(ISNA(MATCH(Combo_Species_Names,IF(Species_Availability="Yes",IF(Species_Evo_Numbers=1,Species_Names)),0))),Combo_Duel_Ability)))</f>
        <v>#VALUE!</v>
      </c>
      <c r="I335" s="23" t="e">
        <f t="array" ref="I335">IF(OR(INDEX(Species_Availability,MATCH($N335,Species_Names,0))="No",INDEX(Species_Evo_Numbers,MATCH($N335,Species_Names,0))&lt;&gt;1),"N/A",RANK($S335,IF(NOT(ISNA(MATCH(Combo_Species_Names,IF(Species_Availability="Yes",IF(Species_Evo_Numbers=1,Species_Names)),0))),Combo_Gym_Offense),0))</f>
        <v>#VALUE!</v>
      </c>
      <c r="J335" s="24" t="e">
        <f t="array" ref="J335">IF(OR(INDEX(Species_Availability,MATCH($N335,Species_Names,0))="No",INDEX(Species_Evo_Numbers,MATCH($N335,Species_Names,0))&lt;&gt;1),"N/A",$S335/MAX(IF(NOT(ISNA(MATCH(Combo_Species_Names,IF(Species_Availability="Yes",IF(Species_Evo_Numbers=1,Species_Names)),0))),Combo_Gym_Offense)))</f>
        <v>#VALUE!</v>
      </c>
      <c r="K335" s="23" t="e">
        <f t="array" ref="K335">IF(OR(INDEX(Species_Availability,MATCH($N335,Species_Names,0))="No",INDEX(Species_Evo_Numbers,MATCH($N335,Species_Names,0))&lt;&gt;1),"N/A",RANK($Y335,IF(NOT(ISNA(MATCH(Combo_Species_Names,IF(Species_Availability="Yes",IF(Species_Evo_Numbers=1,Species_Names)),0))),Combo_Gym_Defense),0))</f>
        <v>#VALUE!</v>
      </c>
      <c r="L335" s="24" t="e">
        <f t="array" ref="L335">IF(OR(INDEX(Species_Availability,MATCH($N335,Species_Names,0))="No",INDEX(Species_Evo_Numbers,MATCH($N335,Species_Names,0))&lt;&gt;1),"N/A",$Y335/MAX(IF(NOT(ISNA(MATCH(Combo_Species_Names,IF(Species_Availability="Yes",IF(Species_Evo_Numbers=1,Species_Names)),0))),Combo_Gym_Defense)))</f>
        <v>#VALUE!</v>
      </c>
      <c r="M335" s="28">
        <f t="array" ref="M335">INDEX(Species_Pdex_Numbers,MATCH($N335,Species_Names,0))</f>
        <v>107</v>
      </c>
      <c r="N335" s="30" t="s">
        <v>317</v>
      </c>
      <c r="O335" s="31" t="s">
        <v>97</v>
      </c>
      <c r="P335" s="31" t="s">
        <v>188</v>
      </c>
      <c r="Q335" s="17" t="e">
        <f t="shared" si="10"/>
        <v>#VALUE!</v>
      </c>
      <c r="R335" s="32" t="e">
        <f t="array" ref="R335">IF(OR(AND(COUNTBLANK(Combo_Opponent_Type_1)=1,COUNTBLANK(Combo_Opponent_Type_2)=0),AND(AND(COUNTBLANK(Combo_Opponent_Type_1)=0,COUNTBLANK(Combo_Opponent_Type_2)=0),Combo_Opponent_Type_1=Combo_Opponent_Type_2)),
"Check Types",($S335*INDEX(Species_Tankiness,MATCH($N335,Species_Names,0)))/225)</f>
        <v>#VALUE!</v>
      </c>
      <c r="S335" s="32" t="e">
        <f t="array" ref="S335">IF(OR(AND(COUNTBLANK(Combo_Opponent_Type_1)=1,COUNTBLANK(Combo_Opponent_Type_2)=0),AND(AND(COUNTBLANK(Combo_Opponent_Type_1)=0,COUNTBLANK(Combo_Opponent_Type_2)=0),Combo_Opponent_Type_1=Combo_Opponent_Type_2)),
"Check Types",(
IF($W335&gt;=((1-Game_Weave_Human_Error)*$X335),$W335,$X335)*INDEX(Species_Attack,MATCH($N335,Species_Names,0)))/11)</f>
        <v>#VALUE!</v>
      </c>
      <c r="T335" s="33" t="e">
        <f t="shared" si="11"/>
        <v>#VALUE!</v>
      </c>
      <c r="U335" s="33">
        <f t="array" ref="U3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335,Quick_Names,0))),Type_Species)),0),1)*IF(COUNTBLANK(Combo_Opponent_Type_2)=0,INDEX(Type_Damage_Multipliers,MATCH(Combo_Opponent_Type_2,IF(Type_Move=(INDEX(Quick_Type,MATCH($O335,Quick_Names,0))),Type_Species)),0),1)*(IF(OR(INDEX(Quick_Type,MATCH($O335,Quick_Names,0))=INDEX(Species_Type_1,MATCH($N335,Species_Names,0)),INDEX(Quick_Type,MATCH($O335,Quick_Names,0))=INDEX(Species_Type_2,MATCH($N335,Species_Names,0))),Game_STAB_Multiplier,1)))</f>
        <v>1.25</v>
      </c>
      <c r="V335" s="33">
        <f t="array" ref="V3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335,Charge_Names,0))),Type_Species)),0),1)*IF(COUNTBLANK(Combo_Opponent_Type_2)=0,INDEX(Type_Damage_Multipliers,MATCH(Combo_Opponent_Type_2,IF(Type_Move=(INDEX(Charge_Type,MATCH($P335,Charge_Names,0))),Type_Species)),0),1)*
IF(OR(INDEX(Charge_Type,MATCH($P335,Charge_Names,0))=INDEX(Species_Type_1,MATCH($N335,Species_Names,0)),INDEX(Charge_Type,MATCH($P335,Charge_Names,0))=INDEX(Species_Type_2,MATCH($N335,Species_Names,0))),Game_STAB_Multiplier,1))</f>
        <v>1.25</v>
      </c>
      <c r="W335" s="33" t="s">
        <v>842</v>
      </c>
      <c r="X335" s="33" t="s">
        <v>740</v>
      </c>
      <c r="Y335" s="32" t="e">
        <f t="array" ref="Y335">((($Z335)*
INDEX(Species_Attack,MATCH($N335,Species_Names,0))*
INDEX(Species_Tankiness,MATCH($N335,Species_Names,0)))/1000)</f>
        <v>#VALUE!</v>
      </c>
      <c r="Z335" s="33" t="s">
        <v>843</v>
      </c>
    </row>
    <row r="336" spans="1:26" ht="14.25" customHeight="1" x14ac:dyDescent="0.2">
      <c r="A336" s="86"/>
      <c r="B336" s="22" t="str">
        <f t="array" ref="B336">CONCATENATE(TEXT($M336,"000"),".",TEXT(INDEX(Quick_Number,MATCH($O336,Quick_Names,0)),"000"),".",TEXT(INDEX(Charge_Number,MATCH($P336,Charge_Names,0)),"000"))</f>
        <v>015.201.090</v>
      </c>
      <c r="C336" s="23" t="e">
        <f t="array" ref="C336">RANK($S336,IF(Combo_Species_Names=$N336,Combo_Gym_Offense),0)</f>
        <v>#VALUE!</v>
      </c>
      <c r="D336" s="24" t="e">
        <f t="array" ref="D336">$S336/MAX(IF(Combo_Species_Names=$N336,Combo_Gym_Offense))</f>
        <v>#VALUE!</v>
      </c>
      <c r="E336" s="23" t="e">
        <f t="array" ref="E336">RANK($Y336,IF(Combo_Species_Names=$N336,Combo_Gym_Defense),0)</f>
        <v>#VALUE!</v>
      </c>
      <c r="F336" s="25" t="e">
        <f t="array" ref="F336">$Y336/MAX(IF(Combo_Species_Names=$N336,Combo_Gym_Defense))</f>
        <v>#VALUE!</v>
      </c>
      <c r="G336" s="23" t="e">
        <f t="array" ref="G336">IF(OR(INDEX(Species_Availability,MATCH($N336,Species_Names,0))="No",INDEX(Species_Evo_Numbers,MATCH($N336,Species_Names,0))&lt;&gt;1),"N/A",RANK($R336,IF(NOT(ISNA(MATCH(Combo_Species_Names,IF(Species_Availability="Yes",IF(Species_Evo_Numbers=1,Species_Names)),0))),Combo_Duel_Ability),0))</f>
        <v>#VALUE!</v>
      </c>
      <c r="H336" s="24" t="e">
        <f t="array" ref="H336">IF(OR(INDEX(Species_Availability,MATCH($N336,Species_Names,0))="No",INDEX(Species_Evo_Numbers,MATCH($N336,Species_Names,0))&lt;&gt;1),"N/A",$R336/MAX(IF(NOT(ISNA(MATCH(Combo_Species_Names,IF(Species_Availability="Yes",IF(Species_Evo_Numbers=1,Species_Names)),0))),Combo_Duel_Ability)))</f>
        <v>#VALUE!</v>
      </c>
      <c r="I336" s="23" t="e">
        <f t="array" ref="I336">IF(OR(INDEX(Species_Availability,MATCH($N336,Species_Names,0))="No",INDEX(Species_Evo_Numbers,MATCH($N336,Species_Names,0))&lt;&gt;1),"N/A",RANK($S336,IF(NOT(ISNA(MATCH(Combo_Species_Names,IF(Species_Availability="Yes",IF(Species_Evo_Numbers=1,Species_Names)),0))),Combo_Gym_Offense),0))</f>
        <v>#VALUE!</v>
      </c>
      <c r="J336" s="24" t="e">
        <f t="array" ref="J336">IF(OR(INDEX(Species_Availability,MATCH($N336,Species_Names,0))="No",INDEX(Species_Evo_Numbers,MATCH($N336,Species_Names,0))&lt;&gt;1),"N/A",$S336/MAX(IF(NOT(ISNA(MATCH(Combo_Species_Names,IF(Species_Availability="Yes",IF(Species_Evo_Numbers=1,Species_Names)),0))),Combo_Gym_Offense)))</f>
        <v>#VALUE!</v>
      </c>
      <c r="K336" s="23" t="e">
        <f t="array" ref="K336">IF(OR(INDEX(Species_Availability,MATCH($N336,Species_Names,0))="No",INDEX(Species_Evo_Numbers,MATCH($N336,Species_Names,0))&lt;&gt;1),"N/A",RANK($Y336,IF(NOT(ISNA(MATCH(Combo_Species_Names,IF(Species_Availability="Yes",IF(Species_Evo_Numbers=1,Species_Names)),0))),Combo_Gym_Defense),0))</f>
        <v>#VALUE!</v>
      </c>
      <c r="L336" s="24" t="e">
        <f t="array" ref="L336">IF(OR(INDEX(Species_Availability,MATCH($N336,Species_Names,0))="No",INDEX(Species_Evo_Numbers,MATCH($N336,Species_Names,0))&lt;&gt;1),"N/A",$Y336/MAX(IF(NOT(ISNA(MATCH(Combo_Species_Names,IF(Species_Availability="Yes",IF(Species_Evo_Numbers=1,Species_Names)),0))),Combo_Gym_Defense)))</f>
        <v>#VALUE!</v>
      </c>
      <c r="M336" s="28">
        <f t="array" ref="M336">INDEX(Species_Pdex_Numbers,MATCH($N336,Species_Names,0))</f>
        <v>15</v>
      </c>
      <c r="N336" s="30" t="s">
        <v>120</v>
      </c>
      <c r="O336" s="31" t="s">
        <v>82</v>
      </c>
      <c r="P336" s="31" t="s">
        <v>180</v>
      </c>
      <c r="Q336" s="17" t="e">
        <f t="shared" si="10"/>
        <v>#VALUE!</v>
      </c>
      <c r="R336" s="32" t="e">
        <f t="array" ref="R336">IF(OR(AND(COUNTBLANK(Combo_Opponent_Type_1)=1,COUNTBLANK(Combo_Opponent_Type_2)=0),AND(AND(COUNTBLANK(Combo_Opponent_Type_1)=0,COUNTBLANK(Combo_Opponent_Type_2)=0),Combo_Opponent_Type_1=Combo_Opponent_Type_2)),
"Check Types",($S336*INDEX(Species_Tankiness,MATCH($N336,Species_Names,0)))/225)</f>
        <v>#VALUE!</v>
      </c>
      <c r="S336" s="32" t="e">
        <f t="array" ref="S336">IF(OR(AND(COUNTBLANK(Combo_Opponent_Type_1)=1,COUNTBLANK(Combo_Opponent_Type_2)=0),AND(AND(COUNTBLANK(Combo_Opponent_Type_1)=0,COUNTBLANK(Combo_Opponent_Type_2)=0),Combo_Opponent_Type_1=Combo_Opponent_Type_2)),
"Check Types",(
IF($W336&gt;=((1-Game_Weave_Human_Error)*$X336),$W336,$X336)*INDEX(Species_Attack,MATCH($N336,Species_Names,0)))/11)</f>
        <v>#VALUE!</v>
      </c>
      <c r="T336" s="33" t="e">
        <f t="shared" si="11"/>
        <v>#VALUE!</v>
      </c>
      <c r="U336" s="33">
        <f t="array" ref="U3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336,Quick_Names,0))),Type_Species)),0),1)*IF(COUNTBLANK(Combo_Opponent_Type_2)=0,INDEX(Type_Damage_Multipliers,MATCH(Combo_Opponent_Type_2,IF(Type_Move=(INDEX(Quick_Type,MATCH($O336,Quick_Names,0))),Type_Species)),0),1)*(IF(OR(INDEX(Quick_Type,MATCH($O336,Quick_Names,0))=INDEX(Species_Type_1,MATCH($N336,Species_Names,0)),INDEX(Quick_Type,MATCH($O336,Quick_Names,0))=INDEX(Species_Type_2,MATCH($N336,Species_Names,0))),Game_STAB_Multiplier,1)))</f>
        <v>1.25</v>
      </c>
      <c r="V336" s="33">
        <f t="array" ref="V3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336,Charge_Names,0))),Type_Species)),0),1)*IF(COUNTBLANK(Combo_Opponent_Type_2)=0,INDEX(Type_Damage_Multipliers,MATCH(Combo_Opponent_Type_2,IF(Type_Move=(INDEX(Charge_Type,MATCH($P336,Charge_Names,0))),Type_Species)),0),1)*
IF(OR(INDEX(Charge_Type,MATCH($P336,Charge_Names,0))=INDEX(Species_Type_1,MATCH($N336,Species_Names,0)),INDEX(Charge_Type,MATCH($P336,Charge_Names,0))=INDEX(Species_Type_2,MATCH($N336,Species_Names,0))),Game_STAB_Multiplier,1))</f>
        <v>1.25</v>
      </c>
      <c r="W336" s="33" t="s">
        <v>436</v>
      </c>
      <c r="X336" s="33" t="s">
        <v>844</v>
      </c>
      <c r="Y336" s="32" t="e">
        <f t="array" ref="Y336">((($Z336)*
INDEX(Species_Attack,MATCH($N336,Species_Names,0))*
INDEX(Species_Tankiness,MATCH($N336,Species_Names,0)))/1000)</f>
        <v>#VALUE!</v>
      </c>
      <c r="Z336" s="33" t="s">
        <v>845</v>
      </c>
    </row>
    <row r="337" spans="1:26" ht="14.25" customHeight="1" x14ac:dyDescent="0.2">
      <c r="A337" s="86"/>
      <c r="B337" s="22" t="str">
        <f t="array" ref="B337">CONCATENATE(TEXT($M337,"000"),".",TEXT(INDEX(Quick_Number,MATCH($O337,Quick_Names,0)),"000"),".",TEXT(INDEX(Charge_Number,MATCH($P337,Charge_Names,0)),"000"))</f>
        <v>085.239.038</v>
      </c>
      <c r="C337" s="23" t="e">
        <f t="array" ref="C337">RANK($S337,IF(Combo_Species_Names=$N337,Combo_Gym_Offense),0)</f>
        <v>#VALUE!</v>
      </c>
      <c r="D337" s="24" t="e">
        <f t="array" ref="D337">$S337/MAX(IF(Combo_Species_Names=$N337,Combo_Gym_Offense))</f>
        <v>#VALUE!</v>
      </c>
      <c r="E337" s="23" t="e">
        <f t="array" ref="E337">RANK($Y337,IF(Combo_Species_Names=$N337,Combo_Gym_Defense),0)</f>
        <v>#VALUE!</v>
      </c>
      <c r="F337" s="25" t="e">
        <f t="array" ref="F337">$Y337/MAX(IF(Combo_Species_Names=$N337,Combo_Gym_Defense))</f>
        <v>#VALUE!</v>
      </c>
      <c r="G337" s="23" t="e">
        <f t="array" ref="G337">IF(OR(INDEX(Species_Availability,MATCH($N337,Species_Names,0))="No",INDEX(Species_Evo_Numbers,MATCH($N337,Species_Names,0))&lt;&gt;1),"N/A",RANK($R337,IF(NOT(ISNA(MATCH(Combo_Species_Names,IF(Species_Availability="Yes",IF(Species_Evo_Numbers=1,Species_Names)),0))),Combo_Duel_Ability),0))</f>
        <v>#VALUE!</v>
      </c>
      <c r="H337" s="24" t="e">
        <f t="array" ref="H337">IF(OR(INDEX(Species_Availability,MATCH($N337,Species_Names,0))="No",INDEX(Species_Evo_Numbers,MATCH($N337,Species_Names,0))&lt;&gt;1),"N/A",$R337/MAX(IF(NOT(ISNA(MATCH(Combo_Species_Names,IF(Species_Availability="Yes",IF(Species_Evo_Numbers=1,Species_Names)),0))),Combo_Duel_Ability)))</f>
        <v>#VALUE!</v>
      </c>
      <c r="I337" s="23" t="e">
        <f t="array" ref="I337">IF(OR(INDEX(Species_Availability,MATCH($N337,Species_Names,0))="No",INDEX(Species_Evo_Numbers,MATCH($N337,Species_Names,0))&lt;&gt;1),"N/A",RANK($S337,IF(NOT(ISNA(MATCH(Combo_Species_Names,IF(Species_Availability="Yes",IF(Species_Evo_Numbers=1,Species_Names)),0))),Combo_Gym_Offense),0))</f>
        <v>#VALUE!</v>
      </c>
      <c r="J337" s="24" t="e">
        <f t="array" ref="J337">IF(OR(INDEX(Species_Availability,MATCH($N337,Species_Names,0))="No",INDEX(Species_Evo_Numbers,MATCH($N337,Species_Names,0))&lt;&gt;1),"N/A",$S337/MAX(IF(NOT(ISNA(MATCH(Combo_Species_Names,IF(Species_Availability="Yes",IF(Species_Evo_Numbers=1,Species_Names)),0))),Combo_Gym_Offense)))</f>
        <v>#VALUE!</v>
      </c>
      <c r="K337" s="23" t="e">
        <f t="array" ref="K337">IF(OR(INDEX(Species_Availability,MATCH($N337,Species_Names,0))="No",INDEX(Species_Evo_Numbers,MATCH($N337,Species_Names,0))&lt;&gt;1),"N/A",RANK($Y337,IF(NOT(ISNA(MATCH(Combo_Species_Names,IF(Species_Availability="Yes",IF(Species_Evo_Numbers=1,Species_Names)),0))),Combo_Gym_Defense),0))</f>
        <v>#VALUE!</v>
      </c>
      <c r="L337" s="24" t="e">
        <f t="array" ref="L337">IF(OR(INDEX(Species_Availability,MATCH($N337,Species_Names,0))="No",INDEX(Species_Evo_Numbers,MATCH($N337,Species_Names,0))&lt;&gt;1),"N/A",$Y337/MAX(IF(NOT(ISNA(MATCH(Combo_Species_Names,IF(Species_Availability="Yes",IF(Species_Evo_Numbers=1,Species_Names)),0))),Combo_Gym_Defense)))</f>
        <v>#VALUE!</v>
      </c>
      <c r="M337" s="28">
        <f t="array" ref="M337">INDEX(Species_Pdex_Numbers,MATCH($N337,Species_Names,0))</f>
        <v>85</v>
      </c>
      <c r="N337" s="30" t="s">
        <v>263</v>
      </c>
      <c r="O337" s="31" t="s">
        <v>80</v>
      </c>
      <c r="P337" s="31" t="s">
        <v>230</v>
      </c>
      <c r="Q337" s="17" t="e">
        <f t="shared" si="10"/>
        <v>#VALUE!</v>
      </c>
      <c r="R337" s="32" t="e">
        <f t="array" ref="R337">IF(OR(AND(COUNTBLANK(Combo_Opponent_Type_1)=1,COUNTBLANK(Combo_Opponent_Type_2)=0),AND(AND(COUNTBLANK(Combo_Opponent_Type_1)=0,COUNTBLANK(Combo_Opponent_Type_2)=0),Combo_Opponent_Type_1=Combo_Opponent_Type_2)),
"Check Types",($S337*INDEX(Species_Tankiness,MATCH($N337,Species_Names,0)))/225)</f>
        <v>#VALUE!</v>
      </c>
      <c r="S337" s="32" t="e">
        <f t="array" ref="S337">IF(OR(AND(COUNTBLANK(Combo_Opponent_Type_1)=1,COUNTBLANK(Combo_Opponent_Type_2)=0),AND(AND(COUNTBLANK(Combo_Opponent_Type_1)=0,COUNTBLANK(Combo_Opponent_Type_2)=0),Combo_Opponent_Type_1=Combo_Opponent_Type_2)),
"Check Types",(
IF($W337&gt;=((1-Game_Weave_Human_Error)*$X337),$W337,$X337)*INDEX(Species_Attack,MATCH($N337,Species_Names,0)))/11)</f>
        <v>#VALUE!</v>
      </c>
      <c r="T337" s="33" t="e">
        <f t="shared" si="11"/>
        <v>#VALUE!</v>
      </c>
      <c r="U337" s="33">
        <f t="array" ref="U3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337,Quick_Names,0))),Type_Species)),0),1)*IF(COUNTBLANK(Combo_Opponent_Type_2)=0,INDEX(Type_Damage_Multipliers,MATCH(Combo_Opponent_Type_2,IF(Type_Move=(INDEX(Quick_Type,MATCH($O337,Quick_Names,0))),Type_Species)),0),1)*(IF(OR(INDEX(Quick_Type,MATCH($O337,Quick_Names,0))=INDEX(Species_Type_1,MATCH($N337,Species_Names,0)),INDEX(Quick_Type,MATCH($O337,Quick_Names,0))=INDEX(Species_Type_2,MATCH($N337,Species_Names,0))),Game_STAB_Multiplier,1)))</f>
        <v>1</v>
      </c>
      <c r="V337" s="33">
        <f t="array" ref="V3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337,Charge_Names,0))),Type_Species)),0),1)*IF(COUNTBLANK(Combo_Opponent_Type_2)=0,INDEX(Type_Damage_Multipliers,MATCH(Combo_Opponent_Type_2,IF(Type_Move=(INDEX(Charge_Type,MATCH($P337,Charge_Names,0))),Type_Species)),0),1)*
IF(OR(INDEX(Charge_Type,MATCH($P337,Charge_Names,0))=INDEX(Species_Type_1,MATCH($N337,Species_Names,0)),INDEX(Charge_Type,MATCH($P337,Charge_Names,0))=INDEX(Species_Type_2,MATCH($N337,Species_Names,0))),Game_STAB_Multiplier,1))</f>
        <v>1.25</v>
      </c>
      <c r="W337" s="33" t="s">
        <v>441</v>
      </c>
      <c r="X337" s="33" t="s">
        <v>846</v>
      </c>
      <c r="Y337" s="32" t="e">
        <f t="array" ref="Y337">((($Z337)*
INDEX(Species_Attack,MATCH($N337,Species_Names,0))*
INDEX(Species_Tankiness,MATCH($N337,Species_Names,0)))/1000)</f>
        <v>#VALUE!</v>
      </c>
      <c r="Z337" s="33" t="s">
        <v>847</v>
      </c>
    </row>
    <row r="338" spans="1:26" ht="14.25" customHeight="1" x14ac:dyDescent="0.2">
      <c r="A338" s="86"/>
      <c r="B338" s="22" t="str">
        <f t="array" ref="B338">CONCATENATE(TEXT($M338,"000"),".",TEXT(INDEX(Quick_Number,MATCH($O338,Quick_Names,0)),"000"),".",TEXT(INDEX(Charge_Number,MATCH($P338,Charge_Names,0)),"000"))</f>
        <v>012.201.049</v>
      </c>
      <c r="C338" s="23" t="e">
        <f t="array" ref="C338">RANK($S338,IF(Combo_Species_Names=$N338,Combo_Gym_Offense),0)</f>
        <v>#VALUE!</v>
      </c>
      <c r="D338" s="24" t="e">
        <f t="array" ref="D338">$S338/MAX(IF(Combo_Species_Names=$N338,Combo_Gym_Offense))</f>
        <v>#VALUE!</v>
      </c>
      <c r="E338" s="23" t="e">
        <f t="array" ref="E338">RANK($Y338,IF(Combo_Species_Names=$N338,Combo_Gym_Defense),0)</f>
        <v>#VALUE!</v>
      </c>
      <c r="F338" s="25" t="e">
        <f t="array" ref="F338">$Y338/MAX(IF(Combo_Species_Names=$N338,Combo_Gym_Defense))</f>
        <v>#VALUE!</v>
      </c>
      <c r="G338" s="23" t="e">
        <f t="array" ref="G338">IF(OR(INDEX(Species_Availability,MATCH($N338,Species_Names,0))="No",INDEX(Species_Evo_Numbers,MATCH($N338,Species_Names,0))&lt;&gt;1),"N/A",RANK($R338,IF(NOT(ISNA(MATCH(Combo_Species_Names,IF(Species_Availability="Yes",IF(Species_Evo_Numbers=1,Species_Names)),0))),Combo_Duel_Ability),0))</f>
        <v>#VALUE!</v>
      </c>
      <c r="H338" s="24" t="e">
        <f t="array" ref="H338">IF(OR(INDEX(Species_Availability,MATCH($N338,Species_Names,0))="No",INDEX(Species_Evo_Numbers,MATCH($N338,Species_Names,0))&lt;&gt;1),"N/A",$R338/MAX(IF(NOT(ISNA(MATCH(Combo_Species_Names,IF(Species_Availability="Yes",IF(Species_Evo_Numbers=1,Species_Names)),0))),Combo_Duel_Ability)))</f>
        <v>#VALUE!</v>
      </c>
      <c r="I338" s="23" t="e">
        <f t="array" ref="I338">IF(OR(INDEX(Species_Availability,MATCH($N338,Species_Names,0))="No",INDEX(Species_Evo_Numbers,MATCH($N338,Species_Names,0))&lt;&gt;1),"N/A",RANK($S338,IF(NOT(ISNA(MATCH(Combo_Species_Names,IF(Species_Availability="Yes",IF(Species_Evo_Numbers=1,Species_Names)),0))),Combo_Gym_Offense),0))</f>
        <v>#VALUE!</v>
      </c>
      <c r="J338" s="24" t="e">
        <f t="array" ref="J338">IF(OR(INDEX(Species_Availability,MATCH($N338,Species_Names,0))="No",INDEX(Species_Evo_Numbers,MATCH($N338,Species_Names,0))&lt;&gt;1),"N/A",$S338/MAX(IF(NOT(ISNA(MATCH(Combo_Species_Names,IF(Species_Availability="Yes",IF(Species_Evo_Numbers=1,Species_Names)),0))),Combo_Gym_Offense)))</f>
        <v>#VALUE!</v>
      </c>
      <c r="K338" s="23" t="e">
        <f t="array" ref="K338">IF(OR(INDEX(Species_Availability,MATCH($N338,Species_Names,0))="No",INDEX(Species_Evo_Numbers,MATCH($N338,Species_Names,0))&lt;&gt;1),"N/A",RANK($Y338,IF(NOT(ISNA(MATCH(Combo_Species_Names,IF(Species_Availability="Yes",IF(Species_Evo_Numbers=1,Species_Names)),0))),Combo_Gym_Defense),0))</f>
        <v>#VALUE!</v>
      </c>
      <c r="L338" s="24" t="e">
        <f t="array" ref="L338">IF(OR(INDEX(Species_Availability,MATCH($N338,Species_Names,0))="No",INDEX(Species_Evo_Numbers,MATCH($N338,Species_Names,0))&lt;&gt;1),"N/A",$Y338/MAX(IF(NOT(ISNA(MATCH(Combo_Species_Names,IF(Species_Availability="Yes",IF(Species_Evo_Numbers=1,Species_Names)),0))),Combo_Gym_Defense)))</f>
        <v>#VALUE!</v>
      </c>
      <c r="M338" s="28">
        <f t="array" ref="M338">INDEX(Species_Pdex_Numbers,MATCH($N338,Species_Names,0))</f>
        <v>12</v>
      </c>
      <c r="N338" s="30" t="s">
        <v>104</v>
      </c>
      <c r="O338" s="31" t="s">
        <v>82</v>
      </c>
      <c r="P338" s="31" t="s">
        <v>211</v>
      </c>
      <c r="Q338" s="17" t="e">
        <f t="shared" si="10"/>
        <v>#VALUE!</v>
      </c>
      <c r="R338" s="32" t="e">
        <f t="array" ref="R338">IF(OR(AND(COUNTBLANK(Combo_Opponent_Type_1)=1,COUNTBLANK(Combo_Opponent_Type_2)=0),AND(AND(COUNTBLANK(Combo_Opponent_Type_1)=0,COUNTBLANK(Combo_Opponent_Type_2)=0),Combo_Opponent_Type_1=Combo_Opponent_Type_2)),
"Check Types",($S338*INDEX(Species_Tankiness,MATCH($N338,Species_Names,0)))/225)</f>
        <v>#VALUE!</v>
      </c>
      <c r="S338" s="32" t="e">
        <f t="array" ref="S338">IF(OR(AND(COUNTBLANK(Combo_Opponent_Type_1)=1,COUNTBLANK(Combo_Opponent_Type_2)=0),AND(AND(COUNTBLANK(Combo_Opponent_Type_1)=0,COUNTBLANK(Combo_Opponent_Type_2)=0),Combo_Opponent_Type_1=Combo_Opponent_Type_2)),
"Check Types",(
IF($W338&gt;=((1-Game_Weave_Human_Error)*$X338),$W338,$X338)*INDEX(Species_Attack,MATCH($N338,Species_Names,0)))/11)</f>
        <v>#VALUE!</v>
      </c>
      <c r="T338" s="33" t="e">
        <f t="shared" si="11"/>
        <v>#VALUE!</v>
      </c>
      <c r="U338" s="33">
        <f t="array" ref="U3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338,Quick_Names,0))),Type_Species)),0),1)*IF(COUNTBLANK(Combo_Opponent_Type_2)=0,INDEX(Type_Damage_Multipliers,MATCH(Combo_Opponent_Type_2,IF(Type_Move=(INDEX(Quick_Type,MATCH($O338,Quick_Names,0))),Type_Species)),0),1)*(IF(OR(INDEX(Quick_Type,MATCH($O338,Quick_Names,0))=INDEX(Species_Type_1,MATCH($N338,Species_Names,0)),INDEX(Quick_Type,MATCH($O338,Quick_Names,0))=INDEX(Species_Type_2,MATCH($N338,Species_Names,0))),Game_STAB_Multiplier,1)))</f>
        <v>1.25</v>
      </c>
      <c r="V338" s="33">
        <f t="array" ref="V3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338,Charge_Names,0))),Type_Species)),0),1)*IF(COUNTBLANK(Combo_Opponent_Type_2)=0,INDEX(Type_Damage_Multipliers,MATCH(Combo_Opponent_Type_2,IF(Type_Move=(INDEX(Charge_Type,MATCH($P338,Charge_Names,0))),Type_Species)),0),1)*
IF(OR(INDEX(Charge_Type,MATCH($P338,Charge_Names,0))=INDEX(Species_Type_1,MATCH($N338,Species_Names,0)),INDEX(Charge_Type,MATCH($P338,Charge_Names,0))=INDEX(Species_Type_2,MATCH($N338,Species_Names,0))),Game_STAB_Multiplier,1))</f>
        <v>1.25</v>
      </c>
      <c r="W338" s="33" t="s">
        <v>436</v>
      </c>
      <c r="X338" s="33" t="s">
        <v>706</v>
      </c>
      <c r="Y338" s="32" t="e">
        <f t="array" ref="Y338">((($Z338)*
INDEX(Species_Attack,MATCH($N338,Species_Names,0))*
INDEX(Species_Tankiness,MATCH($N338,Species_Names,0)))/1000)</f>
        <v>#VALUE!</v>
      </c>
      <c r="Z338" s="33" t="s">
        <v>707</v>
      </c>
    </row>
    <row r="339" spans="1:26" ht="14.25" customHeight="1" x14ac:dyDescent="0.2">
      <c r="A339" s="86"/>
      <c r="B339" s="22" t="str">
        <f t="array" ref="B339">CONCATENATE(TEXT($M339,"000"),".",TEXT(INDEX(Quick_Number,MATCH($O339,Quick_Names,0)),"000"),".",TEXT(INDEX(Charge_Number,MATCH($P339,Charge_Names,0)),"000"))</f>
        <v>105.241.026</v>
      </c>
      <c r="C339" s="23" t="e">
        <f t="array" ref="C339">RANK($S339,IF(Combo_Species_Names=$N339,Combo_Gym_Offense),0)</f>
        <v>#VALUE!</v>
      </c>
      <c r="D339" s="24" t="e">
        <f t="array" ref="D339">$S339/MAX(IF(Combo_Species_Names=$N339,Combo_Gym_Offense))</f>
        <v>#VALUE!</v>
      </c>
      <c r="E339" s="23" t="e">
        <f t="array" ref="E339">RANK($Y339,IF(Combo_Species_Names=$N339,Combo_Gym_Defense),0)</f>
        <v>#VALUE!</v>
      </c>
      <c r="F339" s="25" t="e">
        <f t="array" ref="F339">$Y339/MAX(IF(Combo_Species_Names=$N339,Combo_Gym_Defense))</f>
        <v>#VALUE!</v>
      </c>
      <c r="G339" s="23" t="e">
        <f t="array" ref="G339">IF(OR(INDEX(Species_Availability,MATCH($N339,Species_Names,0))="No",INDEX(Species_Evo_Numbers,MATCH($N339,Species_Names,0))&lt;&gt;1),"N/A",RANK($R339,IF(NOT(ISNA(MATCH(Combo_Species_Names,IF(Species_Availability="Yes",IF(Species_Evo_Numbers=1,Species_Names)),0))),Combo_Duel_Ability),0))</f>
        <v>#VALUE!</v>
      </c>
      <c r="H339" s="24" t="e">
        <f t="array" ref="H339">IF(OR(INDEX(Species_Availability,MATCH($N339,Species_Names,0))="No",INDEX(Species_Evo_Numbers,MATCH($N339,Species_Names,0))&lt;&gt;1),"N/A",$R339/MAX(IF(NOT(ISNA(MATCH(Combo_Species_Names,IF(Species_Availability="Yes",IF(Species_Evo_Numbers=1,Species_Names)),0))),Combo_Duel_Ability)))</f>
        <v>#VALUE!</v>
      </c>
      <c r="I339" s="23" t="e">
        <f t="array" ref="I339">IF(OR(INDEX(Species_Availability,MATCH($N339,Species_Names,0))="No",INDEX(Species_Evo_Numbers,MATCH($N339,Species_Names,0))&lt;&gt;1),"N/A",RANK($S339,IF(NOT(ISNA(MATCH(Combo_Species_Names,IF(Species_Availability="Yes",IF(Species_Evo_Numbers=1,Species_Names)),0))),Combo_Gym_Offense),0))</f>
        <v>#VALUE!</v>
      </c>
      <c r="J339" s="24" t="e">
        <f t="array" ref="J339">IF(OR(INDEX(Species_Availability,MATCH($N339,Species_Names,0))="No",INDEX(Species_Evo_Numbers,MATCH($N339,Species_Names,0))&lt;&gt;1),"N/A",$S339/MAX(IF(NOT(ISNA(MATCH(Combo_Species_Names,IF(Species_Availability="Yes",IF(Species_Evo_Numbers=1,Species_Names)),0))),Combo_Gym_Offense)))</f>
        <v>#VALUE!</v>
      </c>
      <c r="K339" s="23" t="e">
        <f t="array" ref="K339">IF(OR(INDEX(Species_Availability,MATCH($N339,Species_Names,0))="No",INDEX(Species_Evo_Numbers,MATCH($N339,Species_Names,0))&lt;&gt;1),"N/A",RANK($Y339,IF(NOT(ISNA(MATCH(Combo_Species_Names,IF(Species_Availability="Yes",IF(Species_Evo_Numbers=1,Species_Names)),0))),Combo_Gym_Defense),0))</f>
        <v>#VALUE!</v>
      </c>
      <c r="L339" s="24" t="e">
        <f t="array" ref="L339">IF(OR(INDEX(Species_Availability,MATCH($N339,Species_Names,0))="No",INDEX(Species_Evo_Numbers,MATCH($N339,Species_Names,0))&lt;&gt;1),"N/A",$Y339/MAX(IF(NOT(ISNA(MATCH(Combo_Species_Names,IF(Species_Availability="Yes",IF(Species_Evo_Numbers=1,Species_Names)),0))),Combo_Gym_Defense)))</f>
        <v>#VALUE!</v>
      </c>
      <c r="M339" s="28">
        <f t="array" ref="M339">INDEX(Species_Pdex_Numbers,MATCH($N339,Species_Names,0))</f>
        <v>105</v>
      </c>
      <c r="N339" s="30" t="s">
        <v>313</v>
      </c>
      <c r="O339" s="31" t="s">
        <v>97</v>
      </c>
      <c r="P339" s="31" t="s">
        <v>264</v>
      </c>
      <c r="Q339" s="17" t="e">
        <f t="shared" si="10"/>
        <v>#VALUE!</v>
      </c>
      <c r="R339" s="32" t="e">
        <f t="array" ref="R339">IF(OR(AND(COUNTBLANK(Combo_Opponent_Type_1)=1,COUNTBLANK(Combo_Opponent_Type_2)=0),AND(AND(COUNTBLANK(Combo_Opponent_Type_1)=0,COUNTBLANK(Combo_Opponent_Type_2)=0),Combo_Opponent_Type_1=Combo_Opponent_Type_2)),
"Check Types",($S339*INDEX(Species_Tankiness,MATCH($N339,Species_Names,0)))/225)</f>
        <v>#VALUE!</v>
      </c>
      <c r="S339" s="32" t="e">
        <f t="array" ref="S339">IF(OR(AND(COUNTBLANK(Combo_Opponent_Type_1)=1,COUNTBLANK(Combo_Opponent_Type_2)=0),AND(AND(COUNTBLANK(Combo_Opponent_Type_1)=0,COUNTBLANK(Combo_Opponent_Type_2)=0),Combo_Opponent_Type_1=Combo_Opponent_Type_2)),
"Check Types",(
IF($W339&gt;=((1-Game_Weave_Human_Error)*$X339),$W339,$X339)*INDEX(Species_Attack,MATCH($N339,Species_Names,0)))/11)</f>
        <v>#VALUE!</v>
      </c>
      <c r="T339" s="33" t="e">
        <f t="shared" si="11"/>
        <v>#VALUE!</v>
      </c>
      <c r="U339" s="33">
        <f t="array" ref="U3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339,Quick_Names,0))),Type_Species)),0),1)*IF(COUNTBLANK(Combo_Opponent_Type_2)=0,INDEX(Type_Damage_Multipliers,MATCH(Combo_Opponent_Type_2,IF(Type_Move=(INDEX(Quick_Type,MATCH($O339,Quick_Names,0))),Type_Species)),0),1)*(IF(OR(INDEX(Quick_Type,MATCH($O339,Quick_Names,0))=INDEX(Species_Type_1,MATCH($N339,Species_Names,0)),INDEX(Quick_Type,MATCH($O339,Quick_Names,0))=INDEX(Species_Type_2,MATCH($N339,Species_Names,0))),Game_STAB_Multiplier,1)))</f>
        <v>1</v>
      </c>
      <c r="V339" s="33">
        <f t="array" ref="V3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339,Charge_Names,0))),Type_Species)),0),1)*IF(COUNTBLANK(Combo_Opponent_Type_2)=0,INDEX(Type_Damage_Multipliers,MATCH(Combo_Opponent_Type_2,IF(Type_Move=(INDEX(Charge_Type,MATCH($P339,Charge_Names,0))),Type_Species)),0),1)*
IF(OR(INDEX(Charge_Type,MATCH($P339,Charge_Names,0))=INDEX(Species_Type_1,MATCH($N339,Species_Names,0)),INDEX(Charge_Type,MATCH($P339,Charge_Names,0))=INDEX(Species_Type_2,MATCH($N339,Species_Names,0))),Game_STAB_Multiplier,1))</f>
        <v>1.25</v>
      </c>
      <c r="W339" s="33" t="s">
        <v>577</v>
      </c>
      <c r="X339" s="33" t="s">
        <v>573</v>
      </c>
      <c r="Y339" s="32" t="e">
        <f t="array" ref="Y339">((($Z339)*
INDEX(Species_Attack,MATCH($N339,Species_Names,0))*
INDEX(Species_Tankiness,MATCH($N339,Species_Names,0)))/1000)</f>
        <v>#VALUE!</v>
      </c>
      <c r="Z339" s="33" t="s">
        <v>848</v>
      </c>
    </row>
    <row r="340" spans="1:26" ht="14.25" customHeight="1" x14ac:dyDescent="0.2">
      <c r="A340" s="86"/>
      <c r="B340" s="22" t="str">
        <f t="array" ref="B340">CONCATENATE(TEXT($M340,"000"),".",TEXT(INDEX(Quick_Number,MATCH($O340,Quick_Names,0)),"000"),".",TEXT(INDEX(Charge_Number,MATCH($P340,Charge_Names,0)),"000"))</f>
        <v>057.207.056</v>
      </c>
      <c r="C340" s="23" t="e">
        <f t="array" ref="C340">RANK($S340,IF(Combo_Species_Names=$N340,Combo_Gym_Offense),0)</f>
        <v>#VALUE!</v>
      </c>
      <c r="D340" s="24" t="e">
        <f t="array" ref="D340">$S340/MAX(IF(Combo_Species_Names=$N340,Combo_Gym_Offense))</f>
        <v>#VALUE!</v>
      </c>
      <c r="E340" s="23" t="e">
        <f t="array" ref="E340">RANK($Y340,IF(Combo_Species_Names=$N340,Combo_Gym_Defense),0)</f>
        <v>#VALUE!</v>
      </c>
      <c r="F340" s="25" t="e">
        <f t="array" ref="F340">$Y340/MAX(IF(Combo_Species_Names=$N340,Combo_Gym_Defense))</f>
        <v>#VALUE!</v>
      </c>
      <c r="G340" s="23" t="e">
        <f t="array" ref="G340">IF(OR(INDEX(Species_Availability,MATCH($N340,Species_Names,0))="No",INDEX(Species_Evo_Numbers,MATCH($N340,Species_Names,0))&lt;&gt;1),"N/A",RANK($R340,IF(NOT(ISNA(MATCH(Combo_Species_Names,IF(Species_Availability="Yes",IF(Species_Evo_Numbers=1,Species_Names)),0))),Combo_Duel_Ability),0))</f>
        <v>#VALUE!</v>
      </c>
      <c r="H340" s="24" t="e">
        <f t="array" ref="H340">IF(OR(INDEX(Species_Availability,MATCH($N340,Species_Names,0))="No",INDEX(Species_Evo_Numbers,MATCH($N340,Species_Names,0))&lt;&gt;1),"N/A",$R340/MAX(IF(NOT(ISNA(MATCH(Combo_Species_Names,IF(Species_Availability="Yes",IF(Species_Evo_Numbers=1,Species_Names)),0))),Combo_Duel_Ability)))</f>
        <v>#VALUE!</v>
      </c>
      <c r="I340" s="23" t="e">
        <f t="array" ref="I340">IF(OR(INDEX(Species_Availability,MATCH($N340,Species_Names,0))="No",INDEX(Species_Evo_Numbers,MATCH($N340,Species_Names,0))&lt;&gt;1),"N/A",RANK($S340,IF(NOT(ISNA(MATCH(Combo_Species_Names,IF(Species_Availability="Yes",IF(Species_Evo_Numbers=1,Species_Names)),0))),Combo_Gym_Offense),0))</f>
        <v>#VALUE!</v>
      </c>
      <c r="J340" s="24" t="e">
        <f t="array" ref="J340">IF(OR(INDEX(Species_Availability,MATCH($N340,Species_Names,0))="No",INDEX(Species_Evo_Numbers,MATCH($N340,Species_Names,0))&lt;&gt;1),"N/A",$S340/MAX(IF(NOT(ISNA(MATCH(Combo_Species_Names,IF(Species_Availability="Yes",IF(Species_Evo_Numbers=1,Species_Names)),0))),Combo_Gym_Offense)))</f>
        <v>#VALUE!</v>
      </c>
      <c r="K340" s="23" t="e">
        <f t="array" ref="K340">IF(OR(INDEX(Species_Availability,MATCH($N340,Species_Names,0))="No",INDEX(Species_Evo_Numbers,MATCH($N340,Species_Names,0))&lt;&gt;1),"N/A",RANK($Y340,IF(NOT(ISNA(MATCH(Combo_Species_Names,IF(Species_Availability="Yes",IF(Species_Evo_Numbers=1,Species_Names)),0))),Combo_Gym_Defense),0))</f>
        <v>#VALUE!</v>
      </c>
      <c r="L340" s="24" t="e">
        <f t="array" ref="L340">IF(OR(INDEX(Species_Availability,MATCH($N340,Species_Names,0))="No",INDEX(Species_Evo_Numbers,MATCH($N340,Species_Names,0))&lt;&gt;1),"N/A",$Y340/MAX(IF(NOT(ISNA(MATCH(Combo_Species_Names,IF(Species_Availability="Yes",IF(Species_Evo_Numbers=1,Species_Names)),0))),Combo_Gym_Defense)))</f>
        <v>#VALUE!</v>
      </c>
      <c r="M340" s="28">
        <f t="array" ref="M340">INDEX(Species_Pdex_Numbers,MATCH($N340,Species_Names,0))</f>
        <v>57</v>
      </c>
      <c r="N340" s="30" t="s">
        <v>203</v>
      </c>
      <c r="O340" s="31" t="s">
        <v>117</v>
      </c>
      <c r="P340" s="31" t="s">
        <v>255</v>
      </c>
      <c r="Q340" s="17" t="e">
        <f t="shared" si="10"/>
        <v>#VALUE!</v>
      </c>
      <c r="R340" s="32" t="e">
        <f t="array" ref="R340">IF(OR(AND(COUNTBLANK(Combo_Opponent_Type_1)=1,COUNTBLANK(Combo_Opponent_Type_2)=0),AND(AND(COUNTBLANK(Combo_Opponent_Type_1)=0,COUNTBLANK(Combo_Opponent_Type_2)=0),Combo_Opponent_Type_1=Combo_Opponent_Type_2)),
"Check Types",($S340*INDEX(Species_Tankiness,MATCH($N340,Species_Names,0)))/225)</f>
        <v>#VALUE!</v>
      </c>
      <c r="S340" s="32" t="e">
        <f t="array" ref="S340">IF(OR(AND(COUNTBLANK(Combo_Opponent_Type_1)=1,COUNTBLANK(Combo_Opponent_Type_2)=0),AND(AND(COUNTBLANK(Combo_Opponent_Type_1)=0,COUNTBLANK(Combo_Opponent_Type_2)=0),Combo_Opponent_Type_1=Combo_Opponent_Type_2)),
"Check Types",(
IF($W340&gt;=((1-Game_Weave_Human_Error)*$X340),$W340,$X340)*INDEX(Species_Attack,MATCH($N340,Species_Names,0)))/11)</f>
        <v>#VALUE!</v>
      </c>
      <c r="T340" s="33" t="e">
        <f t="shared" si="11"/>
        <v>#VALUE!</v>
      </c>
      <c r="U340" s="33">
        <f t="array" ref="U3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340,Quick_Names,0))),Type_Species)),0),1)*IF(COUNTBLANK(Combo_Opponent_Type_2)=0,INDEX(Type_Damage_Multipliers,MATCH(Combo_Opponent_Type_2,IF(Type_Move=(INDEX(Quick_Type,MATCH($O340,Quick_Names,0))),Type_Species)),0),1)*(IF(OR(INDEX(Quick_Type,MATCH($O340,Quick_Names,0))=INDEX(Species_Type_1,MATCH($N340,Species_Names,0)),INDEX(Quick_Type,MATCH($O340,Quick_Names,0))=INDEX(Species_Type_2,MATCH($N340,Species_Names,0))),Game_STAB_Multiplier,1)))</f>
        <v>1.25</v>
      </c>
      <c r="V340" s="33">
        <f t="array" ref="V3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340,Charge_Names,0))),Type_Species)),0),1)*IF(COUNTBLANK(Combo_Opponent_Type_2)=0,INDEX(Type_Damage_Multipliers,MATCH(Combo_Opponent_Type_2,IF(Type_Move=(INDEX(Charge_Type,MATCH($P340,Charge_Names,0))),Type_Species)),0),1)*
IF(OR(INDEX(Charge_Type,MATCH($P340,Charge_Names,0))=INDEX(Species_Type_1,MATCH($N340,Species_Names,0)),INDEX(Charge_Type,MATCH($P340,Charge_Names,0))=INDEX(Species_Type_2,MATCH($N340,Species_Names,0))),Game_STAB_Multiplier,1))</f>
        <v>1.25</v>
      </c>
      <c r="W340" s="33" t="s">
        <v>678</v>
      </c>
      <c r="X340" s="33" t="s">
        <v>688</v>
      </c>
      <c r="Y340" s="32" t="e">
        <f t="array" ref="Y340">((($Z340)*
INDEX(Species_Attack,MATCH($N340,Species_Names,0))*
INDEX(Species_Tankiness,MATCH($N340,Species_Names,0)))/1000)</f>
        <v>#VALUE!</v>
      </c>
      <c r="Z340" s="33" t="s">
        <v>849</v>
      </c>
    </row>
    <row r="341" spans="1:26" ht="14.25" customHeight="1" x14ac:dyDescent="0.2">
      <c r="A341" s="86"/>
      <c r="B341" s="22" t="str">
        <f t="array" ref="B341">CONCATENATE(TEXT($M341,"000"),".",TEXT(INDEX(Quick_Number,MATCH($O341,Quick_Names,0)),"000"),".",TEXT(INDEX(Charge_Number,MATCH($P341,Charge_Names,0)),"000"))</f>
        <v>101.206.035</v>
      </c>
      <c r="C341" s="23" t="e">
        <f t="array" ref="C341">RANK($S341,IF(Combo_Species_Names=$N341,Combo_Gym_Offense),0)</f>
        <v>#VALUE!</v>
      </c>
      <c r="D341" s="24" t="e">
        <f t="array" ref="D341">$S341/MAX(IF(Combo_Species_Names=$N341,Combo_Gym_Offense))</f>
        <v>#VALUE!</v>
      </c>
      <c r="E341" s="23" t="e">
        <f t="array" ref="E341">RANK($Y341,IF(Combo_Species_Names=$N341,Combo_Gym_Defense),0)</f>
        <v>#VALUE!</v>
      </c>
      <c r="F341" s="25" t="e">
        <f t="array" ref="F341">$Y341/MAX(IF(Combo_Species_Names=$N341,Combo_Gym_Defense))</f>
        <v>#VALUE!</v>
      </c>
      <c r="G341" s="23" t="e">
        <f t="array" ref="G341">IF(OR(INDEX(Species_Availability,MATCH($N341,Species_Names,0))="No",INDEX(Species_Evo_Numbers,MATCH($N341,Species_Names,0))&lt;&gt;1),"N/A",RANK($R341,IF(NOT(ISNA(MATCH(Combo_Species_Names,IF(Species_Availability="Yes",IF(Species_Evo_Numbers=1,Species_Names)),0))),Combo_Duel_Ability),0))</f>
        <v>#VALUE!</v>
      </c>
      <c r="H341" s="24" t="e">
        <f t="array" ref="H341">IF(OR(INDEX(Species_Availability,MATCH($N341,Species_Names,0))="No",INDEX(Species_Evo_Numbers,MATCH($N341,Species_Names,0))&lt;&gt;1),"N/A",$R341/MAX(IF(NOT(ISNA(MATCH(Combo_Species_Names,IF(Species_Availability="Yes",IF(Species_Evo_Numbers=1,Species_Names)),0))),Combo_Duel_Ability)))</f>
        <v>#VALUE!</v>
      </c>
      <c r="I341" s="23" t="e">
        <f t="array" ref="I341">IF(OR(INDEX(Species_Availability,MATCH($N341,Species_Names,0))="No",INDEX(Species_Evo_Numbers,MATCH($N341,Species_Names,0))&lt;&gt;1),"N/A",RANK($S341,IF(NOT(ISNA(MATCH(Combo_Species_Names,IF(Species_Availability="Yes",IF(Species_Evo_Numbers=1,Species_Names)),0))),Combo_Gym_Offense),0))</f>
        <v>#VALUE!</v>
      </c>
      <c r="J341" s="24" t="e">
        <f t="array" ref="J341">IF(OR(INDEX(Species_Availability,MATCH($N341,Species_Names,0))="No",INDEX(Species_Evo_Numbers,MATCH($N341,Species_Names,0))&lt;&gt;1),"N/A",$S341/MAX(IF(NOT(ISNA(MATCH(Combo_Species_Names,IF(Species_Availability="Yes",IF(Species_Evo_Numbers=1,Species_Names)),0))),Combo_Gym_Offense)))</f>
        <v>#VALUE!</v>
      </c>
      <c r="K341" s="23" t="e">
        <f t="array" ref="K341">IF(OR(INDEX(Species_Availability,MATCH($N341,Species_Names,0))="No",INDEX(Species_Evo_Numbers,MATCH($N341,Species_Names,0))&lt;&gt;1),"N/A",RANK($Y341,IF(NOT(ISNA(MATCH(Combo_Species_Names,IF(Species_Availability="Yes",IF(Species_Evo_Numbers=1,Species_Names)),0))),Combo_Gym_Defense),0))</f>
        <v>#VALUE!</v>
      </c>
      <c r="L341" s="24" t="e">
        <f t="array" ref="L341">IF(OR(INDEX(Species_Availability,MATCH($N341,Species_Names,0))="No",INDEX(Species_Evo_Numbers,MATCH($N341,Species_Names,0))&lt;&gt;1),"N/A",$Y341/MAX(IF(NOT(ISNA(MATCH(Combo_Species_Names,IF(Species_Availability="Yes",IF(Species_Evo_Numbers=1,Species_Names)),0))),Combo_Gym_Defense)))</f>
        <v>#VALUE!</v>
      </c>
      <c r="M341" s="28">
        <f t="array" ref="M341">INDEX(Species_Pdex_Numbers,MATCH($N341,Species_Names,0))</f>
        <v>101</v>
      </c>
      <c r="N341" s="30" t="s">
        <v>303</v>
      </c>
      <c r="O341" s="31" t="s">
        <v>106</v>
      </c>
      <c r="P341" s="31" t="s">
        <v>245</v>
      </c>
      <c r="Q341" s="17" t="e">
        <f t="shared" si="10"/>
        <v>#VALUE!</v>
      </c>
      <c r="R341" s="32" t="e">
        <f t="array" ref="R341">IF(OR(AND(COUNTBLANK(Combo_Opponent_Type_1)=1,COUNTBLANK(Combo_Opponent_Type_2)=0),AND(AND(COUNTBLANK(Combo_Opponent_Type_1)=0,COUNTBLANK(Combo_Opponent_Type_2)=0),Combo_Opponent_Type_1=Combo_Opponent_Type_2)),
"Check Types",($S341*INDEX(Species_Tankiness,MATCH($N341,Species_Names,0)))/225)</f>
        <v>#VALUE!</v>
      </c>
      <c r="S341" s="32" t="e">
        <f t="array" ref="S341">IF(OR(AND(COUNTBLANK(Combo_Opponent_Type_1)=1,COUNTBLANK(Combo_Opponent_Type_2)=0),AND(AND(COUNTBLANK(Combo_Opponent_Type_1)=0,COUNTBLANK(Combo_Opponent_Type_2)=0),Combo_Opponent_Type_1=Combo_Opponent_Type_2)),
"Check Types",(
IF($W341&gt;=((1-Game_Weave_Human_Error)*$X341),$W341,$X341)*INDEX(Species_Attack,MATCH($N341,Species_Names,0)))/11)</f>
        <v>#VALUE!</v>
      </c>
      <c r="T341" s="33" t="e">
        <f t="shared" si="11"/>
        <v>#VALUE!</v>
      </c>
      <c r="U341" s="33">
        <f t="array" ref="U3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341,Quick_Names,0))),Type_Species)),0),1)*IF(COUNTBLANK(Combo_Opponent_Type_2)=0,INDEX(Type_Damage_Multipliers,MATCH(Combo_Opponent_Type_2,IF(Type_Move=(INDEX(Quick_Type,MATCH($O341,Quick_Names,0))),Type_Species)),0),1)*(IF(OR(INDEX(Quick_Type,MATCH($O341,Quick_Names,0))=INDEX(Species_Type_1,MATCH($N341,Species_Names,0)),INDEX(Quick_Type,MATCH($O341,Quick_Names,0))=INDEX(Species_Type_2,MATCH($N341,Species_Names,0))),Game_STAB_Multiplier,1)))</f>
        <v>1.25</v>
      </c>
      <c r="V341" s="33">
        <f t="array" ref="V3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341,Charge_Names,0))),Type_Species)),0),1)*IF(COUNTBLANK(Combo_Opponent_Type_2)=0,INDEX(Type_Damage_Multipliers,MATCH(Combo_Opponent_Type_2,IF(Type_Move=(INDEX(Charge_Type,MATCH($P341,Charge_Names,0))),Type_Species)),0),1)*
IF(OR(INDEX(Charge_Type,MATCH($P341,Charge_Names,0))=INDEX(Species_Type_1,MATCH($N341,Species_Names,0)),INDEX(Charge_Type,MATCH($P341,Charge_Names,0))=INDEX(Species_Type_2,MATCH($N341,Species_Names,0))),Game_STAB_Multiplier,1))</f>
        <v>1.25</v>
      </c>
      <c r="W341" s="33" t="s">
        <v>708</v>
      </c>
      <c r="X341" s="33" t="s">
        <v>825</v>
      </c>
      <c r="Y341" s="32" t="e">
        <f t="array" ref="Y341">((($Z341)*
INDEX(Species_Attack,MATCH($N341,Species_Names,0))*
INDEX(Species_Tankiness,MATCH($N341,Species_Names,0)))/1000)</f>
        <v>#VALUE!</v>
      </c>
      <c r="Z341" s="33" t="s">
        <v>547</v>
      </c>
    </row>
    <row r="342" spans="1:26" ht="14.25" customHeight="1" x14ac:dyDescent="0.2">
      <c r="A342" s="86"/>
      <c r="B342" s="22" t="str">
        <f t="array" ref="B342">CONCATENATE(TEXT($M342,"000"),".",TEXT(INDEX(Quick_Number,MATCH($O342,Quick_Names,0)),"000"),".",TEXT(INDEX(Charge_Number,MATCH($P342,Charge_Names,0)),"000"))</f>
        <v>141.200.062</v>
      </c>
      <c r="C342" s="23" t="e">
        <f t="array" ref="C342">RANK($S342,IF(Combo_Species_Names=$N342,Combo_Gym_Offense),0)</f>
        <v>#VALUE!</v>
      </c>
      <c r="D342" s="24" t="e">
        <f t="array" ref="D342">$S342/MAX(IF(Combo_Species_Names=$N342,Combo_Gym_Offense))</f>
        <v>#VALUE!</v>
      </c>
      <c r="E342" s="23" t="e">
        <f t="array" ref="E342">RANK($Y342,IF(Combo_Species_Names=$N342,Combo_Gym_Defense),0)</f>
        <v>#VALUE!</v>
      </c>
      <c r="F342" s="25" t="e">
        <f t="array" ref="F342">$Y342/MAX(IF(Combo_Species_Names=$N342,Combo_Gym_Defense))</f>
        <v>#VALUE!</v>
      </c>
      <c r="G342" s="23" t="e">
        <f t="array" ref="G342">IF(OR(INDEX(Species_Availability,MATCH($N342,Species_Names,0))="No",INDEX(Species_Evo_Numbers,MATCH($N342,Species_Names,0))&lt;&gt;1),"N/A",RANK($R342,IF(NOT(ISNA(MATCH(Combo_Species_Names,IF(Species_Availability="Yes",IF(Species_Evo_Numbers=1,Species_Names)),0))),Combo_Duel_Ability),0))</f>
        <v>#VALUE!</v>
      </c>
      <c r="H342" s="24" t="e">
        <f t="array" ref="H342">IF(OR(INDEX(Species_Availability,MATCH($N342,Species_Names,0))="No",INDEX(Species_Evo_Numbers,MATCH($N342,Species_Names,0))&lt;&gt;1),"N/A",$R342/MAX(IF(NOT(ISNA(MATCH(Combo_Species_Names,IF(Species_Availability="Yes",IF(Species_Evo_Numbers=1,Species_Names)),0))),Combo_Duel_Ability)))</f>
        <v>#VALUE!</v>
      </c>
      <c r="I342" s="23" t="e">
        <f t="array" ref="I342">IF(OR(INDEX(Species_Availability,MATCH($N342,Species_Names,0))="No",INDEX(Species_Evo_Numbers,MATCH($N342,Species_Names,0))&lt;&gt;1),"N/A",RANK($S342,IF(NOT(ISNA(MATCH(Combo_Species_Names,IF(Species_Availability="Yes",IF(Species_Evo_Numbers=1,Species_Names)),0))),Combo_Gym_Offense),0))</f>
        <v>#VALUE!</v>
      </c>
      <c r="J342" s="24" t="e">
        <f t="array" ref="J342">IF(OR(INDEX(Species_Availability,MATCH($N342,Species_Names,0))="No",INDEX(Species_Evo_Numbers,MATCH($N342,Species_Names,0))&lt;&gt;1),"N/A",$S342/MAX(IF(NOT(ISNA(MATCH(Combo_Species_Names,IF(Species_Availability="Yes",IF(Species_Evo_Numbers=1,Species_Names)),0))),Combo_Gym_Offense)))</f>
        <v>#VALUE!</v>
      </c>
      <c r="K342" s="23" t="e">
        <f t="array" ref="K342">IF(OR(INDEX(Species_Availability,MATCH($N342,Species_Names,0))="No",INDEX(Species_Evo_Numbers,MATCH($N342,Species_Names,0))&lt;&gt;1),"N/A",RANK($Y342,IF(NOT(ISNA(MATCH(Combo_Species_Names,IF(Species_Availability="Yes",IF(Species_Evo_Numbers=1,Species_Names)),0))),Combo_Gym_Defense),0))</f>
        <v>#VALUE!</v>
      </c>
      <c r="L342" s="24" t="e">
        <f t="array" ref="L342">IF(OR(INDEX(Species_Availability,MATCH($N342,Species_Names,0))="No",INDEX(Species_Evo_Numbers,MATCH($N342,Species_Names,0))&lt;&gt;1),"N/A",$Y342/MAX(IF(NOT(ISNA(MATCH(Combo_Species_Names,IF(Species_Availability="Yes",IF(Species_Evo_Numbers=1,Species_Names)),0))),Combo_Gym_Defense)))</f>
        <v>#VALUE!</v>
      </c>
      <c r="M342" s="28">
        <f t="array" ref="M342">INDEX(Species_Pdex_Numbers,MATCH($N342,Species_Names,0))</f>
        <v>141</v>
      </c>
      <c r="N342" s="30" t="s">
        <v>359</v>
      </c>
      <c r="O342" s="31" t="s">
        <v>121</v>
      </c>
      <c r="P342" s="31" t="s">
        <v>297</v>
      </c>
      <c r="Q342" s="17" t="e">
        <f t="shared" si="10"/>
        <v>#VALUE!</v>
      </c>
      <c r="R342" s="32" t="e">
        <f t="array" ref="R342">IF(OR(AND(COUNTBLANK(Combo_Opponent_Type_1)=1,COUNTBLANK(Combo_Opponent_Type_2)=0),AND(AND(COUNTBLANK(Combo_Opponent_Type_1)=0,COUNTBLANK(Combo_Opponent_Type_2)=0),Combo_Opponent_Type_1=Combo_Opponent_Type_2)),
"Check Types",($S342*INDEX(Species_Tankiness,MATCH($N342,Species_Names,0)))/225)</f>
        <v>#VALUE!</v>
      </c>
      <c r="S342" s="32" t="e">
        <f t="array" ref="S342">IF(OR(AND(COUNTBLANK(Combo_Opponent_Type_1)=1,COUNTBLANK(Combo_Opponent_Type_2)=0),AND(AND(COUNTBLANK(Combo_Opponent_Type_1)=0,COUNTBLANK(Combo_Opponent_Type_2)=0),Combo_Opponent_Type_1=Combo_Opponent_Type_2)),
"Check Types",(
IF($W342&gt;=((1-Game_Weave_Human_Error)*$X342),$W342,$X342)*INDEX(Species_Attack,MATCH($N342,Species_Names,0)))/11)</f>
        <v>#VALUE!</v>
      </c>
      <c r="T342" s="33" t="e">
        <f t="shared" si="11"/>
        <v>#VALUE!</v>
      </c>
      <c r="U342" s="33">
        <f t="array" ref="U3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342,Quick_Names,0))),Type_Species)),0),1)*IF(COUNTBLANK(Combo_Opponent_Type_2)=0,INDEX(Type_Damage_Multipliers,MATCH(Combo_Opponent_Type_2,IF(Type_Move=(INDEX(Quick_Type,MATCH($O342,Quick_Names,0))),Type_Species)),0),1)*(IF(OR(INDEX(Quick_Type,MATCH($O342,Quick_Names,0))=INDEX(Species_Type_1,MATCH($N342,Species_Names,0)),INDEX(Quick_Type,MATCH($O342,Quick_Names,0))=INDEX(Species_Type_2,MATCH($N342,Species_Names,0))),Game_STAB_Multiplier,1)))</f>
        <v>1</v>
      </c>
      <c r="V342" s="33">
        <f t="array" ref="V3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342,Charge_Names,0))),Type_Species)),0),1)*IF(COUNTBLANK(Combo_Opponent_Type_2)=0,INDEX(Type_Damage_Multipliers,MATCH(Combo_Opponent_Type_2,IF(Type_Move=(INDEX(Charge_Type,MATCH($P342,Charge_Names,0))),Type_Species)),0),1)*
IF(OR(INDEX(Charge_Type,MATCH($P342,Charge_Names,0))=INDEX(Species_Type_1,MATCH($N342,Species_Names,0)),INDEX(Charge_Type,MATCH($P342,Charge_Names,0))=INDEX(Species_Type_2,MATCH($N342,Species_Names,0))),Game_STAB_Multiplier,1))</f>
        <v>1.25</v>
      </c>
      <c r="W342" s="33" t="s">
        <v>600</v>
      </c>
      <c r="X342" s="33" t="s">
        <v>850</v>
      </c>
      <c r="Y342" s="32" t="e">
        <f t="array" ref="Y342">((($Z342)*
INDEX(Species_Attack,MATCH($N342,Species_Names,0))*
INDEX(Species_Tankiness,MATCH($N342,Species_Names,0)))/1000)</f>
        <v>#VALUE!</v>
      </c>
      <c r="Z342" s="33" t="s">
        <v>851</v>
      </c>
    </row>
    <row r="343" spans="1:26" ht="14.25" customHeight="1" x14ac:dyDescent="0.2">
      <c r="A343" s="86"/>
      <c r="B343" s="22" t="str">
        <f t="array" ref="B343">CONCATENATE(TEXT($M343,"000"),".",TEXT(INDEX(Quick_Number,MATCH($O343,Quick_Names,0)),"000"),".",TEXT(INDEX(Charge_Number,MATCH($P343,Charge_Names,0)),"000"))</f>
        <v>121.219.065</v>
      </c>
      <c r="C343" s="23" t="e">
        <f t="array" ref="C343">RANK($S343,IF(Combo_Species_Names=$N343,Combo_Gym_Offense),0)</f>
        <v>#VALUE!</v>
      </c>
      <c r="D343" s="24" t="e">
        <f t="array" ref="D343">$S343/MAX(IF(Combo_Species_Names=$N343,Combo_Gym_Offense))</f>
        <v>#VALUE!</v>
      </c>
      <c r="E343" s="23" t="e">
        <f t="array" ref="E343">RANK($Y343,IF(Combo_Species_Names=$N343,Combo_Gym_Defense),0)</f>
        <v>#VALUE!</v>
      </c>
      <c r="F343" s="25" t="e">
        <f t="array" ref="F343">$Y343/MAX(IF(Combo_Species_Names=$N343,Combo_Gym_Defense))</f>
        <v>#VALUE!</v>
      </c>
      <c r="G343" s="23" t="e">
        <f t="array" ref="G343">IF(OR(INDEX(Species_Availability,MATCH($N343,Species_Names,0))="No",INDEX(Species_Evo_Numbers,MATCH($N343,Species_Names,0))&lt;&gt;1),"N/A",RANK($R343,IF(NOT(ISNA(MATCH(Combo_Species_Names,IF(Species_Availability="Yes",IF(Species_Evo_Numbers=1,Species_Names)),0))),Combo_Duel_Ability),0))</f>
        <v>#VALUE!</v>
      </c>
      <c r="H343" s="24" t="e">
        <f t="array" ref="H343">IF(OR(INDEX(Species_Availability,MATCH($N343,Species_Names,0))="No",INDEX(Species_Evo_Numbers,MATCH($N343,Species_Names,0))&lt;&gt;1),"N/A",$R343/MAX(IF(NOT(ISNA(MATCH(Combo_Species_Names,IF(Species_Availability="Yes",IF(Species_Evo_Numbers=1,Species_Names)),0))),Combo_Duel_Ability)))</f>
        <v>#VALUE!</v>
      </c>
      <c r="I343" s="23" t="e">
        <f t="array" ref="I343">IF(OR(INDEX(Species_Availability,MATCH($N343,Species_Names,0))="No",INDEX(Species_Evo_Numbers,MATCH($N343,Species_Names,0))&lt;&gt;1),"N/A",RANK($S343,IF(NOT(ISNA(MATCH(Combo_Species_Names,IF(Species_Availability="Yes",IF(Species_Evo_Numbers=1,Species_Names)),0))),Combo_Gym_Offense),0))</f>
        <v>#VALUE!</v>
      </c>
      <c r="J343" s="24" t="e">
        <f t="array" ref="J343">IF(OR(INDEX(Species_Availability,MATCH($N343,Species_Names,0))="No",INDEX(Species_Evo_Numbers,MATCH($N343,Species_Names,0))&lt;&gt;1),"N/A",$S343/MAX(IF(NOT(ISNA(MATCH(Combo_Species_Names,IF(Species_Availability="Yes",IF(Species_Evo_Numbers=1,Species_Names)),0))),Combo_Gym_Offense)))</f>
        <v>#VALUE!</v>
      </c>
      <c r="K343" s="23" t="e">
        <f t="array" ref="K343">IF(OR(INDEX(Species_Availability,MATCH($N343,Species_Names,0))="No",INDEX(Species_Evo_Numbers,MATCH($N343,Species_Names,0))&lt;&gt;1),"N/A",RANK($Y343,IF(NOT(ISNA(MATCH(Combo_Species_Names,IF(Species_Availability="Yes",IF(Species_Evo_Numbers=1,Species_Names)),0))),Combo_Gym_Defense),0))</f>
        <v>#VALUE!</v>
      </c>
      <c r="L343" s="24" t="e">
        <f t="array" ref="L343">IF(OR(INDEX(Species_Availability,MATCH($N343,Species_Names,0))="No",INDEX(Species_Evo_Numbers,MATCH($N343,Species_Names,0))&lt;&gt;1),"N/A",$Y343/MAX(IF(NOT(ISNA(MATCH(Combo_Species_Names,IF(Species_Availability="Yes",IF(Species_Evo_Numbers=1,Species_Names)),0))),Combo_Gym_Defense)))</f>
        <v>#VALUE!</v>
      </c>
      <c r="M343" s="28">
        <f t="array" ref="M343">INDEX(Species_Pdex_Numbers,MATCH($N343,Species_Names,0))</f>
        <v>121</v>
      </c>
      <c r="N343" s="30" t="s">
        <v>338</v>
      </c>
      <c r="O343" s="31" t="s">
        <v>119</v>
      </c>
      <c r="P343" s="31" t="s">
        <v>249</v>
      </c>
      <c r="Q343" s="17" t="e">
        <f t="shared" si="10"/>
        <v>#VALUE!</v>
      </c>
      <c r="R343" s="32" t="e">
        <f t="array" ref="R343">IF(OR(AND(COUNTBLANK(Combo_Opponent_Type_1)=1,COUNTBLANK(Combo_Opponent_Type_2)=0),AND(AND(COUNTBLANK(Combo_Opponent_Type_1)=0,COUNTBLANK(Combo_Opponent_Type_2)=0),Combo_Opponent_Type_1=Combo_Opponent_Type_2)),
"Check Types",($S343*INDEX(Species_Tankiness,MATCH($N343,Species_Names,0)))/225)</f>
        <v>#VALUE!</v>
      </c>
      <c r="S343" s="32" t="e">
        <f t="array" ref="S343">IF(OR(AND(COUNTBLANK(Combo_Opponent_Type_1)=1,COUNTBLANK(Combo_Opponent_Type_2)=0),AND(AND(COUNTBLANK(Combo_Opponent_Type_1)=0,COUNTBLANK(Combo_Opponent_Type_2)=0),Combo_Opponent_Type_1=Combo_Opponent_Type_2)),
"Check Types",(
IF($W343&gt;=((1-Game_Weave_Human_Error)*$X343),$W343,$X343)*INDEX(Species_Attack,MATCH($N343,Species_Names,0)))/11)</f>
        <v>#VALUE!</v>
      </c>
      <c r="T343" s="33" t="e">
        <f t="shared" si="11"/>
        <v>#VALUE!</v>
      </c>
      <c r="U343" s="33">
        <f t="array" ref="U3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343,Quick_Names,0))),Type_Species)),0),1)*IF(COUNTBLANK(Combo_Opponent_Type_2)=0,INDEX(Type_Damage_Multipliers,MATCH(Combo_Opponent_Type_2,IF(Type_Move=(INDEX(Quick_Type,MATCH($O343,Quick_Names,0))),Type_Species)),0),1)*(IF(OR(INDEX(Quick_Type,MATCH($O343,Quick_Names,0))=INDEX(Species_Type_1,MATCH($N343,Species_Names,0)),INDEX(Quick_Type,MATCH($O343,Quick_Names,0))=INDEX(Species_Type_2,MATCH($N343,Species_Names,0))),Game_STAB_Multiplier,1)))</f>
        <v>1</v>
      </c>
      <c r="V343" s="33">
        <f t="array" ref="V3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343,Charge_Names,0))),Type_Species)),0),1)*IF(COUNTBLANK(Combo_Opponent_Type_2)=0,INDEX(Type_Damage_Multipliers,MATCH(Combo_Opponent_Type_2,IF(Type_Move=(INDEX(Charge_Type,MATCH($P343,Charge_Names,0))),Type_Species)),0),1)*
IF(OR(INDEX(Charge_Type,MATCH($P343,Charge_Names,0))=INDEX(Species_Type_1,MATCH($N343,Species_Names,0)),INDEX(Charge_Type,MATCH($P343,Charge_Names,0))=INDEX(Species_Type_2,MATCH($N343,Species_Names,0))),Game_STAB_Multiplier,1))</f>
        <v>1</v>
      </c>
      <c r="W343" s="33" t="s">
        <v>600</v>
      </c>
      <c r="X343" s="33" t="s">
        <v>852</v>
      </c>
      <c r="Y343" s="32" t="e">
        <f t="array" ref="Y343">((($Z343)*
INDEX(Species_Attack,MATCH($N343,Species_Names,0))*
INDEX(Species_Tankiness,MATCH($N343,Species_Names,0)))/1000)</f>
        <v>#VALUE!</v>
      </c>
      <c r="Z343" s="33" t="s">
        <v>853</v>
      </c>
    </row>
    <row r="344" spans="1:26" ht="14.25" customHeight="1" x14ac:dyDescent="0.2">
      <c r="A344" s="86"/>
      <c r="B344" s="22" t="str">
        <f t="array" ref="B344">CONCATENATE(TEXT($M344,"000"),".",TEXT(INDEX(Quick_Number,MATCH($O344,Quick_Names,0)),"000"),".",TEXT(INDEX(Charge_Number,MATCH($P344,Charge_Names,0)),"000"))</f>
        <v>082.205.035</v>
      </c>
      <c r="C344" s="23" t="e">
        <f t="array" ref="C344">RANK($S344,IF(Combo_Species_Names=$N344,Combo_Gym_Offense),0)</f>
        <v>#VALUE!</v>
      </c>
      <c r="D344" s="24" t="e">
        <f t="array" ref="D344">$S344/MAX(IF(Combo_Species_Names=$N344,Combo_Gym_Offense))</f>
        <v>#VALUE!</v>
      </c>
      <c r="E344" s="23" t="e">
        <f t="array" ref="E344">RANK($Y344,IF(Combo_Species_Names=$N344,Combo_Gym_Defense),0)</f>
        <v>#VALUE!</v>
      </c>
      <c r="F344" s="25" t="e">
        <f t="array" ref="F344">$Y344/MAX(IF(Combo_Species_Names=$N344,Combo_Gym_Defense))</f>
        <v>#VALUE!</v>
      </c>
      <c r="G344" s="23" t="e">
        <f t="array" ref="G344">IF(OR(INDEX(Species_Availability,MATCH($N344,Species_Names,0))="No",INDEX(Species_Evo_Numbers,MATCH($N344,Species_Names,0))&lt;&gt;1),"N/A",RANK($R344,IF(NOT(ISNA(MATCH(Combo_Species_Names,IF(Species_Availability="Yes",IF(Species_Evo_Numbers=1,Species_Names)),0))),Combo_Duel_Ability),0))</f>
        <v>#VALUE!</v>
      </c>
      <c r="H344" s="24" t="e">
        <f t="array" ref="H344">IF(OR(INDEX(Species_Availability,MATCH($N344,Species_Names,0))="No",INDEX(Species_Evo_Numbers,MATCH($N344,Species_Names,0))&lt;&gt;1),"N/A",$R344/MAX(IF(NOT(ISNA(MATCH(Combo_Species_Names,IF(Species_Availability="Yes",IF(Species_Evo_Numbers=1,Species_Names)),0))),Combo_Duel_Ability)))</f>
        <v>#VALUE!</v>
      </c>
      <c r="I344" s="23" t="e">
        <f t="array" ref="I344">IF(OR(INDEX(Species_Availability,MATCH($N344,Species_Names,0))="No",INDEX(Species_Evo_Numbers,MATCH($N344,Species_Names,0))&lt;&gt;1),"N/A",RANK($S344,IF(NOT(ISNA(MATCH(Combo_Species_Names,IF(Species_Availability="Yes",IF(Species_Evo_Numbers=1,Species_Names)),0))),Combo_Gym_Offense),0))</f>
        <v>#VALUE!</v>
      </c>
      <c r="J344" s="24" t="e">
        <f t="array" ref="J344">IF(OR(INDEX(Species_Availability,MATCH($N344,Species_Names,0))="No",INDEX(Species_Evo_Numbers,MATCH($N344,Species_Names,0))&lt;&gt;1),"N/A",$S344/MAX(IF(NOT(ISNA(MATCH(Combo_Species_Names,IF(Species_Availability="Yes",IF(Species_Evo_Numbers=1,Species_Names)),0))),Combo_Gym_Offense)))</f>
        <v>#VALUE!</v>
      </c>
      <c r="K344" s="23" t="e">
        <f t="array" ref="K344">IF(OR(INDEX(Species_Availability,MATCH($N344,Species_Names,0))="No",INDEX(Species_Evo_Numbers,MATCH($N344,Species_Names,0))&lt;&gt;1),"N/A",RANK($Y344,IF(NOT(ISNA(MATCH(Combo_Species_Names,IF(Species_Availability="Yes",IF(Species_Evo_Numbers=1,Species_Names)),0))),Combo_Gym_Defense),0))</f>
        <v>#VALUE!</v>
      </c>
      <c r="L344" s="24" t="e">
        <f t="array" ref="L344">IF(OR(INDEX(Species_Availability,MATCH($N344,Species_Names,0))="No",INDEX(Species_Evo_Numbers,MATCH($N344,Species_Names,0))&lt;&gt;1),"N/A",$Y344/MAX(IF(NOT(ISNA(MATCH(Combo_Species_Names,IF(Species_Availability="Yes",IF(Species_Evo_Numbers=1,Species_Names)),0))),Combo_Gym_Defense)))</f>
        <v>#VALUE!</v>
      </c>
      <c r="M344" s="28">
        <f t="array" ref="M344">INDEX(Species_Pdex_Numbers,MATCH($N344,Species_Names,0))</f>
        <v>82</v>
      </c>
      <c r="N344" s="30" t="s">
        <v>256</v>
      </c>
      <c r="O344" s="31" t="s">
        <v>115</v>
      </c>
      <c r="P344" s="31" t="s">
        <v>245</v>
      </c>
      <c r="Q344" s="17" t="e">
        <f t="shared" si="10"/>
        <v>#VALUE!</v>
      </c>
      <c r="R344" s="32" t="e">
        <f t="array" ref="R344">IF(OR(AND(COUNTBLANK(Combo_Opponent_Type_1)=1,COUNTBLANK(Combo_Opponent_Type_2)=0),AND(AND(COUNTBLANK(Combo_Opponent_Type_1)=0,COUNTBLANK(Combo_Opponent_Type_2)=0),Combo_Opponent_Type_1=Combo_Opponent_Type_2)),
"Check Types",($S344*INDEX(Species_Tankiness,MATCH($N344,Species_Names,0)))/225)</f>
        <v>#VALUE!</v>
      </c>
      <c r="S344" s="32" t="e">
        <f t="array" ref="S344">IF(OR(AND(COUNTBLANK(Combo_Opponent_Type_1)=1,COUNTBLANK(Combo_Opponent_Type_2)=0),AND(AND(COUNTBLANK(Combo_Opponent_Type_1)=0,COUNTBLANK(Combo_Opponent_Type_2)=0),Combo_Opponent_Type_1=Combo_Opponent_Type_2)),
"Check Types",(
IF($W344&gt;=((1-Game_Weave_Human_Error)*$X344),$W344,$X344)*INDEX(Species_Attack,MATCH($N344,Species_Names,0)))/11)</f>
        <v>#VALUE!</v>
      </c>
      <c r="T344" s="33" t="e">
        <f t="shared" si="11"/>
        <v>#VALUE!</v>
      </c>
      <c r="U344" s="33">
        <f t="array" ref="U3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344,Quick_Names,0))),Type_Species)),0),1)*IF(COUNTBLANK(Combo_Opponent_Type_2)=0,INDEX(Type_Damage_Multipliers,MATCH(Combo_Opponent_Type_2,IF(Type_Move=(INDEX(Quick_Type,MATCH($O344,Quick_Names,0))),Type_Species)),0),1)*(IF(OR(INDEX(Quick_Type,MATCH($O344,Quick_Names,0))=INDEX(Species_Type_1,MATCH($N344,Species_Names,0)),INDEX(Quick_Type,MATCH($O344,Quick_Names,0))=INDEX(Species_Type_2,MATCH($N344,Species_Names,0))),Game_STAB_Multiplier,1)))</f>
        <v>1.25</v>
      </c>
      <c r="V344" s="33">
        <f t="array" ref="V3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344,Charge_Names,0))),Type_Species)),0),1)*IF(COUNTBLANK(Combo_Opponent_Type_2)=0,INDEX(Type_Damage_Multipliers,MATCH(Combo_Opponent_Type_2,IF(Type_Move=(INDEX(Charge_Type,MATCH($P344,Charge_Names,0))),Type_Species)),0),1)*
IF(OR(INDEX(Charge_Type,MATCH($P344,Charge_Names,0))=INDEX(Species_Type_1,MATCH($N344,Species_Names,0)),INDEX(Charge_Type,MATCH($P344,Charge_Names,0))=INDEX(Species_Type_2,MATCH($N344,Species_Names,0))),Game_STAB_Multiplier,1))</f>
        <v>1.25</v>
      </c>
      <c r="W344" s="33" t="s">
        <v>678</v>
      </c>
      <c r="X344" s="33" t="s">
        <v>756</v>
      </c>
      <c r="Y344" s="32" t="e">
        <f t="array" ref="Y344">((($Z344)*
INDEX(Species_Attack,MATCH($N344,Species_Names,0))*
INDEX(Species_Tankiness,MATCH($N344,Species_Names,0)))/1000)</f>
        <v>#VALUE!</v>
      </c>
      <c r="Z344" s="33" t="s">
        <v>635</v>
      </c>
    </row>
    <row r="345" spans="1:26" ht="14.25" customHeight="1" x14ac:dyDescent="0.2">
      <c r="A345" s="86"/>
      <c r="B345" s="22" t="str">
        <f t="array" ref="B345">CONCATENATE(TEXT($M345,"000"),".",TEXT(INDEX(Quick_Number,MATCH($O345,Quick_Names,0)),"000"),".",TEXT(INDEX(Charge_Number,MATCH($P345,Charge_Names,0)),"000"))</f>
        <v>127.200.020</v>
      </c>
      <c r="C345" s="23" t="e">
        <f t="array" ref="C345">RANK($S345,IF(Combo_Species_Names=$N345,Combo_Gym_Offense),0)</f>
        <v>#VALUE!</v>
      </c>
      <c r="D345" s="24" t="e">
        <f t="array" ref="D345">$S345/MAX(IF(Combo_Species_Names=$N345,Combo_Gym_Offense))</f>
        <v>#VALUE!</v>
      </c>
      <c r="E345" s="23" t="e">
        <f t="array" ref="E345">RANK($Y345,IF(Combo_Species_Names=$N345,Combo_Gym_Defense),0)</f>
        <v>#VALUE!</v>
      </c>
      <c r="F345" s="25" t="e">
        <f t="array" ref="F345">$Y345/MAX(IF(Combo_Species_Names=$N345,Combo_Gym_Defense))</f>
        <v>#VALUE!</v>
      </c>
      <c r="G345" s="23" t="e">
        <f t="array" ref="G345">IF(OR(INDEX(Species_Availability,MATCH($N345,Species_Names,0))="No",INDEX(Species_Evo_Numbers,MATCH($N345,Species_Names,0))&lt;&gt;1),"N/A",RANK($R345,IF(NOT(ISNA(MATCH(Combo_Species_Names,IF(Species_Availability="Yes",IF(Species_Evo_Numbers=1,Species_Names)),0))),Combo_Duel_Ability),0))</f>
        <v>#VALUE!</v>
      </c>
      <c r="H345" s="24" t="e">
        <f t="array" ref="H345">IF(OR(INDEX(Species_Availability,MATCH($N345,Species_Names,0))="No",INDEX(Species_Evo_Numbers,MATCH($N345,Species_Names,0))&lt;&gt;1),"N/A",$R345/MAX(IF(NOT(ISNA(MATCH(Combo_Species_Names,IF(Species_Availability="Yes",IF(Species_Evo_Numbers=1,Species_Names)),0))),Combo_Duel_Ability)))</f>
        <v>#VALUE!</v>
      </c>
      <c r="I345" s="23" t="e">
        <f t="array" ref="I345">IF(OR(INDEX(Species_Availability,MATCH($N345,Species_Names,0))="No",INDEX(Species_Evo_Numbers,MATCH($N345,Species_Names,0))&lt;&gt;1),"N/A",RANK($S345,IF(NOT(ISNA(MATCH(Combo_Species_Names,IF(Species_Availability="Yes",IF(Species_Evo_Numbers=1,Species_Names)),0))),Combo_Gym_Offense),0))</f>
        <v>#VALUE!</v>
      </c>
      <c r="J345" s="24" t="e">
        <f t="array" ref="J345">IF(OR(INDEX(Species_Availability,MATCH($N345,Species_Names,0))="No",INDEX(Species_Evo_Numbers,MATCH($N345,Species_Names,0))&lt;&gt;1),"N/A",$S345/MAX(IF(NOT(ISNA(MATCH(Combo_Species_Names,IF(Species_Availability="Yes",IF(Species_Evo_Numbers=1,Species_Names)),0))),Combo_Gym_Offense)))</f>
        <v>#VALUE!</v>
      </c>
      <c r="K345" s="23" t="e">
        <f t="array" ref="K345">IF(OR(INDEX(Species_Availability,MATCH($N345,Species_Names,0))="No",INDEX(Species_Evo_Numbers,MATCH($N345,Species_Names,0))&lt;&gt;1),"N/A",RANK($Y345,IF(NOT(ISNA(MATCH(Combo_Species_Names,IF(Species_Availability="Yes",IF(Species_Evo_Numbers=1,Species_Names)),0))),Combo_Gym_Defense),0))</f>
        <v>#VALUE!</v>
      </c>
      <c r="L345" s="24" t="e">
        <f t="array" ref="L345">IF(OR(INDEX(Species_Availability,MATCH($N345,Species_Names,0))="No",INDEX(Species_Evo_Numbers,MATCH($N345,Species_Names,0))&lt;&gt;1),"N/A",$Y345/MAX(IF(NOT(ISNA(MATCH(Combo_Species_Names,IF(Species_Availability="Yes",IF(Species_Evo_Numbers=1,Species_Names)),0))),Combo_Gym_Defense)))</f>
        <v>#VALUE!</v>
      </c>
      <c r="M345" s="28">
        <f t="array" ref="M345">INDEX(Species_Pdex_Numbers,MATCH($N345,Species_Names,0))</f>
        <v>127</v>
      </c>
      <c r="N345" s="30" t="s">
        <v>344</v>
      </c>
      <c r="O345" s="31" t="s">
        <v>121</v>
      </c>
      <c r="P345" s="31" t="s">
        <v>267</v>
      </c>
      <c r="Q345" s="17" t="e">
        <f t="shared" si="10"/>
        <v>#VALUE!</v>
      </c>
      <c r="R345" s="32" t="e">
        <f t="array" ref="R345">IF(OR(AND(COUNTBLANK(Combo_Opponent_Type_1)=1,COUNTBLANK(Combo_Opponent_Type_2)=0),AND(AND(COUNTBLANK(Combo_Opponent_Type_1)=0,COUNTBLANK(Combo_Opponent_Type_2)=0),Combo_Opponent_Type_1=Combo_Opponent_Type_2)),
"Check Types",($S345*INDEX(Species_Tankiness,MATCH($N345,Species_Names,0)))/225)</f>
        <v>#VALUE!</v>
      </c>
      <c r="S345" s="32" t="e">
        <f t="array" ref="S345">IF(OR(AND(COUNTBLANK(Combo_Opponent_Type_1)=1,COUNTBLANK(Combo_Opponent_Type_2)=0),AND(AND(COUNTBLANK(Combo_Opponent_Type_1)=0,COUNTBLANK(Combo_Opponent_Type_2)=0),Combo_Opponent_Type_1=Combo_Opponent_Type_2)),
"Check Types",(
IF($W345&gt;=((1-Game_Weave_Human_Error)*$X345),$W345,$X345)*INDEX(Species_Attack,MATCH($N345,Species_Names,0)))/11)</f>
        <v>#VALUE!</v>
      </c>
      <c r="T345" s="33" t="e">
        <f t="shared" si="11"/>
        <v>#VALUE!</v>
      </c>
      <c r="U345" s="33">
        <f t="array" ref="U3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345,Quick_Names,0))),Type_Species)),0),1)*IF(COUNTBLANK(Combo_Opponent_Type_2)=0,INDEX(Type_Damage_Multipliers,MATCH(Combo_Opponent_Type_2,IF(Type_Move=(INDEX(Quick_Type,MATCH($O345,Quick_Names,0))),Type_Species)),0),1)*(IF(OR(INDEX(Quick_Type,MATCH($O345,Quick_Names,0))=INDEX(Species_Type_1,MATCH($N345,Species_Names,0)),INDEX(Quick_Type,MATCH($O345,Quick_Names,0))=INDEX(Species_Type_2,MATCH($N345,Species_Names,0))),Game_STAB_Multiplier,1)))</f>
        <v>1.25</v>
      </c>
      <c r="V345" s="33">
        <f t="array" ref="V3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345,Charge_Names,0))),Type_Species)),0),1)*IF(COUNTBLANK(Combo_Opponent_Type_2)=0,INDEX(Type_Damage_Multipliers,MATCH(Combo_Opponent_Type_2,IF(Type_Move=(INDEX(Charge_Type,MATCH($P345,Charge_Names,0))),Type_Species)),0),1)*
IF(OR(INDEX(Charge_Type,MATCH($P345,Charge_Names,0))=INDEX(Species_Type_1,MATCH($N345,Species_Names,0)),INDEX(Charge_Type,MATCH($P345,Charge_Names,0))=INDEX(Species_Type_2,MATCH($N345,Species_Names,0))),Game_STAB_Multiplier,1))</f>
        <v>1</v>
      </c>
      <c r="W345" s="33" t="s">
        <v>564</v>
      </c>
      <c r="X345" s="33" t="s">
        <v>854</v>
      </c>
      <c r="Y345" s="32" t="e">
        <f t="array" ref="Y345">((($Z345)*
INDEX(Species_Attack,MATCH($N345,Species_Names,0))*
INDEX(Species_Tankiness,MATCH($N345,Species_Names,0)))/1000)</f>
        <v>#VALUE!</v>
      </c>
      <c r="Z345" s="33" t="s">
        <v>855</v>
      </c>
    </row>
    <row r="346" spans="1:26" ht="14.25" customHeight="1" x14ac:dyDescent="0.2">
      <c r="A346" s="86"/>
      <c r="B346" s="22" t="str">
        <f t="array" ref="B346">CONCATENATE(TEXT($M346,"000"),".",TEXT(INDEX(Quick_Number,MATCH($O346,Quick_Names,0)),"000"),".",TEXT(INDEX(Charge_Number,MATCH($P346,Charge_Names,0)),"000"))</f>
        <v>082.206.072</v>
      </c>
      <c r="C346" s="23" t="e">
        <f t="array" ref="C346">RANK($S346,IF(Combo_Species_Names=$N346,Combo_Gym_Offense),0)</f>
        <v>#VALUE!</v>
      </c>
      <c r="D346" s="24" t="e">
        <f t="array" ref="D346">$S346/MAX(IF(Combo_Species_Names=$N346,Combo_Gym_Offense))</f>
        <v>#VALUE!</v>
      </c>
      <c r="E346" s="23" t="e">
        <f t="array" ref="E346">RANK($Y346,IF(Combo_Species_Names=$N346,Combo_Gym_Defense),0)</f>
        <v>#VALUE!</v>
      </c>
      <c r="F346" s="25" t="e">
        <f t="array" ref="F346">$Y346/MAX(IF(Combo_Species_Names=$N346,Combo_Gym_Defense))</f>
        <v>#VALUE!</v>
      </c>
      <c r="G346" s="23" t="e">
        <f t="array" ref="G346">IF(OR(INDEX(Species_Availability,MATCH($N346,Species_Names,0))="No",INDEX(Species_Evo_Numbers,MATCH($N346,Species_Names,0))&lt;&gt;1),"N/A",RANK($R346,IF(NOT(ISNA(MATCH(Combo_Species_Names,IF(Species_Availability="Yes",IF(Species_Evo_Numbers=1,Species_Names)),0))),Combo_Duel_Ability),0))</f>
        <v>#VALUE!</v>
      </c>
      <c r="H346" s="24" t="e">
        <f t="array" ref="H346">IF(OR(INDEX(Species_Availability,MATCH($N346,Species_Names,0))="No",INDEX(Species_Evo_Numbers,MATCH($N346,Species_Names,0))&lt;&gt;1),"N/A",$R346/MAX(IF(NOT(ISNA(MATCH(Combo_Species_Names,IF(Species_Availability="Yes",IF(Species_Evo_Numbers=1,Species_Names)),0))),Combo_Duel_Ability)))</f>
        <v>#VALUE!</v>
      </c>
      <c r="I346" s="23" t="e">
        <f t="array" ref="I346">IF(OR(INDEX(Species_Availability,MATCH($N346,Species_Names,0))="No",INDEX(Species_Evo_Numbers,MATCH($N346,Species_Names,0))&lt;&gt;1),"N/A",RANK($S346,IF(NOT(ISNA(MATCH(Combo_Species_Names,IF(Species_Availability="Yes",IF(Species_Evo_Numbers=1,Species_Names)),0))),Combo_Gym_Offense),0))</f>
        <v>#VALUE!</v>
      </c>
      <c r="J346" s="24" t="e">
        <f t="array" ref="J346">IF(OR(INDEX(Species_Availability,MATCH($N346,Species_Names,0))="No",INDEX(Species_Evo_Numbers,MATCH($N346,Species_Names,0))&lt;&gt;1),"N/A",$S346/MAX(IF(NOT(ISNA(MATCH(Combo_Species_Names,IF(Species_Availability="Yes",IF(Species_Evo_Numbers=1,Species_Names)),0))),Combo_Gym_Offense)))</f>
        <v>#VALUE!</v>
      </c>
      <c r="K346" s="23" t="e">
        <f t="array" ref="K346">IF(OR(INDEX(Species_Availability,MATCH($N346,Species_Names,0))="No",INDEX(Species_Evo_Numbers,MATCH($N346,Species_Names,0))&lt;&gt;1),"N/A",RANK($Y346,IF(NOT(ISNA(MATCH(Combo_Species_Names,IF(Species_Availability="Yes",IF(Species_Evo_Numbers=1,Species_Names)),0))),Combo_Gym_Defense),0))</f>
        <v>#VALUE!</v>
      </c>
      <c r="L346" s="24" t="e">
        <f t="array" ref="L346">IF(OR(INDEX(Species_Availability,MATCH($N346,Species_Names,0))="No",INDEX(Species_Evo_Numbers,MATCH($N346,Species_Names,0))&lt;&gt;1),"N/A",$Y346/MAX(IF(NOT(ISNA(MATCH(Combo_Species_Names,IF(Species_Availability="Yes",IF(Species_Evo_Numbers=1,Species_Names)),0))),Combo_Gym_Defense)))</f>
        <v>#VALUE!</v>
      </c>
      <c r="M346" s="28">
        <f t="array" ref="M346">INDEX(Species_Pdex_Numbers,MATCH($N346,Species_Names,0))</f>
        <v>82</v>
      </c>
      <c r="N346" s="30" t="s">
        <v>256</v>
      </c>
      <c r="O346" s="31" t="s">
        <v>106</v>
      </c>
      <c r="P346" s="31" t="s">
        <v>278</v>
      </c>
      <c r="Q346" s="17" t="e">
        <f t="shared" si="10"/>
        <v>#VALUE!</v>
      </c>
      <c r="R346" s="32" t="e">
        <f t="array" ref="R346">IF(OR(AND(COUNTBLANK(Combo_Opponent_Type_1)=1,COUNTBLANK(Combo_Opponent_Type_2)=0),AND(AND(COUNTBLANK(Combo_Opponent_Type_1)=0,COUNTBLANK(Combo_Opponent_Type_2)=0),Combo_Opponent_Type_1=Combo_Opponent_Type_2)),
"Check Types",($S346*INDEX(Species_Tankiness,MATCH($N346,Species_Names,0)))/225)</f>
        <v>#VALUE!</v>
      </c>
      <c r="S346" s="32" t="e">
        <f t="array" ref="S346">IF(OR(AND(COUNTBLANK(Combo_Opponent_Type_1)=1,COUNTBLANK(Combo_Opponent_Type_2)=0),AND(AND(COUNTBLANK(Combo_Opponent_Type_1)=0,COUNTBLANK(Combo_Opponent_Type_2)=0),Combo_Opponent_Type_1=Combo_Opponent_Type_2)),
"Check Types",(
IF($W346&gt;=((1-Game_Weave_Human_Error)*$X346),$W346,$X346)*INDEX(Species_Attack,MATCH($N346,Species_Names,0)))/11)</f>
        <v>#VALUE!</v>
      </c>
      <c r="T346" s="33" t="e">
        <f t="shared" si="11"/>
        <v>#VALUE!</v>
      </c>
      <c r="U346" s="33">
        <f t="array" ref="U3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346,Quick_Names,0))),Type_Species)),0),1)*IF(COUNTBLANK(Combo_Opponent_Type_2)=0,INDEX(Type_Damage_Multipliers,MATCH(Combo_Opponent_Type_2,IF(Type_Move=(INDEX(Quick_Type,MATCH($O346,Quick_Names,0))),Type_Species)),0),1)*(IF(OR(INDEX(Quick_Type,MATCH($O346,Quick_Names,0))=INDEX(Species_Type_1,MATCH($N346,Species_Names,0)),INDEX(Quick_Type,MATCH($O346,Quick_Names,0))=INDEX(Species_Type_2,MATCH($N346,Species_Names,0))),Game_STAB_Multiplier,1)))</f>
        <v>1.25</v>
      </c>
      <c r="V346" s="33">
        <f t="array" ref="V3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346,Charge_Names,0))),Type_Species)),0),1)*IF(COUNTBLANK(Combo_Opponent_Type_2)=0,INDEX(Type_Damage_Multipliers,MATCH(Combo_Opponent_Type_2,IF(Type_Move=(INDEX(Charge_Type,MATCH($P346,Charge_Names,0))),Type_Species)),0),1)*
IF(OR(INDEX(Charge_Type,MATCH($P346,Charge_Names,0))=INDEX(Species_Type_1,MATCH($N346,Species_Names,0)),INDEX(Charge_Type,MATCH($P346,Charge_Names,0))=INDEX(Species_Type_2,MATCH($N346,Species_Names,0))),Game_STAB_Multiplier,1))</f>
        <v>1.25</v>
      </c>
      <c r="W346" s="33" t="s">
        <v>708</v>
      </c>
      <c r="X346" s="33" t="s">
        <v>856</v>
      </c>
      <c r="Y346" s="32" t="e">
        <f t="array" ref="Y346">((($Z346)*
INDEX(Species_Attack,MATCH($N346,Species_Names,0))*
INDEX(Species_Tankiness,MATCH($N346,Species_Names,0)))/1000)</f>
        <v>#VALUE!</v>
      </c>
      <c r="Z346" s="33" t="s">
        <v>857</v>
      </c>
    </row>
    <row r="347" spans="1:26" ht="14.25" customHeight="1" x14ac:dyDescent="0.2">
      <c r="A347" s="86"/>
      <c r="B347" s="22" t="str">
        <f t="array" ref="B347">CONCATENATE(TEXT($M347,"000"),".",TEXT(INDEX(Quick_Number,MATCH($O347,Quick_Names,0)),"000"),".",TEXT(INDEX(Charge_Number,MATCH($P347,Charge_Names,0)),"000"))</f>
        <v>099.228.100</v>
      </c>
      <c r="C347" s="23" t="e">
        <f t="array" ref="C347">RANK($S347,IF(Combo_Species_Names=$N347,Combo_Gym_Offense),0)</f>
        <v>#VALUE!</v>
      </c>
      <c r="D347" s="24" t="e">
        <f t="array" ref="D347">$S347/MAX(IF(Combo_Species_Names=$N347,Combo_Gym_Offense))</f>
        <v>#VALUE!</v>
      </c>
      <c r="E347" s="23" t="e">
        <f t="array" ref="E347">RANK($Y347,IF(Combo_Species_Names=$N347,Combo_Gym_Defense),0)</f>
        <v>#VALUE!</v>
      </c>
      <c r="F347" s="25" t="e">
        <f t="array" ref="F347">$Y347/MAX(IF(Combo_Species_Names=$N347,Combo_Gym_Defense))</f>
        <v>#VALUE!</v>
      </c>
      <c r="G347" s="23" t="e">
        <f t="array" ref="G347">IF(OR(INDEX(Species_Availability,MATCH($N347,Species_Names,0))="No",INDEX(Species_Evo_Numbers,MATCH($N347,Species_Names,0))&lt;&gt;1),"N/A",RANK($R347,IF(NOT(ISNA(MATCH(Combo_Species_Names,IF(Species_Availability="Yes",IF(Species_Evo_Numbers=1,Species_Names)),0))),Combo_Duel_Ability),0))</f>
        <v>#VALUE!</v>
      </c>
      <c r="H347" s="24" t="e">
        <f t="array" ref="H347">IF(OR(INDEX(Species_Availability,MATCH($N347,Species_Names,0))="No",INDEX(Species_Evo_Numbers,MATCH($N347,Species_Names,0))&lt;&gt;1),"N/A",$R347/MAX(IF(NOT(ISNA(MATCH(Combo_Species_Names,IF(Species_Availability="Yes",IF(Species_Evo_Numbers=1,Species_Names)),0))),Combo_Duel_Ability)))</f>
        <v>#VALUE!</v>
      </c>
      <c r="I347" s="23" t="e">
        <f t="array" ref="I347">IF(OR(INDEX(Species_Availability,MATCH($N347,Species_Names,0))="No",INDEX(Species_Evo_Numbers,MATCH($N347,Species_Names,0))&lt;&gt;1),"N/A",RANK($S347,IF(NOT(ISNA(MATCH(Combo_Species_Names,IF(Species_Availability="Yes",IF(Species_Evo_Numbers=1,Species_Names)),0))),Combo_Gym_Offense),0))</f>
        <v>#VALUE!</v>
      </c>
      <c r="J347" s="24" t="e">
        <f t="array" ref="J347">IF(OR(INDEX(Species_Availability,MATCH($N347,Species_Names,0))="No",INDEX(Species_Evo_Numbers,MATCH($N347,Species_Names,0))&lt;&gt;1),"N/A",$S347/MAX(IF(NOT(ISNA(MATCH(Combo_Species_Names,IF(Species_Availability="Yes",IF(Species_Evo_Numbers=1,Species_Names)),0))),Combo_Gym_Offense)))</f>
        <v>#VALUE!</v>
      </c>
      <c r="K347" s="23" t="e">
        <f t="array" ref="K347">IF(OR(INDEX(Species_Availability,MATCH($N347,Species_Names,0))="No",INDEX(Species_Evo_Numbers,MATCH($N347,Species_Names,0))&lt;&gt;1),"N/A",RANK($Y347,IF(NOT(ISNA(MATCH(Combo_Species_Names,IF(Species_Availability="Yes",IF(Species_Evo_Numbers=1,Species_Names)),0))),Combo_Gym_Defense),0))</f>
        <v>#VALUE!</v>
      </c>
      <c r="L347" s="24" t="e">
        <f t="array" ref="L347">IF(OR(INDEX(Species_Availability,MATCH($N347,Species_Names,0))="No",INDEX(Species_Evo_Numbers,MATCH($N347,Species_Names,0))&lt;&gt;1),"N/A",$Y347/MAX(IF(NOT(ISNA(MATCH(Combo_Species_Names,IF(Species_Availability="Yes",IF(Species_Evo_Numbers=1,Species_Names)),0))),Combo_Gym_Defense)))</f>
        <v>#VALUE!</v>
      </c>
      <c r="M347" s="28">
        <f t="array" ref="M347">INDEX(Species_Pdex_Numbers,MATCH($N347,Species_Names,0))</f>
        <v>99</v>
      </c>
      <c r="N347" s="30" t="s">
        <v>298</v>
      </c>
      <c r="O347" s="31" t="s">
        <v>55</v>
      </c>
      <c r="P347" s="31" t="s">
        <v>218</v>
      </c>
      <c r="Q347" s="17" t="e">
        <f t="shared" si="10"/>
        <v>#VALUE!</v>
      </c>
      <c r="R347" s="32" t="e">
        <f t="array" ref="R347">IF(OR(AND(COUNTBLANK(Combo_Opponent_Type_1)=1,COUNTBLANK(Combo_Opponent_Type_2)=0),AND(AND(COUNTBLANK(Combo_Opponent_Type_1)=0,COUNTBLANK(Combo_Opponent_Type_2)=0),Combo_Opponent_Type_1=Combo_Opponent_Type_2)),
"Check Types",($S347*INDEX(Species_Tankiness,MATCH($N347,Species_Names,0)))/225)</f>
        <v>#VALUE!</v>
      </c>
      <c r="S347" s="32" t="e">
        <f t="array" ref="S347">IF(OR(AND(COUNTBLANK(Combo_Opponent_Type_1)=1,COUNTBLANK(Combo_Opponent_Type_2)=0),AND(AND(COUNTBLANK(Combo_Opponent_Type_1)=0,COUNTBLANK(Combo_Opponent_Type_2)=0),Combo_Opponent_Type_1=Combo_Opponent_Type_2)),
"Check Types",(
IF($W347&gt;=((1-Game_Weave_Human_Error)*$X347),$W347,$X347)*INDEX(Species_Attack,MATCH($N347,Species_Names,0)))/11)</f>
        <v>#VALUE!</v>
      </c>
      <c r="T347" s="33" t="e">
        <f t="shared" si="11"/>
        <v>#VALUE!</v>
      </c>
      <c r="U347" s="33">
        <f t="array" ref="U3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347,Quick_Names,0))),Type_Species)),0),1)*IF(COUNTBLANK(Combo_Opponent_Type_2)=0,INDEX(Type_Damage_Multipliers,MATCH(Combo_Opponent_Type_2,IF(Type_Move=(INDEX(Quick_Type,MATCH($O347,Quick_Names,0))),Type_Species)),0),1)*(IF(OR(INDEX(Quick_Type,MATCH($O347,Quick_Names,0))=INDEX(Species_Type_1,MATCH($N347,Species_Names,0)),INDEX(Quick_Type,MATCH($O347,Quick_Names,0))=INDEX(Species_Type_2,MATCH($N347,Species_Names,0))),Game_STAB_Multiplier,1)))</f>
        <v>1</v>
      </c>
      <c r="V347" s="33">
        <f t="array" ref="V3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347,Charge_Names,0))),Type_Species)),0),1)*IF(COUNTBLANK(Combo_Opponent_Type_2)=0,INDEX(Type_Damage_Multipliers,MATCH(Combo_Opponent_Type_2,IF(Type_Move=(INDEX(Charge_Type,MATCH($P347,Charge_Names,0))),Type_Species)),0),1)*
IF(OR(INDEX(Charge_Type,MATCH($P347,Charge_Names,0))=INDEX(Species_Type_1,MATCH($N347,Species_Names,0)),INDEX(Charge_Type,MATCH($P347,Charge_Names,0))=INDEX(Species_Type_2,MATCH($N347,Species_Names,0))),Game_STAB_Multiplier,1))</f>
        <v>1</v>
      </c>
      <c r="W347" s="33" t="s">
        <v>684</v>
      </c>
      <c r="X347" s="33" t="s">
        <v>858</v>
      </c>
      <c r="Y347" s="32" t="e">
        <f t="array" ref="Y347">((($Z347)*
INDEX(Species_Attack,MATCH($N347,Species_Names,0))*
INDEX(Species_Tankiness,MATCH($N347,Species_Names,0)))/1000)</f>
        <v>#VALUE!</v>
      </c>
      <c r="Z347" s="33" t="s">
        <v>533</v>
      </c>
    </row>
    <row r="348" spans="1:26" ht="14.25" customHeight="1" x14ac:dyDescent="0.2">
      <c r="A348" s="86"/>
      <c r="B348" s="22" t="str">
        <f t="array" ref="B348">CONCATENATE(TEXT($M348,"000"),".",TEXT(INDEX(Quick_Number,MATCH($O348,Quick_Names,0)),"000"),".",TEXT(INDEX(Charge_Number,MATCH($P348,Charge_Names,0)),"000"))</f>
        <v>099.228.105</v>
      </c>
      <c r="C348" s="23" t="e">
        <f t="array" ref="C348">RANK($S348,IF(Combo_Species_Names=$N348,Combo_Gym_Offense),0)</f>
        <v>#VALUE!</v>
      </c>
      <c r="D348" s="24" t="e">
        <f t="array" ref="D348">$S348/MAX(IF(Combo_Species_Names=$N348,Combo_Gym_Offense))</f>
        <v>#VALUE!</v>
      </c>
      <c r="E348" s="23" t="e">
        <f t="array" ref="E348">RANK($Y348,IF(Combo_Species_Names=$N348,Combo_Gym_Defense),0)</f>
        <v>#VALUE!</v>
      </c>
      <c r="F348" s="25" t="e">
        <f t="array" ref="F348">$Y348/MAX(IF(Combo_Species_Names=$N348,Combo_Gym_Defense))</f>
        <v>#VALUE!</v>
      </c>
      <c r="G348" s="23" t="e">
        <f t="array" ref="G348">IF(OR(INDEX(Species_Availability,MATCH($N348,Species_Names,0))="No",INDEX(Species_Evo_Numbers,MATCH($N348,Species_Names,0))&lt;&gt;1),"N/A",RANK($R348,IF(NOT(ISNA(MATCH(Combo_Species_Names,IF(Species_Availability="Yes",IF(Species_Evo_Numbers=1,Species_Names)),0))),Combo_Duel_Ability),0))</f>
        <v>#VALUE!</v>
      </c>
      <c r="H348" s="24" t="e">
        <f t="array" ref="H348">IF(OR(INDEX(Species_Availability,MATCH($N348,Species_Names,0))="No",INDEX(Species_Evo_Numbers,MATCH($N348,Species_Names,0))&lt;&gt;1),"N/A",$R348/MAX(IF(NOT(ISNA(MATCH(Combo_Species_Names,IF(Species_Availability="Yes",IF(Species_Evo_Numbers=1,Species_Names)),0))),Combo_Duel_Ability)))</f>
        <v>#VALUE!</v>
      </c>
      <c r="I348" s="23" t="e">
        <f t="array" ref="I348">IF(OR(INDEX(Species_Availability,MATCH($N348,Species_Names,0))="No",INDEX(Species_Evo_Numbers,MATCH($N348,Species_Names,0))&lt;&gt;1),"N/A",RANK($S348,IF(NOT(ISNA(MATCH(Combo_Species_Names,IF(Species_Availability="Yes",IF(Species_Evo_Numbers=1,Species_Names)),0))),Combo_Gym_Offense),0))</f>
        <v>#VALUE!</v>
      </c>
      <c r="J348" s="24" t="e">
        <f t="array" ref="J348">IF(OR(INDEX(Species_Availability,MATCH($N348,Species_Names,0))="No",INDEX(Species_Evo_Numbers,MATCH($N348,Species_Names,0))&lt;&gt;1),"N/A",$S348/MAX(IF(NOT(ISNA(MATCH(Combo_Species_Names,IF(Species_Availability="Yes",IF(Species_Evo_Numbers=1,Species_Names)),0))),Combo_Gym_Offense)))</f>
        <v>#VALUE!</v>
      </c>
      <c r="K348" s="23" t="e">
        <f t="array" ref="K348">IF(OR(INDEX(Species_Availability,MATCH($N348,Species_Names,0))="No",INDEX(Species_Evo_Numbers,MATCH($N348,Species_Names,0))&lt;&gt;1),"N/A",RANK($Y348,IF(NOT(ISNA(MATCH(Combo_Species_Names,IF(Species_Availability="Yes",IF(Species_Evo_Numbers=1,Species_Names)),0))),Combo_Gym_Defense),0))</f>
        <v>#VALUE!</v>
      </c>
      <c r="L348" s="24" t="e">
        <f t="array" ref="L348">IF(OR(INDEX(Species_Availability,MATCH($N348,Species_Names,0))="No",INDEX(Species_Evo_Numbers,MATCH($N348,Species_Names,0))&lt;&gt;1),"N/A",$Y348/MAX(IF(NOT(ISNA(MATCH(Combo_Species_Names,IF(Species_Availability="Yes",IF(Species_Evo_Numbers=1,Species_Names)),0))),Combo_Gym_Defense)))</f>
        <v>#VALUE!</v>
      </c>
      <c r="M348" s="28">
        <f t="array" ref="M348">INDEX(Species_Pdex_Numbers,MATCH($N348,Species_Names,0))</f>
        <v>99</v>
      </c>
      <c r="N348" s="30" t="s">
        <v>298</v>
      </c>
      <c r="O348" s="31" t="s">
        <v>55</v>
      </c>
      <c r="P348" s="31" t="s">
        <v>281</v>
      </c>
      <c r="Q348" s="17" t="e">
        <f t="shared" si="10"/>
        <v>#VALUE!</v>
      </c>
      <c r="R348" s="32" t="e">
        <f t="array" ref="R348">IF(OR(AND(COUNTBLANK(Combo_Opponent_Type_1)=1,COUNTBLANK(Combo_Opponent_Type_2)=0),AND(AND(COUNTBLANK(Combo_Opponent_Type_1)=0,COUNTBLANK(Combo_Opponent_Type_2)=0),Combo_Opponent_Type_1=Combo_Opponent_Type_2)),
"Check Types",($S348*INDEX(Species_Tankiness,MATCH($N348,Species_Names,0)))/225)</f>
        <v>#VALUE!</v>
      </c>
      <c r="S348" s="32" t="e">
        <f t="array" ref="S348">IF(OR(AND(COUNTBLANK(Combo_Opponent_Type_1)=1,COUNTBLANK(Combo_Opponent_Type_2)=0),AND(AND(COUNTBLANK(Combo_Opponent_Type_1)=0,COUNTBLANK(Combo_Opponent_Type_2)=0),Combo_Opponent_Type_1=Combo_Opponent_Type_2)),
"Check Types",(
IF($W348&gt;=((1-Game_Weave_Human_Error)*$X348),$W348,$X348)*INDEX(Species_Attack,MATCH($N348,Species_Names,0)))/11)</f>
        <v>#VALUE!</v>
      </c>
      <c r="T348" s="33" t="e">
        <f t="shared" si="11"/>
        <v>#VALUE!</v>
      </c>
      <c r="U348" s="33">
        <f t="array" ref="U3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348,Quick_Names,0))),Type_Species)),0),1)*IF(COUNTBLANK(Combo_Opponent_Type_2)=0,INDEX(Type_Damage_Multipliers,MATCH(Combo_Opponent_Type_2,IF(Type_Move=(INDEX(Quick_Type,MATCH($O348,Quick_Names,0))),Type_Species)),0),1)*(IF(OR(INDEX(Quick_Type,MATCH($O348,Quick_Names,0))=INDEX(Species_Type_1,MATCH($N348,Species_Names,0)),INDEX(Quick_Type,MATCH($O348,Quick_Names,0))=INDEX(Species_Type_2,MATCH($N348,Species_Names,0))),Game_STAB_Multiplier,1)))</f>
        <v>1</v>
      </c>
      <c r="V348" s="33">
        <f t="array" ref="V3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348,Charge_Names,0))),Type_Species)),0),1)*IF(COUNTBLANK(Combo_Opponent_Type_2)=0,INDEX(Type_Damage_Multipliers,MATCH(Combo_Opponent_Type_2,IF(Type_Move=(INDEX(Charge_Type,MATCH($P348,Charge_Names,0))),Type_Species)),0),1)*
IF(OR(INDEX(Charge_Type,MATCH($P348,Charge_Names,0))=INDEX(Species_Type_1,MATCH($N348,Species_Names,0)),INDEX(Charge_Type,MATCH($P348,Charge_Names,0))=INDEX(Species_Type_2,MATCH($N348,Species_Names,0))),Game_STAB_Multiplier,1))</f>
        <v>1.25</v>
      </c>
      <c r="W348" s="33" t="s">
        <v>684</v>
      </c>
      <c r="X348" s="33" t="s">
        <v>859</v>
      </c>
      <c r="Y348" s="32" t="e">
        <f t="array" ref="Y348">((($Z348)*
INDEX(Species_Attack,MATCH($N348,Species_Names,0))*
INDEX(Species_Tankiness,MATCH($N348,Species_Names,0)))/1000)</f>
        <v>#VALUE!</v>
      </c>
      <c r="Z348" s="33" t="s">
        <v>792</v>
      </c>
    </row>
    <row r="349" spans="1:26" ht="14.25" customHeight="1" x14ac:dyDescent="0.2">
      <c r="A349" s="86"/>
      <c r="B349" s="22" t="str">
        <f t="array" ref="B349">CONCATENATE(TEXT($M349,"000"),".",TEXT(INDEX(Quick_Number,MATCH($O349,Quick_Names,0)),"000"),".",TEXT(INDEX(Charge_Number,MATCH($P349,Charge_Names,0)),"000"))</f>
        <v>099.228.020</v>
      </c>
      <c r="C349" s="23" t="e">
        <f t="array" ref="C349">RANK($S349,IF(Combo_Species_Names=$N349,Combo_Gym_Offense),0)</f>
        <v>#VALUE!</v>
      </c>
      <c r="D349" s="24" t="e">
        <f t="array" ref="D349">$S349/MAX(IF(Combo_Species_Names=$N349,Combo_Gym_Offense))</f>
        <v>#VALUE!</v>
      </c>
      <c r="E349" s="23" t="e">
        <f t="array" ref="E349">RANK($Y349,IF(Combo_Species_Names=$N349,Combo_Gym_Defense),0)</f>
        <v>#VALUE!</v>
      </c>
      <c r="F349" s="25" t="e">
        <f t="array" ref="F349">$Y349/MAX(IF(Combo_Species_Names=$N349,Combo_Gym_Defense))</f>
        <v>#VALUE!</v>
      </c>
      <c r="G349" s="23" t="e">
        <f t="array" ref="G349">IF(OR(INDEX(Species_Availability,MATCH($N349,Species_Names,0))="No",INDEX(Species_Evo_Numbers,MATCH($N349,Species_Names,0))&lt;&gt;1),"N/A",RANK($R349,IF(NOT(ISNA(MATCH(Combo_Species_Names,IF(Species_Availability="Yes",IF(Species_Evo_Numbers=1,Species_Names)),0))),Combo_Duel_Ability),0))</f>
        <v>#VALUE!</v>
      </c>
      <c r="H349" s="24" t="e">
        <f t="array" ref="H349">IF(OR(INDEX(Species_Availability,MATCH($N349,Species_Names,0))="No",INDEX(Species_Evo_Numbers,MATCH($N349,Species_Names,0))&lt;&gt;1),"N/A",$R349/MAX(IF(NOT(ISNA(MATCH(Combo_Species_Names,IF(Species_Availability="Yes",IF(Species_Evo_Numbers=1,Species_Names)),0))),Combo_Duel_Ability)))</f>
        <v>#VALUE!</v>
      </c>
      <c r="I349" s="23" t="e">
        <f t="array" ref="I349">IF(OR(INDEX(Species_Availability,MATCH($N349,Species_Names,0))="No",INDEX(Species_Evo_Numbers,MATCH($N349,Species_Names,0))&lt;&gt;1),"N/A",RANK($S349,IF(NOT(ISNA(MATCH(Combo_Species_Names,IF(Species_Availability="Yes",IF(Species_Evo_Numbers=1,Species_Names)),0))),Combo_Gym_Offense),0))</f>
        <v>#VALUE!</v>
      </c>
      <c r="J349" s="24" t="e">
        <f t="array" ref="J349">IF(OR(INDEX(Species_Availability,MATCH($N349,Species_Names,0))="No",INDEX(Species_Evo_Numbers,MATCH($N349,Species_Names,0))&lt;&gt;1),"N/A",$S349/MAX(IF(NOT(ISNA(MATCH(Combo_Species_Names,IF(Species_Availability="Yes",IF(Species_Evo_Numbers=1,Species_Names)),0))),Combo_Gym_Offense)))</f>
        <v>#VALUE!</v>
      </c>
      <c r="K349" s="23" t="e">
        <f t="array" ref="K349">IF(OR(INDEX(Species_Availability,MATCH($N349,Species_Names,0))="No",INDEX(Species_Evo_Numbers,MATCH($N349,Species_Names,0))&lt;&gt;1),"N/A",RANK($Y349,IF(NOT(ISNA(MATCH(Combo_Species_Names,IF(Species_Availability="Yes",IF(Species_Evo_Numbers=1,Species_Names)),0))),Combo_Gym_Defense),0))</f>
        <v>#VALUE!</v>
      </c>
      <c r="L349" s="24" t="e">
        <f t="array" ref="L349">IF(OR(INDEX(Species_Availability,MATCH($N349,Species_Names,0))="No",INDEX(Species_Evo_Numbers,MATCH($N349,Species_Names,0))&lt;&gt;1),"N/A",$Y349/MAX(IF(NOT(ISNA(MATCH(Combo_Species_Names,IF(Species_Availability="Yes",IF(Species_Evo_Numbers=1,Species_Names)),0))),Combo_Gym_Defense)))</f>
        <v>#VALUE!</v>
      </c>
      <c r="M349" s="28">
        <f t="array" ref="M349">INDEX(Species_Pdex_Numbers,MATCH($N349,Species_Names,0))</f>
        <v>99</v>
      </c>
      <c r="N349" s="30" t="s">
        <v>298</v>
      </c>
      <c r="O349" s="31" t="s">
        <v>55</v>
      </c>
      <c r="P349" s="31" t="s">
        <v>267</v>
      </c>
      <c r="Q349" s="17" t="e">
        <f t="shared" si="10"/>
        <v>#VALUE!</v>
      </c>
      <c r="R349" s="32" t="e">
        <f t="array" ref="R349">IF(OR(AND(COUNTBLANK(Combo_Opponent_Type_1)=1,COUNTBLANK(Combo_Opponent_Type_2)=0),AND(AND(COUNTBLANK(Combo_Opponent_Type_1)=0,COUNTBLANK(Combo_Opponent_Type_2)=0),Combo_Opponent_Type_1=Combo_Opponent_Type_2)),
"Check Types",($S349*INDEX(Species_Tankiness,MATCH($N349,Species_Names,0)))/225)</f>
        <v>#VALUE!</v>
      </c>
      <c r="S349" s="32" t="e">
        <f t="array" ref="S349">IF(OR(AND(COUNTBLANK(Combo_Opponent_Type_1)=1,COUNTBLANK(Combo_Opponent_Type_2)=0),AND(AND(COUNTBLANK(Combo_Opponent_Type_1)=0,COUNTBLANK(Combo_Opponent_Type_2)=0),Combo_Opponent_Type_1=Combo_Opponent_Type_2)),
"Check Types",(
IF($W349&gt;=((1-Game_Weave_Human_Error)*$X349),$W349,$X349)*INDEX(Species_Attack,MATCH($N349,Species_Names,0)))/11)</f>
        <v>#VALUE!</v>
      </c>
      <c r="T349" s="33" t="e">
        <f t="shared" si="11"/>
        <v>#VALUE!</v>
      </c>
      <c r="U349" s="33">
        <f t="array" ref="U3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349,Quick_Names,0))),Type_Species)),0),1)*IF(COUNTBLANK(Combo_Opponent_Type_2)=0,INDEX(Type_Damage_Multipliers,MATCH(Combo_Opponent_Type_2,IF(Type_Move=(INDEX(Quick_Type,MATCH($O349,Quick_Names,0))),Type_Species)),0),1)*(IF(OR(INDEX(Quick_Type,MATCH($O349,Quick_Names,0))=INDEX(Species_Type_1,MATCH($N349,Species_Names,0)),INDEX(Quick_Type,MATCH($O349,Quick_Names,0))=INDEX(Species_Type_2,MATCH($N349,Species_Names,0))),Game_STAB_Multiplier,1)))</f>
        <v>1</v>
      </c>
      <c r="V349" s="33">
        <f t="array" ref="V3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349,Charge_Names,0))),Type_Species)),0),1)*IF(COUNTBLANK(Combo_Opponent_Type_2)=0,INDEX(Type_Damage_Multipliers,MATCH(Combo_Opponent_Type_2,IF(Type_Move=(INDEX(Charge_Type,MATCH($P349,Charge_Names,0))),Type_Species)),0),1)*
IF(OR(INDEX(Charge_Type,MATCH($P349,Charge_Names,0))=INDEX(Species_Type_1,MATCH($N349,Species_Names,0)),INDEX(Charge_Type,MATCH($P349,Charge_Names,0))=INDEX(Species_Type_2,MATCH($N349,Species_Names,0))),Game_STAB_Multiplier,1))</f>
        <v>1</v>
      </c>
      <c r="W349" s="33" t="s">
        <v>684</v>
      </c>
      <c r="X349" s="33" t="s">
        <v>860</v>
      </c>
      <c r="Y349" s="32" t="e">
        <f t="array" ref="Y349">((($Z349)*
INDEX(Species_Attack,MATCH($N349,Species_Names,0))*
INDEX(Species_Tankiness,MATCH($N349,Species_Names,0)))/1000)</f>
        <v>#VALUE!</v>
      </c>
      <c r="Z349" s="33" t="s">
        <v>849</v>
      </c>
    </row>
    <row r="350" spans="1:26" ht="14.25" customHeight="1" x14ac:dyDescent="0.2">
      <c r="A350" s="86"/>
      <c r="B350" s="22" t="str">
        <f t="array" ref="B350">CONCATENATE(TEXT($M350,"000"),".",TEXT(INDEX(Quick_Number,MATCH($O350,Quick_Names,0)),"000"),".",TEXT(INDEX(Charge_Number,MATCH($P350,Charge_Names,0)),"000"))</f>
        <v>106.241.032</v>
      </c>
      <c r="C350" s="23" t="e">
        <f t="array" ref="C350">RANK($S350,IF(Combo_Species_Names=$N350,Combo_Gym_Offense),0)</f>
        <v>#VALUE!</v>
      </c>
      <c r="D350" s="24" t="e">
        <f t="array" ref="D350">$S350/MAX(IF(Combo_Species_Names=$N350,Combo_Gym_Offense))</f>
        <v>#VALUE!</v>
      </c>
      <c r="E350" s="23" t="e">
        <f t="array" ref="E350">RANK($Y350,IF(Combo_Species_Names=$N350,Combo_Gym_Defense),0)</f>
        <v>#VALUE!</v>
      </c>
      <c r="F350" s="25" t="e">
        <f t="array" ref="F350">$Y350/MAX(IF(Combo_Species_Names=$N350,Combo_Gym_Defense))</f>
        <v>#VALUE!</v>
      </c>
      <c r="G350" s="23" t="e">
        <f t="array" ref="G350">IF(OR(INDEX(Species_Availability,MATCH($N350,Species_Names,0))="No",INDEX(Species_Evo_Numbers,MATCH($N350,Species_Names,0))&lt;&gt;1),"N/A",RANK($R350,IF(NOT(ISNA(MATCH(Combo_Species_Names,IF(Species_Availability="Yes",IF(Species_Evo_Numbers=1,Species_Names)),0))),Combo_Duel_Ability),0))</f>
        <v>#VALUE!</v>
      </c>
      <c r="H350" s="24" t="e">
        <f t="array" ref="H350">IF(OR(INDEX(Species_Availability,MATCH($N350,Species_Names,0))="No",INDEX(Species_Evo_Numbers,MATCH($N350,Species_Names,0))&lt;&gt;1),"N/A",$R350/MAX(IF(NOT(ISNA(MATCH(Combo_Species_Names,IF(Species_Availability="Yes",IF(Species_Evo_Numbers=1,Species_Names)),0))),Combo_Duel_Ability)))</f>
        <v>#VALUE!</v>
      </c>
      <c r="I350" s="23" t="e">
        <f t="array" ref="I350">IF(OR(INDEX(Species_Availability,MATCH($N350,Species_Names,0))="No",INDEX(Species_Evo_Numbers,MATCH($N350,Species_Names,0))&lt;&gt;1),"N/A",RANK($S350,IF(NOT(ISNA(MATCH(Combo_Species_Names,IF(Species_Availability="Yes",IF(Species_Evo_Numbers=1,Species_Names)),0))),Combo_Gym_Offense),0))</f>
        <v>#VALUE!</v>
      </c>
      <c r="J350" s="24" t="e">
        <f t="array" ref="J350">IF(OR(INDEX(Species_Availability,MATCH($N350,Species_Names,0))="No",INDEX(Species_Evo_Numbers,MATCH($N350,Species_Names,0))&lt;&gt;1),"N/A",$S350/MAX(IF(NOT(ISNA(MATCH(Combo_Species_Names,IF(Species_Availability="Yes",IF(Species_Evo_Numbers=1,Species_Names)),0))),Combo_Gym_Offense)))</f>
        <v>#VALUE!</v>
      </c>
      <c r="K350" s="23" t="e">
        <f t="array" ref="K350">IF(OR(INDEX(Species_Availability,MATCH($N350,Species_Names,0))="No",INDEX(Species_Evo_Numbers,MATCH($N350,Species_Names,0))&lt;&gt;1),"N/A",RANK($Y350,IF(NOT(ISNA(MATCH(Combo_Species_Names,IF(Species_Availability="Yes",IF(Species_Evo_Numbers=1,Species_Names)),0))),Combo_Gym_Defense),0))</f>
        <v>#VALUE!</v>
      </c>
      <c r="L350" s="24" t="e">
        <f t="array" ref="L350">IF(OR(INDEX(Species_Availability,MATCH($N350,Species_Names,0))="No",INDEX(Species_Evo_Numbers,MATCH($N350,Species_Names,0))&lt;&gt;1),"N/A",$Y350/MAX(IF(NOT(ISNA(MATCH(Combo_Species_Names,IF(Species_Availability="Yes",IF(Species_Evo_Numbers=1,Species_Names)),0))),Combo_Gym_Defense)))</f>
        <v>#VALUE!</v>
      </c>
      <c r="M350" s="28">
        <f t="array" ref="M350">INDEX(Species_Pdex_Numbers,MATCH($N350,Species_Names,0))</f>
        <v>106</v>
      </c>
      <c r="N350" s="30" t="s">
        <v>315</v>
      </c>
      <c r="O350" s="31" t="s">
        <v>97</v>
      </c>
      <c r="P350" s="31" t="s">
        <v>149</v>
      </c>
      <c r="Q350" s="17" t="e">
        <f t="shared" si="10"/>
        <v>#VALUE!</v>
      </c>
      <c r="R350" s="32" t="e">
        <f t="array" ref="R350">IF(OR(AND(COUNTBLANK(Combo_Opponent_Type_1)=1,COUNTBLANK(Combo_Opponent_Type_2)=0),AND(AND(COUNTBLANK(Combo_Opponent_Type_1)=0,COUNTBLANK(Combo_Opponent_Type_2)=0),Combo_Opponent_Type_1=Combo_Opponent_Type_2)),
"Check Types",($S350*INDEX(Species_Tankiness,MATCH($N350,Species_Names,0)))/225)</f>
        <v>#VALUE!</v>
      </c>
      <c r="S350" s="32" t="e">
        <f t="array" ref="S350">IF(OR(AND(COUNTBLANK(Combo_Opponent_Type_1)=1,COUNTBLANK(Combo_Opponent_Type_2)=0),AND(AND(COUNTBLANK(Combo_Opponent_Type_1)=0,COUNTBLANK(Combo_Opponent_Type_2)=0),Combo_Opponent_Type_1=Combo_Opponent_Type_2)),
"Check Types",(
IF($W350&gt;=((1-Game_Weave_Human_Error)*$X350),$W350,$X350)*INDEX(Species_Attack,MATCH($N350,Species_Names,0)))/11)</f>
        <v>#VALUE!</v>
      </c>
      <c r="T350" s="33" t="e">
        <f t="shared" si="11"/>
        <v>#VALUE!</v>
      </c>
      <c r="U350" s="33">
        <f t="array" ref="U3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350,Quick_Names,0))),Type_Species)),0),1)*IF(COUNTBLANK(Combo_Opponent_Type_2)=0,INDEX(Type_Damage_Multipliers,MATCH(Combo_Opponent_Type_2,IF(Type_Move=(INDEX(Quick_Type,MATCH($O350,Quick_Names,0))),Type_Species)),0),1)*(IF(OR(INDEX(Quick_Type,MATCH($O350,Quick_Names,0))=INDEX(Species_Type_1,MATCH($N350,Species_Names,0)),INDEX(Quick_Type,MATCH($O350,Quick_Names,0))=INDEX(Species_Type_2,MATCH($N350,Species_Names,0))),Game_STAB_Multiplier,1)))</f>
        <v>1.25</v>
      </c>
      <c r="V350" s="33">
        <f t="array" ref="V3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350,Charge_Names,0))),Type_Species)),0),1)*IF(COUNTBLANK(Combo_Opponent_Type_2)=0,INDEX(Type_Damage_Multipliers,MATCH(Combo_Opponent_Type_2,IF(Type_Move=(INDEX(Charge_Type,MATCH($P350,Charge_Names,0))),Type_Species)),0),1)*
IF(OR(INDEX(Charge_Type,MATCH($P350,Charge_Names,0))=INDEX(Species_Type_1,MATCH($N350,Species_Names,0)),INDEX(Charge_Type,MATCH($P350,Charge_Names,0))=INDEX(Species_Type_2,MATCH($N350,Species_Names,0))),Game_STAB_Multiplier,1))</f>
        <v>1</v>
      </c>
      <c r="W350" s="33" t="s">
        <v>842</v>
      </c>
      <c r="X350" s="33" t="s">
        <v>861</v>
      </c>
      <c r="Y350" s="32" t="e">
        <f t="array" ref="Y350">((($Z350)*
INDEX(Species_Attack,MATCH($N350,Species_Names,0))*
INDEX(Species_Tankiness,MATCH($N350,Species_Names,0)))/1000)</f>
        <v>#VALUE!</v>
      </c>
      <c r="Z350" s="33" t="s">
        <v>487</v>
      </c>
    </row>
    <row r="351" spans="1:26" ht="14.25" customHeight="1" x14ac:dyDescent="0.2">
      <c r="A351" s="86"/>
      <c r="B351" s="22" t="str">
        <f t="array" ref="B351">CONCATENATE(TEXT($M351,"000"),".",TEXT(INDEX(Quick_Number,MATCH($O351,Quick_Names,0)),"000"),".",TEXT(INDEX(Charge_Number,MATCH($P351,Charge_Names,0)),"000"))</f>
        <v>015.224.090</v>
      </c>
      <c r="C351" s="23" t="e">
        <f t="array" ref="C351">RANK($S351,IF(Combo_Species_Names=$N351,Combo_Gym_Offense),0)</f>
        <v>#VALUE!</v>
      </c>
      <c r="D351" s="24" t="e">
        <f t="array" ref="D351">$S351/MAX(IF(Combo_Species_Names=$N351,Combo_Gym_Offense))</f>
        <v>#VALUE!</v>
      </c>
      <c r="E351" s="23" t="e">
        <f t="array" ref="E351">RANK($Y351,IF(Combo_Species_Names=$N351,Combo_Gym_Defense),0)</f>
        <v>#VALUE!</v>
      </c>
      <c r="F351" s="25" t="e">
        <f t="array" ref="F351">$Y351/MAX(IF(Combo_Species_Names=$N351,Combo_Gym_Defense))</f>
        <v>#VALUE!</v>
      </c>
      <c r="G351" s="23" t="e">
        <f t="array" ref="G351">IF(OR(INDEX(Species_Availability,MATCH($N351,Species_Names,0))="No",INDEX(Species_Evo_Numbers,MATCH($N351,Species_Names,0))&lt;&gt;1),"N/A",RANK($R351,IF(NOT(ISNA(MATCH(Combo_Species_Names,IF(Species_Availability="Yes",IF(Species_Evo_Numbers=1,Species_Names)),0))),Combo_Duel_Ability),0))</f>
        <v>#VALUE!</v>
      </c>
      <c r="H351" s="24" t="e">
        <f t="array" ref="H351">IF(OR(INDEX(Species_Availability,MATCH($N351,Species_Names,0))="No",INDEX(Species_Evo_Numbers,MATCH($N351,Species_Names,0))&lt;&gt;1),"N/A",$R351/MAX(IF(NOT(ISNA(MATCH(Combo_Species_Names,IF(Species_Availability="Yes",IF(Species_Evo_Numbers=1,Species_Names)),0))),Combo_Duel_Ability)))</f>
        <v>#VALUE!</v>
      </c>
      <c r="I351" s="23" t="e">
        <f t="array" ref="I351">IF(OR(INDEX(Species_Availability,MATCH($N351,Species_Names,0))="No",INDEX(Species_Evo_Numbers,MATCH($N351,Species_Names,0))&lt;&gt;1),"N/A",RANK($S351,IF(NOT(ISNA(MATCH(Combo_Species_Names,IF(Species_Availability="Yes",IF(Species_Evo_Numbers=1,Species_Names)),0))),Combo_Gym_Offense),0))</f>
        <v>#VALUE!</v>
      </c>
      <c r="J351" s="24" t="e">
        <f t="array" ref="J351">IF(OR(INDEX(Species_Availability,MATCH($N351,Species_Names,0))="No",INDEX(Species_Evo_Numbers,MATCH($N351,Species_Names,0))&lt;&gt;1),"N/A",$S351/MAX(IF(NOT(ISNA(MATCH(Combo_Species_Names,IF(Species_Availability="Yes",IF(Species_Evo_Numbers=1,Species_Names)),0))),Combo_Gym_Offense)))</f>
        <v>#VALUE!</v>
      </c>
      <c r="K351" s="23" t="e">
        <f t="array" ref="K351">IF(OR(INDEX(Species_Availability,MATCH($N351,Species_Names,0))="No",INDEX(Species_Evo_Numbers,MATCH($N351,Species_Names,0))&lt;&gt;1),"N/A",RANK($Y351,IF(NOT(ISNA(MATCH(Combo_Species_Names,IF(Species_Availability="Yes",IF(Species_Evo_Numbers=1,Species_Names)),0))),Combo_Gym_Defense),0))</f>
        <v>#VALUE!</v>
      </c>
      <c r="L351" s="24" t="e">
        <f t="array" ref="L351">IF(OR(INDEX(Species_Availability,MATCH($N351,Species_Names,0))="No",INDEX(Species_Evo_Numbers,MATCH($N351,Species_Names,0))&lt;&gt;1),"N/A",$Y351/MAX(IF(NOT(ISNA(MATCH(Combo_Species_Names,IF(Species_Availability="Yes",IF(Species_Evo_Numbers=1,Species_Names)),0))),Combo_Gym_Defense)))</f>
        <v>#VALUE!</v>
      </c>
      <c r="M351" s="28">
        <f t="array" ref="M351">INDEX(Species_Pdex_Numbers,MATCH($N351,Species_Names,0))</f>
        <v>15</v>
      </c>
      <c r="N351" s="30" t="s">
        <v>120</v>
      </c>
      <c r="O351" s="31" t="s">
        <v>77</v>
      </c>
      <c r="P351" s="31" t="s">
        <v>180</v>
      </c>
      <c r="Q351" s="17" t="e">
        <f t="shared" si="10"/>
        <v>#VALUE!</v>
      </c>
      <c r="R351" s="32" t="e">
        <f t="array" ref="R351">IF(OR(AND(COUNTBLANK(Combo_Opponent_Type_1)=1,COUNTBLANK(Combo_Opponent_Type_2)=0),AND(AND(COUNTBLANK(Combo_Opponent_Type_1)=0,COUNTBLANK(Combo_Opponent_Type_2)=0),Combo_Opponent_Type_1=Combo_Opponent_Type_2)),
"Check Types",($S351*INDEX(Species_Tankiness,MATCH($N351,Species_Names,0)))/225)</f>
        <v>#VALUE!</v>
      </c>
      <c r="S351" s="32" t="e">
        <f t="array" ref="S351">IF(OR(AND(COUNTBLANK(Combo_Opponent_Type_1)=1,COUNTBLANK(Combo_Opponent_Type_2)=0),AND(AND(COUNTBLANK(Combo_Opponent_Type_1)=0,COUNTBLANK(Combo_Opponent_Type_2)=0),Combo_Opponent_Type_1=Combo_Opponent_Type_2)),
"Check Types",(
IF($W351&gt;=((1-Game_Weave_Human_Error)*$X351),$W351,$X351)*INDEX(Species_Attack,MATCH($N351,Species_Names,0)))/11)</f>
        <v>#VALUE!</v>
      </c>
      <c r="T351" s="33" t="e">
        <f t="shared" si="11"/>
        <v>#VALUE!</v>
      </c>
      <c r="U351" s="33">
        <f t="array" ref="U3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351,Quick_Names,0))),Type_Species)),0),1)*IF(COUNTBLANK(Combo_Opponent_Type_2)=0,INDEX(Type_Damage_Multipliers,MATCH(Combo_Opponent_Type_2,IF(Type_Move=(INDEX(Quick_Type,MATCH($O351,Quick_Names,0))),Type_Species)),0),1)*(IF(OR(INDEX(Quick_Type,MATCH($O351,Quick_Names,0))=INDEX(Species_Type_1,MATCH($N351,Species_Names,0)),INDEX(Quick_Type,MATCH($O351,Quick_Names,0))=INDEX(Species_Type_2,MATCH($N351,Species_Names,0))),Game_STAB_Multiplier,1)))</f>
        <v>1.25</v>
      </c>
      <c r="V351" s="33">
        <f t="array" ref="V3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351,Charge_Names,0))),Type_Species)),0),1)*IF(COUNTBLANK(Combo_Opponent_Type_2)=0,INDEX(Type_Damage_Multipliers,MATCH(Combo_Opponent_Type_2,IF(Type_Move=(INDEX(Charge_Type,MATCH($P351,Charge_Names,0))),Type_Species)),0),1)*
IF(OR(INDEX(Charge_Type,MATCH($P351,Charge_Names,0))=INDEX(Species_Type_1,MATCH($N351,Species_Names,0)),INDEX(Charge_Type,MATCH($P351,Charge_Names,0))=INDEX(Species_Type_2,MATCH($N351,Species_Names,0))),Game_STAB_Multiplier,1))</f>
        <v>1.25</v>
      </c>
      <c r="W351" s="33" t="s">
        <v>446</v>
      </c>
      <c r="X351" s="33" t="s">
        <v>862</v>
      </c>
      <c r="Y351" s="32" t="e">
        <f t="array" ref="Y351">((($Z351)*
INDEX(Species_Attack,MATCH($N351,Species_Names,0))*
INDEX(Species_Tankiness,MATCH($N351,Species_Names,0)))/1000)</f>
        <v>#VALUE!</v>
      </c>
      <c r="Z351" s="33" t="s">
        <v>863</v>
      </c>
    </row>
    <row r="352" spans="1:26" ht="14.25" customHeight="1" x14ac:dyDescent="0.2">
      <c r="A352" s="86"/>
      <c r="B352" s="22" t="str">
        <f t="array" ref="B352">CONCATENATE(TEXT($M352,"000"),".",TEXT(INDEX(Quick_Number,MATCH($O352,Quick_Names,0)),"000"),".",TEXT(INDEX(Charge_Number,MATCH($P352,Charge_Names,0)),"000"))</f>
        <v>124.218.033</v>
      </c>
      <c r="C352" s="23" t="e">
        <f t="array" ref="C352">RANK($S352,IF(Combo_Species_Names=$N352,Combo_Gym_Offense),0)</f>
        <v>#VALUE!</v>
      </c>
      <c r="D352" s="24" t="e">
        <f t="array" ref="D352">$S352/MAX(IF(Combo_Species_Names=$N352,Combo_Gym_Offense))</f>
        <v>#VALUE!</v>
      </c>
      <c r="E352" s="23" t="e">
        <f t="array" ref="E352">RANK($Y352,IF(Combo_Species_Names=$N352,Combo_Gym_Defense),0)</f>
        <v>#VALUE!</v>
      </c>
      <c r="F352" s="25" t="e">
        <f t="array" ref="F352">$Y352/MAX(IF(Combo_Species_Names=$N352,Combo_Gym_Defense))</f>
        <v>#VALUE!</v>
      </c>
      <c r="G352" s="23" t="e">
        <f t="array" ref="G352">IF(OR(INDEX(Species_Availability,MATCH($N352,Species_Names,0))="No",INDEX(Species_Evo_Numbers,MATCH($N352,Species_Names,0))&lt;&gt;1),"N/A",RANK($R352,IF(NOT(ISNA(MATCH(Combo_Species_Names,IF(Species_Availability="Yes",IF(Species_Evo_Numbers=1,Species_Names)),0))),Combo_Duel_Ability),0))</f>
        <v>#VALUE!</v>
      </c>
      <c r="H352" s="24" t="e">
        <f t="array" ref="H352">IF(OR(INDEX(Species_Availability,MATCH($N352,Species_Names,0))="No",INDEX(Species_Evo_Numbers,MATCH($N352,Species_Names,0))&lt;&gt;1),"N/A",$R352/MAX(IF(NOT(ISNA(MATCH(Combo_Species_Names,IF(Species_Availability="Yes",IF(Species_Evo_Numbers=1,Species_Names)),0))),Combo_Duel_Ability)))</f>
        <v>#VALUE!</v>
      </c>
      <c r="I352" s="23" t="e">
        <f t="array" ref="I352">IF(OR(INDEX(Species_Availability,MATCH($N352,Species_Names,0))="No",INDEX(Species_Evo_Numbers,MATCH($N352,Species_Names,0))&lt;&gt;1),"N/A",RANK($S352,IF(NOT(ISNA(MATCH(Combo_Species_Names,IF(Species_Availability="Yes",IF(Species_Evo_Numbers=1,Species_Names)),0))),Combo_Gym_Offense),0))</f>
        <v>#VALUE!</v>
      </c>
      <c r="J352" s="24" t="e">
        <f t="array" ref="J352">IF(OR(INDEX(Species_Availability,MATCH($N352,Species_Names,0))="No",INDEX(Species_Evo_Numbers,MATCH($N352,Species_Names,0))&lt;&gt;1),"N/A",$S352/MAX(IF(NOT(ISNA(MATCH(Combo_Species_Names,IF(Species_Availability="Yes",IF(Species_Evo_Numbers=1,Species_Names)),0))),Combo_Gym_Offense)))</f>
        <v>#VALUE!</v>
      </c>
      <c r="K352" s="23" t="e">
        <f t="array" ref="K352">IF(OR(INDEX(Species_Availability,MATCH($N352,Species_Names,0))="No",INDEX(Species_Evo_Numbers,MATCH($N352,Species_Names,0))&lt;&gt;1),"N/A",RANK($Y352,IF(NOT(ISNA(MATCH(Combo_Species_Names,IF(Species_Availability="Yes",IF(Species_Evo_Numbers=1,Species_Names)),0))),Combo_Gym_Defense),0))</f>
        <v>#VALUE!</v>
      </c>
      <c r="L352" s="24" t="e">
        <f t="array" ref="L352">IF(OR(INDEX(Species_Availability,MATCH($N352,Species_Names,0))="No",INDEX(Species_Evo_Numbers,MATCH($N352,Species_Names,0))&lt;&gt;1),"N/A",$Y352/MAX(IF(NOT(ISNA(MATCH(Combo_Species_Names,IF(Species_Availability="Yes",IF(Species_Evo_Numbers=1,Species_Names)),0))),Combo_Gym_Defense)))</f>
        <v>#VALUE!</v>
      </c>
      <c r="M352" s="28">
        <f t="array" ref="M352">INDEX(Species_Pdex_Numbers,MATCH($N352,Species_Names,0))</f>
        <v>124</v>
      </c>
      <c r="N352" s="30" t="s">
        <v>341</v>
      </c>
      <c r="O352" s="31" t="s">
        <v>87</v>
      </c>
      <c r="P352" s="31" t="s">
        <v>260</v>
      </c>
      <c r="Q352" s="17" t="e">
        <f t="shared" si="10"/>
        <v>#VALUE!</v>
      </c>
      <c r="R352" s="32" t="e">
        <f t="array" ref="R352">IF(OR(AND(COUNTBLANK(Combo_Opponent_Type_1)=1,COUNTBLANK(Combo_Opponent_Type_2)=0),AND(AND(COUNTBLANK(Combo_Opponent_Type_1)=0,COUNTBLANK(Combo_Opponent_Type_2)=0),Combo_Opponent_Type_1=Combo_Opponent_Type_2)),
"Check Types",($S352*INDEX(Species_Tankiness,MATCH($N352,Species_Names,0)))/225)</f>
        <v>#VALUE!</v>
      </c>
      <c r="S352" s="32" t="e">
        <f t="array" ref="S352">IF(OR(AND(COUNTBLANK(Combo_Opponent_Type_1)=1,COUNTBLANK(Combo_Opponent_Type_2)=0),AND(AND(COUNTBLANK(Combo_Opponent_Type_1)=0,COUNTBLANK(Combo_Opponent_Type_2)=0),Combo_Opponent_Type_1=Combo_Opponent_Type_2)),
"Check Types",(
IF($W352&gt;=((1-Game_Weave_Human_Error)*$X352),$W352,$X352)*INDEX(Species_Attack,MATCH($N352,Species_Names,0)))/11)</f>
        <v>#VALUE!</v>
      </c>
      <c r="T352" s="33" t="e">
        <f t="shared" si="11"/>
        <v>#VALUE!</v>
      </c>
      <c r="U352" s="33">
        <f t="array" ref="U3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352,Quick_Names,0))),Type_Species)),0),1)*IF(COUNTBLANK(Combo_Opponent_Type_2)=0,INDEX(Type_Damage_Multipliers,MATCH(Combo_Opponent_Type_2,IF(Type_Move=(INDEX(Quick_Type,MATCH($O352,Quick_Names,0))),Type_Species)),0),1)*(IF(OR(INDEX(Quick_Type,MATCH($O352,Quick_Names,0))=INDEX(Species_Type_1,MATCH($N352,Species_Names,0)),INDEX(Quick_Type,MATCH($O352,Quick_Names,0))=INDEX(Species_Type_2,MATCH($N352,Species_Names,0))),Game_STAB_Multiplier,1)))</f>
        <v>1.25</v>
      </c>
      <c r="V352" s="33">
        <f t="array" ref="V3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352,Charge_Names,0))),Type_Species)),0),1)*IF(COUNTBLANK(Combo_Opponent_Type_2)=0,INDEX(Type_Damage_Multipliers,MATCH(Combo_Opponent_Type_2,IF(Type_Move=(INDEX(Charge_Type,MATCH($P352,Charge_Names,0))),Type_Species)),0),1)*
IF(OR(INDEX(Charge_Type,MATCH($P352,Charge_Names,0))=INDEX(Species_Type_1,MATCH($N352,Species_Names,0)),INDEX(Charge_Type,MATCH($P352,Charge_Names,0))=INDEX(Species_Type_2,MATCH($N352,Species_Names,0))),Game_STAB_Multiplier,1))</f>
        <v>1.25</v>
      </c>
      <c r="W352" s="33" t="s">
        <v>422</v>
      </c>
      <c r="X352" s="33" t="s">
        <v>864</v>
      </c>
      <c r="Y352" s="32" t="e">
        <f t="array" ref="Y352">((($Z352)*
INDEX(Species_Attack,MATCH($N352,Species_Names,0))*
INDEX(Species_Tankiness,MATCH($N352,Species_Names,0)))/1000)</f>
        <v>#VALUE!</v>
      </c>
      <c r="Z352" s="33" t="s">
        <v>616</v>
      </c>
    </row>
    <row r="353" spans="1:26" ht="14.25" customHeight="1" x14ac:dyDescent="0.2">
      <c r="A353" s="86"/>
      <c r="B353" s="22" t="str">
        <f t="array" ref="B353">CONCATENATE(TEXT($M353,"000"),".",TEXT(INDEX(Quick_Number,MATCH($O353,Quick_Names,0)),"000"),".",TEXT(INDEX(Charge_Number,MATCH($P353,Charge_Names,0)),"000"))</f>
        <v>124.218.085</v>
      </c>
      <c r="C353" s="23" t="e">
        <f t="array" ref="C353">RANK($S353,IF(Combo_Species_Names=$N353,Combo_Gym_Offense),0)</f>
        <v>#VALUE!</v>
      </c>
      <c r="D353" s="24" t="e">
        <f t="array" ref="D353">$S353/MAX(IF(Combo_Species_Names=$N353,Combo_Gym_Offense))</f>
        <v>#VALUE!</v>
      </c>
      <c r="E353" s="23" t="e">
        <f t="array" ref="E353">RANK($Y353,IF(Combo_Species_Names=$N353,Combo_Gym_Defense),0)</f>
        <v>#VALUE!</v>
      </c>
      <c r="F353" s="25" t="e">
        <f t="array" ref="F353">$Y353/MAX(IF(Combo_Species_Names=$N353,Combo_Gym_Defense))</f>
        <v>#VALUE!</v>
      </c>
      <c r="G353" s="23" t="e">
        <f t="array" ref="G353">IF(OR(INDEX(Species_Availability,MATCH($N353,Species_Names,0))="No",INDEX(Species_Evo_Numbers,MATCH($N353,Species_Names,0))&lt;&gt;1),"N/A",RANK($R353,IF(NOT(ISNA(MATCH(Combo_Species_Names,IF(Species_Availability="Yes",IF(Species_Evo_Numbers=1,Species_Names)),0))),Combo_Duel_Ability),0))</f>
        <v>#VALUE!</v>
      </c>
      <c r="H353" s="24" t="e">
        <f t="array" ref="H353">IF(OR(INDEX(Species_Availability,MATCH($N353,Species_Names,0))="No",INDEX(Species_Evo_Numbers,MATCH($N353,Species_Names,0))&lt;&gt;1),"N/A",$R353/MAX(IF(NOT(ISNA(MATCH(Combo_Species_Names,IF(Species_Availability="Yes",IF(Species_Evo_Numbers=1,Species_Names)),0))),Combo_Duel_Ability)))</f>
        <v>#VALUE!</v>
      </c>
      <c r="I353" s="23" t="e">
        <f t="array" ref="I353">IF(OR(INDEX(Species_Availability,MATCH($N353,Species_Names,0))="No",INDEX(Species_Evo_Numbers,MATCH($N353,Species_Names,0))&lt;&gt;1),"N/A",RANK($S353,IF(NOT(ISNA(MATCH(Combo_Species_Names,IF(Species_Availability="Yes",IF(Species_Evo_Numbers=1,Species_Names)),0))),Combo_Gym_Offense),0))</f>
        <v>#VALUE!</v>
      </c>
      <c r="J353" s="24" t="e">
        <f t="array" ref="J353">IF(OR(INDEX(Species_Availability,MATCH($N353,Species_Names,0))="No",INDEX(Species_Evo_Numbers,MATCH($N353,Species_Names,0))&lt;&gt;1),"N/A",$S353/MAX(IF(NOT(ISNA(MATCH(Combo_Species_Names,IF(Species_Availability="Yes",IF(Species_Evo_Numbers=1,Species_Names)),0))),Combo_Gym_Offense)))</f>
        <v>#VALUE!</v>
      </c>
      <c r="K353" s="23" t="e">
        <f t="array" ref="K353">IF(OR(INDEX(Species_Availability,MATCH($N353,Species_Names,0))="No",INDEX(Species_Evo_Numbers,MATCH($N353,Species_Names,0))&lt;&gt;1),"N/A",RANK($Y353,IF(NOT(ISNA(MATCH(Combo_Species_Names,IF(Species_Availability="Yes",IF(Species_Evo_Numbers=1,Species_Names)),0))),Combo_Gym_Defense),0))</f>
        <v>#VALUE!</v>
      </c>
      <c r="L353" s="24" t="e">
        <f t="array" ref="L353">IF(OR(INDEX(Species_Availability,MATCH($N353,Species_Names,0))="No",INDEX(Species_Evo_Numbers,MATCH($N353,Species_Names,0))&lt;&gt;1),"N/A",$Y353/MAX(IF(NOT(ISNA(MATCH(Combo_Species_Names,IF(Species_Availability="Yes",IF(Species_Evo_Numbers=1,Species_Names)),0))),Combo_Gym_Defense)))</f>
        <v>#VALUE!</v>
      </c>
      <c r="M353" s="28">
        <f t="array" ref="M353">INDEX(Species_Pdex_Numbers,MATCH($N353,Species_Names,0))</f>
        <v>124</v>
      </c>
      <c r="N353" s="30" t="s">
        <v>341</v>
      </c>
      <c r="O353" s="31" t="s">
        <v>87</v>
      </c>
      <c r="P353" s="31" t="s">
        <v>304</v>
      </c>
      <c r="Q353" s="17" t="e">
        <f t="shared" si="10"/>
        <v>#VALUE!</v>
      </c>
      <c r="R353" s="32" t="e">
        <f t="array" ref="R353">IF(OR(AND(COUNTBLANK(Combo_Opponent_Type_1)=1,COUNTBLANK(Combo_Opponent_Type_2)=0),AND(AND(COUNTBLANK(Combo_Opponent_Type_1)=0,COUNTBLANK(Combo_Opponent_Type_2)=0),Combo_Opponent_Type_1=Combo_Opponent_Type_2)),
"Check Types",($S353*INDEX(Species_Tankiness,MATCH($N353,Species_Names,0)))/225)</f>
        <v>#VALUE!</v>
      </c>
      <c r="S353" s="32" t="e">
        <f t="array" ref="S353">IF(OR(AND(COUNTBLANK(Combo_Opponent_Type_1)=1,COUNTBLANK(Combo_Opponent_Type_2)=0),AND(AND(COUNTBLANK(Combo_Opponent_Type_1)=0,COUNTBLANK(Combo_Opponent_Type_2)=0),Combo_Opponent_Type_1=Combo_Opponent_Type_2)),
"Check Types",(
IF($W353&gt;=((1-Game_Weave_Human_Error)*$X353),$W353,$X353)*INDEX(Species_Attack,MATCH($N353,Species_Names,0)))/11)</f>
        <v>#VALUE!</v>
      </c>
      <c r="T353" s="33" t="e">
        <f t="shared" si="11"/>
        <v>#VALUE!</v>
      </c>
      <c r="U353" s="33">
        <f t="array" ref="U3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353,Quick_Names,0))),Type_Species)),0),1)*IF(COUNTBLANK(Combo_Opponent_Type_2)=0,INDEX(Type_Damage_Multipliers,MATCH(Combo_Opponent_Type_2,IF(Type_Move=(INDEX(Quick_Type,MATCH($O353,Quick_Names,0))),Type_Species)),0),1)*(IF(OR(INDEX(Quick_Type,MATCH($O353,Quick_Names,0))=INDEX(Species_Type_1,MATCH($N353,Species_Names,0)),INDEX(Quick_Type,MATCH($O353,Quick_Names,0))=INDEX(Species_Type_2,MATCH($N353,Species_Names,0))),Game_STAB_Multiplier,1)))</f>
        <v>1.25</v>
      </c>
      <c r="V353" s="33">
        <f t="array" ref="V3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353,Charge_Names,0))),Type_Species)),0),1)*IF(COUNTBLANK(Combo_Opponent_Type_2)=0,INDEX(Type_Damage_Multipliers,MATCH(Combo_Opponent_Type_2,IF(Type_Move=(INDEX(Charge_Type,MATCH($P353,Charge_Names,0))),Type_Species)),0),1)*
IF(OR(INDEX(Charge_Type,MATCH($P353,Charge_Names,0))=INDEX(Species_Type_1,MATCH($N353,Species_Names,0)),INDEX(Charge_Type,MATCH($P353,Charge_Names,0))=INDEX(Species_Type_2,MATCH($N353,Species_Names,0))),Game_STAB_Multiplier,1))</f>
        <v>1</v>
      </c>
      <c r="W353" s="33" t="s">
        <v>422</v>
      </c>
      <c r="X353" s="33" t="s">
        <v>865</v>
      </c>
      <c r="Y353" s="32" t="e">
        <f t="array" ref="Y353">((($Z353)*
INDEX(Species_Attack,MATCH($N353,Species_Names,0))*
INDEX(Species_Tankiness,MATCH($N353,Species_Names,0)))/1000)</f>
        <v>#VALUE!</v>
      </c>
      <c r="Z353" s="33" t="s">
        <v>866</v>
      </c>
    </row>
    <row r="354" spans="1:26" ht="14.25" customHeight="1" x14ac:dyDescent="0.2">
      <c r="A354" s="86"/>
      <c r="B354" s="22" t="str">
        <f t="array" ref="B354">CONCATENATE(TEXT($M354,"000"),".",TEXT(INDEX(Quick_Number,MATCH($O354,Quick_Names,0)),"000"),".",TEXT(INDEX(Charge_Number,MATCH($P354,Charge_Names,0)),"000"))</f>
        <v>094.203.016</v>
      </c>
      <c r="C354" s="23" t="e">
        <f t="array" ref="C354">RANK($S354,IF(Combo_Species_Names=$N354,Combo_Gym_Offense),0)</f>
        <v>#VALUE!</v>
      </c>
      <c r="D354" s="24" t="e">
        <f t="array" ref="D354">$S354/MAX(IF(Combo_Species_Names=$N354,Combo_Gym_Offense))</f>
        <v>#VALUE!</v>
      </c>
      <c r="E354" s="23" t="e">
        <f t="array" ref="E354">RANK($Y354,IF(Combo_Species_Names=$N354,Combo_Gym_Defense),0)</f>
        <v>#VALUE!</v>
      </c>
      <c r="F354" s="25" t="e">
        <f t="array" ref="F354">$Y354/MAX(IF(Combo_Species_Names=$N354,Combo_Gym_Defense))</f>
        <v>#VALUE!</v>
      </c>
      <c r="G354" s="23" t="e">
        <f t="array" ref="G354">IF(OR(INDEX(Species_Availability,MATCH($N354,Species_Names,0))="No",INDEX(Species_Evo_Numbers,MATCH($N354,Species_Names,0))&lt;&gt;1),"N/A",RANK($R354,IF(NOT(ISNA(MATCH(Combo_Species_Names,IF(Species_Availability="Yes",IF(Species_Evo_Numbers=1,Species_Names)),0))),Combo_Duel_Ability),0))</f>
        <v>#VALUE!</v>
      </c>
      <c r="H354" s="24" t="e">
        <f t="array" ref="H354">IF(OR(INDEX(Species_Availability,MATCH($N354,Species_Names,0))="No",INDEX(Species_Evo_Numbers,MATCH($N354,Species_Names,0))&lt;&gt;1),"N/A",$R354/MAX(IF(NOT(ISNA(MATCH(Combo_Species_Names,IF(Species_Availability="Yes",IF(Species_Evo_Numbers=1,Species_Names)),0))),Combo_Duel_Ability)))</f>
        <v>#VALUE!</v>
      </c>
      <c r="I354" s="23" t="e">
        <f t="array" ref="I354">IF(OR(INDEX(Species_Availability,MATCH($N354,Species_Names,0))="No",INDEX(Species_Evo_Numbers,MATCH($N354,Species_Names,0))&lt;&gt;1),"N/A",RANK($S354,IF(NOT(ISNA(MATCH(Combo_Species_Names,IF(Species_Availability="Yes",IF(Species_Evo_Numbers=1,Species_Names)),0))),Combo_Gym_Offense),0))</f>
        <v>#VALUE!</v>
      </c>
      <c r="J354" s="24" t="e">
        <f t="array" ref="J354">IF(OR(INDEX(Species_Availability,MATCH($N354,Species_Names,0))="No",INDEX(Species_Evo_Numbers,MATCH($N354,Species_Names,0))&lt;&gt;1),"N/A",$S354/MAX(IF(NOT(ISNA(MATCH(Combo_Species_Names,IF(Species_Availability="Yes",IF(Species_Evo_Numbers=1,Species_Names)),0))),Combo_Gym_Offense)))</f>
        <v>#VALUE!</v>
      </c>
      <c r="K354" s="23" t="e">
        <f t="array" ref="K354">IF(OR(INDEX(Species_Availability,MATCH($N354,Species_Names,0))="No",INDEX(Species_Evo_Numbers,MATCH($N354,Species_Names,0))&lt;&gt;1),"N/A",RANK($Y354,IF(NOT(ISNA(MATCH(Combo_Species_Names,IF(Species_Availability="Yes",IF(Species_Evo_Numbers=1,Species_Names)),0))),Combo_Gym_Defense),0))</f>
        <v>#VALUE!</v>
      </c>
      <c r="L354" s="24" t="e">
        <f t="array" ref="L354">IF(OR(INDEX(Species_Availability,MATCH($N354,Species_Names,0))="No",INDEX(Species_Evo_Numbers,MATCH($N354,Species_Names,0))&lt;&gt;1),"N/A",$Y354/MAX(IF(NOT(ISNA(MATCH(Combo_Species_Names,IF(Species_Availability="Yes",IF(Species_Evo_Numbers=1,Species_Names)),0))),Combo_Gym_Defense)))</f>
        <v>#VALUE!</v>
      </c>
      <c r="M354" s="28">
        <f t="array" ref="M354">INDEX(Species_Pdex_Numbers,MATCH($N354,Species_Names,0))</f>
        <v>94</v>
      </c>
      <c r="N354" s="30" t="s">
        <v>284</v>
      </c>
      <c r="O354" s="31" t="s">
        <v>103</v>
      </c>
      <c r="P354" s="31" t="s">
        <v>258</v>
      </c>
      <c r="Q354" s="17" t="e">
        <f t="shared" si="10"/>
        <v>#VALUE!</v>
      </c>
      <c r="R354" s="32" t="e">
        <f t="array" ref="R354">IF(OR(AND(COUNTBLANK(Combo_Opponent_Type_1)=1,COUNTBLANK(Combo_Opponent_Type_2)=0),AND(AND(COUNTBLANK(Combo_Opponent_Type_1)=0,COUNTBLANK(Combo_Opponent_Type_2)=0),Combo_Opponent_Type_1=Combo_Opponent_Type_2)),
"Check Types",($S354*INDEX(Species_Tankiness,MATCH($N354,Species_Names,0)))/225)</f>
        <v>#VALUE!</v>
      </c>
      <c r="S354" s="32" t="e">
        <f t="array" ref="S354">IF(OR(AND(COUNTBLANK(Combo_Opponent_Type_1)=1,COUNTBLANK(Combo_Opponent_Type_2)=0),AND(AND(COUNTBLANK(Combo_Opponent_Type_1)=0,COUNTBLANK(Combo_Opponent_Type_2)=0),Combo_Opponent_Type_1=Combo_Opponent_Type_2)),
"Check Types",(
IF($W354&gt;=((1-Game_Weave_Human_Error)*$X354),$W354,$X354)*INDEX(Species_Attack,MATCH($N354,Species_Names,0)))/11)</f>
        <v>#VALUE!</v>
      </c>
      <c r="T354" s="33" t="e">
        <f t="shared" si="11"/>
        <v>#VALUE!</v>
      </c>
      <c r="U354" s="33">
        <f t="array" ref="U3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354,Quick_Names,0))),Type_Species)),0),1)*IF(COUNTBLANK(Combo_Opponent_Type_2)=0,INDEX(Type_Damage_Multipliers,MATCH(Combo_Opponent_Type_2,IF(Type_Move=(INDEX(Quick_Type,MATCH($O354,Quick_Names,0))),Type_Species)),0),1)*(IF(OR(INDEX(Quick_Type,MATCH($O354,Quick_Names,0))=INDEX(Species_Type_1,MATCH($N354,Species_Names,0)),INDEX(Quick_Type,MATCH($O354,Quick_Names,0))=INDEX(Species_Type_2,MATCH($N354,Species_Names,0))),Game_STAB_Multiplier,1)))</f>
        <v>1</v>
      </c>
      <c r="V354" s="33">
        <f t="array" ref="V3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354,Charge_Names,0))),Type_Species)),0),1)*IF(COUNTBLANK(Combo_Opponent_Type_2)=0,INDEX(Type_Damage_Multipliers,MATCH(Combo_Opponent_Type_2,IF(Type_Move=(INDEX(Charge_Type,MATCH($P354,Charge_Names,0))),Type_Species)),0),1)*
IF(OR(INDEX(Charge_Type,MATCH($P354,Charge_Names,0))=INDEX(Species_Type_1,MATCH($N354,Species_Names,0)),INDEX(Charge_Type,MATCH($P354,Charge_Names,0))=INDEX(Species_Type_2,MATCH($N354,Species_Names,0))),Game_STAB_Multiplier,1))</f>
        <v>1</v>
      </c>
      <c r="W354" s="33" t="s">
        <v>758</v>
      </c>
      <c r="X354" s="33" t="s">
        <v>658</v>
      </c>
      <c r="Y354" s="32" t="e">
        <f t="array" ref="Y354">((($Z354)*
INDEX(Species_Attack,MATCH($N354,Species_Names,0))*
INDEX(Species_Tankiness,MATCH($N354,Species_Names,0)))/1000)</f>
        <v>#VALUE!</v>
      </c>
      <c r="Z354" s="33" t="s">
        <v>867</v>
      </c>
    </row>
    <row r="355" spans="1:26" ht="14.25" customHeight="1" x14ac:dyDescent="0.2">
      <c r="A355" s="86"/>
      <c r="B355" s="22" t="str">
        <f t="array" ref="B355">CONCATENATE(TEXT($M355,"000"),".",TEXT(INDEX(Quick_Number,MATCH($O355,Quick_Names,0)),"000"),".",TEXT(INDEX(Charge_Number,MATCH($P355,Charge_Names,0)),"000"))</f>
        <v>124.222.033</v>
      </c>
      <c r="C355" s="23" t="e">
        <f t="array" ref="C355">RANK($S355,IF(Combo_Species_Names=$N355,Combo_Gym_Offense),0)</f>
        <v>#VALUE!</v>
      </c>
      <c r="D355" s="24" t="e">
        <f t="array" ref="D355">$S355/MAX(IF(Combo_Species_Names=$N355,Combo_Gym_Offense))</f>
        <v>#VALUE!</v>
      </c>
      <c r="E355" s="23" t="e">
        <f t="array" ref="E355">RANK($Y355,IF(Combo_Species_Names=$N355,Combo_Gym_Defense),0)</f>
        <v>#VALUE!</v>
      </c>
      <c r="F355" s="25" t="e">
        <f t="array" ref="F355">$Y355/MAX(IF(Combo_Species_Names=$N355,Combo_Gym_Defense))</f>
        <v>#VALUE!</v>
      </c>
      <c r="G355" s="23" t="e">
        <f t="array" ref="G355">IF(OR(INDEX(Species_Availability,MATCH($N355,Species_Names,0))="No",INDEX(Species_Evo_Numbers,MATCH($N355,Species_Names,0))&lt;&gt;1),"N/A",RANK($R355,IF(NOT(ISNA(MATCH(Combo_Species_Names,IF(Species_Availability="Yes",IF(Species_Evo_Numbers=1,Species_Names)),0))),Combo_Duel_Ability),0))</f>
        <v>#VALUE!</v>
      </c>
      <c r="H355" s="24" t="e">
        <f t="array" ref="H355">IF(OR(INDEX(Species_Availability,MATCH($N355,Species_Names,0))="No",INDEX(Species_Evo_Numbers,MATCH($N355,Species_Names,0))&lt;&gt;1),"N/A",$R355/MAX(IF(NOT(ISNA(MATCH(Combo_Species_Names,IF(Species_Availability="Yes",IF(Species_Evo_Numbers=1,Species_Names)),0))),Combo_Duel_Ability)))</f>
        <v>#VALUE!</v>
      </c>
      <c r="I355" s="23" t="e">
        <f t="array" ref="I355">IF(OR(INDEX(Species_Availability,MATCH($N355,Species_Names,0))="No",INDEX(Species_Evo_Numbers,MATCH($N355,Species_Names,0))&lt;&gt;1),"N/A",RANK($S355,IF(NOT(ISNA(MATCH(Combo_Species_Names,IF(Species_Availability="Yes",IF(Species_Evo_Numbers=1,Species_Names)),0))),Combo_Gym_Offense),0))</f>
        <v>#VALUE!</v>
      </c>
      <c r="J355" s="24" t="e">
        <f t="array" ref="J355">IF(OR(INDEX(Species_Availability,MATCH($N355,Species_Names,0))="No",INDEX(Species_Evo_Numbers,MATCH($N355,Species_Names,0))&lt;&gt;1),"N/A",$S355/MAX(IF(NOT(ISNA(MATCH(Combo_Species_Names,IF(Species_Availability="Yes",IF(Species_Evo_Numbers=1,Species_Names)),0))),Combo_Gym_Offense)))</f>
        <v>#VALUE!</v>
      </c>
      <c r="K355" s="23" t="e">
        <f t="array" ref="K355">IF(OR(INDEX(Species_Availability,MATCH($N355,Species_Names,0))="No",INDEX(Species_Evo_Numbers,MATCH($N355,Species_Names,0))&lt;&gt;1),"N/A",RANK($Y355,IF(NOT(ISNA(MATCH(Combo_Species_Names,IF(Species_Availability="Yes",IF(Species_Evo_Numbers=1,Species_Names)),0))),Combo_Gym_Defense),0))</f>
        <v>#VALUE!</v>
      </c>
      <c r="L355" s="24" t="e">
        <f t="array" ref="L355">IF(OR(INDEX(Species_Availability,MATCH($N355,Species_Names,0))="No",INDEX(Species_Evo_Numbers,MATCH($N355,Species_Names,0))&lt;&gt;1),"N/A",$Y355/MAX(IF(NOT(ISNA(MATCH(Combo_Species_Names,IF(Species_Availability="Yes",IF(Species_Evo_Numbers=1,Species_Names)),0))),Combo_Gym_Defense)))</f>
        <v>#VALUE!</v>
      </c>
      <c r="M355" s="28">
        <f t="array" ref="M355">INDEX(Species_Pdex_Numbers,MATCH($N355,Species_Names,0))</f>
        <v>124</v>
      </c>
      <c r="N355" s="30" t="s">
        <v>341</v>
      </c>
      <c r="O355" s="31" t="s">
        <v>32</v>
      </c>
      <c r="P355" s="31" t="s">
        <v>260</v>
      </c>
      <c r="Q355" s="17" t="e">
        <f t="shared" si="10"/>
        <v>#VALUE!</v>
      </c>
      <c r="R355" s="32" t="e">
        <f t="array" ref="R355">IF(OR(AND(COUNTBLANK(Combo_Opponent_Type_1)=1,COUNTBLANK(Combo_Opponent_Type_2)=0),AND(AND(COUNTBLANK(Combo_Opponent_Type_1)=0,COUNTBLANK(Combo_Opponent_Type_2)=0),Combo_Opponent_Type_1=Combo_Opponent_Type_2)),
"Check Types",($S355*INDEX(Species_Tankiness,MATCH($N355,Species_Names,0)))/225)</f>
        <v>#VALUE!</v>
      </c>
      <c r="S355" s="32" t="e">
        <f t="array" ref="S355">IF(OR(AND(COUNTBLANK(Combo_Opponent_Type_1)=1,COUNTBLANK(Combo_Opponent_Type_2)=0),AND(AND(COUNTBLANK(Combo_Opponent_Type_1)=0,COUNTBLANK(Combo_Opponent_Type_2)=0),Combo_Opponent_Type_1=Combo_Opponent_Type_2)),
"Check Types",(
IF($W355&gt;=((1-Game_Weave_Human_Error)*$X355),$W355,$X355)*INDEX(Species_Attack,MATCH($N355,Species_Names,0)))/11)</f>
        <v>#VALUE!</v>
      </c>
      <c r="T355" s="33" t="e">
        <f t="shared" si="11"/>
        <v>#VALUE!</v>
      </c>
      <c r="U355" s="33">
        <f t="array" ref="U3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355,Quick_Names,0))),Type_Species)),0),1)*IF(COUNTBLANK(Combo_Opponent_Type_2)=0,INDEX(Type_Damage_Multipliers,MATCH(Combo_Opponent_Type_2,IF(Type_Move=(INDEX(Quick_Type,MATCH($O355,Quick_Names,0))),Type_Species)),0),1)*(IF(OR(INDEX(Quick_Type,MATCH($O355,Quick_Names,0))=INDEX(Species_Type_1,MATCH($N355,Species_Names,0)),INDEX(Quick_Type,MATCH($O355,Quick_Names,0))=INDEX(Species_Type_2,MATCH($N355,Species_Names,0))),Game_STAB_Multiplier,1)))</f>
        <v>1</v>
      </c>
      <c r="V355" s="33">
        <f t="array" ref="V3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355,Charge_Names,0))),Type_Species)),0),1)*IF(COUNTBLANK(Combo_Opponent_Type_2)=0,INDEX(Type_Damage_Multipliers,MATCH(Combo_Opponent_Type_2,IF(Type_Move=(INDEX(Charge_Type,MATCH($P355,Charge_Names,0))),Type_Species)),0),1)*
IF(OR(INDEX(Charge_Type,MATCH($P355,Charge_Names,0))=INDEX(Species_Type_1,MATCH($N355,Species_Names,0)),INDEX(Charge_Type,MATCH($P355,Charge_Names,0))=INDEX(Species_Type_2,MATCH($N355,Species_Names,0))),Game_STAB_Multiplier,1))</f>
        <v>1.25</v>
      </c>
      <c r="W355" s="33" t="s">
        <v>536</v>
      </c>
      <c r="X355" s="33" t="s">
        <v>868</v>
      </c>
      <c r="Y355" s="32" t="e">
        <f t="array" ref="Y355">((($Z355)*
INDEX(Species_Attack,MATCH($N355,Species_Names,0))*
INDEX(Species_Tankiness,MATCH($N355,Species_Names,0)))/1000)</f>
        <v>#VALUE!</v>
      </c>
      <c r="Z355" s="33" t="s">
        <v>869</v>
      </c>
    </row>
    <row r="356" spans="1:26" ht="14.25" customHeight="1" x14ac:dyDescent="0.2">
      <c r="A356" s="86"/>
      <c r="B356" s="22" t="str">
        <f t="array" ref="B356">CONCATENATE(TEXT($M356,"000"),".",TEXT(INDEX(Quick_Number,MATCH($O356,Quick_Names,0)),"000"),".",TEXT(INDEX(Charge_Number,MATCH($P356,Charge_Names,0)),"000"))</f>
        <v>117.204.082</v>
      </c>
      <c r="C356" s="23" t="e">
        <f t="array" ref="C356">RANK($S356,IF(Combo_Species_Names=$N356,Combo_Gym_Offense),0)</f>
        <v>#VALUE!</v>
      </c>
      <c r="D356" s="24" t="e">
        <f t="array" ref="D356">$S356/MAX(IF(Combo_Species_Names=$N356,Combo_Gym_Offense))</f>
        <v>#VALUE!</v>
      </c>
      <c r="E356" s="23" t="e">
        <f t="array" ref="E356">RANK($Y356,IF(Combo_Species_Names=$N356,Combo_Gym_Defense),0)</f>
        <v>#VALUE!</v>
      </c>
      <c r="F356" s="25" t="e">
        <f t="array" ref="F356">$Y356/MAX(IF(Combo_Species_Names=$N356,Combo_Gym_Defense))</f>
        <v>#VALUE!</v>
      </c>
      <c r="G356" s="23" t="e">
        <f t="array" ref="G356">IF(OR(INDEX(Species_Availability,MATCH($N356,Species_Names,0))="No",INDEX(Species_Evo_Numbers,MATCH($N356,Species_Names,0))&lt;&gt;1),"N/A",RANK($R356,IF(NOT(ISNA(MATCH(Combo_Species_Names,IF(Species_Availability="Yes",IF(Species_Evo_Numbers=1,Species_Names)),0))),Combo_Duel_Ability),0))</f>
        <v>#VALUE!</v>
      </c>
      <c r="H356" s="24" t="e">
        <f t="array" ref="H356">IF(OR(INDEX(Species_Availability,MATCH($N356,Species_Names,0))="No",INDEX(Species_Evo_Numbers,MATCH($N356,Species_Names,0))&lt;&gt;1),"N/A",$R356/MAX(IF(NOT(ISNA(MATCH(Combo_Species_Names,IF(Species_Availability="Yes",IF(Species_Evo_Numbers=1,Species_Names)),0))),Combo_Duel_Ability)))</f>
        <v>#VALUE!</v>
      </c>
      <c r="I356" s="23" t="e">
        <f t="array" ref="I356">IF(OR(INDEX(Species_Availability,MATCH($N356,Species_Names,0))="No",INDEX(Species_Evo_Numbers,MATCH($N356,Species_Names,0))&lt;&gt;1),"N/A",RANK($S356,IF(NOT(ISNA(MATCH(Combo_Species_Names,IF(Species_Availability="Yes",IF(Species_Evo_Numbers=1,Species_Names)),0))),Combo_Gym_Offense),0))</f>
        <v>#VALUE!</v>
      </c>
      <c r="J356" s="24" t="e">
        <f t="array" ref="J356">IF(OR(INDEX(Species_Availability,MATCH($N356,Species_Names,0))="No",INDEX(Species_Evo_Numbers,MATCH($N356,Species_Names,0))&lt;&gt;1),"N/A",$S356/MAX(IF(NOT(ISNA(MATCH(Combo_Species_Names,IF(Species_Availability="Yes",IF(Species_Evo_Numbers=1,Species_Names)),0))),Combo_Gym_Offense)))</f>
        <v>#VALUE!</v>
      </c>
      <c r="K356" s="23" t="e">
        <f t="array" ref="K356">IF(OR(INDEX(Species_Availability,MATCH($N356,Species_Names,0))="No",INDEX(Species_Evo_Numbers,MATCH($N356,Species_Names,0))&lt;&gt;1),"N/A",RANK($Y356,IF(NOT(ISNA(MATCH(Combo_Species_Names,IF(Species_Availability="Yes",IF(Species_Evo_Numbers=1,Species_Names)),0))),Combo_Gym_Defense),0))</f>
        <v>#VALUE!</v>
      </c>
      <c r="L356" s="24" t="e">
        <f t="array" ref="L356">IF(OR(INDEX(Species_Availability,MATCH($N356,Species_Names,0))="No",INDEX(Species_Evo_Numbers,MATCH($N356,Species_Names,0))&lt;&gt;1),"N/A",$Y356/MAX(IF(NOT(ISNA(MATCH(Combo_Species_Names,IF(Species_Availability="Yes",IF(Species_Evo_Numbers=1,Species_Names)),0))),Combo_Gym_Defense)))</f>
        <v>#VALUE!</v>
      </c>
      <c r="M356" s="28">
        <f t="array" ref="M356">INDEX(Species_Pdex_Numbers,MATCH($N356,Species_Names,0))</f>
        <v>117</v>
      </c>
      <c r="N356" s="30" t="s">
        <v>330</v>
      </c>
      <c r="O356" s="31" t="s">
        <v>62</v>
      </c>
      <c r="P356" s="31" t="s">
        <v>207</v>
      </c>
      <c r="Q356" s="17" t="e">
        <f t="shared" si="10"/>
        <v>#VALUE!</v>
      </c>
      <c r="R356" s="32" t="e">
        <f t="array" ref="R356">IF(OR(AND(COUNTBLANK(Combo_Opponent_Type_1)=1,COUNTBLANK(Combo_Opponent_Type_2)=0),AND(AND(COUNTBLANK(Combo_Opponent_Type_1)=0,COUNTBLANK(Combo_Opponent_Type_2)=0),Combo_Opponent_Type_1=Combo_Opponent_Type_2)),
"Check Types",($S356*INDEX(Species_Tankiness,MATCH($N356,Species_Names,0)))/225)</f>
        <v>#VALUE!</v>
      </c>
      <c r="S356" s="32" t="e">
        <f t="array" ref="S356">IF(OR(AND(COUNTBLANK(Combo_Opponent_Type_1)=1,COUNTBLANK(Combo_Opponent_Type_2)=0),AND(AND(COUNTBLANK(Combo_Opponent_Type_1)=0,COUNTBLANK(Combo_Opponent_Type_2)=0),Combo_Opponent_Type_1=Combo_Opponent_Type_2)),
"Check Types",(
IF($W356&gt;=((1-Game_Weave_Human_Error)*$X356),$W356,$X356)*INDEX(Species_Attack,MATCH($N356,Species_Names,0)))/11)</f>
        <v>#VALUE!</v>
      </c>
      <c r="T356" s="33" t="e">
        <f t="shared" si="11"/>
        <v>#VALUE!</v>
      </c>
      <c r="U356" s="33">
        <f t="array" ref="U3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356,Quick_Names,0))),Type_Species)),0),1)*IF(COUNTBLANK(Combo_Opponent_Type_2)=0,INDEX(Type_Damage_Multipliers,MATCH(Combo_Opponent_Type_2,IF(Type_Move=(INDEX(Quick_Type,MATCH($O356,Quick_Names,0))),Type_Species)),0),1)*(IF(OR(INDEX(Quick_Type,MATCH($O356,Quick_Names,0))=INDEX(Species_Type_1,MATCH($N356,Species_Names,0)),INDEX(Quick_Type,MATCH($O356,Quick_Names,0))=INDEX(Species_Type_2,MATCH($N356,Species_Names,0))),Game_STAB_Multiplier,1)))</f>
        <v>1</v>
      </c>
      <c r="V356" s="33">
        <f t="array" ref="V3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356,Charge_Names,0))),Type_Species)),0),1)*IF(COUNTBLANK(Combo_Opponent_Type_2)=0,INDEX(Type_Damage_Multipliers,MATCH(Combo_Opponent_Type_2,IF(Type_Move=(INDEX(Charge_Type,MATCH($P356,Charge_Names,0))),Type_Species)),0),1)*
IF(OR(INDEX(Charge_Type,MATCH($P356,Charge_Names,0))=INDEX(Species_Type_1,MATCH($N356,Species_Names,0)),INDEX(Charge_Type,MATCH($P356,Charge_Names,0))=INDEX(Species_Type_2,MATCH($N356,Species_Names,0))),Game_STAB_Multiplier,1))</f>
        <v>1</v>
      </c>
      <c r="W356" s="33" t="s">
        <v>453</v>
      </c>
      <c r="X356" s="33" t="s">
        <v>532</v>
      </c>
      <c r="Y356" s="32" t="e">
        <f t="array" ref="Y356">((($Z356)*
INDEX(Species_Attack,MATCH($N356,Species_Names,0))*
INDEX(Species_Tankiness,MATCH($N356,Species_Names,0)))/1000)</f>
        <v>#VALUE!</v>
      </c>
      <c r="Z356" s="33" t="s">
        <v>533</v>
      </c>
    </row>
    <row r="357" spans="1:26" ht="14.25" customHeight="1" x14ac:dyDescent="0.2">
      <c r="A357" s="86"/>
      <c r="B357" s="22" t="str">
        <f t="array" ref="B357">CONCATENATE(TEXT($M357,"000"),".",TEXT(INDEX(Quick_Number,MATCH($O357,Quick_Names,0)),"000"),".",TEXT(INDEX(Charge_Number,MATCH($P357,Charge_Names,0)),"000"))</f>
        <v>105.241.094</v>
      </c>
      <c r="C357" s="23" t="e">
        <f t="array" ref="C357">RANK($S357,IF(Combo_Species_Names=$N357,Combo_Gym_Offense),0)</f>
        <v>#VALUE!</v>
      </c>
      <c r="D357" s="24" t="e">
        <f t="array" ref="D357">$S357/MAX(IF(Combo_Species_Names=$N357,Combo_Gym_Offense))</f>
        <v>#VALUE!</v>
      </c>
      <c r="E357" s="23" t="e">
        <f t="array" ref="E357">RANK($Y357,IF(Combo_Species_Names=$N357,Combo_Gym_Defense),0)</f>
        <v>#VALUE!</v>
      </c>
      <c r="F357" s="25" t="e">
        <f t="array" ref="F357">$Y357/MAX(IF(Combo_Species_Names=$N357,Combo_Gym_Defense))</f>
        <v>#VALUE!</v>
      </c>
      <c r="G357" s="23" t="e">
        <f t="array" ref="G357">IF(OR(INDEX(Species_Availability,MATCH($N357,Species_Names,0))="No",INDEX(Species_Evo_Numbers,MATCH($N357,Species_Names,0))&lt;&gt;1),"N/A",RANK($R357,IF(NOT(ISNA(MATCH(Combo_Species_Names,IF(Species_Availability="Yes",IF(Species_Evo_Numbers=1,Species_Names)),0))),Combo_Duel_Ability),0))</f>
        <v>#VALUE!</v>
      </c>
      <c r="H357" s="24" t="e">
        <f t="array" ref="H357">IF(OR(INDEX(Species_Availability,MATCH($N357,Species_Names,0))="No",INDEX(Species_Evo_Numbers,MATCH($N357,Species_Names,0))&lt;&gt;1),"N/A",$R357/MAX(IF(NOT(ISNA(MATCH(Combo_Species_Names,IF(Species_Availability="Yes",IF(Species_Evo_Numbers=1,Species_Names)),0))),Combo_Duel_Ability)))</f>
        <v>#VALUE!</v>
      </c>
      <c r="I357" s="23" t="e">
        <f t="array" ref="I357">IF(OR(INDEX(Species_Availability,MATCH($N357,Species_Names,0))="No",INDEX(Species_Evo_Numbers,MATCH($N357,Species_Names,0))&lt;&gt;1),"N/A",RANK($S357,IF(NOT(ISNA(MATCH(Combo_Species_Names,IF(Species_Availability="Yes",IF(Species_Evo_Numbers=1,Species_Names)),0))),Combo_Gym_Offense),0))</f>
        <v>#VALUE!</v>
      </c>
      <c r="J357" s="24" t="e">
        <f t="array" ref="J357">IF(OR(INDEX(Species_Availability,MATCH($N357,Species_Names,0))="No",INDEX(Species_Evo_Numbers,MATCH($N357,Species_Names,0))&lt;&gt;1),"N/A",$S357/MAX(IF(NOT(ISNA(MATCH(Combo_Species_Names,IF(Species_Availability="Yes",IF(Species_Evo_Numbers=1,Species_Names)),0))),Combo_Gym_Offense)))</f>
        <v>#VALUE!</v>
      </c>
      <c r="K357" s="23" t="e">
        <f t="array" ref="K357">IF(OR(INDEX(Species_Availability,MATCH($N357,Species_Names,0))="No",INDEX(Species_Evo_Numbers,MATCH($N357,Species_Names,0))&lt;&gt;1),"N/A",RANK($Y357,IF(NOT(ISNA(MATCH(Combo_Species_Names,IF(Species_Availability="Yes",IF(Species_Evo_Numbers=1,Species_Names)),0))),Combo_Gym_Defense),0))</f>
        <v>#VALUE!</v>
      </c>
      <c r="L357" s="24" t="e">
        <f t="array" ref="L357">IF(OR(INDEX(Species_Availability,MATCH($N357,Species_Names,0))="No",INDEX(Species_Evo_Numbers,MATCH($N357,Species_Names,0))&lt;&gt;1),"N/A",$Y357/MAX(IF(NOT(ISNA(MATCH(Combo_Species_Names,IF(Species_Availability="Yes",IF(Species_Evo_Numbers=1,Species_Names)),0))),Combo_Gym_Defense)))</f>
        <v>#VALUE!</v>
      </c>
      <c r="M357" s="28">
        <f t="array" ref="M357">INDEX(Species_Pdex_Numbers,MATCH($N357,Species_Names,0))</f>
        <v>105</v>
      </c>
      <c r="N357" s="30" t="s">
        <v>313</v>
      </c>
      <c r="O357" s="31" t="s">
        <v>97</v>
      </c>
      <c r="P357" s="31" t="s">
        <v>224</v>
      </c>
      <c r="Q357" s="17" t="e">
        <f t="shared" si="10"/>
        <v>#VALUE!</v>
      </c>
      <c r="R357" s="32" t="e">
        <f t="array" ref="R357">IF(OR(AND(COUNTBLANK(Combo_Opponent_Type_1)=1,COUNTBLANK(Combo_Opponent_Type_2)=0),AND(AND(COUNTBLANK(Combo_Opponent_Type_1)=0,COUNTBLANK(Combo_Opponent_Type_2)=0),Combo_Opponent_Type_1=Combo_Opponent_Type_2)),
"Check Types",($S357*INDEX(Species_Tankiness,MATCH($N357,Species_Names,0)))/225)</f>
        <v>#VALUE!</v>
      </c>
      <c r="S357" s="32" t="e">
        <f t="array" ref="S357">IF(OR(AND(COUNTBLANK(Combo_Opponent_Type_1)=1,COUNTBLANK(Combo_Opponent_Type_2)=0),AND(AND(COUNTBLANK(Combo_Opponent_Type_1)=0,COUNTBLANK(Combo_Opponent_Type_2)=0),Combo_Opponent_Type_1=Combo_Opponent_Type_2)),
"Check Types",(
IF($W357&gt;=((1-Game_Weave_Human_Error)*$X357),$W357,$X357)*INDEX(Species_Attack,MATCH($N357,Species_Names,0)))/11)</f>
        <v>#VALUE!</v>
      </c>
      <c r="T357" s="33" t="e">
        <f t="shared" si="11"/>
        <v>#VALUE!</v>
      </c>
      <c r="U357" s="33">
        <f t="array" ref="U3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357,Quick_Names,0))),Type_Species)),0),1)*IF(COUNTBLANK(Combo_Opponent_Type_2)=0,INDEX(Type_Damage_Multipliers,MATCH(Combo_Opponent_Type_2,IF(Type_Move=(INDEX(Quick_Type,MATCH($O357,Quick_Names,0))),Type_Species)),0),1)*(IF(OR(INDEX(Quick_Type,MATCH($O357,Quick_Names,0))=INDEX(Species_Type_1,MATCH($N357,Species_Names,0)),INDEX(Quick_Type,MATCH($O357,Quick_Names,0))=INDEX(Species_Type_2,MATCH($N357,Species_Names,0))),Game_STAB_Multiplier,1)))</f>
        <v>1</v>
      </c>
      <c r="V357" s="33">
        <f t="array" ref="V3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357,Charge_Names,0))),Type_Species)),0),1)*IF(COUNTBLANK(Combo_Opponent_Type_2)=0,INDEX(Type_Damage_Multipliers,MATCH(Combo_Opponent_Type_2,IF(Type_Move=(INDEX(Charge_Type,MATCH($P357,Charge_Names,0))),Type_Species)),0),1)*
IF(OR(INDEX(Charge_Type,MATCH($P357,Charge_Names,0))=INDEX(Species_Type_1,MATCH($N357,Species_Names,0)),INDEX(Charge_Type,MATCH($P357,Charge_Names,0))=INDEX(Species_Type_2,MATCH($N357,Species_Names,0))),Game_STAB_Multiplier,1))</f>
        <v>1.25</v>
      </c>
      <c r="W357" s="33" t="s">
        <v>577</v>
      </c>
      <c r="X357" s="33" t="s">
        <v>453</v>
      </c>
      <c r="Y357" s="32" t="e">
        <f t="array" ref="Y357">((($Z357)*
INDEX(Species_Attack,MATCH($N357,Species_Names,0))*
INDEX(Species_Tankiness,MATCH($N357,Species_Names,0)))/1000)</f>
        <v>#VALUE!</v>
      </c>
      <c r="Z357" s="33" t="s">
        <v>433</v>
      </c>
    </row>
    <row r="358" spans="1:26" ht="14.25" customHeight="1" x14ac:dyDescent="0.2">
      <c r="A358" s="86"/>
      <c r="B358" s="22" t="str">
        <f t="array" ref="B358">CONCATENATE(TEXT($M358,"000"),".",TEXT(INDEX(Quick_Number,MATCH($O358,Quick_Names,0)),"000"),".",TEXT(INDEX(Charge_Number,MATCH($P358,Charge_Names,0)),"000"))</f>
        <v>022.239.046</v>
      </c>
      <c r="C358" s="23" t="e">
        <f t="array" ref="C358">RANK($S358,IF(Combo_Species_Names=$N358,Combo_Gym_Offense),0)</f>
        <v>#VALUE!</v>
      </c>
      <c r="D358" s="24" t="e">
        <f t="array" ref="D358">$S358/MAX(IF(Combo_Species_Names=$N358,Combo_Gym_Offense))</f>
        <v>#VALUE!</v>
      </c>
      <c r="E358" s="23" t="e">
        <f t="array" ref="E358">RANK($Y358,IF(Combo_Species_Names=$N358,Combo_Gym_Defense),0)</f>
        <v>#VALUE!</v>
      </c>
      <c r="F358" s="25" t="e">
        <f t="array" ref="F358">$Y358/MAX(IF(Combo_Species_Names=$N358,Combo_Gym_Defense))</f>
        <v>#VALUE!</v>
      </c>
      <c r="G358" s="23" t="e">
        <f t="array" ref="G358">IF(OR(INDEX(Species_Availability,MATCH($N358,Species_Names,0))="No",INDEX(Species_Evo_Numbers,MATCH($N358,Species_Names,0))&lt;&gt;1),"N/A",RANK($R358,IF(NOT(ISNA(MATCH(Combo_Species_Names,IF(Species_Availability="Yes",IF(Species_Evo_Numbers=1,Species_Names)),0))),Combo_Duel_Ability),0))</f>
        <v>#VALUE!</v>
      </c>
      <c r="H358" s="24" t="e">
        <f t="array" ref="H358">IF(OR(INDEX(Species_Availability,MATCH($N358,Species_Names,0))="No",INDEX(Species_Evo_Numbers,MATCH($N358,Species_Names,0))&lt;&gt;1),"N/A",$R358/MAX(IF(NOT(ISNA(MATCH(Combo_Species_Names,IF(Species_Availability="Yes",IF(Species_Evo_Numbers=1,Species_Names)),0))),Combo_Duel_Ability)))</f>
        <v>#VALUE!</v>
      </c>
      <c r="I358" s="23" t="e">
        <f t="array" ref="I358">IF(OR(INDEX(Species_Availability,MATCH($N358,Species_Names,0))="No",INDEX(Species_Evo_Numbers,MATCH($N358,Species_Names,0))&lt;&gt;1),"N/A",RANK($S358,IF(NOT(ISNA(MATCH(Combo_Species_Names,IF(Species_Availability="Yes",IF(Species_Evo_Numbers=1,Species_Names)),0))),Combo_Gym_Offense),0))</f>
        <v>#VALUE!</v>
      </c>
      <c r="J358" s="24" t="e">
        <f t="array" ref="J358">IF(OR(INDEX(Species_Availability,MATCH($N358,Species_Names,0))="No",INDEX(Species_Evo_Numbers,MATCH($N358,Species_Names,0))&lt;&gt;1),"N/A",$S358/MAX(IF(NOT(ISNA(MATCH(Combo_Species_Names,IF(Species_Availability="Yes",IF(Species_Evo_Numbers=1,Species_Names)),0))),Combo_Gym_Offense)))</f>
        <v>#VALUE!</v>
      </c>
      <c r="K358" s="23" t="e">
        <f t="array" ref="K358">IF(OR(INDEX(Species_Availability,MATCH($N358,Species_Names,0))="No",INDEX(Species_Evo_Numbers,MATCH($N358,Species_Names,0))&lt;&gt;1),"N/A",RANK($Y358,IF(NOT(ISNA(MATCH(Combo_Species_Names,IF(Species_Availability="Yes",IF(Species_Evo_Numbers=1,Species_Names)),0))),Combo_Gym_Defense),0))</f>
        <v>#VALUE!</v>
      </c>
      <c r="L358" s="24" t="e">
        <f t="array" ref="L358">IF(OR(INDEX(Species_Availability,MATCH($N358,Species_Names,0))="No",INDEX(Species_Evo_Numbers,MATCH($N358,Species_Names,0))&lt;&gt;1),"N/A",$Y358/MAX(IF(NOT(ISNA(MATCH(Combo_Species_Names,IF(Species_Availability="Yes",IF(Species_Evo_Numbers=1,Species_Names)),0))),Combo_Gym_Defense)))</f>
        <v>#VALUE!</v>
      </c>
      <c r="M358" s="28">
        <f t="array" ref="M358">INDEX(Species_Pdex_Numbers,MATCH($N358,Species_Names,0))</f>
        <v>22</v>
      </c>
      <c r="N358" s="30" t="s">
        <v>132</v>
      </c>
      <c r="O358" s="31" t="s">
        <v>80</v>
      </c>
      <c r="P358" s="31" t="s">
        <v>220</v>
      </c>
      <c r="Q358" s="17" t="e">
        <f t="shared" si="10"/>
        <v>#VALUE!</v>
      </c>
      <c r="R358" s="32" t="e">
        <f t="array" ref="R358">IF(OR(AND(COUNTBLANK(Combo_Opponent_Type_1)=1,COUNTBLANK(Combo_Opponent_Type_2)=0),AND(AND(COUNTBLANK(Combo_Opponent_Type_1)=0,COUNTBLANK(Combo_Opponent_Type_2)=0),Combo_Opponent_Type_1=Combo_Opponent_Type_2)),
"Check Types",($S358*INDEX(Species_Tankiness,MATCH($N358,Species_Names,0)))/225)</f>
        <v>#VALUE!</v>
      </c>
      <c r="S358" s="32" t="e">
        <f t="array" ref="S358">IF(OR(AND(COUNTBLANK(Combo_Opponent_Type_1)=1,COUNTBLANK(Combo_Opponent_Type_2)=0),AND(AND(COUNTBLANK(Combo_Opponent_Type_1)=0,COUNTBLANK(Combo_Opponent_Type_2)=0),Combo_Opponent_Type_1=Combo_Opponent_Type_2)),
"Check Types",(
IF($W358&gt;=((1-Game_Weave_Human_Error)*$X358),$W358,$X358)*INDEX(Species_Attack,MATCH($N358,Species_Names,0)))/11)</f>
        <v>#VALUE!</v>
      </c>
      <c r="T358" s="33" t="e">
        <f t="shared" si="11"/>
        <v>#VALUE!</v>
      </c>
      <c r="U358" s="33">
        <f t="array" ref="U3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358,Quick_Names,0))),Type_Species)),0),1)*IF(COUNTBLANK(Combo_Opponent_Type_2)=0,INDEX(Type_Damage_Multipliers,MATCH(Combo_Opponent_Type_2,IF(Type_Move=(INDEX(Quick_Type,MATCH($O358,Quick_Names,0))),Type_Species)),0),1)*(IF(OR(INDEX(Quick_Type,MATCH($O358,Quick_Names,0))=INDEX(Species_Type_1,MATCH($N358,Species_Names,0)),INDEX(Quick_Type,MATCH($O358,Quick_Names,0))=INDEX(Species_Type_2,MATCH($N358,Species_Names,0))),Game_STAB_Multiplier,1)))</f>
        <v>1</v>
      </c>
      <c r="V358" s="33">
        <f t="array" ref="V3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358,Charge_Names,0))),Type_Species)),0),1)*IF(COUNTBLANK(Combo_Opponent_Type_2)=0,INDEX(Type_Damage_Multipliers,MATCH(Combo_Opponent_Type_2,IF(Type_Move=(INDEX(Charge_Type,MATCH($P358,Charge_Names,0))),Type_Species)),0),1)*
IF(OR(INDEX(Charge_Type,MATCH($P358,Charge_Names,0))=INDEX(Species_Type_1,MATCH($N358,Species_Names,0)),INDEX(Charge_Type,MATCH($P358,Charge_Names,0))=INDEX(Species_Type_2,MATCH($N358,Species_Names,0))),Game_STAB_Multiplier,1))</f>
        <v>1</v>
      </c>
      <c r="W358" s="33" t="s">
        <v>441</v>
      </c>
      <c r="X358" s="33" t="s">
        <v>501</v>
      </c>
      <c r="Y358" s="32" t="e">
        <f t="array" ref="Y358">((($Z358)*
INDEX(Species_Attack,MATCH($N358,Species_Names,0))*
INDEX(Species_Tankiness,MATCH($N358,Species_Names,0)))/1000)</f>
        <v>#VALUE!</v>
      </c>
      <c r="Z358" s="33" t="s">
        <v>870</v>
      </c>
    </row>
    <row r="359" spans="1:26" ht="14.25" customHeight="1" x14ac:dyDescent="0.2">
      <c r="A359" s="86"/>
      <c r="B359" s="22" t="str">
        <f t="array" ref="B359">CONCATENATE(TEXT($M359,"000"),".",TEXT(INDEX(Quick_Number,MATCH($O359,Quick_Names,0)),"000"),".",TEXT(INDEX(Charge_Number,MATCH($P359,Charge_Names,0)),"000"))</f>
        <v>099.216.100</v>
      </c>
      <c r="C359" s="23" t="e">
        <f t="array" ref="C359">RANK($S359,IF(Combo_Species_Names=$N359,Combo_Gym_Offense),0)</f>
        <v>#VALUE!</v>
      </c>
      <c r="D359" s="24" t="e">
        <f t="array" ref="D359">$S359/MAX(IF(Combo_Species_Names=$N359,Combo_Gym_Offense))</f>
        <v>#VALUE!</v>
      </c>
      <c r="E359" s="23" t="e">
        <f t="array" ref="E359">RANK($Y359,IF(Combo_Species_Names=$N359,Combo_Gym_Defense),0)</f>
        <v>#VALUE!</v>
      </c>
      <c r="F359" s="25" t="e">
        <f t="array" ref="F359">$Y359/MAX(IF(Combo_Species_Names=$N359,Combo_Gym_Defense))</f>
        <v>#VALUE!</v>
      </c>
      <c r="G359" s="23" t="e">
        <f t="array" ref="G359">IF(OR(INDEX(Species_Availability,MATCH($N359,Species_Names,0))="No",INDEX(Species_Evo_Numbers,MATCH($N359,Species_Names,0))&lt;&gt;1),"N/A",RANK($R359,IF(NOT(ISNA(MATCH(Combo_Species_Names,IF(Species_Availability="Yes",IF(Species_Evo_Numbers=1,Species_Names)),0))),Combo_Duel_Ability),0))</f>
        <v>#VALUE!</v>
      </c>
      <c r="H359" s="24" t="e">
        <f t="array" ref="H359">IF(OR(INDEX(Species_Availability,MATCH($N359,Species_Names,0))="No",INDEX(Species_Evo_Numbers,MATCH($N359,Species_Names,0))&lt;&gt;1),"N/A",$R359/MAX(IF(NOT(ISNA(MATCH(Combo_Species_Names,IF(Species_Availability="Yes",IF(Species_Evo_Numbers=1,Species_Names)),0))),Combo_Duel_Ability)))</f>
        <v>#VALUE!</v>
      </c>
      <c r="I359" s="23" t="e">
        <f t="array" ref="I359">IF(OR(INDEX(Species_Availability,MATCH($N359,Species_Names,0))="No",INDEX(Species_Evo_Numbers,MATCH($N359,Species_Names,0))&lt;&gt;1),"N/A",RANK($S359,IF(NOT(ISNA(MATCH(Combo_Species_Names,IF(Species_Availability="Yes",IF(Species_Evo_Numbers=1,Species_Names)),0))),Combo_Gym_Offense),0))</f>
        <v>#VALUE!</v>
      </c>
      <c r="J359" s="24" t="e">
        <f t="array" ref="J359">IF(OR(INDEX(Species_Availability,MATCH($N359,Species_Names,0))="No",INDEX(Species_Evo_Numbers,MATCH($N359,Species_Names,0))&lt;&gt;1),"N/A",$S359/MAX(IF(NOT(ISNA(MATCH(Combo_Species_Names,IF(Species_Availability="Yes",IF(Species_Evo_Numbers=1,Species_Names)),0))),Combo_Gym_Offense)))</f>
        <v>#VALUE!</v>
      </c>
      <c r="K359" s="23" t="e">
        <f t="array" ref="K359">IF(OR(INDEX(Species_Availability,MATCH($N359,Species_Names,0))="No",INDEX(Species_Evo_Numbers,MATCH($N359,Species_Names,0))&lt;&gt;1),"N/A",RANK($Y359,IF(NOT(ISNA(MATCH(Combo_Species_Names,IF(Species_Availability="Yes",IF(Species_Evo_Numbers=1,Species_Names)),0))),Combo_Gym_Defense),0))</f>
        <v>#VALUE!</v>
      </c>
      <c r="L359" s="24" t="e">
        <f t="array" ref="L359">IF(OR(INDEX(Species_Availability,MATCH($N359,Species_Names,0))="No",INDEX(Species_Evo_Numbers,MATCH($N359,Species_Names,0))&lt;&gt;1),"N/A",$Y359/MAX(IF(NOT(ISNA(MATCH(Combo_Species_Names,IF(Species_Availability="Yes",IF(Species_Evo_Numbers=1,Species_Names)),0))),Combo_Gym_Defense)))</f>
        <v>#VALUE!</v>
      </c>
      <c r="M359" s="28">
        <f t="array" ref="M359">INDEX(Species_Pdex_Numbers,MATCH($N359,Species_Names,0))</f>
        <v>99</v>
      </c>
      <c r="N359" s="30" t="s">
        <v>298</v>
      </c>
      <c r="O359" s="31" t="s">
        <v>89</v>
      </c>
      <c r="P359" s="31" t="s">
        <v>218</v>
      </c>
      <c r="Q359" s="17" t="e">
        <f t="shared" si="10"/>
        <v>#VALUE!</v>
      </c>
      <c r="R359" s="32" t="e">
        <f t="array" ref="R359">IF(OR(AND(COUNTBLANK(Combo_Opponent_Type_1)=1,COUNTBLANK(Combo_Opponent_Type_2)=0),AND(AND(COUNTBLANK(Combo_Opponent_Type_1)=0,COUNTBLANK(Combo_Opponent_Type_2)=0),Combo_Opponent_Type_1=Combo_Opponent_Type_2)),
"Check Types",($S359*INDEX(Species_Tankiness,MATCH($N359,Species_Names,0)))/225)</f>
        <v>#VALUE!</v>
      </c>
      <c r="S359" s="32" t="e">
        <f t="array" ref="S359">IF(OR(AND(COUNTBLANK(Combo_Opponent_Type_1)=1,COUNTBLANK(Combo_Opponent_Type_2)=0),AND(AND(COUNTBLANK(Combo_Opponent_Type_1)=0,COUNTBLANK(Combo_Opponent_Type_2)=0),Combo_Opponent_Type_1=Combo_Opponent_Type_2)),
"Check Types",(
IF($W359&gt;=((1-Game_Weave_Human_Error)*$X359),$W359,$X359)*INDEX(Species_Attack,MATCH($N359,Species_Names,0)))/11)</f>
        <v>#VALUE!</v>
      </c>
      <c r="T359" s="33" t="e">
        <f t="shared" si="11"/>
        <v>#VALUE!</v>
      </c>
      <c r="U359" s="33">
        <f t="array" ref="U3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359,Quick_Names,0))),Type_Species)),0),1)*IF(COUNTBLANK(Combo_Opponent_Type_2)=0,INDEX(Type_Damage_Multipliers,MATCH(Combo_Opponent_Type_2,IF(Type_Move=(INDEX(Quick_Type,MATCH($O359,Quick_Names,0))),Type_Species)),0),1)*(IF(OR(INDEX(Quick_Type,MATCH($O359,Quick_Names,0))=INDEX(Species_Type_1,MATCH($N359,Species_Names,0)),INDEX(Quick_Type,MATCH($O359,Quick_Names,0))=INDEX(Species_Type_2,MATCH($N359,Species_Names,0))),Game_STAB_Multiplier,1)))</f>
        <v>1</v>
      </c>
      <c r="V359" s="33">
        <f t="array" ref="V3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359,Charge_Names,0))),Type_Species)),0),1)*IF(COUNTBLANK(Combo_Opponent_Type_2)=0,INDEX(Type_Damage_Multipliers,MATCH(Combo_Opponent_Type_2,IF(Type_Move=(INDEX(Charge_Type,MATCH($P359,Charge_Names,0))),Type_Species)),0),1)*
IF(OR(INDEX(Charge_Type,MATCH($P359,Charge_Names,0))=INDEX(Species_Type_1,MATCH($N359,Species_Names,0)),INDEX(Charge_Type,MATCH($P359,Charge_Names,0))=INDEX(Species_Type_2,MATCH($N359,Species_Names,0))),Game_STAB_Multiplier,1))</f>
        <v>1</v>
      </c>
      <c r="W359" s="33" t="s">
        <v>518</v>
      </c>
      <c r="X359" s="33" t="s">
        <v>871</v>
      </c>
      <c r="Y359" s="32" t="e">
        <f t="array" ref="Y359">((($Z359)*
INDEX(Species_Attack,MATCH($N359,Species_Names,0))*
INDEX(Species_Tankiness,MATCH($N359,Species_Names,0)))/1000)</f>
        <v>#VALUE!</v>
      </c>
      <c r="Z359" s="33" t="s">
        <v>872</v>
      </c>
    </row>
    <row r="360" spans="1:26" ht="14.25" customHeight="1" x14ac:dyDescent="0.2">
      <c r="A360" s="86"/>
      <c r="B360" s="22" t="str">
        <f t="array" ref="B360">CONCATENATE(TEXT($M360,"000"),".",TEXT(INDEX(Quick_Number,MATCH($O360,Quick_Names,0)),"000"),".",TEXT(INDEX(Charge_Number,MATCH($P360,Charge_Names,0)),"000"))</f>
        <v>122.234.108</v>
      </c>
      <c r="C360" s="23" t="e">
        <f t="array" ref="C360">RANK($S360,IF(Combo_Species_Names=$N360,Combo_Gym_Offense),0)</f>
        <v>#VALUE!</v>
      </c>
      <c r="D360" s="24" t="e">
        <f t="array" ref="D360">$S360/MAX(IF(Combo_Species_Names=$N360,Combo_Gym_Offense))</f>
        <v>#VALUE!</v>
      </c>
      <c r="E360" s="23" t="e">
        <f t="array" ref="E360">RANK($Y360,IF(Combo_Species_Names=$N360,Combo_Gym_Defense),0)</f>
        <v>#VALUE!</v>
      </c>
      <c r="F360" s="25" t="e">
        <f t="array" ref="F360">$Y360/MAX(IF(Combo_Species_Names=$N360,Combo_Gym_Defense))</f>
        <v>#VALUE!</v>
      </c>
      <c r="G360" s="23" t="e">
        <f t="array" ref="G360">IF(OR(INDEX(Species_Availability,MATCH($N360,Species_Names,0))="No",INDEX(Species_Evo_Numbers,MATCH($N360,Species_Names,0))&lt;&gt;1),"N/A",RANK($R360,IF(NOT(ISNA(MATCH(Combo_Species_Names,IF(Species_Availability="Yes",IF(Species_Evo_Numbers=1,Species_Names)),0))),Combo_Duel_Ability),0))</f>
        <v>#VALUE!</v>
      </c>
      <c r="H360" s="24" t="e">
        <f t="array" ref="H360">IF(OR(INDEX(Species_Availability,MATCH($N360,Species_Names,0))="No",INDEX(Species_Evo_Numbers,MATCH($N360,Species_Names,0))&lt;&gt;1),"N/A",$R360/MAX(IF(NOT(ISNA(MATCH(Combo_Species_Names,IF(Species_Availability="Yes",IF(Species_Evo_Numbers=1,Species_Names)),0))),Combo_Duel_Ability)))</f>
        <v>#VALUE!</v>
      </c>
      <c r="I360" s="23" t="e">
        <f t="array" ref="I360">IF(OR(INDEX(Species_Availability,MATCH($N360,Species_Names,0))="No",INDEX(Species_Evo_Numbers,MATCH($N360,Species_Names,0))&lt;&gt;1),"N/A",RANK($S360,IF(NOT(ISNA(MATCH(Combo_Species_Names,IF(Species_Availability="Yes",IF(Species_Evo_Numbers=1,Species_Names)),0))),Combo_Gym_Offense),0))</f>
        <v>#VALUE!</v>
      </c>
      <c r="J360" s="24" t="e">
        <f t="array" ref="J360">IF(OR(INDEX(Species_Availability,MATCH($N360,Species_Names,0))="No",INDEX(Species_Evo_Numbers,MATCH($N360,Species_Names,0))&lt;&gt;1),"N/A",$S360/MAX(IF(NOT(ISNA(MATCH(Combo_Species_Names,IF(Species_Availability="Yes",IF(Species_Evo_Numbers=1,Species_Names)),0))),Combo_Gym_Offense)))</f>
        <v>#VALUE!</v>
      </c>
      <c r="K360" s="23" t="e">
        <f t="array" ref="K360">IF(OR(INDEX(Species_Availability,MATCH($N360,Species_Names,0))="No",INDEX(Species_Evo_Numbers,MATCH($N360,Species_Names,0))&lt;&gt;1),"N/A",RANK($Y360,IF(NOT(ISNA(MATCH(Combo_Species_Names,IF(Species_Availability="Yes",IF(Species_Evo_Numbers=1,Species_Names)),0))),Combo_Gym_Defense),0))</f>
        <v>#VALUE!</v>
      </c>
      <c r="L360" s="24" t="e">
        <f t="array" ref="L360">IF(OR(INDEX(Species_Availability,MATCH($N360,Species_Names,0))="No",INDEX(Species_Evo_Numbers,MATCH($N360,Species_Names,0))&lt;&gt;1),"N/A",$Y360/MAX(IF(NOT(ISNA(MATCH(Combo_Species_Names,IF(Species_Availability="Yes",IF(Species_Evo_Numbers=1,Species_Names)),0))),Combo_Gym_Defense)))</f>
        <v>#VALUE!</v>
      </c>
      <c r="M360" s="28">
        <f t="array" ref="M360">INDEX(Species_Pdex_Numbers,MATCH($N360,Species_Names,0))</f>
        <v>122</v>
      </c>
      <c r="N360" s="30" t="s">
        <v>339</v>
      </c>
      <c r="O360" s="31" t="s">
        <v>79</v>
      </c>
      <c r="P360" s="31" t="s">
        <v>58</v>
      </c>
      <c r="Q360" s="17" t="e">
        <f t="shared" si="10"/>
        <v>#VALUE!</v>
      </c>
      <c r="R360" s="32" t="e">
        <f t="array" ref="R360">IF(OR(AND(COUNTBLANK(Combo_Opponent_Type_1)=1,COUNTBLANK(Combo_Opponent_Type_2)=0),AND(AND(COUNTBLANK(Combo_Opponent_Type_1)=0,COUNTBLANK(Combo_Opponent_Type_2)=0),Combo_Opponent_Type_1=Combo_Opponent_Type_2)),
"Check Types",($S360*INDEX(Species_Tankiness,MATCH($N360,Species_Names,0)))/225)</f>
        <v>#VALUE!</v>
      </c>
      <c r="S360" s="32" t="e">
        <f t="array" ref="S360">IF(OR(AND(COUNTBLANK(Combo_Opponent_Type_1)=1,COUNTBLANK(Combo_Opponent_Type_2)=0),AND(AND(COUNTBLANK(Combo_Opponent_Type_1)=0,COUNTBLANK(Combo_Opponent_Type_2)=0),Combo_Opponent_Type_1=Combo_Opponent_Type_2)),
"Check Types",(
IF($W360&gt;=((1-Game_Weave_Human_Error)*$X360),$W360,$X360)*INDEX(Species_Attack,MATCH($N360,Species_Names,0)))/11)</f>
        <v>#VALUE!</v>
      </c>
      <c r="T360" s="33" t="e">
        <f t="shared" si="11"/>
        <v>#VALUE!</v>
      </c>
      <c r="U360" s="33">
        <f t="array" ref="U3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360,Quick_Names,0))),Type_Species)),0),1)*IF(COUNTBLANK(Combo_Opponent_Type_2)=0,INDEX(Type_Damage_Multipliers,MATCH(Combo_Opponent_Type_2,IF(Type_Move=(INDEX(Quick_Type,MATCH($O360,Quick_Names,0))),Type_Species)),0),1)*(IF(OR(INDEX(Quick_Type,MATCH($O360,Quick_Names,0))=INDEX(Species_Type_1,MATCH($N360,Species_Names,0)),INDEX(Quick_Type,MATCH($O360,Quick_Names,0))=INDEX(Species_Type_2,MATCH($N360,Species_Names,0))),Game_STAB_Multiplier,1)))</f>
        <v>1.25</v>
      </c>
      <c r="V360" s="33">
        <f t="array" ref="V3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360,Charge_Names,0))),Type_Species)),0),1)*IF(COUNTBLANK(Combo_Opponent_Type_2)=0,INDEX(Type_Damage_Multipliers,MATCH(Combo_Opponent_Type_2,IF(Type_Move=(INDEX(Charge_Type,MATCH($P360,Charge_Names,0))),Type_Species)),0),1)*
IF(OR(INDEX(Charge_Type,MATCH($P360,Charge_Names,0))=INDEX(Species_Type_1,MATCH($N360,Species_Names,0)),INDEX(Charge_Type,MATCH($P360,Charge_Names,0))=INDEX(Species_Type_2,MATCH($N360,Species_Names,0))),Game_STAB_Multiplier,1))</f>
        <v>1.25</v>
      </c>
      <c r="W360" s="33" t="s">
        <v>446</v>
      </c>
      <c r="X360" s="33" t="s">
        <v>470</v>
      </c>
      <c r="Y360" s="32" t="e">
        <f t="array" ref="Y360">((($Z360)*
INDEX(Species_Attack,MATCH($N360,Species_Names,0))*
INDEX(Species_Tankiness,MATCH($N360,Species_Names,0)))/1000)</f>
        <v>#VALUE!</v>
      </c>
      <c r="Z360" s="33" t="s">
        <v>471</v>
      </c>
    </row>
    <row r="361" spans="1:26" ht="14.25" customHeight="1" x14ac:dyDescent="0.2">
      <c r="A361" s="86"/>
      <c r="B361" s="22" t="str">
        <f t="array" ref="B361">CONCATENATE(TEXT($M361,"000"),".",TEXT(INDEX(Quick_Number,MATCH($O361,Quick_Names,0)),"000"),".",TEXT(INDEX(Charge_Number,MATCH($P361,Charge_Names,0)),"000"))</f>
        <v>024.202.016</v>
      </c>
      <c r="C361" s="23" t="e">
        <f t="array" ref="C361">RANK($S361,IF(Combo_Species_Names=$N361,Combo_Gym_Offense),0)</f>
        <v>#VALUE!</v>
      </c>
      <c r="D361" s="24" t="e">
        <f t="array" ref="D361">$S361/MAX(IF(Combo_Species_Names=$N361,Combo_Gym_Offense))</f>
        <v>#VALUE!</v>
      </c>
      <c r="E361" s="23" t="e">
        <f t="array" ref="E361">RANK($Y361,IF(Combo_Species_Names=$N361,Combo_Gym_Defense),0)</f>
        <v>#VALUE!</v>
      </c>
      <c r="F361" s="25" t="e">
        <f t="array" ref="F361">$Y361/MAX(IF(Combo_Species_Names=$N361,Combo_Gym_Defense))</f>
        <v>#VALUE!</v>
      </c>
      <c r="G361" s="23" t="e">
        <f t="array" ref="G361">IF(OR(INDEX(Species_Availability,MATCH($N361,Species_Names,0))="No",INDEX(Species_Evo_Numbers,MATCH($N361,Species_Names,0))&lt;&gt;1),"N/A",RANK($R361,IF(NOT(ISNA(MATCH(Combo_Species_Names,IF(Species_Availability="Yes",IF(Species_Evo_Numbers=1,Species_Names)),0))),Combo_Duel_Ability),0))</f>
        <v>#VALUE!</v>
      </c>
      <c r="H361" s="24" t="e">
        <f t="array" ref="H361">IF(OR(INDEX(Species_Availability,MATCH($N361,Species_Names,0))="No",INDEX(Species_Evo_Numbers,MATCH($N361,Species_Names,0))&lt;&gt;1),"N/A",$R361/MAX(IF(NOT(ISNA(MATCH(Combo_Species_Names,IF(Species_Availability="Yes",IF(Species_Evo_Numbers=1,Species_Names)),0))),Combo_Duel_Ability)))</f>
        <v>#VALUE!</v>
      </c>
      <c r="I361" s="23" t="e">
        <f t="array" ref="I361">IF(OR(INDEX(Species_Availability,MATCH($N361,Species_Names,0))="No",INDEX(Species_Evo_Numbers,MATCH($N361,Species_Names,0))&lt;&gt;1),"N/A",RANK($S361,IF(NOT(ISNA(MATCH(Combo_Species_Names,IF(Species_Availability="Yes",IF(Species_Evo_Numbers=1,Species_Names)),0))),Combo_Gym_Offense),0))</f>
        <v>#VALUE!</v>
      </c>
      <c r="J361" s="24" t="e">
        <f t="array" ref="J361">IF(OR(INDEX(Species_Availability,MATCH($N361,Species_Names,0))="No",INDEX(Species_Evo_Numbers,MATCH($N361,Species_Names,0))&lt;&gt;1),"N/A",$S361/MAX(IF(NOT(ISNA(MATCH(Combo_Species_Names,IF(Species_Availability="Yes",IF(Species_Evo_Numbers=1,Species_Names)),0))),Combo_Gym_Offense)))</f>
        <v>#VALUE!</v>
      </c>
      <c r="K361" s="23" t="e">
        <f t="array" ref="K361">IF(OR(INDEX(Species_Availability,MATCH($N361,Species_Names,0))="No",INDEX(Species_Evo_Numbers,MATCH($N361,Species_Names,0))&lt;&gt;1),"N/A",RANK($Y361,IF(NOT(ISNA(MATCH(Combo_Species_Names,IF(Species_Availability="Yes",IF(Species_Evo_Numbers=1,Species_Names)),0))),Combo_Gym_Defense),0))</f>
        <v>#VALUE!</v>
      </c>
      <c r="L361" s="24" t="e">
        <f t="array" ref="L361">IF(OR(INDEX(Species_Availability,MATCH($N361,Species_Names,0))="No",INDEX(Species_Evo_Numbers,MATCH($N361,Species_Names,0))&lt;&gt;1),"N/A",$Y361/MAX(IF(NOT(ISNA(MATCH(Combo_Species_Names,IF(Species_Availability="Yes",IF(Species_Evo_Numbers=1,Species_Names)),0))),Combo_Gym_Defense)))</f>
        <v>#VALUE!</v>
      </c>
      <c r="M361" s="28">
        <f t="array" ref="M361">INDEX(Species_Pdex_Numbers,MATCH($N361,Species_Names,0))</f>
        <v>24</v>
      </c>
      <c r="N361" s="30" t="s">
        <v>134</v>
      </c>
      <c r="O361" s="31" t="s">
        <v>59</v>
      </c>
      <c r="P361" s="31" t="s">
        <v>258</v>
      </c>
      <c r="Q361" s="17" t="e">
        <f t="shared" si="10"/>
        <v>#VALUE!</v>
      </c>
      <c r="R361" s="32" t="e">
        <f t="array" ref="R361">IF(OR(AND(COUNTBLANK(Combo_Opponent_Type_1)=1,COUNTBLANK(Combo_Opponent_Type_2)=0),AND(AND(COUNTBLANK(Combo_Opponent_Type_1)=0,COUNTBLANK(Combo_Opponent_Type_2)=0),Combo_Opponent_Type_1=Combo_Opponent_Type_2)),
"Check Types",($S361*INDEX(Species_Tankiness,MATCH($N361,Species_Names,0)))/225)</f>
        <v>#VALUE!</v>
      </c>
      <c r="S361" s="32" t="e">
        <f t="array" ref="S361">IF(OR(AND(COUNTBLANK(Combo_Opponent_Type_1)=1,COUNTBLANK(Combo_Opponent_Type_2)=0),AND(AND(COUNTBLANK(Combo_Opponent_Type_1)=0,COUNTBLANK(Combo_Opponent_Type_2)=0),Combo_Opponent_Type_1=Combo_Opponent_Type_2)),
"Check Types",(
IF($W361&gt;=((1-Game_Weave_Human_Error)*$X361),$W361,$X361)*INDEX(Species_Attack,MATCH($N361,Species_Names,0)))/11)</f>
        <v>#VALUE!</v>
      </c>
      <c r="T361" s="33" t="e">
        <f t="shared" si="11"/>
        <v>#VALUE!</v>
      </c>
      <c r="U361" s="33">
        <f t="array" ref="U3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361,Quick_Names,0))),Type_Species)),0),1)*IF(COUNTBLANK(Combo_Opponent_Type_2)=0,INDEX(Type_Damage_Multipliers,MATCH(Combo_Opponent_Type_2,IF(Type_Move=(INDEX(Quick_Type,MATCH($O361,Quick_Names,0))),Type_Species)),0),1)*(IF(OR(INDEX(Quick_Type,MATCH($O361,Quick_Names,0))=INDEX(Species_Type_1,MATCH($N361,Species_Names,0)),INDEX(Quick_Type,MATCH($O361,Quick_Names,0))=INDEX(Species_Type_2,MATCH($N361,Species_Names,0))),Game_STAB_Multiplier,1)))</f>
        <v>1</v>
      </c>
      <c r="V361" s="33">
        <f t="array" ref="V3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361,Charge_Names,0))),Type_Species)),0),1)*IF(COUNTBLANK(Combo_Opponent_Type_2)=0,INDEX(Type_Damage_Multipliers,MATCH(Combo_Opponent_Type_2,IF(Type_Move=(INDEX(Charge_Type,MATCH($P361,Charge_Names,0))),Type_Species)),0),1)*
IF(OR(INDEX(Charge_Type,MATCH($P361,Charge_Names,0))=INDEX(Species_Type_1,MATCH($N361,Species_Names,0)),INDEX(Charge_Type,MATCH($P361,Charge_Names,0))=INDEX(Species_Type_2,MATCH($N361,Species_Names,0))),Game_STAB_Multiplier,1))</f>
        <v>1</v>
      </c>
      <c r="W361" s="33" t="s">
        <v>453</v>
      </c>
      <c r="X361" s="33" t="s">
        <v>873</v>
      </c>
      <c r="Y361" s="32" t="e">
        <f t="array" ref="Y361">((($Z361)*
INDEX(Species_Attack,MATCH($N361,Species_Names,0))*
INDEX(Species_Tankiness,MATCH($N361,Species_Names,0)))/1000)</f>
        <v>#VALUE!</v>
      </c>
      <c r="Z361" s="33" t="s">
        <v>849</v>
      </c>
    </row>
    <row r="362" spans="1:26" ht="14.25" customHeight="1" x14ac:dyDescent="0.2">
      <c r="A362" s="86"/>
      <c r="B362" s="22" t="str">
        <f t="array" ref="B362">CONCATENATE(TEXT($M362,"000"),".",TEXT(INDEX(Quick_Number,MATCH($O362,Quick_Names,0)),"000"),".",TEXT(INDEX(Charge_Number,MATCH($P362,Charge_Names,0)),"000"))</f>
        <v>053.238.088</v>
      </c>
      <c r="C362" s="23" t="e">
        <f t="array" ref="C362">RANK($S362,IF(Combo_Species_Names=$N362,Combo_Gym_Offense),0)</f>
        <v>#VALUE!</v>
      </c>
      <c r="D362" s="24" t="e">
        <f t="array" ref="D362">$S362/MAX(IF(Combo_Species_Names=$N362,Combo_Gym_Offense))</f>
        <v>#VALUE!</v>
      </c>
      <c r="E362" s="23" t="e">
        <f t="array" ref="E362">RANK($Y362,IF(Combo_Species_Names=$N362,Combo_Gym_Defense),0)</f>
        <v>#VALUE!</v>
      </c>
      <c r="F362" s="25" t="e">
        <f t="array" ref="F362">$Y362/MAX(IF(Combo_Species_Names=$N362,Combo_Gym_Defense))</f>
        <v>#VALUE!</v>
      </c>
      <c r="G362" s="23" t="e">
        <f t="array" ref="G362">IF(OR(INDEX(Species_Availability,MATCH($N362,Species_Names,0))="No",INDEX(Species_Evo_Numbers,MATCH($N362,Species_Names,0))&lt;&gt;1),"N/A",RANK($R362,IF(NOT(ISNA(MATCH(Combo_Species_Names,IF(Species_Availability="Yes",IF(Species_Evo_Numbers=1,Species_Names)),0))),Combo_Duel_Ability),0))</f>
        <v>#VALUE!</v>
      </c>
      <c r="H362" s="24" t="e">
        <f t="array" ref="H362">IF(OR(INDEX(Species_Availability,MATCH($N362,Species_Names,0))="No",INDEX(Species_Evo_Numbers,MATCH($N362,Species_Names,0))&lt;&gt;1),"N/A",$R362/MAX(IF(NOT(ISNA(MATCH(Combo_Species_Names,IF(Species_Availability="Yes",IF(Species_Evo_Numbers=1,Species_Names)),0))),Combo_Duel_Ability)))</f>
        <v>#VALUE!</v>
      </c>
      <c r="I362" s="23" t="e">
        <f t="array" ref="I362">IF(OR(INDEX(Species_Availability,MATCH($N362,Species_Names,0))="No",INDEX(Species_Evo_Numbers,MATCH($N362,Species_Names,0))&lt;&gt;1),"N/A",RANK($S362,IF(NOT(ISNA(MATCH(Combo_Species_Names,IF(Species_Availability="Yes",IF(Species_Evo_Numbers=1,Species_Names)),0))),Combo_Gym_Offense),0))</f>
        <v>#VALUE!</v>
      </c>
      <c r="J362" s="24" t="e">
        <f t="array" ref="J362">IF(OR(INDEX(Species_Availability,MATCH($N362,Species_Names,0))="No",INDEX(Species_Evo_Numbers,MATCH($N362,Species_Names,0))&lt;&gt;1),"N/A",$S362/MAX(IF(NOT(ISNA(MATCH(Combo_Species_Names,IF(Species_Availability="Yes",IF(Species_Evo_Numbers=1,Species_Names)),0))),Combo_Gym_Offense)))</f>
        <v>#VALUE!</v>
      </c>
      <c r="K362" s="23" t="e">
        <f t="array" ref="K362">IF(OR(INDEX(Species_Availability,MATCH($N362,Species_Names,0))="No",INDEX(Species_Evo_Numbers,MATCH($N362,Species_Names,0))&lt;&gt;1),"N/A",RANK($Y362,IF(NOT(ISNA(MATCH(Combo_Species_Names,IF(Species_Availability="Yes",IF(Species_Evo_Numbers=1,Species_Names)),0))),Combo_Gym_Defense),0))</f>
        <v>#VALUE!</v>
      </c>
      <c r="L362" s="24" t="e">
        <f t="array" ref="L362">IF(OR(INDEX(Species_Availability,MATCH($N362,Species_Names,0))="No",INDEX(Species_Evo_Numbers,MATCH($N362,Species_Names,0))&lt;&gt;1),"N/A",$Y362/MAX(IF(NOT(ISNA(MATCH(Combo_Species_Names,IF(Species_Availability="Yes",IF(Species_Evo_Numbers=1,Species_Names)),0))),Combo_Gym_Defense)))</f>
        <v>#VALUE!</v>
      </c>
      <c r="M362" s="28">
        <f t="array" ref="M362">INDEX(Species_Pdex_Numbers,MATCH($N362,Species_Names,0))</f>
        <v>53</v>
      </c>
      <c r="N362" s="30" t="s">
        <v>195</v>
      </c>
      <c r="O362" s="31" t="s">
        <v>76</v>
      </c>
      <c r="P362" s="31" t="s">
        <v>202</v>
      </c>
      <c r="Q362" s="17" t="e">
        <f t="shared" si="10"/>
        <v>#VALUE!</v>
      </c>
      <c r="R362" s="32" t="e">
        <f t="array" ref="R362">IF(OR(AND(COUNTBLANK(Combo_Opponent_Type_1)=1,COUNTBLANK(Combo_Opponent_Type_2)=0),AND(AND(COUNTBLANK(Combo_Opponent_Type_1)=0,COUNTBLANK(Combo_Opponent_Type_2)=0),Combo_Opponent_Type_1=Combo_Opponent_Type_2)),
"Check Types",($S362*INDEX(Species_Tankiness,MATCH($N362,Species_Names,0)))/225)</f>
        <v>#VALUE!</v>
      </c>
      <c r="S362" s="32" t="e">
        <f t="array" ref="S362">IF(OR(AND(COUNTBLANK(Combo_Opponent_Type_1)=1,COUNTBLANK(Combo_Opponent_Type_2)=0),AND(AND(COUNTBLANK(Combo_Opponent_Type_1)=0,COUNTBLANK(Combo_Opponent_Type_2)=0),Combo_Opponent_Type_1=Combo_Opponent_Type_2)),
"Check Types",(
IF($W362&gt;=((1-Game_Weave_Human_Error)*$X362),$W362,$X362)*INDEX(Species_Attack,MATCH($N362,Species_Names,0)))/11)</f>
        <v>#VALUE!</v>
      </c>
      <c r="T362" s="33" t="e">
        <f t="shared" si="11"/>
        <v>#VALUE!</v>
      </c>
      <c r="U362" s="33">
        <f t="array" ref="U3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362,Quick_Names,0))),Type_Species)),0),1)*IF(COUNTBLANK(Combo_Opponent_Type_2)=0,INDEX(Type_Damage_Multipliers,MATCH(Combo_Opponent_Type_2,IF(Type_Move=(INDEX(Quick_Type,MATCH($O362,Quick_Names,0))),Type_Species)),0),1)*(IF(OR(INDEX(Quick_Type,MATCH($O362,Quick_Names,0))=INDEX(Species_Type_1,MATCH($N362,Species_Names,0)),INDEX(Quick_Type,MATCH($O362,Quick_Names,0))=INDEX(Species_Type_2,MATCH($N362,Species_Names,0))),Game_STAB_Multiplier,1)))</f>
        <v>1</v>
      </c>
      <c r="V362" s="33">
        <f t="array" ref="V3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362,Charge_Names,0))),Type_Species)),0),1)*IF(COUNTBLANK(Combo_Opponent_Type_2)=0,INDEX(Type_Damage_Multipliers,MATCH(Combo_Opponent_Type_2,IF(Type_Move=(INDEX(Charge_Type,MATCH($P362,Charge_Names,0))),Type_Species)),0),1)*
IF(OR(INDEX(Charge_Type,MATCH($P362,Charge_Names,0))=INDEX(Species_Type_1,MATCH($N362,Species_Names,0)),INDEX(Charge_Type,MATCH($P362,Charge_Names,0))=INDEX(Species_Type_2,MATCH($N362,Species_Names,0))),Game_STAB_Multiplier,1))</f>
        <v>1</v>
      </c>
      <c r="W362" s="33" t="s">
        <v>589</v>
      </c>
      <c r="X362" s="33" t="s">
        <v>874</v>
      </c>
      <c r="Y362" s="32" t="e">
        <f t="array" ref="Y362">((($Z362)*
INDEX(Species_Attack,MATCH($N362,Species_Names,0))*
INDEX(Species_Tankiness,MATCH($N362,Species_Names,0)))/1000)</f>
        <v>#VALUE!</v>
      </c>
      <c r="Z362" s="33" t="s">
        <v>605</v>
      </c>
    </row>
    <row r="363" spans="1:26" ht="14.25" customHeight="1" x14ac:dyDescent="0.2">
      <c r="A363" s="86"/>
      <c r="B363" s="22" t="str">
        <f t="array" ref="B363">CONCATENATE(TEXT($M363,"000"),".",TEXT(INDEX(Quick_Number,MATCH($O363,Quick_Names,0)),"000"),".",TEXT(INDEX(Charge_Number,MATCH($P363,Charge_Names,0)),"000"))</f>
        <v>057.208.056</v>
      </c>
      <c r="C363" s="23" t="e">
        <f t="array" ref="C363">RANK($S363,IF(Combo_Species_Names=$N363,Combo_Gym_Offense),0)</f>
        <v>#VALUE!</v>
      </c>
      <c r="D363" s="24" t="e">
        <f t="array" ref="D363">$S363/MAX(IF(Combo_Species_Names=$N363,Combo_Gym_Offense))</f>
        <v>#VALUE!</v>
      </c>
      <c r="E363" s="23" t="e">
        <f t="array" ref="E363">RANK($Y363,IF(Combo_Species_Names=$N363,Combo_Gym_Defense),0)</f>
        <v>#VALUE!</v>
      </c>
      <c r="F363" s="25" t="e">
        <f t="array" ref="F363">$Y363/MAX(IF(Combo_Species_Names=$N363,Combo_Gym_Defense))</f>
        <v>#VALUE!</v>
      </c>
      <c r="G363" s="23" t="e">
        <f t="array" ref="G363">IF(OR(INDEX(Species_Availability,MATCH($N363,Species_Names,0))="No",INDEX(Species_Evo_Numbers,MATCH($N363,Species_Names,0))&lt;&gt;1),"N/A",RANK($R363,IF(NOT(ISNA(MATCH(Combo_Species_Names,IF(Species_Availability="Yes",IF(Species_Evo_Numbers=1,Species_Names)),0))),Combo_Duel_Ability),0))</f>
        <v>#VALUE!</v>
      </c>
      <c r="H363" s="24" t="e">
        <f t="array" ref="H363">IF(OR(INDEX(Species_Availability,MATCH($N363,Species_Names,0))="No",INDEX(Species_Evo_Numbers,MATCH($N363,Species_Names,0))&lt;&gt;1),"N/A",$R363/MAX(IF(NOT(ISNA(MATCH(Combo_Species_Names,IF(Species_Availability="Yes",IF(Species_Evo_Numbers=1,Species_Names)),0))),Combo_Duel_Ability)))</f>
        <v>#VALUE!</v>
      </c>
      <c r="I363" s="23" t="e">
        <f t="array" ref="I363">IF(OR(INDEX(Species_Availability,MATCH($N363,Species_Names,0))="No",INDEX(Species_Evo_Numbers,MATCH($N363,Species_Names,0))&lt;&gt;1),"N/A",RANK($S363,IF(NOT(ISNA(MATCH(Combo_Species_Names,IF(Species_Availability="Yes",IF(Species_Evo_Numbers=1,Species_Names)),0))),Combo_Gym_Offense),0))</f>
        <v>#VALUE!</v>
      </c>
      <c r="J363" s="24" t="e">
        <f t="array" ref="J363">IF(OR(INDEX(Species_Availability,MATCH($N363,Species_Names,0))="No",INDEX(Species_Evo_Numbers,MATCH($N363,Species_Names,0))&lt;&gt;1),"N/A",$S363/MAX(IF(NOT(ISNA(MATCH(Combo_Species_Names,IF(Species_Availability="Yes",IF(Species_Evo_Numbers=1,Species_Names)),0))),Combo_Gym_Offense)))</f>
        <v>#VALUE!</v>
      </c>
      <c r="K363" s="23" t="e">
        <f t="array" ref="K363">IF(OR(INDEX(Species_Availability,MATCH($N363,Species_Names,0))="No",INDEX(Species_Evo_Numbers,MATCH($N363,Species_Names,0))&lt;&gt;1),"N/A",RANK($Y363,IF(NOT(ISNA(MATCH(Combo_Species_Names,IF(Species_Availability="Yes",IF(Species_Evo_Numbers=1,Species_Names)),0))),Combo_Gym_Defense),0))</f>
        <v>#VALUE!</v>
      </c>
      <c r="L363" s="24" t="e">
        <f t="array" ref="L363">IF(OR(INDEX(Species_Availability,MATCH($N363,Species_Names,0))="No",INDEX(Species_Evo_Numbers,MATCH($N363,Species_Names,0))&lt;&gt;1),"N/A",$Y363/MAX(IF(NOT(ISNA(MATCH(Combo_Species_Names,IF(Species_Availability="Yes",IF(Species_Evo_Numbers=1,Species_Names)),0))),Combo_Gym_Defense)))</f>
        <v>#VALUE!</v>
      </c>
      <c r="M363" s="28">
        <f t="array" ref="M363">INDEX(Species_Pdex_Numbers,MATCH($N363,Species_Names,0))</f>
        <v>57</v>
      </c>
      <c r="N363" s="30" t="s">
        <v>203</v>
      </c>
      <c r="O363" s="31" t="s">
        <v>122</v>
      </c>
      <c r="P363" s="31" t="s">
        <v>255</v>
      </c>
      <c r="Q363" s="17" t="e">
        <f t="shared" si="10"/>
        <v>#VALUE!</v>
      </c>
      <c r="R363" s="32" t="e">
        <f t="array" ref="R363">IF(OR(AND(COUNTBLANK(Combo_Opponent_Type_1)=1,COUNTBLANK(Combo_Opponent_Type_2)=0),AND(AND(COUNTBLANK(Combo_Opponent_Type_1)=0,COUNTBLANK(Combo_Opponent_Type_2)=0),Combo_Opponent_Type_1=Combo_Opponent_Type_2)),
"Check Types",($S363*INDEX(Species_Tankiness,MATCH($N363,Species_Names,0)))/225)</f>
        <v>#VALUE!</v>
      </c>
      <c r="S363" s="32" t="e">
        <f t="array" ref="S363">IF(OR(AND(COUNTBLANK(Combo_Opponent_Type_1)=1,COUNTBLANK(Combo_Opponent_Type_2)=0),AND(AND(COUNTBLANK(Combo_Opponent_Type_1)=0,COUNTBLANK(Combo_Opponent_Type_2)=0),Combo_Opponent_Type_1=Combo_Opponent_Type_2)),
"Check Types",(
IF($W363&gt;=((1-Game_Weave_Human_Error)*$X363),$W363,$X363)*INDEX(Species_Attack,MATCH($N363,Species_Names,0)))/11)</f>
        <v>#VALUE!</v>
      </c>
      <c r="T363" s="33" t="e">
        <f t="shared" si="11"/>
        <v>#VALUE!</v>
      </c>
      <c r="U363" s="33">
        <f t="array" ref="U3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363,Quick_Names,0))),Type_Species)),0),1)*IF(COUNTBLANK(Combo_Opponent_Type_2)=0,INDEX(Type_Damage_Multipliers,MATCH(Combo_Opponent_Type_2,IF(Type_Move=(INDEX(Quick_Type,MATCH($O363,Quick_Names,0))),Type_Species)),0),1)*(IF(OR(INDEX(Quick_Type,MATCH($O363,Quick_Names,0))=INDEX(Species_Type_1,MATCH($N363,Species_Names,0)),INDEX(Quick_Type,MATCH($O363,Quick_Names,0))=INDEX(Species_Type_2,MATCH($N363,Species_Names,0))),Game_STAB_Multiplier,1)))</f>
        <v>1.25</v>
      </c>
      <c r="V363" s="33">
        <f t="array" ref="V3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363,Charge_Names,0))),Type_Species)),0),1)*IF(COUNTBLANK(Combo_Opponent_Type_2)=0,INDEX(Type_Damage_Multipliers,MATCH(Combo_Opponent_Type_2,IF(Type_Move=(INDEX(Charge_Type,MATCH($P363,Charge_Names,0))),Type_Species)),0),1)*
IF(OR(INDEX(Charge_Type,MATCH($P363,Charge_Names,0))=INDEX(Species_Type_1,MATCH($N363,Species_Names,0)),INDEX(Charge_Type,MATCH($P363,Charge_Names,0))=INDEX(Species_Type_2,MATCH($N363,Species_Names,0))),Game_STAB_Multiplier,1))</f>
        <v>1.25</v>
      </c>
      <c r="W363" s="33" t="s">
        <v>564</v>
      </c>
      <c r="X363" s="33" t="s">
        <v>419</v>
      </c>
      <c r="Y363" s="32" t="e">
        <f t="array" ref="Y363">((($Z363)*
INDEX(Species_Attack,MATCH($N363,Species_Names,0))*
INDEX(Species_Tankiness,MATCH($N363,Species_Names,0)))/1000)</f>
        <v>#VALUE!</v>
      </c>
      <c r="Z363" s="33" t="s">
        <v>875</v>
      </c>
    </row>
    <row r="364" spans="1:26" ht="14.25" customHeight="1" x14ac:dyDescent="0.2">
      <c r="A364" s="86"/>
      <c r="B364" s="22" t="str">
        <f t="array" ref="B364">CONCATENATE(TEXT($M364,"000"),".",TEXT(INDEX(Quick_Number,MATCH($O364,Quick_Names,0)),"000"),".",TEXT(INDEX(Charge_Number,MATCH($P364,Charge_Names,0)),"000"))</f>
        <v>024.225.016</v>
      </c>
      <c r="C364" s="23" t="e">
        <f t="array" ref="C364">RANK($S364,IF(Combo_Species_Names=$N364,Combo_Gym_Offense),0)</f>
        <v>#VALUE!</v>
      </c>
      <c r="D364" s="24" t="e">
        <f t="array" ref="D364">$S364/MAX(IF(Combo_Species_Names=$N364,Combo_Gym_Offense))</f>
        <v>#VALUE!</v>
      </c>
      <c r="E364" s="23" t="e">
        <f t="array" ref="E364">RANK($Y364,IF(Combo_Species_Names=$N364,Combo_Gym_Defense),0)</f>
        <v>#VALUE!</v>
      </c>
      <c r="F364" s="25" t="e">
        <f t="array" ref="F364">$Y364/MAX(IF(Combo_Species_Names=$N364,Combo_Gym_Defense))</f>
        <v>#VALUE!</v>
      </c>
      <c r="G364" s="23" t="e">
        <f t="array" ref="G364">IF(OR(INDEX(Species_Availability,MATCH($N364,Species_Names,0))="No",INDEX(Species_Evo_Numbers,MATCH($N364,Species_Names,0))&lt;&gt;1),"N/A",RANK($R364,IF(NOT(ISNA(MATCH(Combo_Species_Names,IF(Species_Availability="Yes",IF(Species_Evo_Numbers=1,Species_Names)),0))),Combo_Duel_Ability),0))</f>
        <v>#VALUE!</v>
      </c>
      <c r="H364" s="24" t="e">
        <f t="array" ref="H364">IF(OR(INDEX(Species_Availability,MATCH($N364,Species_Names,0))="No",INDEX(Species_Evo_Numbers,MATCH($N364,Species_Names,0))&lt;&gt;1),"N/A",$R364/MAX(IF(NOT(ISNA(MATCH(Combo_Species_Names,IF(Species_Availability="Yes",IF(Species_Evo_Numbers=1,Species_Names)),0))),Combo_Duel_Ability)))</f>
        <v>#VALUE!</v>
      </c>
      <c r="I364" s="23" t="e">
        <f t="array" ref="I364">IF(OR(INDEX(Species_Availability,MATCH($N364,Species_Names,0))="No",INDEX(Species_Evo_Numbers,MATCH($N364,Species_Names,0))&lt;&gt;1),"N/A",RANK($S364,IF(NOT(ISNA(MATCH(Combo_Species_Names,IF(Species_Availability="Yes",IF(Species_Evo_Numbers=1,Species_Names)),0))),Combo_Gym_Offense),0))</f>
        <v>#VALUE!</v>
      </c>
      <c r="J364" s="24" t="e">
        <f t="array" ref="J364">IF(OR(INDEX(Species_Availability,MATCH($N364,Species_Names,0))="No",INDEX(Species_Evo_Numbers,MATCH($N364,Species_Names,0))&lt;&gt;1),"N/A",$S364/MAX(IF(NOT(ISNA(MATCH(Combo_Species_Names,IF(Species_Availability="Yes",IF(Species_Evo_Numbers=1,Species_Names)),0))),Combo_Gym_Offense)))</f>
        <v>#VALUE!</v>
      </c>
      <c r="K364" s="23" t="e">
        <f t="array" ref="K364">IF(OR(INDEX(Species_Availability,MATCH($N364,Species_Names,0))="No",INDEX(Species_Evo_Numbers,MATCH($N364,Species_Names,0))&lt;&gt;1),"N/A",RANK($Y364,IF(NOT(ISNA(MATCH(Combo_Species_Names,IF(Species_Availability="Yes",IF(Species_Evo_Numbers=1,Species_Names)),0))),Combo_Gym_Defense),0))</f>
        <v>#VALUE!</v>
      </c>
      <c r="L364" s="24" t="e">
        <f t="array" ref="L364">IF(OR(INDEX(Species_Availability,MATCH($N364,Species_Names,0))="No",INDEX(Species_Evo_Numbers,MATCH($N364,Species_Names,0))&lt;&gt;1),"N/A",$Y364/MAX(IF(NOT(ISNA(MATCH(Combo_Species_Names,IF(Species_Availability="Yes",IF(Species_Evo_Numbers=1,Species_Names)),0))),Combo_Gym_Defense)))</f>
        <v>#VALUE!</v>
      </c>
      <c r="M364" s="28">
        <f t="array" ref="M364">INDEX(Species_Pdex_Numbers,MATCH($N364,Species_Names,0))</f>
        <v>24</v>
      </c>
      <c r="N364" s="30" t="s">
        <v>134</v>
      </c>
      <c r="O364" s="31" t="s">
        <v>110</v>
      </c>
      <c r="P364" s="31" t="s">
        <v>258</v>
      </c>
      <c r="Q364" s="17" t="e">
        <f t="shared" si="10"/>
        <v>#VALUE!</v>
      </c>
      <c r="R364" s="32" t="e">
        <f t="array" ref="R364">IF(OR(AND(COUNTBLANK(Combo_Opponent_Type_1)=1,COUNTBLANK(Combo_Opponent_Type_2)=0),AND(AND(COUNTBLANK(Combo_Opponent_Type_1)=0,COUNTBLANK(Combo_Opponent_Type_2)=0),Combo_Opponent_Type_1=Combo_Opponent_Type_2)),
"Check Types",($S364*INDEX(Species_Tankiness,MATCH($N364,Species_Names,0)))/225)</f>
        <v>#VALUE!</v>
      </c>
      <c r="S364" s="32" t="e">
        <f t="array" ref="S364">IF(OR(AND(COUNTBLANK(Combo_Opponent_Type_1)=1,COUNTBLANK(Combo_Opponent_Type_2)=0),AND(AND(COUNTBLANK(Combo_Opponent_Type_1)=0,COUNTBLANK(Combo_Opponent_Type_2)=0),Combo_Opponent_Type_1=Combo_Opponent_Type_2)),
"Check Types",(
IF($W364&gt;=((1-Game_Weave_Human_Error)*$X364),$W364,$X364)*INDEX(Species_Attack,MATCH($N364,Species_Names,0)))/11)</f>
        <v>#VALUE!</v>
      </c>
      <c r="T364" s="33" t="e">
        <f t="shared" si="11"/>
        <v>#VALUE!</v>
      </c>
      <c r="U364" s="33">
        <f t="array" ref="U3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364,Quick_Names,0))),Type_Species)),0),1)*IF(COUNTBLANK(Combo_Opponent_Type_2)=0,INDEX(Type_Damage_Multipliers,MATCH(Combo_Opponent_Type_2,IF(Type_Move=(INDEX(Quick_Type,MATCH($O364,Quick_Names,0))),Type_Species)),0),1)*(IF(OR(INDEX(Quick_Type,MATCH($O364,Quick_Names,0))=INDEX(Species_Type_1,MATCH($N364,Species_Names,0)),INDEX(Quick_Type,MATCH($O364,Quick_Names,0))=INDEX(Species_Type_2,MATCH($N364,Species_Names,0))),Game_STAB_Multiplier,1)))</f>
        <v>1.25</v>
      </c>
      <c r="V364" s="33">
        <f t="array" ref="V3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364,Charge_Names,0))),Type_Species)),0),1)*IF(COUNTBLANK(Combo_Opponent_Type_2)=0,INDEX(Type_Damage_Multipliers,MATCH(Combo_Opponent_Type_2,IF(Type_Move=(INDEX(Charge_Type,MATCH($P364,Charge_Names,0))),Type_Species)),0),1)*
IF(OR(INDEX(Charge_Type,MATCH($P364,Charge_Names,0))=INDEX(Species_Type_1,MATCH($N364,Species_Names,0)),INDEX(Charge_Type,MATCH($P364,Charge_Names,0))=INDEX(Species_Type_2,MATCH($N364,Species_Names,0))),Game_STAB_Multiplier,1))</f>
        <v>1</v>
      </c>
      <c r="W364" s="33" t="s">
        <v>511</v>
      </c>
      <c r="X364" s="33" t="s">
        <v>598</v>
      </c>
      <c r="Y364" s="32" t="e">
        <f t="array" ref="Y364">((($Z364)*
INDEX(Species_Attack,MATCH($N364,Species_Names,0))*
INDEX(Species_Tankiness,MATCH($N364,Species_Names,0)))/1000)</f>
        <v>#VALUE!</v>
      </c>
      <c r="Z364" s="33" t="s">
        <v>599</v>
      </c>
    </row>
    <row r="365" spans="1:26" ht="14.25" customHeight="1" x14ac:dyDescent="0.2">
      <c r="A365" s="86"/>
      <c r="B365" s="22" t="str">
        <f t="array" ref="B365">CONCATENATE(TEXT($M365,"000"),".",TEXT(INDEX(Quick_Number,MATCH($O365,Quick_Names,0)),"000"),".",TEXT(INDEX(Charge_Number,MATCH($P365,Charge_Names,0)),"000"))</f>
        <v>022.211.046</v>
      </c>
      <c r="C365" s="23" t="e">
        <f t="array" ref="C365">RANK($S365,IF(Combo_Species_Names=$N365,Combo_Gym_Offense),0)</f>
        <v>#VALUE!</v>
      </c>
      <c r="D365" s="24" t="e">
        <f t="array" ref="D365">$S365/MAX(IF(Combo_Species_Names=$N365,Combo_Gym_Offense))</f>
        <v>#VALUE!</v>
      </c>
      <c r="E365" s="23" t="e">
        <f t="array" ref="E365">RANK($Y365,IF(Combo_Species_Names=$N365,Combo_Gym_Defense),0)</f>
        <v>#VALUE!</v>
      </c>
      <c r="F365" s="25" t="e">
        <f t="array" ref="F365">$Y365/MAX(IF(Combo_Species_Names=$N365,Combo_Gym_Defense))</f>
        <v>#VALUE!</v>
      </c>
      <c r="G365" s="23" t="e">
        <f t="array" ref="G365">IF(OR(INDEX(Species_Availability,MATCH($N365,Species_Names,0))="No",INDEX(Species_Evo_Numbers,MATCH($N365,Species_Names,0))&lt;&gt;1),"N/A",RANK($R365,IF(NOT(ISNA(MATCH(Combo_Species_Names,IF(Species_Availability="Yes",IF(Species_Evo_Numbers=1,Species_Names)),0))),Combo_Duel_Ability),0))</f>
        <v>#VALUE!</v>
      </c>
      <c r="H365" s="24" t="e">
        <f t="array" ref="H365">IF(OR(INDEX(Species_Availability,MATCH($N365,Species_Names,0))="No",INDEX(Species_Evo_Numbers,MATCH($N365,Species_Names,0))&lt;&gt;1),"N/A",$R365/MAX(IF(NOT(ISNA(MATCH(Combo_Species_Names,IF(Species_Availability="Yes",IF(Species_Evo_Numbers=1,Species_Names)),0))),Combo_Duel_Ability)))</f>
        <v>#VALUE!</v>
      </c>
      <c r="I365" s="23" t="e">
        <f t="array" ref="I365">IF(OR(INDEX(Species_Availability,MATCH($N365,Species_Names,0))="No",INDEX(Species_Evo_Numbers,MATCH($N365,Species_Names,0))&lt;&gt;1),"N/A",RANK($S365,IF(NOT(ISNA(MATCH(Combo_Species_Names,IF(Species_Availability="Yes",IF(Species_Evo_Numbers=1,Species_Names)),0))),Combo_Gym_Offense),0))</f>
        <v>#VALUE!</v>
      </c>
      <c r="J365" s="24" t="e">
        <f t="array" ref="J365">IF(OR(INDEX(Species_Availability,MATCH($N365,Species_Names,0))="No",INDEX(Species_Evo_Numbers,MATCH($N365,Species_Names,0))&lt;&gt;1),"N/A",$S365/MAX(IF(NOT(ISNA(MATCH(Combo_Species_Names,IF(Species_Availability="Yes",IF(Species_Evo_Numbers=1,Species_Names)),0))),Combo_Gym_Offense)))</f>
        <v>#VALUE!</v>
      </c>
      <c r="K365" s="23" t="e">
        <f t="array" ref="K365">IF(OR(INDEX(Species_Availability,MATCH($N365,Species_Names,0))="No",INDEX(Species_Evo_Numbers,MATCH($N365,Species_Names,0))&lt;&gt;1),"N/A",RANK($Y365,IF(NOT(ISNA(MATCH(Combo_Species_Names,IF(Species_Availability="Yes",IF(Species_Evo_Numbers=1,Species_Names)),0))),Combo_Gym_Defense),0))</f>
        <v>#VALUE!</v>
      </c>
      <c r="L365" s="24" t="e">
        <f t="array" ref="L365">IF(OR(INDEX(Species_Availability,MATCH($N365,Species_Names,0))="No",INDEX(Species_Evo_Numbers,MATCH($N365,Species_Names,0))&lt;&gt;1),"N/A",$Y365/MAX(IF(NOT(ISNA(MATCH(Combo_Species_Names,IF(Species_Availability="Yes",IF(Species_Evo_Numbers=1,Species_Names)),0))),Combo_Gym_Defense)))</f>
        <v>#VALUE!</v>
      </c>
      <c r="M365" s="28">
        <f t="array" ref="M365">INDEX(Species_Pdex_Numbers,MATCH($N365,Species_Names,0))</f>
        <v>22</v>
      </c>
      <c r="N365" s="30" t="s">
        <v>132</v>
      </c>
      <c r="O365" s="31" t="s">
        <v>114</v>
      </c>
      <c r="P365" s="31" t="s">
        <v>220</v>
      </c>
      <c r="Q365" s="17" t="e">
        <f t="shared" si="10"/>
        <v>#VALUE!</v>
      </c>
      <c r="R365" s="32" t="e">
        <f t="array" ref="R365">IF(OR(AND(COUNTBLANK(Combo_Opponent_Type_1)=1,COUNTBLANK(Combo_Opponent_Type_2)=0),AND(AND(COUNTBLANK(Combo_Opponent_Type_1)=0,COUNTBLANK(Combo_Opponent_Type_2)=0),Combo_Opponent_Type_1=Combo_Opponent_Type_2)),
"Check Types",($S365*INDEX(Species_Tankiness,MATCH($N365,Species_Names,0)))/225)</f>
        <v>#VALUE!</v>
      </c>
      <c r="S365" s="32" t="e">
        <f t="array" ref="S365">IF(OR(AND(COUNTBLANK(Combo_Opponent_Type_1)=1,COUNTBLANK(Combo_Opponent_Type_2)=0),AND(AND(COUNTBLANK(Combo_Opponent_Type_1)=0,COUNTBLANK(Combo_Opponent_Type_2)=0),Combo_Opponent_Type_1=Combo_Opponent_Type_2)),
"Check Types",(
IF($W365&gt;=((1-Game_Weave_Human_Error)*$X365),$W365,$X365)*INDEX(Species_Attack,MATCH($N365,Species_Names,0)))/11)</f>
        <v>#VALUE!</v>
      </c>
      <c r="T365" s="33" t="e">
        <f t="shared" si="11"/>
        <v>#VALUE!</v>
      </c>
      <c r="U365" s="33">
        <f t="array" ref="U3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365,Quick_Names,0))),Type_Species)),0),1)*IF(COUNTBLANK(Combo_Opponent_Type_2)=0,INDEX(Type_Damage_Multipliers,MATCH(Combo_Opponent_Type_2,IF(Type_Move=(INDEX(Quick_Type,MATCH($O365,Quick_Names,0))),Type_Species)),0),1)*(IF(OR(INDEX(Quick_Type,MATCH($O365,Quick_Names,0))=INDEX(Species_Type_1,MATCH($N365,Species_Names,0)),INDEX(Quick_Type,MATCH($O365,Quick_Names,0))=INDEX(Species_Type_2,MATCH($N365,Species_Names,0))),Game_STAB_Multiplier,1)))</f>
        <v>1.25</v>
      </c>
      <c r="V365" s="33">
        <f t="array" ref="V3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365,Charge_Names,0))),Type_Species)),0),1)*IF(COUNTBLANK(Combo_Opponent_Type_2)=0,INDEX(Type_Damage_Multipliers,MATCH(Combo_Opponent_Type_2,IF(Type_Move=(INDEX(Charge_Type,MATCH($P365,Charge_Names,0))),Type_Species)),0),1)*
IF(OR(INDEX(Charge_Type,MATCH($P365,Charge_Names,0))=INDEX(Species_Type_1,MATCH($N365,Species_Names,0)),INDEX(Charge_Type,MATCH($P365,Charge_Names,0))=INDEX(Species_Type_2,MATCH($N365,Species_Names,0))),Game_STAB_Multiplier,1))</f>
        <v>1</v>
      </c>
      <c r="W365" s="33" t="s">
        <v>876</v>
      </c>
      <c r="X365" s="33" t="s">
        <v>877</v>
      </c>
      <c r="Y365" s="32" t="e">
        <f t="array" ref="Y365">((($Z365)*
INDEX(Species_Attack,MATCH($N365,Species_Names,0))*
INDEX(Species_Tankiness,MATCH($N365,Species_Names,0)))/1000)</f>
        <v>#VALUE!</v>
      </c>
      <c r="Z365" s="33" t="s">
        <v>744</v>
      </c>
    </row>
    <row r="366" spans="1:26" ht="14.25" customHeight="1" x14ac:dyDescent="0.2">
      <c r="A366" s="86"/>
      <c r="B366" s="22" t="str">
        <f t="array" ref="B366">CONCATENATE(TEXT($M366,"000"),".",TEXT(INDEX(Quick_Number,MATCH($O366,Quick_Names,0)),"000"),".",TEXT(INDEX(Charge_Number,MATCH($P366,Charge_Names,0)),"000"))</f>
        <v>101.221.035</v>
      </c>
      <c r="C366" s="23" t="e">
        <f t="array" ref="C366">RANK($S366,IF(Combo_Species_Names=$N366,Combo_Gym_Offense),0)</f>
        <v>#VALUE!</v>
      </c>
      <c r="D366" s="24" t="e">
        <f t="array" ref="D366">$S366/MAX(IF(Combo_Species_Names=$N366,Combo_Gym_Offense))</f>
        <v>#VALUE!</v>
      </c>
      <c r="E366" s="23" t="e">
        <f t="array" ref="E366">RANK($Y366,IF(Combo_Species_Names=$N366,Combo_Gym_Defense),0)</f>
        <v>#VALUE!</v>
      </c>
      <c r="F366" s="25" t="e">
        <f t="array" ref="F366">$Y366/MAX(IF(Combo_Species_Names=$N366,Combo_Gym_Defense))</f>
        <v>#VALUE!</v>
      </c>
      <c r="G366" s="23" t="e">
        <f t="array" ref="G366">IF(OR(INDEX(Species_Availability,MATCH($N366,Species_Names,0))="No",INDEX(Species_Evo_Numbers,MATCH($N366,Species_Names,0))&lt;&gt;1),"N/A",RANK($R366,IF(NOT(ISNA(MATCH(Combo_Species_Names,IF(Species_Availability="Yes",IF(Species_Evo_Numbers=1,Species_Names)),0))),Combo_Duel_Ability),0))</f>
        <v>#VALUE!</v>
      </c>
      <c r="H366" s="24" t="e">
        <f t="array" ref="H366">IF(OR(INDEX(Species_Availability,MATCH($N366,Species_Names,0))="No",INDEX(Species_Evo_Numbers,MATCH($N366,Species_Names,0))&lt;&gt;1),"N/A",$R366/MAX(IF(NOT(ISNA(MATCH(Combo_Species_Names,IF(Species_Availability="Yes",IF(Species_Evo_Numbers=1,Species_Names)),0))),Combo_Duel_Ability)))</f>
        <v>#VALUE!</v>
      </c>
      <c r="I366" s="23" t="e">
        <f t="array" ref="I366">IF(OR(INDEX(Species_Availability,MATCH($N366,Species_Names,0))="No",INDEX(Species_Evo_Numbers,MATCH($N366,Species_Names,0))&lt;&gt;1),"N/A",RANK($S366,IF(NOT(ISNA(MATCH(Combo_Species_Names,IF(Species_Availability="Yes",IF(Species_Evo_Numbers=1,Species_Names)),0))),Combo_Gym_Offense),0))</f>
        <v>#VALUE!</v>
      </c>
      <c r="J366" s="24" t="e">
        <f t="array" ref="J366">IF(OR(INDEX(Species_Availability,MATCH($N366,Species_Names,0))="No",INDEX(Species_Evo_Numbers,MATCH($N366,Species_Names,0))&lt;&gt;1),"N/A",$S366/MAX(IF(NOT(ISNA(MATCH(Combo_Species_Names,IF(Species_Availability="Yes",IF(Species_Evo_Numbers=1,Species_Names)),0))),Combo_Gym_Offense)))</f>
        <v>#VALUE!</v>
      </c>
      <c r="K366" s="23" t="e">
        <f t="array" ref="K366">IF(OR(INDEX(Species_Availability,MATCH($N366,Species_Names,0))="No",INDEX(Species_Evo_Numbers,MATCH($N366,Species_Names,0))&lt;&gt;1),"N/A",RANK($Y366,IF(NOT(ISNA(MATCH(Combo_Species_Names,IF(Species_Availability="Yes",IF(Species_Evo_Numbers=1,Species_Names)),0))),Combo_Gym_Defense),0))</f>
        <v>#VALUE!</v>
      </c>
      <c r="L366" s="24" t="e">
        <f t="array" ref="L366">IF(OR(INDEX(Species_Availability,MATCH($N366,Species_Names,0))="No",INDEX(Species_Evo_Numbers,MATCH($N366,Species_Names,0))&lt;&gt;1),"N/A",$Y366/MAX(IF(NOT(ISNA(MATCH(Combo_Species_Names,IF(Species_Availability="Yes",IF(Species_Evo_Numbers=1,Species_Names)),0))),Combo_Gym_Defense)))</f>
        <v>#VALUE!</v>
      </c>
      <c r="M366" s="28">
        <f t="array" ref="M366">INDEX(Species_Pdex_Numbers,MATCH($N366,Species_Names,0))</f>
        <v>101</v>
      </c>
      <c r="N366" s="30" t="s">
        <v>303</v>
      </c>
      <c r="O366" s="31" t="s">
        <v>91</v>
      </c>
      <c r="P366" s="31" t="s">
        <v>245</v>
      </c>
      <c r="Q366" s="17" t="e">
        <f t="shared" si="10"/>
        <v>#VALUE!</v>
      </c>
      <c r="R366" s="32" t="e">
        <f t="array" ref="R366">IF(OR(AND(COUNTBLANK(Combo_Opponent_Type_1)=1,COUNTBLANK(Combo_Opponent_Type_2)=0),AND(AND(COUNTBLANK(Combo_Opponent_Type_1)=0,COUNTBLANK(Combo_Opponent_Type_2)=0),Combo_Opponent_Type_1=Combo_Opponent_Type_2)),
"Check Types",($S366*INDEX(Species_Tankiness,MATCH($N366,Species_Names,0)))/225)</f>
        <v>#VALUE!</v>
      </c>
      <c r="S366" s="32" t="e">
        <f t="array" ref="S366">IF(OR(AND(COUNTBLANK(Combo_Opponent_Type_1)=1,COUNTBLANK(Combo_Opponent_Type_2)=0),AND(AND(COUNTBLANK(Combo_Opponent_Type_1)=0,COUNTBLANK(Combo_Opponent_Type_2)=0),Combo_Opponent_Type_1=Combo_Opponent_Type_2)),
"Check Types",(
IF($W366&gt;=((1-Game_Weave_Human_Error)*$X366),$W366,$X366)*INDEX(Species_Attack,MATCH($N366,Species_Names,0)))/11)</f>
        <v>#VALUE!</v>
      </c>
      <c r="T366" s="33" t="e">
        <f t="shared" si="11"/>
        <v>#VALUE!</v>
      </c>
      <c r="U366" s="33">
        <f t="array" ref="U3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366,Quick_Names,0))),Type_Species)),0),1)*IF(COUNTBLANK(Combo_Opponent_Type_2)=0,INDEX(Type_Damage_Multipliers,MATCH(Combo_Opponent_Type_2,IF(Type_Move=(INDEX(Quick_Type,MATCH($O366,Quick_Names,0))),Type_Species)),0),1)*(IF(OR(INDEX(Quick_Type,MATCH($O366,Quick_Names,0))=INDEX(Species_Type_1,MATCH($N366,Species_Names,0)),INDEX(Quick_Type,MATCH($O366,Quick_Names,0))=INDEX(Species_Type_2,MATCH($N366,Species_Names,0))),Game_STAB_Multiplier,1)))</f>
        <v>1</v>
      </c>
      <c r="V366" s="33">
        <f t="array" ref="V3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366,Charge_Names,0))),Type_Species)),0),1)*IF(COUNTBLANK(Combo_Opponent_Type_2)=0,INDEX(Type_Damage_Multipliers,MATCH(Combo_Opponent_Type_2,IF(Type_Move=(INDEX(Charge_Type,MATCH($P366,Charge_Names,0))),Type_Species)),0),1)*
IF(OR(INDEX(Charge_Type,MATCH($P366,Charge_Names,0))=INDEX(Species_Type_1,MATCH($N366,Species_Names,0)),INDEX(Charge_Type,MATCH($P366,Charge_Names,0))=INDEX(Species_Type_2,MATCH($N366,Species_Names,0))),Game_STAB_Multiplier,1))</f>
        <v>1.25</v>
      </c>
      <c r="W366" s="33" t="s">
        <v>658</v>
      </c>
      <c r="X366" s="33" t="s">
        <v>708</v>
      </c>
      <c r="Y366" s="32" t="e">
        <f t="array" ref="Y366">((($Z366)*
INDEX(Species_Attack,MATCH($N366,Species_Names,0))*
INDEX(Species_Tankiness,MATCH($N366,Species_Names,0)))/1000)</f>
        <v>#VALUE!</v>
      </c>
      <c r="Z366" s="33" t="s">
        <v>878</v>
      </c>
    </row>
    <row r="367" spans="1:26" ht="14.25" customHeight="1" x14ac:dyDescent="0.2">
      <c r="A367" s="86"/>
      <c r="B367" s="22" t="str">
        <f t="array" ref="B367">CONCATENATE(TEXT($M367,"000"),".",TEXT(INDEX(Quick_Number,MATCH($O367,Quick_Names,0)),"000"),".",TEXT(INDEX(Charge_Number,MATCH($P367,Charge_Names,0)),"000"))</f>
        <v>124.222.085</v>
      </c>
      <c r="C367" s="23" t="e">
        <f t="array" ref="C367">RANK($S367,IF(Combo_Species_Names=$N367,Combo_Gym_Offense),0)</f>
        <v>#VALUE!</v>
      </c>
      <c r="D367" s="24" t="e">
        <f t="array" ref="D367">$S367/MAX(IF(Combo_Species_Names=$N367,Combo_Gym_Offense))</f>
        <v>#VALUE!</v>
      </c>
      <c r="E367" s="23" t="e">
        <f t="array" ref="E367">RANK($Y367,IF(Combo_Species_Names=$N367,Combo_Gym_Defense),0)</f>
        <v>#VALUE!</v>
      </c>
      <c r="F367" s="25" t="e">
        <f t="array" ref="F367">$Y367/MAX(IF(Combo_Species_Names=$N367,Combo_Gym_Defense))</f>
        <v>#VALUE!</v>
      </c>
      <c r="G367" s="23" t="e">
        <f t="array" ref="G367">IF(OR(INDEX(Species_Availability,MATCH($N367,Species_Names,0))="No",INDEX(Species_Evo_Numbers,MATCH($N367,Species_Names,0))&lt;&gt;1),"N/A",RANK($R367,IF(NOT(ISNA(MATCH(Combo_Species_Names,IF(Species_Availability="Yes",IF(Species_Evo_Numbers=1,Species_Names)),0))),Combo_Duel_Ability),0))</f>
        <v>#VALUE!</v>
      </c>
      <c r="H367" s="24" t="e">
        <f t="array" ref="H367">IF(OR(INDEX(Species_Availability,MATCH($N367,Species_Names,0))="No",INDEX(Species_Evo_Numbers,MATCH($N367,Species_Names,0))&lt;&gt;1),"N/A",$R367/MAX(IF(NOT(ISNA(MATCH(Combo_Species_Names,IF(Species_Availability="Yes",IF(Species_Evo_Numbers=1,Species_Names)),0))),Combo_Duel_Ability)))</f>
        <v>#VALUE!</v>
      </c>
      <c r="I367" s="23" t="e">
        <f t="array" ref="I367">IF(OR(INDEX(Species_Availability,MATCH($N367,Species_Names,0))="No",INDEX(Species_Evo_Numbers,MATCH($N367,Species_Names,0))&lt;&gt;1),"N/A",RANK($S367,IF(NOT(ISNA(MATCH(Combo_Species_Names,IF(Species_Availability="Yes",IF(Species_Evo_Numbers=1,Species_Names)),0))),Combo_Gym_Offense),0))</f>
        <v>#VALUE!</v>
      </c>
      <c r="J367" s="24" t="e">
        <f t="array" ref="J367">IF(OR(INDEX(Species_Availability,MATCH($N367,Species_Names,0))="No",INDEX(Species_Evo_Numbers,MATCH($N367,Species_Names,0))&lt;&gt;1),"N/A",$S367/MAX(IF(NOT(ISNA(MATCH(Combo_Species_Names,IF(Species_Availability="Yes",IF(Species_Evo_Numbers=1,Species_Names)),0))),Combo_Gym_Offense)))</f>
        <v>#VALUE!</v>
      </c>
      <c r="K367" s="23" t="e">
        <f t="array" ref="K367">IF(OR(INDEX(Species_Availability,MATCH($N367,Species_Names,0))="No",INDEX(Species_Evo_Numbers,MATCH($N367,Species_Names,0))&lt;&gt;1),"N/A",RANK($Y367,IF(NOT(ISNA(MATCH(Combo_Species_Names,IF(Species_Availability="Yes",IF(Species_Evo_Numbers=1,Species_Names)),0))),Combo_Gym_Defense),0))</f>
        <v>#VALUE!</v>
      </c>
      <c r="L367" s="24" t="e">
        <f t="array" ref="L367">IF(OR(INDEX(Species_Availability,MATCH($N367,Species_Names,0))="No",INDEX(Species_Evo_Numbers,MATCH($N367,Species_Names,0))&lt;&gt;1),"N/A",$Y367/MAX(IF(NOT(ISNA(MATCH(Combo_Species_Names,IF(Species_Availability="Yes",IF(Species_Evo_Numbers=1,Species_Names)),0))),Combo_Gym_Defense)))</f>
        <v>#VALUE!</v>
      </c>
      <c r="M367" s="28">
        <f t="array" ref="M367">INDEX(Species_Pdex_Numbers,MATCH($N367,Species_Names,0))</f>
        <v>124</v>
      </c>
      <c r="N367" s="30" t="s">
        <v>341</v>
      </c>
      <c r="O367" s="31" t="s">
        <v>32</v>
      </c>
      <c r="P367" s="31" t="s">
        <v>304</v>
      </c>
      <c r="Q367" s="17" t="e">
        <f t="shared" si="10"/>
        <v>#VALUE!</v>
      </c>
      <c r="R367" s="32" t="e">
        <f t="array" ref="R367">IF(OR(AND(COUNTBLANK(Combo_Opponent_Type_1)=1,COUNTBLANK(Combo_Opponent_Type_2)=0),AND(AND(COUNTBLANK(Combo_Opponent_Type_1)=0,COUNTBLANK(Combo_Opponent_Type_2)=0),Combo_Opponent_Type_1=Combo_Opponent_Type_2)),
"Check Types",($S367*INDEX(Species_Tankiness,MATCH($N367,Species_Names,0)))/225)</f>
        <v>#VALUE!</v>
      </c>
      <c r="S367" s="32" t="e">
        <f t="array" ref="S367">IF(OR(AND(COUNTBLANK(Combo_Opponent_Type_1)=1,COUNTBLANK(Combo_Opponent_Type_2)=0),AND(AND(COUNTBLANK(Combo_Opponent_Type_1)=0,COUNTBLANK(Combo_Opponent_Type_2)=0),Combo_Opponent_Type_1=Combo_Opponent_Type_2)),
"Check Types",(
IF($W367&gt;=((1-Game_Weave_Human_Error)*$X367),$W367,$X367)*INDEX(Species_Attack,MATCH($N367,Species_Names,0)))/11)</f>
        <v>#VALUE!</v>
      </c>
      <c r="T367" s="33" t="e">
        <f t="shared" si="11"/>
        <v>#VALUE!</v>
      </c>
      <c r="U367" s="33">
        <f t="array" ref="U3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367,Quick_Names,0))),Type_Species)),0),1)*IF(COUNTBLANK(Combo_Opponent_Type_2)=0,INDEX(Type_Damage_Multipliers,MATCH(Combo_Opponent_Type_2,IF(Type_Move=(INDEX(Quick_Type,MATCH($O367,Quick_Names,0))),Type_Species)),0),1)*(IF(OR(INDEX(Quick_Type,MATCH($O367,Quick_Names,0))=INDEX(Species_Type_1,MATCH($N367,Species_Names,0)),INDEX(Quick_Type,MATCH($O367,Quick_Names,0))=INDEX(Species_Type_2,MATCH($N367,Species_Names,0))),Game_STAB_Multiplier,1)))</f>
        <v>1</v>
      </c>
      <c r="V367" s="33">
        <f t="array" ref="V3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367,Charge_Names,0))),Type_Species)),0),1)*IF(COUNTBLANK(Combo_Opponent_Type_2)=0,INDEX(Type_Damage_Multipliers,MATCH(Combo_Opponent_Type_2,IF(Type_Move=(INDEX(Charge_Type,MATCH($P367,Charge_Names,0))),Type_Species)),0),1)*
IF(OR(INDEX(Charge_Type,MATCH($P367,Charge_Names,0))=INDEX(Species_Type_1,MATCH($N367,Species_Names,0)),INDEX(Charge_Type,MATCH($P367,Charge_Names,0))=INDEX(Species_Type_2,MATCH($N367,Species_Names,0))),Game_STAB_Multiplier,1))</f>
        <v>1</v>
      </c>
      <c r="W367" s="33" t="s">
        <v>536</v>
      </c>
      <c r="X367" s="33" t="s">
        <v>879</v>
      </c>
      <c r="Y367" s="32" t="e">
        <f t="array" ref="Y367">((($Z367)*
INDEX(Species_Attack,MATCH($N367,Species_Names,0))*
INDEX(Species_Tankiness,MATCH($N367,Species_Names,0)))/1000)</f>
        <v>#VALUE!</v>
      </c>
      <c r="Z367" s="33" t="s">
        <v>820</v>
      </c>
    </row>
    <row r="368" spans="1:26" ht="14.25" customHeight="1" x14ac:dyDescent="0.2">
      <c r="A368" s="86"/>
      <c r="B368" s="22" t="str">
        <f t="array" ref="B368">CONCATENATE(TEXT($M368,"000"),".",TEXT(INDEX(Quick_Number,MATCH($O368,Quick_Names,0)),"000"),".",TEXT(INDEX(Charge_Number,MATCH($P368,Charge_Names,0)),"000"))</f>
        <v>047.200.089</v>
      </c>
      <c r="C368" s="23" t="e">
        <f t="array" ref="C368">RANK($S368,IF(Combo_Species_Names=$N368,Combo_Gym_Offense),0)</f>
        <v>#VALUE!</v>
      </c>
      <c r="D368" s="24" t="e">
        <f t="array" ref="D368">$S368/MAX(IF(Combo_Species_Names=$N368,Combo_Gym_Offense))</f>
        <v>#VALUE!</v>
      </c>
      <c r="E368" s="23" t="e">
        <f t="array" ref="E368">RANK($Y368,IF(Combo_Species_Names=$N368,Combo_Gym_Defense),0)</f>
        <v>#VALUE!</v>
      </c>
      <c r="F368" s="25" t="e">
        <f t="array" ref="F368">$Y368/MAX(IF(Combo_Species_Names=$N368,Combo_Gym_Defense))</f>
        <v>#VALUE!</v>
      </c>
      <c r="G368" s="23" t="e">
        <f t="array" ref="G368">IF(OR(INDEX(Species_Availability,MATCH($N368,Species_Names,0))="No",INDEX(Species_Evo_Numbers,MATCH($N368,Species_Names,0))&lt;&gt;1),"N/A",RANK($R368,IF(NOT(ISNA(MATCH(Combo_Species_Names,IF(Species_Availability="Yes",IF(Species_Evo_Numbers=1,Species_Names)),0))),Combo_Duel_Ability),0))</f>
        <v>#VALUE!</v>
      </c>
      <c r="H368" s="24" t="e">
        <f t="array" ref="H368">IF(OR(INDEX(Species_Availability,MATCH($N368,Species_Names,0))="No",INDEX(Species_Evo_Numbers,MATCH($N368,Species_Names,0))&lt;&gt;1),"N/A",$R368/MAX(IF(NOT(ISNA(MATCH(Combo_Species_Names,IF(Species_Availability="Yes",IF(Species_Evo_Numbers=1,Species_Names)),0))),Combo_Duel_Ability)))</f>
        <v>#VALUE!</v>
      </c>
      <c r="I368" s="23" t="e">
        <f t="array" ref="I368">IF(OR(INDEX(Species_Availability,MATCH($N368,Species_Names,0))="No",INDEX(Species_Evo_Numbers,MATCH($N368,Species_Names,0))&lt;&gt;1),"N/A",RANK($S368,IF(NOT(ISNA(MATCH(Combo_Species_Names,IF(Species_Availability="Yes",IF(Species_Evo_Numbers=1,Species_Names)),0))),Combo_Gym_Offense),0))</f>
        <v>#VALUE!</v>
      </c>
      <c r="J368" s="24" t="e">
        <f t="array" ref="J368">IF(OR(INDEX(Species_Availability,MATCH($N368,Species_Names,0))="No",INDEX(Species_Evo_Numbers,MATCH($N368,Species_Names,0))&lt;&gt;1),"N/A",$S368/MAX(IF(NOT(ISNA(MATCH(Combo_Species_Names,IF(Species_Availability="Yes",IF(Species_Evo_Numbers=1,Species_Names)),0))),Combo_Gym_Offense)))</f>
        <v>#VALUE!</v>
      </c>
      <c r="K368" s="23" t="e">
        <f t="array" ref="K368">IF(OR(INDEX(Species_Availability,MATCH($N368,Species_Names,0))="No",INDEX(Species_Evo_Numbers,MATCH($N368,Species_Names,0))&lt;&gt;1),"N/A",RANK($Y368,IF(NOT(ISNA(MATCH(Combo_Species_Names,IF(Species_Availability="Yes",IF(Species_Evo_Numbers=1,Species_Names)),0))),Combo_Gym_Defense),0))</f>
        <v>#VALUE!</v>
      </c>
      <c r="L368" s="24" t="e">
        <f t="array" ref="L368">IF(OR(INDEX(Species_Availability,MATCH($N368,Species_Names,0))="No",INDEX(Species_Evo_Numbers,MATCH($N368,Species_Names,0))&lt;&gt;1),"N/A",$Y368/MAX(IF(NOT(ISNA(MATCH(Combo_Species_Names,IF(Species_Availability="Yes",IF(Species_Evo_Numbers=1,Species_Names)),0))),Combo_Gym_Defense)))</f>
        <v>#VALUE!</v>
      </c>
      <c r="M368" s="28">
        <f t="array" ref="M368">INDEX(Species_Pdex_Numbers,MATCH($N368,Species_Names,0))</f>
        <v>47</v>
      </c>
      <c r="N368" s="30" t="s">
        <v>184</v>
      </c>
      <c r="O368" s="31" t="s">
        <v>121</v>
      </c>
      <c r="P368" s="31" t="s">
        <v>206</v>
      </c>
      <c r="Q368" s="17" t="e">
        <f t="shared" si="10"/>
        <v>#VALUE!</v>
      </c>
      <c r="R368" s="32" t="e">
        <f t="array" ref="R368">IF(OR(AND(COUNTBLANK(Combo_Opponent_Type_1)=1,COUNTBLANK(Combo_Opponent_Type_2)=0),AND(AND(COUNTBLANK(Combo_Opponent_Type_1)=0,COUNTBLANK(Combo_Opponent_Type_2)=0),Combo_Opponent_Type_1=Combo_Opponent_Type_2)),
"Check Types",($S368*INDEX(Species_Tankiness,MATCH($N368,Species_Names,0)))/225)</f>
        <v>#VALUE!</v>
      </c>
      <c r="S368" s="32" t="e">
        <f t="array" ref="S368">IF(OR(AND(COUNTBLANK(Combo_Opponent_Type_1)=1,COUNTBLANK(Combo_Opponent_Type_2)=0),AND(AND(COUNTBLANK(Combo_Opponent_Type_1)=0,COUNTBLANK(Combo_Opponent_Type_2)=0),Combo_Opponent_Type_1=Combo_Opponent_Type_2)),
"Check Types",(
IF($W368&gt;=((1-Game_Weave_Human_Error)*$X368),$W368,$X368)*INDEX(Species_Attack,MATCH($N368,Species_Names,0)))/11)</f>
        <v>#VALUE!</v>
      </c>
      <c r="T368" s="33" t="e">
        <f t="shared" si="11"/>
        <v>#VALUE!</v>
      </c>
      <c r="U368" s="33">
        <f t="array" ref="U3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368,Quick_Names,0))),Type_Species)),0),1)*IF(COUNTBLANK(Combo_Opponent_Type_2)=0,INDEX(Type_Damage_Multipliers,MATCH(Combo_Opponent_Type_2,IF(Type_Move=(INDEX(Quick_Type,MATCH($O368,Quick_Names,0))),Type_Species)),0),1)*(IF(OR(INDEX(Quick_Type,MATCH($O368,Quick_Names,0))=INDEX(Species_Type_1,MATCH($N368,Species_Names,0)),INDEX(Quick_Type,MATCH($O368,Quick_Names,0))=INDEX(Species_Type_2,MATCH($N368,Species_Names,0))),Game_STAB_Multiplier,1)))</f>
        <v>1.25</v>
      </c>
      <c r="V368" s="33">
        <f t="array" ref="V3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368,Charge_Names,0))),Type_Species)),0),1)*IF(COUNTBLANK(Combo_Opponent_Type_2)=0,INDEX(Type_Damage_Multipliers,MATCH(Combo_Opponent_Type_2,IF(Type_Move=(INDEX(Charge_Type,MATCH($P368,Charge_Names,0))),Type_Species)),0),1)*
IF(OR(INDEX(Charge_Type,MATCH($P368,Charge_Names,0))=INDEX(Species_Type_1,MATCH($N368,Species_Names,0)),INDEX(Charge_Type,MATCH($P368,Charge_Names,0))=INDEX(Species_Type_2,MATCH($N368,Species_Names,0))),Game_STAB_Multiplier,1))</f>
        <v>1</v>
      </c>
      <c r="W368" s="33" t="s">
        <v>564</v>
      </c>
      <c r="X368" s="33" t="s">
        <v>873</v>
      </c>
      <c r="Y368" s="32" t="e">
        <f t="array" ref="Y368">((($Z368)*
INDEX(Species_Attack,MATCH($N368,Species_Names,0))*
INDEX(Species_Tankiness,MATCH($N368,Species_Names,0)))/1000)</f>
        <v>#VALUE!</v>
      </c>
      <c r="Z368" s="33" t="s">
        <v>880</v>
      </c>
    </row>
    <row r="369" spans="1:26" ht="14.25" customHeight="1" x14ac:dyDescent="0.2">
      <c r="A369" s="86"/>
      <c r="B369" s="22" t="str">
        <f t="array" ref="B369">CONCATENATE(TEXT($M369,"000"),".",TEXT(INDEX(Quick_Number,MATCH($O369,Quick_Names,0)),"000"),".",TEXT(INDEX(Charge_Number,MATCH($P369,Charge_Names,0)),"000"))</f>
        <v>065.235.086</v>
      </c>
      <c r="C369" s="23" t="e">
        <f t="array" ref="C369">RANK($S369,IF(Combo_Species_Names=$N369,Combo_Gym_Offense),0)</f>
        <v>#VALUE!</v>
      </c>
      <c r="D369" s="24" t="e">
        <f t="array" ref="D369">$S369/MAX(IF(Combo_Species_Names=$N369,Combo_Gym_Offense))</f>
        <v>#VALUE!</v>
      </c>
      <c r="E369" s="23" t="e">
        <f t="array" ref="E369">RANK($Y369,IF(Combo_Species_Names=$N369,Combo_Gym_Defense),0)</f>
        <v>#VALUE!</v>
      </c>
      <c r="F369" s="25" t="e">
        <f t="array" ref="F369">$Y369/MAX(IF(Combo_Species_Names=$N369,Combo_Gym_Defense))</f>
        <v>#VALUE!</v>
      </c>
      <c r="G369" s="23" t="e">
        <f t="array" ref="G369">IF(OR(INDEX(Species_Availability,MATCH($N369,Species_Names,0))="No",INDEX(Species_Evo_Numbers,MATCH($N369,Species_Names,0))&lt;&gt;1),"N/A",RANK($R369,IF(NOT(ISNA(MATCH(Combo_Species_Names,IF(Species_Availability="Yes",IF(Species_Evo_Numbers=1,Species_Names)),0))),Combo_Duel_Ability),0))</f>
        <v>#VALUE!</v>
      </c>
      <c r="H369" s="24" t="e">
        <f t="array" ref="H369">IF(OR(INDEX(Species_Availability,MATCH($N369,Species_Names,0))="No",INDEX(Species_Evo_Numbers,MATCH($N369,Species_Names,0))&lt;&gt;1),"N/A",$R369/MAX(IF(NOT(ISNA(MATCH(Combo_Species_Names,IF(Species_Availability="Yes",IF(Species_Evo_Numbers=1,Species_Names)),0))),Combo_Duel_Ability)))</f>
        <v>#VALUE!</v>
      </c>
      <c r="I369" s="23" t="e">
        <f t="array" ref="I369">IF(OR(INDEX(Species_Availability,MATCH($N369,Species_Names,0))="No",INDEX(Species_Evo_Numbers,MATCH($N369,Species_Names,0))&lt;&gt;1),"N/A",RANK($S369,IF(NOT(ISNA(MATCH(Combo_Species_Names,IF(Species_Availability="Yes",IF(Species_Evo_Numbers=1,Species_Names)),0))),Combo_Gym_Offense),0))</f>
        <v>#VALUE!</v>
      </c>
      <c r="J369" s="24" t="e">
        <f t="array" ref="J369">IF(OR(INDEX(Species_Availability,MATCH($N369,Species_Names,0))="No",INDEX(Species_Evo_Numbers,MATCH($N369,Species_Names,0))&lt;&gt;1),"N/A",$S369/MAX(IF(NOT(ISNA(MATCH(Combo_Species_Names,IF(Species_Availability="Yes",IF(Species_Evo_Numbers=1,Species_Names)),0))),Combo_Gym_Offense)))</f>
        <v>#VALUE!</v>
      </c>
      <c r="K369" s="23" t="e">
        <f t="array" ref="K369">IF(OR(INDEX(Species_Availability,MATCH($N369,Species_Names,0))="No",INDEX(Species_Evo_Numbers,MATCH($N369,Species_Names,0))&lt;&gt;1),"N/A",RANK($Y369,IF(NOT(ISNA(MATCH(Combo_Species_Names,IF(Species_Availability="Yes",IF(Species_Evo_Numbers=1,Species_Names)),0))),Combo_Gym_Defense),0))</f>
        <v>#VALUE!</v>
      </c>
      <c r="L369" s="24" t="e">
        <f t="array" ref="L369">IF(OR(INDEX(Species_Availability,MATCH($N369,Species_Names,0))="No",INDEX(Species_Evo_Numbers,MATCH($N369,Species_Names,0))&lt;&gt;1),"N/A",$Y369/MAX(IF(NOT(ISNA(MATCH(Combo_Species_Names,IF(Species_Availability="Yes",IF(Species_Evo_Numbers=1,Species_Names)),0))),Combo_Gym_Defense)))</f>
        <v>#VALUE!</v>
      </c>
      <c r="M369" s="28">
        <f t="array" ref="M369">INDEX(Species_Pdex_Numbers,MATCH($N369,Species_Names,0))</f>
        <v>65</v>
      </c>
      <c r="N369" s="30" t="s">
        <v>221</v>
      </c>
      <c r="O369" s="31" t="s">
        <v>108</v>
      </c>
      <c r="P369" s="31" t="s">
        <v>257</v>
      </c>
      <c r="Q369" s="17" t="e">
        <f t="shared" si="10"/>
        <v>#VALUE!</v>
      </c>
      <c r="R369" s="32" t="e">
        <f t="array" ref="R369">IF(OR(AND(COUNTBLANK(Combo_Opponent_Type_1)=1,COUNTBLANK(Combo_Opponent_Type_2)=0),AND(AND(COUNTBLANK(Combo_Opponent_Type_1)=0,COUNTBLANK(Combo_Opponent_Type_2)=0),Combo_Opponent_Type_1=Combo_Opponent_Type_2)),
"Check Types",($S369*INDEX(Species_Tankiness,MATCH($N369,Species_Names,0)))/225)</f>
        <v>#VALUE!</v>
      </c>
      <c r="S369" s="32" t="e">
        <f t="array" ref="S369">IF(OR(AND(COUNTBLANK(Combo_Opponent_Type_1)=1,COUNTBLANK(Combo_Opponent_Type_2)=0),AND(AND(COUNTBLANK(Combo_Opponent_Type_1)=0,COUNTBLANK(Combo_Opponent_Type_2)=0),Combo_Opponent_Type_1=Combo_Opponent_Type_2)),
"Check Types",(
IF($W369&gt;=((1-Game_Weave_Human_Error)*$X369),$W369,$X369)*INDEX(Species_Attack,MATCH($N369,Species_Names,0)))/11)</f>
        <v>#VALUE!</v>
      </c>
      <c r="T369" s="33" t="e">
        <f t="shared" si="11"/>
        <v>#VALUE!</v>
      </c>
      <c r="U369" s="33">
        <f t="array" ref="U3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369,Quick_Names,0))),Type_Species)),0),1)*IF(COUNTBLANK(Combo_Opponent_Type_2)=0,INDEX(Type_Damage_Multipliers,MATCH(Combo_Opponent_Type_2,IF(Type_Move=(INDEX(Quick_Type,MATCH($O369,Quick_Names,0))),Type_Species)),0),1)*(IF(OR(INDEX(Quick_Type,MATCH($O369,Quick_Names,0))=INDEX(Species_Type_1,MATCH($N369,Species_Names,0)),INDEX(Quick_Type,MATCH($O369,Quick_Names,0))=INDEX(Species_Type_2,MATCH($N369,Species_Names,0))),Game_STAB_Multiplier,1)))</f>
        <v>1.25</v>
      </c>
      <c r="V369" s="33">
        <f t="array" ref="V3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369,Charge_Names,0))),Type_Species)),0),1)*IF(COUNTBLANK(Combo_Opponent_Type_2)=0,INDEX(Type_Damage_Multipliers,MATCH(Combo_Opponent_Type_2,IF(Type_Move=(INDEX(Charge_Type,MATCH($P369,Charge_Names,0))),Type_Species)),0),1)*
IF(OR(INDEX(Charge_Type,MATCH($P369,Charge_Names,0))=INDEX(Species_Type_1,MATCH($N369,Species_Names,0)),INDEX(Charge_Type,MATCH($P369,Charge_Names,0))=INDEX(Species_Type_2,MATCH($N369,Species_Names,0))),Game_STAB_Multiplier,1))</f>
        <v>1</v>
      </c>
      <c r="W369" s="33" t="s">
        <v>467</v>
      </c>
      <c r="X369" s="33" t="s">
        <v>663</v>
      </c>
      <c r="Y369" s="32" t="e">
        <f t="array" ref="Y369">((($Z369)*
INDEX(Species_Attack,MATCH($N369,Species_Names,0))*
INDEX(Species_Tankiness,MATCH($N369,Species_Names,0)))/1000)</f>
        <v>#VALUE!</v>
      </c>
      <c r="Z369" s="33" t="s">
        <v>881</v>
      </c>
    </row>
    <row r="370" spans="1:26" ht="14.25" customHeight="1" x14ac:dyDescent="0.2">
      <c r="A370" s="86"/>
      <c r="B370" s="22" t="str">
        <f t="array" ref="B370">CONCATENATE(TEXT($M370,"000"),".",TEXT(INDEX(Quick_Number,MATCH($O370,Quick_Names,0)),"000"),".",TEXT(INDEX(Charge_Number,MATCH($P370,Charge_Names,0)),"000"))</f>
        <v>065.235.070</v>
      </c>
      <c r="C370" s="23" t="e">
        <f t="array" ref="C370">RANK($S370,IF(Combo_Species_Names=$N370,Combo_Gym_Offense),0)</f>
        <v>#VALUE!</v>
      </c>
      <c r="D370" s="24" t="e">
        <f t="array" ref="D370">$S370/MAX(IF(Combo_Species_Names=$N370,Combo_Gym_Offense))</f>
        <v>#VALUE!</v>
      </c>
      <c r="E370" s="23" t="e">
        <f t="array" ref="E370">RANK($Y370,IF(Combo_Species_Names=$N370,Combo_Gym_Defense),0)</f>
        <v>#VALUE!</v>
      </c>
      <c r="F370" s="25" t="e">
        <f t="array" ref="F370">$Y370/MAX(IF(Combo_Species_Names=$N370,Combo_Gym_Defense))</f>
        <v>#VALUE!</v>
      </c>
      <c r="G370" s="23" t="e">
        <f t="array" ref="G370">IF(OR(INDEX(Species_Availability,MATCH($N370,Species_Names,0))="No",INDEX(Species_Evo_Numbers,MATCH($N370,Species_Names,0))&lt;&gt;1),"N/A",RANK($R370,IF(NOT(ISNA(MATCH(Combo_Species_Names,IF(Species_Availability="Yes",IF(Species_Evo_Numbers=1,Species_Names)),0))),Combo_Duel_Ability),0))</f>
        <v>#VALUE!</v>
      </c>
      <c r="H370" s="24" t="e">
        <f t="array" ref="H370">IF(OR(INDEX(Species_Availability,MATCH($N370,Species_Names,0))="No",INDEX(Species_Evo_Numbers,MATCH($N370,Species_Names,0))&lt;&gt;1),"N/A",$R370/MAX(IF(NOT(ISNA(MATCH(Combo_Species_Names,IF(Species_Availability="Yes",IF(Species_Evo_Numbers=1,Species_Names)),0))),Combo_Duel_Ability)))</f>
        <v>#VALUE!</v>
      </c>
      <c r="I370" s="23" t="e">
        <f t="array" ref="I370">IF(OR(INDEX(Species_Availability,MATCH($N370,Species_Names,0))="No",INDEX(Species_Evo_Numbers,MATCH($N370,Species_Names,0))&lt;&gt;1),"N/A",RANK($S370,IF(NOT(ISNA(MATCH(Combo_Species_Names,IF(Species_Availability="Yes",IF(Species_Evo_Numbers=1,Species_Names)),0))),Combo_Gym_Offense),0))</f>
        <v>#VALUE!</v>
      </c>
      <c r="J370" s="24" t="e">
        <f t="array" ref="J370">IF(OR(INDEX(Species_Availability,MATCH($N370,Species_Names,0))="No",INDEX(Species_Evo_Numbers,MATCH($N370,Species_Names,0))&lt;&gt;1),"N/A",$S370/MAX(IF(NOT(ISNA(MATCH(Combo_Species_Names,IF(Species_Availability="Yes",IF(Species_Evo_Numbers=1,Species_Names)),0))),Combo_Gym_Offense)))</f>
        <v>#VALUE!</v>
      </c>
      <c r="K370" s="23" t="e">
        <f t="array" ref="K370">IF(OR(INDEX(Species_Availability,MATCH($N370,Species_Names,0))="No",INDEX(Species_Evo_Numbers,MATCH($N370,Species_Names,0))&lt;&gt;1),"N/A",RANK($Y370,IF(NOT(ISNA(MATCH(Combo_Species_Names,IF(Species_Availability="Yes",IF(Species_Evo_Numbers=1,Species_Names)),0))),Combo_Gym_Defense),0))</f>
        <v>#VALUE!</v>
      </c>
      <c r="L370" s="24" t="e">
        <f t="array" ref="L370">IF(OR(INDEX(Species_Availability,MATCH($N370,Species_Names,0))="No",INDEX(Species_Evo_Numbers,MATCH($N370,Species_Names,0))&lt;&gt;1),"N/A",$Y370/MAX(IF(NOT(ISNA(MATCH(Combo_Species_Names,IF(Species_Availability="Yes",IF(Species_Evo_Numbers=1,Species_Names)),0))),Combo_Gym_Defense)))</f>
        <v>#VALUE!</v>
      </c>
      <c r="M370" s="28">
        <f t="array" ref="M370">INDEX(Species_Pdex_Numbers,MATCH($N370,Species_Names,0))</f>
        <v>65</v>
      </c>
      <c r="N370" s="30" t="s">
        <v>221</v>
      </c>
      <c r="O370" s="31" t="s">
        <v>108</v>
      </c>
      <c r="P370" s="31" t="s">
        <v>234</v>
      </c>
      <c r="Q370" s="17" t="e">
        <f t="shared" si="10"/>
        <v>#VALUE!</v>
      </c>
      <c r="R370" s="32" t="e">
        <f t="array" ref="R370">IF(OR(AND(COUNTBLANK(Combo_Opponent_Type_1)=1,COUNTBLANK(Combo_Opponent_Type_2)=0),AND(AND(COUNTBLANK(Combo_Opponent_Type_1)=0,COUNTBLANK(Combo_Opponent_Type_2)=0),Combo_Opponent_Type_1=Combo_Opponent_Type_2)),
"Check Types",($S370*INDEX(Species_Tankiness,MATCH($N370,Species_Names,0)))/225)</f>
        <v>#VALUE!</v>
      </c>
      <c r="S370" s="32" t="e">
        <f t="array" ref="S370">IF(OR(AND(COUNTBLANK(Combo_Opponent_Type_1)=1,COUNTBLANK(Combo_Opponent_Type_2)=0),AND(AND(COUNTBLANK(Combo_Opponent_Type_1)=0,COUNTBLANK(Combo_Opponent_Type_2)=0),Combo_Opponent_Type_1=Combo_Opponent_Type_2)),
"Check Types",(
IF($W370&gt;=((1-Game_Weave_Human_Error)*$X370),$W370,$X370)*INDEX(Species_Attack,MATCH($N370,Species_Names,0)))/11)</f>
        <v>#VALUE!</v>
      </c>
      <c r="T370" s="33" t="e">
        <f t="shared" si="11"/>
        <v>#VALUE!</v>
      </c>
      <c r="U370" s="33">
        <f t="array" ref="U3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370,Quick_Names,0))),Type_Species)),0),1)*IF(COUNTBLANK(Combo_Opponent_Type_2)=0,INDEX(Type_Damage_Multipliers,MATCH(Combo_Opponent_Type_2,IF(Type_Move=(INDEX(Quick_Type,MATCH($O370,Quick_Names,0))),Type_Species)),0),1)*(IF(OR(INDEX(Quick_Type,MATCH($O370,Quick_Names,0))=INDEX(Species_Type_1,MATCH($N370,Species_Names,0)),INDEX(Quick_Type,MATCH($O370,Quick_Names,0))=INDEX(Species_Type_2,MATCH($N370,Species_Names,0))),Game_STAB_Multiplier,1)))</f>
        <v>1.25</v>
      </c>
      <c r="V370" s="33">
        <f t="array" ref="V3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370,Charge_Names,0))),Type_Species)),0),1)*IF(COUNTBLANK(Combo_Opponent_Type_2)=0,INDEX(Type_Damage_Multipliers,MATCH(Combo_Opponent_Type_2,IF(Type_Move=(INDEX(Charge_Type,MATCH($P370,Charge_Names,0))),Type_Species)),0),1)*
IF(OR(INDEX(Charge_Type,MATCH($P370,Charge_Names,0))=INDEX(Species_Type_1,MATCH($N370,Species_Names,0)),INDEX(Charge_Type,MATCH($P370,Charge_Names,0))=INDEX(Species_Type_2,MATCH($N370,Species_Names,0))),Game_STAB_Multiplier,1))</f>
        <v>1</v>
      </c>
      <c r="W370" s="33" t="s">
        <v>467</v>
      </c>
      <c r="X370" s="33" t="s">
        <v>689</v>
      </c>
      <c r="Y370" s="32" t="e">
        <f t="array" ref="Y370">((($Z370)*
INDEX(Species_Attack,MATCH($N370,Species_Names,0))*
INDEX(Species_Tankiness,MATCH($N370,Species_Names,0)))/1000)</f>
        <v>#VALUE!</v>
      </c>
      <c r="Z370" s="33" t="s">
        <v>471</v>
      </c>
    </row>
    <row r="371" spans="1:26" ht="14.25" customHeight="1" x14ac:dyDescent="0.2">
      <c r="A371" s="86"/>
      <c r="B371" s="22" t="str">
        <f t="array" ref="B371">CONCATENATE(TEXT($M371,"000"),".",TEXT(INDEX(Quick_Number,MATCH($O371,Quick_Names,0)),"000"),".",TEXT(INDEX(Charge_Number,MATCH($P371,Charge_Names,0)),"000"))</f>
        <v>012.201.108</v>
      </c>
      <c r="C371" s="23" t="e">
        <f t="array" ref="C371">RANK($S371,IF(Combo_Species_Names=$N371,Combo_Gym_Offense),0)</f>
        <v>#VALUE!</v>
      </c>
      <c r="D371" s="24" t="e">
        <f t="array" ref="D371">$S371/MAX(IF(Combo_Species_Names=$N371,Combo_Gym_Offense))</f>
        <v>#VALUE!</v>
      </c>
      <c r="E371" s="23" t="e">
        <f t="array" ref="E371">RANK($Y371,IF(Combo_Species_Names=$N371,Combo_Gym_Defense),0)</f>
        <v>#VALUE!</v>
      </c>
      <c r="F371" s="25" t="e">
        <f t="array" ref="F371">$Y371/MAX(IF(Combo_Species_Names=$N371,Combo_Gym_Defense))</f>
        <v>#VALUE!</v>
      </c>
      <c r="G371" s="23" t="e">
        <f t="array" ref="G371">IF(OR(INDEX(Species_Availability,MATCH($N371,Species_Names,0))="No",INDEX(Species_Evo_Numbers,MATCH($N371,Species_Names,0))&lt;&gt;1),"N/A",RANK($R371,IF(NOT(ISNA(MATCH(Combo_Species_Names,IF(Species_Availability="Yes",IF(Species_Evo_Numbers=1,Species_Names)),0))),Combo_Duel_Ability),0))</f>
        <v>#VALUE!</v>
      </c>
      <c r="H371" s="24" t="e">
        <f t="array" ref="H371">IF(OR(INDEX(Species_Availability,MATCH($N371,Species_Names,0))="No",INDEX(Species_Evo_Numbers,MATCH($N371,Species_Names,0))&lt;&gt;1),"N/A",$R371/MAX(IF(NOT(ISNA(MATCH(Combo_Species_Names,IF(Species_Availability="Yes",IF(Species_Evo_Numbers=1,Species_Names)),0))),Combo_Duel_Ability)))</f>
        <v>#VALUE!</v>
      </c>
      <c r="I371" s="23" t="e">
        <f t="array" ref="I371">IF(OR(INDEX(Species_Availability,MATCH($N371,Species_Names,0))="No",INDEX(Species_Evo_Numbers,MATCH($N371,Species_Names,0))&lt;&gt;1),"N/A",RANK($S371,IF(NOT(ISNA(MATCH(Combo_Species_Names,IF(Species_Availability="Yes",IF(Species_Evo_Numbers=1,Species_Names)),0))),Combo_Gym_Offense),0))</f>
        <v>#VALUE!</v>
      </c>
      <c r="J371" s="24" t="e">
        <f t="array" ref="J371">IF(OR(INDEX(Species_Availability,MATCH($N371,Species_Names,0))="No",INDEX(Species_Evo_Numbers,MATCH($N371,Species_Names,0))&lt;&gt;1),"N/A",$S371/MAX(IF(NOT(ISNA(MATCH(Combo_Species_Names,IF(Species_Availability="Yes",IF(Species_Evo_Numbers=1,Species_Names)),0))),Combo_Gym_Offense)))</f>
        <v>#VALUE!</v>
      </c>
      <c r="K371" s="23" t="e">
        <f t="array" ref="K371">IF(OR(INDEX(Species_Availability,MATCH($N371,Species_Names,0))="No",INDEX(Species_Evo_Numbers,MATCH($N371,Species_Names,0))&lt;&gt;1),"N/A",RANK($Y371,IF(NOT(ISNA(MATCH(Combo_Species_Names,IF(Species_Availability="Yes",IF(Species_Evo_Numbers=1,Species_Names)),0))),Combo_Gym_Defense),0))</f>
        <v>#VALUE!</v>
      </c>
      <c r="L371" s="24" t="e">
        <f t="array" ref="L371">IF(OR(INDEX(Species_Availability,MATCH($N371,Species_Names,0))="No",INDEX(Species_Evo_Numbers,MATCH($N371,Species_Names,0))&lt;&gt;1),"N/A",$Y371/MAX(IF(NOT(ISNA(MATCH(Combo_Species_Names,IF(Species_Availability="Yes",IF(Species_Evo_Numbers=1,Species_Names)),0))),Combo_Gym_Defense)))</f>
        <v>#VALUE!</v>
      </c>
      <c r="M371" s="28">
        <f t="array" ref="M371">INDEX(Species_Pdex_Numbers,MATCH($N371,Species_Names,0))</f>
        <v>12</v>
      </c>
      <c r="N371" s="30" t="s">
        <v>104</v>
      </c>
      <c r="O371" s="31" t="s">
        <v>82</v>
      </c>
      <c r="P371" s="31" t="s">
        <v>58</v>
      </c>
      <c r="Q371" s="17" t="e">
        <f t="shared" si="10"/>
        <v>#VALUE!</v>
      </c>
      <c r="R371" s="32" t="e">
        <f t="array" ref="R371">IF(OR(AND(COUNTBLANK(Combo_Opponent_Type_1)=1,COUNTBLANK(Combo_Opponent_Type_2)=0),AND(AND(COUNTBLANK(Combo_Opponent_Type_1)=0,COUNTBLANK(Combo_Opponent_Type_2)=0),Combo_Opponent_Type_1=Combo_Opponent_Type_2)),
"Check Types",($S371*INDEX(Species_Tankiness,MATCH($N371,Species_Names,0)))/225)</f>
        <v>#VALUE!</v>
      </c>
      <c r="S371" s="32" t="e">
        <f t="array" ref="S371">IF(OR(AND(COUNTBLANK(Combo_Opponent_Type_1)=1,COUNTBLANK(Combo_Opponent_Type_2)=0),AND(AND(COUNTBLANK(Combo_Opponent_Type_1)=0,COUNTBLANK(Combo_Opponent_Type_2)=0),Combo_Opponent_Type_1=Combo_Opponent_Type_2)),
"Check Types",(
IF($W371&gt;=((1-Game_Weave_Human_Error)*$X371),$W371,$X371)*INDEX(Species_Attack,MATCH($N371,Species_Names,0)))/11)</f>
        <v>#VALUE!</v>
      </c>
      <c r="T371" s="33" t="e">
        <f t="shared" si="11"/>
        <v>#VALUE!</v>
      </c>
      <c r="U371" s="33">
        <f t="array" ref="U3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371,Quick_Names,0))),Type_Species)),0),1)*IF(COUNTBLANK(Combo_Opponent_Type_2)=0,INDEX(Type_Damage_Multipliers,MATCH(Combo_Opponent_Type_2,IF(Type_Move=(INDEX(Quick_Type,MATCH($O371,Quick_Names,0))),Type_Species)),0),1)*(IF(OR(INDEX(Quick_Type,MATCH($O371,Quick_Names,0))=INDEX(Species_Type_1,MATCH($N371,Species_Names,0)),INDEX(Quick_Type,MATCH($O371,Quick_Names,0))=INDEX(Species_Type_2,MATCH($N371,Species_Names,0))),Game_STAB_Multiplier,1)))</f>
        <v>1.25</v>
      </c>
      <c r="V371" s="33">
        <f t="array" ref="V3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371,Charge_Names,0))),Type_Species)),0),1)*IF(COUNTBLANK(Combo_Opponent_Type_2)=0,INDEX(Type_Damage_Multipliers,MATCH(Combo_Opponent_Type_2,IF(Type_Move=(INDEX(Charge_Type,MATCH($P371,Charge_Names,0))),Type_Species)),0),1)*
IF(OR(INDEX(Charge_Type,MATCH($P371,Charge_Names,0))=INDEX(Species_Type_1,MATCH($N371,Species_Names,0)),INDEX(Charge_Type,MATCH($P371,Charge_Names,0))=INDEX(Species_Type_2,MATCH($N371,Species_Names,0))),Game_STAB_Multiplier,1))</f>
        <v>1</v>
      </c>
      <c r="W371" s="33" t="s">
        <v>436</v>
      </c>
      <c r="X371" s="33" t="s">
        <v>740</v>
      </c>
      <c r="Y371" s="32" t="e">
        <f t="array" ref="Y371">((($Z371)*
INDEX(Species_Attack,MATCH($N371,Species_Names,0))*
INDEX(Species_Tankiness,MATCH($N371,Species_Names,0)))/1000)</f>
        <v>#VALUE!</v>
      </c>
      <c r="Z371" s="33" t="s">
        <v>741</v>
      </c>
    </row>
    <row r="372" spans="1:26" ht="14.25" customHeight="1" x14ac:dyDescent="0.2">
      <c r="A372" s="86"/>
      <c r="B372" s="22" t="str">
        <f t="array" ref="B372">CONCATENATE(TEXT($M372,"000"),".",TEXT(INDEX(Quick_Number,MATCH($O372,Quick_Names,0)),"000"),".",TEXT(INDEX(Charge_Number,MATCH($P372,Charge_Names,0)),"000"))</f>
        <v>015.201.100</v>
      </c>
      <c r="C372" s="23" t="e">
        <f t="array" ref="C372">RANK($S372,IF(Combo_Species_Names=$N372,Combo_Gym_Offense),0)</f>
        <v>#VALUE!</v>
      </c>
      <c r="D372" s="24" t="e">
        <f t="array" ref="D372">$S372/MAX(IF(Combo_Species_Names=$N372,Combo_Gym_Offense))</f>
        <v>#VALUE!</v>
      </c>
      <c r="E372" s="23" t="e">
        <f t="array" ref="E372">RANK($Y372,IF(Combo_Species_Names=$N372,Combo_Gym_Defense),0)</f>
        <v>#VALUE!</v>
      </c>
      <c r="F372" s="25" t="e">
        <f t="array" ref="F372">$Y372/MAX(IF(Combo_Species_Names=$N372,Combo_Gym_Defense))</f>
        <v>#VALUE!</v>
      </c>
      <c r="G372" s="23" t="e">
        <f t="array" ref="G372">IF(OR(INDEX(Species_Availability,MATCH($N372,Species_Names,0))="No",INDEX(Species_Evo_Numbers,MATCH($N372,Species_Names,0))&lt;&gt;1),"N/A",RANK($R372,IF(NOT(ISNA(MATCH(Combo_Species_Names,IF(Species_Availability="Yes",IF(Species_Evo_Numbers=1,Species_Names)),0))),Combo_Duel_Ability),0))</f>
        <v>#VALUE!</v>
      </c>
      <c r="H372" s="24" t="e">
        <f t="array" ref="H372">IF(OR(INDEX(Species_Availability,MATCH($N372,Species_Names,0))="No",INDEX(Species_Evo_Numbers,MATCH($N372,Species_Names,0))&lt;&gt;1),"N/A",$R372/MAX(IF(NOT(ISNA(MATCH(Combo_Species_Names,IF(Species_Availability="Yes",IF(Species_Evo_Numbers=1,Species_Names)),0))),Combo_Duel_Ability)))</f>
        <v>#VALUE!</v>
      </c>
      <c r="I372" s="23" t="e">
        <f t="array" ref="I372">IF(OR(INDEX(Species_Availability,MATCH($N372,Species_Names,0))="No",INDEX(Species_Evo_Numbers,MATCH($N372,Species_Names,0))&lt;&gt;1),"N/A",RANK($S372,IF(NOT(ISNA(MATCH(Combo_Species_Names,IF(Species_Availability="Yes",IF(Species_Evo_Numbers=1,Species_Names)),0))),Combo_Gym_Offense),0))</f>
        <v>#VALUE!</v>
      </c>
      <c r="J372" s="24" t="e">
        <f t="array" ref="J372">IF(OR(INDEX(Species_Availability,MATCH($N372,Species_Names,0))="No",INDEX(Species_Evo_Numbers,MATCH($N372,Species_Names,0))&lt;&gt;1),"N/A",$S372/MAX(IF(NOT(ISNA(MATCH(Combo_Species_Names,IF(Species_Availability="Yes",IF(Species_Evo_Numbers=1,Species_Names)),0))),Combo_Gym_Offense)))</f>
        <v>#VALUE!</v>
      </c>
      <c r="K372" s="23" t="e">
        <f t="array" ref="K372">IF(OR(INDEX(Species_Availability,MATCH($N372,Species_Names,0))="No",INDEX(Species_Evo_Numbers,MATCH($N372,Species_Names,0))&lt;&gt;1),"N/A",RANK($Y372,IF(NOT(ISNA(MATCH(Combo_Species_Names,IF(Species_Availability="Yes",IF(Species_Evo_Numbers=1,Species_Names)),0))),Combo_Gym_Defense),0))</f>
        <v>#VALUE!</v>
      </c>
      <c r="L372" s="24" t="e">
        <f t="array" ref="L372">IF(OR(INDEX(Species_Availability,MATCH($N372,Species_Names,0))="No",INDEX(Species_Evo_Numbers,MATCH($N372,Species_Names,0))&lt;&gt;1),"N/A",$Y372/MAX(IF(NOT(ISNA(MATCH(Combo_Species_Names,IF(Species_Availability="Yes",IF(Species_Evo_Numbers=1,Species_Names)),0))),Combo_Gym_Defense)))</f>
        <v>#VALUE!</v>
      </c>
      <c r="M372" s="28">
        <f t="array" ref="M372">INDEX(Species_Pdex_Numbers,MATCH($N372,Species_Names,0))</f>
        <v>15</v>
      </c>
      <c r="N372" s="30" t="s">
        <v>120</v>
      </c>
      <c r="O372" s="31" t="s">
        <v>82</v>
      </c>
      <c r="P372" s="31" t="s">
        <v>218</v>
      </c>
      <c r="Q372" s="17" t="e">
        <f t="shared" si="10"/>
        <v>#VALUE!</v>
      </c>
      <c r="R372" s="32" t="e">
        <f t="array" ref="R372">IF(OR(AND(COUNTBLANK(Combo_Opponent_Type_1)=1,COUNTBLANK(Combo_Opponent_Type_2)=0),AND(AND(COUNTBLANK(Combo_Opponent_Type_1)=0,COUNTBLANK(Combo_Opponent_Type_2)=0),Combo_Opponent_Type_1=Combo_Opponent_Type_2)),
"Check Types",($S372*INDEX(Species_Tankiness,MATCH($N372,Species_Names,0)))/225)</f>
        <v>#VALUE!</v>
      </c>
      <c r="S372" s="32" t="e">
        <f t="array" ref="S372">IF(OR(AND(COUNTBLANK(Combo_Opponent_Type_1)=1,COUNTBLANK(Combo_Opponent_Type_2)=0),AND(AND(COUNTBLANK(Combo_Opponent_Type_1)=0,COUNTBLANK(Combo_Opponent_Type_2)=0),Combo_Opponent_Type_1=Combo_Opponent_Type_2)),
"Check Types",(
IF($W372&gt;=((1-Game_Weave_Human_Error)*$X372),$W372,$X372)*INDEX(Species_Attack,MATCH($N372,Species_Names,0)))/11)</f>
        <v>#VALUE!</v>
      </c>
      <c r="T372" s="33" t="e">
        <f t="shared" si="11"/>
        <v>#VALUE!</v>
      </c>
      <c r="U372" s="33">
        <f t="array" ref="U3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372,Quick_Names,0))),Type_Species)),0),1)*IF(COUNTBLANK(Combo_Opponent_Type_2)=0,INDEX(Type_Damage_Multipliers,MATCH(Combo_Opponent_Type_2,IF(Type_Move=(INDEX(Quick_Type,MATCH($O372,Quick_Names,0))),Type_Species)),0),1)*(IF(OR(INDEX(Quick_Type,MATCH($O372,Quick_Names,0))=INDEX(Species_Type_1,MATCH($N372,Species_Names,0)),INDEX(Quick_Type,MATCH($O372,Quick_Names,0))=INDEX(Species_Type_2,MATCH($N372,Species_Names,0))),Game_STAB_Multiplier,1)))</f>
        <v>1.25</v>
      </c>
      <c r="V372" s="33">
        <f t="array" ref="V3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372,Charge_Names,0))),Type_Species)),0),1)*IF(COUNTBLANK(Combo_Opponent_Type_2)=0,INDEX(Type_Damage_Multipliers,MATCH(Combo_Opponent_Type_2,IF(Type_Move=(INDEX(Charge_Type,MATCH($P372,Charge_Names,0))),Type_Species)),0),1)*
IF(OR(INDEX(Charge_Type,MATCH($P372,Charge_Names,0))=INDEX(Species_Type_1,MATCH($N372,Species_Names,0)),INDEX(Charge_Type,MATCH($P372,Charge_Names,0))=INDEX(Species_Type_2,MATCH($N372,Species_Names,0))),Game_STAB_Multiplier,1))</f>
        <v>1.25</v>
      </c>
      <c r="W372" s="33" t="s">
        <v>436</v>
      </c>
      <c r="X372" s="33" t="s">
        <v>775</v>
      </c>
      <c r="Y372" s="32" t="e">
        <f t="array" ref="Y372">((($Z372)*
INDEX(Species_Attack,MATCH($N372,Species_Names,0))*
INDEX(Species_Tankiness,MATCH($N372,Species_Names,0)))/1000)</f>
        <v>#VALUE!</v>
      </c>
      <c r="Z372" s="33" t="s">
        <v>411</v>
      </c>
    </row>
    <row r="373" spans="1:26" ht="14.25" customHeight="1" x14ac:dyDescent="0.2">
      <c r="A373" s="86"/>
      <c r="B373" s="22" t="str">
        <f t="array" ref="B373">CONCATENATE(TEXT($M373,"000"),".",TEXT(INDEX(Quick_Number,MATCH($O373,Quick_Names,0)),"000"),".",TEXT(INDEX(Charge_Number,MATCH($P373,Charge_Names,0)),"000"))</f>
        <v>119.211.111</v>
      </c>
      <c r="C373" s="23" t="e">
        <f t="array" ref="C373">RANK($S373,IF(Combo_Species_Names=$N373,Combo_Gym_Offense),0)</f>
        <v>#VALUE!</v>
      </c>
      <c r="D373" s="24" t="e">
        <f t="array" ref="D373">$S373/MAX(IF(Combo_Species_Names=$N373,Combo_Gym_Offense))</f>
        <v>#VALUE!</v>
      </c>
      <c r="E373" s="23" t="e">
        <f t="array" ref="E373">RANK($Y373,IF(Combo_Species_Names=$N373,Combo_Gym_Defense),0)</f>
        <v>#VALUE!</v>
      </c>
      <c r="F373" s="25" t="e">
        <f t="array" ref="F373">$Y373/MAX(IF(Combo_Species_Names=$N373,Combo_Gym_Defense))</f>
        <v>#VALUE!</v>
      </c>
      <c r="G373" s="23" t="e">
        <f t="array" ref="G373">IF(OR(INDEX(Species_Availability,MATCH($N373,Species_Names,0))="No",INDEX(Species_Evo_Numbers,MATCH($N373,Species_Names,0))&lt;&gt;1),"N/A",RANK($R373,IF(NOT(ISNA(MATCH(Combo_Species_Names,IF(Species_Availability="Yes",IF(Species_Evo_Numbers=1,Species_Names)),0))),Combo_Duel_Ability),0))</f>
        <v>#VALUE!</v>
      </c>
      <c r="H373" s="24" t="e">
        <f t="array" ref="H373">IF(OR(INDEX(Species_Availability,MATCH($N373,Species_Names,0))="No",INDEX(Species_Evo_Numbers,MATCH($N373,Species_Names,0))&lt;&gt;1),"N/A",$R373/MAX(IF(NOT(ISNA(MATCH(Combo_Species_Names,IF(Species_Availability="Yes",IF(Species_Evo_Numbers=1,Species_Names)),0))),Combo_Duel_Ability)))</f>
        <v>#VALUE!</v>
      </c>
      <c r="I373" s="23" t="e">
        <f t="array" ref="I373">IF(OR(INDEX(Species_Availability,MATCH($N373,Species_Names,0))="No",INDEX(Species_Evo_Numbers,MATCH($N373,Species_Names,0))&lt;&gt;1),"N/A",RANK($S373,IF(NOT(ISNA(MATCH(Combo_Species_Names,IF(Species_Availability="Yes",IF(Species_Evo_Numbers=1,Species_Names)),0))),Combo_Gym_Offense),0))</f>
        <v>#VALUE!</v>
      </c>
      <c r="J373" s="24" t="e">
        <f t="array" ref="J373">IF(OR(INDEX(Species_Availability,MATCH($N373,Species_Names,0))="No",INDEX(Species_Evo_Numbers,MATCH($N373,Species_Names,0))&lt;&gt;1),"N/A",$S373/MAX(IF(NOT(ISNA(MATCH(Combo_Species_Names,IF(Species_Availability="Yes",IF(Species_Evo_Numbers=1,Species_Names)),0))),Combo_Gym_Offense)))</f>
        <v>#VALUE!</v>
      </c>
      <c r="K373" s="23" t="e">
        <f t="array" ref="K373">IF(OR(INDEX(Species_Availability,MATCH($N373,Species_Names,0))="No",INDEX(Species_Evo_Numbers,MATCH($N373,Species_Names,0))&lt;&gt;1),"N/A",RANK($Y373,IF(NOT(ISNA(MATCH(Combo_Species_Names,IF(Species_Availability="Yes",IF(Species_Evo_Numbers=1,Species_Names)),0))),Combo_Gym_Defense),0))</f>
        <v>#VALUE!</v>
      </c>
      <c r="L373" s="24" t="e">
        <f t="array" ref="L373">IF(OR(INDEX(Species_Availability,MATCH($N373,Species_Names,0))="No",INDEX(Species_Evo_Numbers,MATCH($N373,Species_Names,0))&lt;&gt;1),"N/A",$Y373/MAX(IF(NOT(ISNA(MATCH(Combo_Species_Names,IF(Species_Availability="Yes",IF(Species_Evo_Numbers=1,Species_Names)),0))),Combo_Gym_Defense)))</f>
        <v>#VALUE!</v>
      </c>
      <c r="M373" s="28">
        <f t="array" ref="M373">INDEX(Species_Pdex_Numbers,MATCH($N373,Species_Names,0))</f>
        <v>119</v>
      </c>
      <c r="N373" s="30" t="s">
        <v>332</v>
      </c>
      <c r="O373" s="31" t="s">
        <v>114</v>
      </c>
      <c r="P373" s="31" t="s">
        <v>318</v>
      </c>
      <c r="Q373" s="17" t="e">
        <f t="shared" si="10"/>
        <v>#VALUE!</v>
      </c>
      <c r="R373" s="32" t="e">
        <f t="array" ref="R373">IF(OR(AND(COUNTBLANK(Combo_Opponent_Type_1)=1,COUNTBLANK(Combo_Opponent_Type_2)=0),AND(AND(COUNTBLANK(Combo_Opponent_Type_1)=0,COUNTBLANK(Combo_Opponent_Type_2)=0),Combo_Opponent_Type_1=Combo_Opponent_Type_2)),
"Check Types",($S373*INDEX(Species_Tankiness,MATCH($N373,Species_Names,0)))/225)</f>
        <v>#VALUE!</v>
      </c>
      <c r="S373" s="32" t="e">
        <f t="array" ref="S373">IF(OR(AND(COUNTBLANK(Combo_Opponent_Type_1)=1,COUNTBLANK(Combo_Opponent_Type_2)=0),AND(AND(COUNTBLANK(Combo_Opponent_Type_1)=0,COUNTBLANK(Combo_Opponent_Type_2)=0),Combo_Opponent_Type_1=Combo_Opponent_Type_2)),
"Check Types",(
IF($W373&gt;=((1-Game_Weave_Human_Error)*$X373),$W373,$X373)*INDEX(Species_Attack,MATCH($N373,Species_Names,0)))/11)</f>
        <v>#VALUE!</v>
      </c>
      <c r="T373" s="33" t="e">
        <f t="shared" si="11"/>
        <v>#VALUE!</v>
      </c>
      <c r="U373" s="33">
        <f t="array" ref="U3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373,Quick_Names,0))),Type_Species)),0),1)*IF(COUNTBLANK(Combo_Opponent_Type_2)=0,INDEX(Type_Damage_Multipliers,MATCH(Combo_Opponent_Type_2,IF(Type_Move=(INDEX(Quick_Type,MATCH($O373,Quick_Names,0))),Type_Species)),0),1)*(IF(OR(INDEX(Quick_Type,MATCH($O373,Quick_Names,0))=INDEX(Species_Type_1,MATCH($N373,Species_Names,0)),INDEX(Quick_Type,MATCH($O373,Quick_Names,0))=INDEX(Species_Type_2,MATCH($N373,Species_Names,0))),Game_STAB_Multiplier,1)))</f>
        <v>1</v>
      </c>
      <c r="V373" s="33">
        <f t="array" ref="V3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373,Charge_Names,0))),Type_Species)),0),1)*IF(COUNTBLANK(Combo_Opponent_Type_2)=0,INDEX(Type_Damage_Multipliers,MATCH(Combo_Opponent_Type_2,IF(Type_Move=(INDEX(Charge_Type,MATCH($P373,Charge_Names,0))),Type_Species)),0),1)*
IF(OR(INDEX(Charge_Type,MATCH($P373,Charge_Names,0))=INDEX(Species_Type_1,MATCH($N373,Species_Names,0)),INDEX(Charge_Type,MATCH($P373,Charge_Names,0))=INDEX(Species_Type_2,MATCH($N373,Species_Names,0))),Game_STAB_Multiplier,1))</f>
        <v>1</v>
      </c>
      <c r="W373" s="33" t="s">
        <v>779</v>
      </c>
      <c r="X373" s="33" t="s">
        <v>882</v>
      </c>
      <c r="Y373" s="32" t="e">
        <f t="array" ref="Y373">((($Z373)*
INDEX(Species_Attack,MATCH($N373,Species_Names,0))*
INDEX(Species_Tankiness,MATCH($N373,Species_Names,0)))/1000)</f>
        <v>#VALUE!</v>
      </c>
      <c r="Z373" s="33" t="s">
        <v>705</v>
      </c>
    </row>
    <row r="374" spans="1:26" ht="14.25" customHeight="1" x14ac:dyDescent="0.2">
      <c r="A374" s="86"/>
      <c r="B374" s="22" t="str">
        <f t="array" ref="B374">CONCATENATE(TEXT($M374,"000"),".",TEXT(INDEX(Quick_Number,MATCH($O374,Quick_Names,0)),"000"),".",TEXT(INDEX(Charge_Number,MATCH($P374,Charge_Names,0)),"000"))</f>
        <v>012.201.099</v>
      </c>
      <c r="C374" s="23" t="e">
        <f t="array" ref="C374">RANK($S374,IF(Combo_Species_Names=$N374,Combo_Gym_Offense),0)</f>
        <v>#VALUE!</v>
      </c>
      <c r="D374" s="24" t="e">
        <f t="array" ref="D374">$S374/MAX(IF(Combo_Species_Names=$N374,Combo_Gym_Offense))</f>
        <v>#VALUE!</v>
      </c>
      <c r="E374" s="23" t="e">
        <f t="array" ref="E374">RANK($Y374,IF(Combo_Species_Names=$N374,Combo_Gym_Defense),0)</f>
        <v>#VALUE!</v>
      </c>
      <c r="F374" s="25" t="e">
        <f t="array" ref="F374">$Y374/MAX(IF(Combo_Species_Names=$N374,Combo_Gym_Defense))</f>
        <v>#VALUE!</v>
      </c>
      <c r="G374" s="23" t="e">
        <f t="array" ref="G374">IF(OR(INDEX(Species_Availability,MATCH($N374,Species_Names,0))="No",INDEX(Species_Evo_Numbers,MATCH($N374,Species_Names,0))&lt;&gt;1),"N/A",RANK($R374,IF(NOT(ISNA(MATCH(Combo_Species_Names,IF(Species_Availability="Yes",IF(Species_Evo_Numbers=1,Species_Names)),0))),Combo_Duel_Ability),0))</f>
        <v>#VALUE!</v>
      </c>
      <c r="H374" s="24" t="e">
        <f t="array" ref="H374">IF(OR(INDEX(Species_Availability,MATCH($N374,Species_Names,0))="No",INDEX(Species_Evo_Numbers,MATCH($N374,Species_Names,0))&lt;&gt;1),"N/A",$R374/MAX(IF(NOT(ISNA(MATCH(Combo_Species_Names,IF(Species_Availability="Yes",IF(Species_Evo_Numbers=1,Species_Names)),0))),Combo_Duel_Ability)))</f>
        <v>#VALUE!</v>
      </c>
      <c r="I374" s="23" t="e">
        <f t="array" ref="I374">IF(OR(INDEX(Species_Availability,MATCH($N374,Species_Names,0))="No",INDEX(Species_Evo_Numbers,MATCH($N374,Species_Names,0))&lt;&gt;1),"N/A",RANK($S374,IF(NOT(ISNA(MATCH(Combo_Species_Names,IF(Species_Availability="Yes",IF(Species_Evo_Numbers=1,Species_Names)),0))),Combo_Gym_Offense),0))</f>
        <v>#VALUE!</v>
      </c>
      <c r="J374" s="24" t="e">
        <f t="array" ref="J374">IF(OR(INDEX(Species_Availability,MATCH($N374,Species_Names,0))="No",INDEX(Species_Evo_Numbers,MATCH($N374,Species_Names,0))&lt;&gt;1),"N/A",$S374/MAX(IF(NOT(ISNA(MATCH(Combo_Species_Names,IF(Species_Availability="Yes",IF(Species_Evo_Numbers=1,Species_Names)),0))),Combo_Gym_Offense)))</f>
        <v>#VALUE!</v>
      </c>
      <c r="K374" s="23" t="e">
        <f t="array" ref="K374">IF(OR(INDEX(Species_Availability,MATCH($N374,Species_Names,0))="No",INDEX(Species_Evo_Numbers,MATCH($N374,Species_Names,0))&lt;&gt;1),"N/A",RANK($Y374,IF(NOT(ISNA(MATCH(Combo_Species_Names,IF(Species_Availability="Yes",IF(Species_Evo_Numbers=1,Species_Names)),0))),Combo_Gym_Defense),0))</f>
        <v>#VALUE!</v>
      </c>
      <c r="L374" s="24" t="e">
        <f t="array" ref="L374">IF(OR(INDEX(Species_Availability,MATCH($N374,Species_Names,0))="No",INDEX(Species_Evo_Numbers,MATCH($N374,Species_Names,0))&lt;&gt;1),"N/A",$Y374/MAX(IF(NOT(ISNA(MATCH(Combo_Species_Names,IF(Species_Availability="Yes",IF(Species_Evo_Numbers=1,Species_Names)),0))),Combo_Gym_Defense)))</f>
        <v>#VALUE!</v>
      </c>
      <c r="M374" s="28">
        <f t="array" ref="M374">INDEX(Species_Pdex_Numbers,MATCH($N374,Species_Names,0))</f>
        <v>12</v>
      </c>
      <c r="N374" s="30" t="s">
        <v>104</v>
      </c>
      <c r="O374" s="31" t="s">
        <v>82</v>
      </c>
      <c r="P374" s="31" t="s">
        <v>236</v>
      </c>
      <c r="Q374" s="17" t="e">
        <f t="shared" si="10"/>
        <v>#VALUE!</v>
      </c>
      <c r="R374" s="32" t="e">
        <f t="array" ref="R374">IF(OR(AND(COUNTBLANK(Combo_Opponent_Type_1)=1,COUNTBLANK(Combo_Opponent_Type_2)=0),AND(AND(COUNTBLANK(Combo_Opponent_Type_1)=0,COUNTBLANK(Combo_Opponent_Type_2)=0),Combo_Opponent_Type_1=Combo_Opponent_Type_2)),
"Check Types",($S374*INDEX(Species_Tankiness,MATCH($N374,Species_Names,0)))/225)</f>
        <v>#VALUE!</v>
      </c>
      <c r="S374" s="32" t="e">
        <f t="array" ref="S374">IF(OR(AND(COUNTBLANK(Combo_Opponent_Type_1)=1,COUNTBLANK(Combo_Opponent_Type_2)=0),AND(AND(COUNTBLANK(Combo_Opponent_Type_1)=0,COUNTBLANK(Combo_Opponent_Type_2)=0),Combo_Opponent_Type_1=Combo_Opponent_Type_2)),
"Check Types",(
IF($W374&gt;=((1-Game_Weave_Human_Error)*$X374),$W374,$X374)*INDEX(Species_Attack,MATCH($N374,Species_Names,0)))/11)</f>
        <v>#VALUE!</v>
      </c>
      <c r="T374" s="33" t="e">
        <f t="shared" si="11"/>
        <v>#VALUE!</v>
      </c>
      <c r="U374" s="33">
        <f t="array" ref="U3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374,Quick_Names,0))),Type_Species)),0),1)*IF(COUNTBLANK(Combo_Opponent_Type_2)=0,INDEX(Type_Damage_Multipliers,MATCH(Combo_Opponent_Type_2,IF(Type_Move=(INDEX(Quick_Type,MATCH($O374,Quick_Names,0))),Type_Species)),0),1)*(IF(OR(INDEX(Quick_Type,MATCH($O374,Quick_Names,0))=INDEX(Species_Type_1,MATCH($N374,Species_Names,0)),INDEX(Quick_Type,MATCH($O374,Quick_Names,0))=INDEX(Species_Type_2,MATCH($N374,Species_Names,0))),Game_STAB_Multiplier,1)))</f>
        <v>1.25</v>
      </c>
      <c r="V374" s="33">
        <f t="array" ref="V3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374,Charge_Names,0))),Type_Species)),0),1)*IF(COUNTBLANK(Combo_Opponent_Type_2)=0,INDEX(Type_Damage_Multipliers,MATCH(Combo_Opponent_Type_2,IF(Type_Move=(INDEX(Charge_Type,MATCH($P374,Charge_Names,0))),Type_Species)),0),1)*
IF(OR(INDEX(Charge_Type,MATCH($P374,Charge_Names,0))=INDEX(Species_Type_1,MATCH($N374,Species_Names,0)),INDEX(Charge_Type,MATCH($P374,Charge_Names,0))=INDEX(Species_Type_2,MATCH($N374,Species_Names,0))),Game_STAB_Multiplier,1))</f>
        <v>1.25</v>
      </c>
      <c r="W374" s="33" t="s">
        <v>436</v>
      </c>
      <c r="X374" s="33" t="s">
        <v>883</v>
      </c>
      <c r="Y374" s="32" t="e">
        <f t="array" ref="Y374">((($Z374)*
INDEX(Species_Attack,MATCH($N374,Species_Names,0))*
INDEX(Species_Tankiness,MATCH($N374,Species_Names,0)))/1000)</f>
        <v>#VALUE!</v>
      </c>
      <c r="Z374" s="33" t="s">
        <v>884</v>
      </c>
    </row>
    <row r="375" spans="1:26" ht="14.25" customHeight="1" x14ac:dyDescent="0.2">
      <c r="A375" s="86"/>
      <c r="B375" s="22" t="str">
        <f t="array" ref="B375">CONCATENATE(TEXT($M375,"000"),".",TEXT(INDEX(Quick_Number,MATCH($O375,Quick_Names,0)),"000"),".",TEXT(INDEX(Charge_Number,MATCH($P375,Charge_Names,0)),"000"))</f>
        <v>085.238.121</v>
      </c>
      <c r="C375" s="23" t="e">
        <f t="array" ref="C375">RANK($S375,IF(Combo_Species_Names=$N375,Combo_Gym_Offense),0)</f>
        <v>#VALUE!</v>
      </c>
      <c r="D375" s="24" t="e">
        <f t="array" ref="D375">$S375/MAX(IF(Combo_Species_Names=$N375,Combo_Gym_Offense))</f>
        <v>#VALUE!</v>
      </c>
      <c r="E375" s="23" t="e">
        <f t="array" ref="E375">RANK($Y375,IF(Combo_Species_Names=$N375,Combo_Gym_Defense),0)</f>
        <v>#VALUE!</v>
      </c>
      <c r="F375" s="25" t="e">
        <f t="array" ref="F375">$Y375/MAX(IF(Combo_Species_Names=$N375,Combo_Gym_Defense))</f>
        <v>#VALUE!</v>
      </c>
      <c r="G375" s="23" t="e">
        <f t="array" ref="G375">IF(OR(INDEX(Species_Availability,MATCH($N375,Species_Names,0))="No",INDEX(Species_Evo_Numbers,MATCH($N375,Species_Names,0))&lt;&gt;1),"N/A",RANK($R375,IF(NOT(ISNA(MATCH(Combo_Species_Names,IF(Species_Availability="Yes",IF(Species_Evo_Numbers=1,Species_Names)),0))),Combo_Duel_Ability),0))</f>
        <v>#VALUE!</v>
      </c>
      <c r="H375" s="24" t="e">
        <f t="array" ref="H375">IF(OR(INDEX(Species_Availability,MATCH($N375,Species_Names,0))="No",INDEX(Species_Evo_Numbers,MATCH($N375,Species_Names,0))&lt;&gt;1),"N/A",$R375/MAX(IF(NOT(ISNA(MATCH(Combo_Species_Names,IF(Species_Availability="Yes",IF(Species_Evo_Numbers=1,Species_Names)),0))),Combo_Duel_Ability)))</f>
        <v>#VALUE!</v>
      </c>
      <c r="I375" s="23" t="e">
        <f t="array" ref="I375">IF(OR(INDEX(Species_Availability,MATCH($N375,Species_Names,0))="No",INDEX(Species_Evo_Numbers,MATCH($N375,Species_Names,0))&lt;&gt;1),"N/A",RANK($S375,IF(NOT(ISNA(MATCH(Combo_Species_Names,IF(Species_Availability="Yes",IF(Species_Evo_Numbers=1,Species_Names)),0))),Combo_Gym_Offense),0))</f>
        <v>#VALUE!</v>
      </c>
      <c r="J375" s="24" t="e">
        <f t="array" ref="J375">IF(OR(INDEX(Species_Availability,MATCH($N375,Species_Names,0))="No",INDEX(Species_Evo_Numbers,MATCH($N375,Species_Names,0))&lt;&gt;1),"N/A",$S375/MAX(IF(NOT(ISNA(MATCH(Combo_Species_Names,IF(Species_Availability="Yes",IF(Species_Evo_Numbers=1,Species_Names)),0))),Combo_Gym_Offense)))</f>
        <v>#VALUE!</v>
      </c>
      <c r="K375" s="23" t="e">
        <f t="array" ref="K375">IF(OR(INDEX(Species_Availability,MATCH($N375,Species_Names,0))="No",INDEX(Species_Evo_Numbers,MATCH($N375,Species_Names,0))&lt;&gt;1),"N/A",RANK($Y375,IF(NOT(ISNA(MATCH(Combo_Species_Names,IF(Species_Availability="Yes",IF(Species_Evo_Numbers=1,Species_Names)),0))),Combo_Gym_Defense),0))</f>
        <v>#VALUE!</v>
      </c>
      <c r="L375" s="24" t="e">
        <f t="array" ref="L375">IF(OR(INDEX(Species_Availability,MATCH($N375,Species_Names,0))="No",INDEX(Species_Evo_Numbers,MATCH($N375,Species_Names,0))&lt;&gt;1),"N/A",$Y375/MAX(IF(NOT(ISNA(MATCH(Combo_Species_Names,IF(Species_Availability="Yes",IF(Species_Evo_Numbers=1,Species_Names)),0))),Combo_Gym_Defense)))</f>
        <v>#VALUE!</v>
      </c>
      <c r="M375" s="28">
        <f t="array" ref="M375">INDEX(Species_Pdex_Numbers,MATCH($N375,Species_Names,0))</f>
        <v>85</v>
      </c>
      <c r="N375" s="30" t="s">
        <v>263</v>
      </c>
      <c r="O375" s="31" t="s">
        <v>76</v>
      </c>
      <c r="P375" s="31" t="s">
        <v>294</v>
      </c>
      <c r="Q375" s="17" t="e">
        <f t="shared" si="10"/>
        <v>#VALUE!</v>
      </c>
      <c r="R375" s="32" t="e">
        <f t="array" ref="R375">IF(OR(AND(COUNTBLANK(Combo_Opponent_Type_1)=1,COUNTBLANK(Combo_Opponent_Type_2)=0),AND(AND(COUNTBLANK(Combo_Opponent_Type_1)=0,COUNTBLANK(Combo_Opponent_Type_2)=0),Combo_Opponent_Type_1=Combo_Opponent_Type_2)),
"Check Types",($S375*INDEX(Species_Tankiness,MATCH($N375,Species_Names,0)))/225)</f>
        <v>#VALUE!</v>
      </c>
      <c r="S375" s="32" t="e">
        <f t="array" ref="S375">IF(OR(AND(COUNTBLANK(Combo_Opponent_Type_1)=1,COUNTBLANK(Combo_Opponent_Type_2)=0),AND(AND(COUNTBLANK(Combo_Opponent_Type_1)=0,COUNTBLANK(Combo_Opponent_Type_2)=0),Combo_Opponent_Type_1=Combo_Opponent_Type_2)),
"Check Types",(
IF($W375&gt;=((1-Game_Weave_Human_Error)*$X375),$W375,$X375)*INDEX(Species_Attack,MATCH($N375,Species_Names,0)))/11)</f>
        <v>#VALUE!</v>
      </c>
      <c r="T375" s="33" t="e">
        <f t="shared" si="11"/>
        <v>#VALUE!</v>
      </c>
      <c r="U375" s="33">
        <f t="array" ref="U3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375,Quick_Names,0))),Type_Species)),0),1)*IF(COUNTBLANK(Combo_Opponent_Type_2)=0,INDEX(Type_Damage_Multipliers,MATCH(Combo_Opponent_Type_2,IF(Type_Move=(INDEX(Quick_Type,MATCH($O375,Quick_Names,0))),Type_Species)),0),1)*(IF(OR(INDEX(Quick_Type,MATCH($O375,Quick_Names,0))=INDEX(Species_Type_1,MATCH($N375,Species_Names,0)),INDEX(Quick_Type,MATCH($O375,Quick_Names,0))=INDEX(Species_Type_2,MATCH($N375,Species_Names,0))),Game_STAB_Multiplier,1)))</f>
        <v>1</v>
      </c>
      <c r="V375" s="33">
        <f t="array" ref="V3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375,Charge_Names,0))),Type_Species)),0),1)*IF(COUNTBLANK(Combo_Opponent_Type_2)=0,INDEX(Type_Damage_Multipliers,MATCH(Combo_Opponent_Type_2,IF(Type_Move=(INDEX(Charge_Type,MATCH($P375,Charge_Names,0))),Type_Species)),0),1)*
IF(OR(INDEX(Charge_Type,MATCH($P375,Charge_Names,0))=INDEX(Species_Type_1,MATCH($N375,Species_Names,0)),INDEX(Charge_Type,MATCH($P375,Charge_Names,0))=INDEX(Species_Type_2,MATCH($N375,Species_Names,0))),Game_STAB_Multiplier,1))</f>
        <v>1.25</v>
      </c>
      <c r="W375" s="33" t="s">
        <v>589</v>
      </c>
      <c r="X375" s="33" t="s">
        <v>885</v>
      </c>
      <c r="Y375" s="32" t="e">
        <f t="array" ref="Y375">((($Z375)*
INDEX(Species_Attack,MATCH($N375,Species_Names,0))*
INDEX(Species_Tankiness,MATCH($N375,Species_Names,0)))/1000)</f>
        <v>#VALUE!</v>
      </c>
      <c r="Z375" s="33" t="s">
        <v>886</v>
      </c>
    </row>
    <row r="376" spans="1:26" ht="14.25" customHeight="1" x14ac:dyDescent="0.2">
      <c r="A376" s="86"/>
      <c r="B376" s="22" t="str">
        <f t="array" ref="B376">CONCATENATE(TEXT($M376,"000"),".",TEXT(INDEX(Quick_Number,MATCH($O376,Quick_Names,0)),"000"),".",TEXT(INDEX(Charge_Number,MATCH($P376,Charge_Names,0)),"000"))</f>
        <v>085.238.045</v>
      </c>
      <c r="C376" s="23" t="e">
        <f t="array" ref="C376">RANK($S376,IF(Combo_Species_Names=$N376,Combo_Gym_Offense),0)</f>
        <v>#VALUE!</v>
      </c>
      <c r="D376" s="24" t="e">
        <f t="array" ref="D376">$S376/MAX(IF(Combo_Species_Names=$N376,Combo_Gym_Offense))</f>
        <v>#VALUE!</v>
      </c>
      <c r="E376" s="23" t="e">
        <f t="array" ref="E376">RANK($Y376,IF(Combo_Species_Names=$N376,Combo_Gym_Defense),0)</f>
        <v>#VALUE!</v>
      </c>
      <c r="F376" s="25" t="e">
        <f t="array" ref="F376">$Y376/MAX(IF(Combo_Species_Names=$N376,Combo_Gym_Defense))</f>
        <v>#VALUE!</v>
      </c>
      <c r="G376" s="23" t="e">
        <f t="array" ref="G376">IF(OR(INDEX(Species_Availability,MATCH($N376,Species_Names,0))="No",INDEX(Species_Evo_Numbers,MATCH($N376,Species_Names,0))&lt;&gt;1),"N/A",RANK($R376,IF(NOT(ISNA(MATCH(Combo_Species_Names,IF(Species_Availability="Yes",IF(Species_Evo_Numbers=1,Species_Names)),0))),Combo_Duel_Ability),0))</f>
        <v>#VALUE!</v>
      </c>
      <c r="H376" s="24" t="e">
        <f t="array" ref="H376">IF(OR(INDEX(Species_Availability,MATCH($N376,Species_Names,0))="No",INDEX(Species_Evo_Numbers,MATCH($N376,Species_Names,0))&lt;&gt;1),"N/A",$R376/MAX(IF(NOT(ISNA(MATCH(Combo_Species_Names,IF(Species_Availability="Yes",IF(Species_Evo_Numbers=1,Species_Names)),0))),Combo_Duel_Ability)))</f>
        <v>#VALUE!</v>
      </c>
      <c r="I376" s="23" t="e">
        <f t="array" ref="I376">IF(OR(INDEX(Species_Availability,MATCH($N376,Species_Names,0))="No",INDEX(Species_Evo_Numbers,MATCH($N376,Species_Names,0))&lt;&gt;1),"N/A",RANK($S376,IF(NOT(ISNA(MATCH(Combo_Species_Names,IF(Species_Availability="Yes",IF(Species_Evo_Numbers=1,Species_Names)),0))),Combo_Gym_Offense),0))</f>
        <v>#VALUE!</v>
      </c>
      <c r="J376" s="24" t="e">
        <f t="array" ref="J376">IF(OR(INDEX(Species_Availability,MATCH($N376,Species_Names,0))="No",INDEX(Species_Evo_Numbers,MATCH($N376,Species_Names,0))&lt;&gt;1),"N/A",$S376/MAX(IF(NOT(ISNA(MATCH(Combo_Species_Names,IF(Species_Availability="Yes",IF(Species_Evo_Numbers=1,Species_Names)),0))),Combo_Gym_Offense)))</f>
        <v>#VALUE!</v>
      </c>
      <c r="K376" s="23" t="e">
        <f t="array" ref="K376">IF(OR(INDEX(Species_Availability,MATCH($N376,Species_Names,0))="No",INDEX(Species_Evo_Numbers,MATCH($N376,Species_Names,0))&lt;&gt;1),"N/A",RANK($Y376,IF(NOT(ISNA(MATCH(Combo_Species_Names,IF(Species_Availability="Yes",IF(Species_Evo_Numbers=1,Species_Names)),0))),Combo_Gym_Defense),0))</f>
        <v>#VALUE!</v>
      </c>
      <c r="L376" s="24" t="e">
        <f t="array" ref="L376">IF(OR(INDEX(Species_Availability,MATCH($N376,Species_Names,0))="No",INDEX(Species_Evo_Numbers,MATCH($N376,Species_Names,0))&lt;&gt;1),"N/A",$Y376/MAX(IF(NOT(ISNA(MATCH(Combo_Species_Names,IF(Species_Availability="Yes",IF(Species_Evo_Numbers=1,Species_Names)),0))),Combo_Gym_Defense)))</f>
        <v>#VALUE!</v>
      </c>
      <c r="M376" s="28">
        <f t="array" ref="M376">INDEX(Species_Pdex_Numbers,MATCH($N376,Species_Names,0))</f>
        <v>85</v>
      </c>
      <c r="N376" s="30" t="s">
        <v>263</v>
      </c>
      <c r="O376" s="31" t="s">
        <v>76</v>
      </c>
      <c r="P376" s="31" t="s">
        <v>287</v>
      </c>
      <c r="Q376" s="17" t="e">
        <f t="shared" si="10"/>
        <v>#VALUE!</v>
      </c>
      <c r="R376" s="32" t="e">
        <f t="array" ref="R376">IF(OR(AND(COUNTBLANK(Combo_Opponent_Type_1)=1,COUNTBLANK(Combo_Opponent_Type_2)=0),AND(AND(COUNTBLANK(Combo_Opponent_Type_1)=0,COUNTBLANK(Combo_Opponent_Type_2)=0),Combo_Opponent_Type_1=Combo_Opponent_Type_2)),
"Check Types",($S376*INDEX(Species_Tankiness,MATCH($N376,Species_Names,0)))/225)</f>
        <v>#VALUE!</v>
      </c>
      <c r="S376" s="32" t="e">
        <f t="array" ref="S376">IF(OR(AND(COUNTBLANK(Combo_Opponent_Type_1)=1,COUNTBLANK(Combo_Opponent_Type_2)=0),AND(AND(COUNTBLANK(Combo_Opponent_Type_1)=0,COUNTBLANK(Combo_Opponent_Type_2)=0),Combo_Opponent_Type_1=Combo_Opponent_Type_2)),
"Check Types",(
IF($W376&gt;=((1-Game_Weave_Human_Error)*$X376),$W376,$X376)*INDEX(Species_Attack,MATCH($N376,Species_Names,0)))/11)</f>
        <v>#VALUE!</v>
      </c>
      <c r="T376" s="33" t="e">
        <f t="shared" si="11"/>
        <v>#VALUE!</v>
      </c>
      <c r="U376" s="33">
        <f t="array" ref="U3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376,Quick_Names,0))),Type_Species)),0),1)*IF(COUNTBLANK(Combo_Opponent_Type_2)=0,INDEX(Type_Damage_Multipliers,MATCH(Combo_Opponent_Type_2,IF(Type_Move=(INDEX(Quick_Type,MATCH($O376,Quick_Names,0))),Type_Species)),0),1)*(IF(OR(INDEX(Quick_Type,MATCH($O376,Quick_Names,0))=INDEX(Species_Type_1,MATCH($N376,Species_Names,0)),INDEX(Quick_Type,MATCH($O376,Quick_Names,0))=INDEX(Species_Type_2,MATCH($N376,Species_Names,0))),Game_STAB_Multiplier,1)))</f>
        <v>1</v>
      </c>
      <c r="V376" s="33">
        <f t="array" ref="V3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376,Charge_Names,0))),Type_Species)),0),1)*IF(COUNTBLANK(Combo_Opponent_Type_2)=0,INDEX(Type_Damage_Multipliers,MATCH(Combo_Opponent_Type_2,IF(Type_Move=(INDEX(Charge_Type,MATCH($P376,Charge_Names,0))),Type_Species)),0),1)*
IF(OR(INDEX(Charge_Type,MATCH($P376,Charge_Names,0))=INDEX(Species_Type_1,MATCH($N376,Species_Names,0)),INDEX(Charge_Type,MATCH($P376,Charge_Names,0))=INDEX(Species_Type_2,MATCH($N376,Species_Names,0))),Game_STAB_Multiplier,1))</f>
        <v>1.25</v>
      </c>
      <c r="W376" s="33" t="s">
        <v>589</v>
      </c>
      <c r="X376" s="33" t="s">
        <v>717</v>
      </c>
      <c r="Y376" s="32" t="e">
        <f t="array" ref="Y376">((($Z376)*
INDEX(Species_Attack,MATCH($N376,Species_Names,0))*
INDEX(Species_Tankiness,MATCH($N376,Species_Names,0)))/1000)</f>
        <v>#VALUE!</v>
      </c>
      <c r="Z376" s="33" t="s">
        <v>887</v>
      </c>
    </row>
    <row r="377" spans="1:26" ht="14.25" customHeight="1" x14ac:dyDescent="0.2">
      <c r="A377" s="86"/>
      <c r="B377" s="22" t="str">
        <f t="array" ref="B377">CONCATENATE(TEXT($M377,"000"),".",TEXT(INDEX(Quick_Number,MATCH($O377,Quick_Names,0)),"000"),".",TEXT(INDEX(Charge_Number,MATCH($P377,Charge_Names,0)),"000"))</f>
        <v>099.216.105</v>
      </c>
      <c r="C377" s="23" t="e">
        <f t="array" ref="C377">RANK($S377,IF(Combo_Species_Names=$N377,Combo_Gym_Offense),0)</f>
        <v>#VALUE!</v>
      </c>
      <c r="D377" s="24" t="e">
        <f t="array" ref="D377">$S377/MAX(IF(Combo_Species_Names=$N377,Combo_Gym_Offense))</f>
        <v>#VALUE!</v>
      </c>
      <c r="E377" s="23" t="e">
        <f t="array" ref="E377">RANK($Y377,IF(Combo_Species_Names=$N377,Combo_Gym_Defense),0)</f>
        <v>#VALUE!</v>
      </c>
      <c r="F377" s="25" t="e">
        <f t="array" ref="F377">$Y377/MAX(IF(Combo_Species_Names=$N377,Combo_Gym_Defense))</f>
        <v>#VALUE!</v>
      </c>
      <c r="G377" s="23" t="e">
        <f t="array" ref="G377">IF(OR(INDEX(Species_Availability,MATCH($N377,Species_Names,0))="No",INDEX(Species_Evo_Numbers,MATCH($N377,Species_Names,0))&lt;&gt;1),"N/A",RANK($R377,IF(NOT(ISNA(MATCH(Combo_Species_Names,IF(Species_Availability="Yes",IF(Species_Evo_Numbers=1,Species_Names)),0))),Combo_Duel_Ability),0))</f>
        <v>#VALUE!</v>
      </c>
      <c r="H377" s="24" t="e">
        <f t="array" ref="H377">IF(OR(INDEX(Species_Availability,MATCH($N377,Species_Names,0))="No",INDEX(Species_Evo_Numbers,MATCH($N377,Species_Names,0))&lt;&gt;1),"N/A",$R377/MAX(IF(NOT(ISNA(MATCH(Combo_Species_Names,IF(Species_Availability="Yes",IF(Species_Evo_Numbers=1,Species_Names)),0))),Combo_Duel_Ability)))</f>
        <v>#VALUE!</v>
      </c>
      <c r="I377" s="23" t="e">
        <f t="array" ref="I377">IF(OR(INDEX(Species_Availability,MATCH($N377,Species_Names,0))="No",INDEX(Species_Evo_Numbers,MATCH($N377,Species_Names,0))&lt;&gt;1),"N/A",RANK($S377,IF(NOT(ISNA(MATCH(Combo_Species_Names,IF(Species_Availability="Yes",IF(Species_Evo_Numbers=1,Species_Names)),0))),Combo_Gym_Offense),0))</f>
        <v>#VALUE!</v>
      </c>
      <c r="J377" s="24" t="e">
        <f t="array" ref="J377">IF(OR(INDEX(Species_Availability,MATCH($N377,Species_Names,0))="No",INDEX(Species_Evo_Numbers,MATCH($N377,Species_Names,0))&lt;&gt;1),"N/A",$S377/MAX(IF(NOT(ISNA(MATCH(Combo_Species_Names,IF(Species_Availability="Yes",IF(Species_Evo_Numbers=1,Species_Names)),0))),Combo_Gym_Offense)))</f>
        <v>#VALUE!</v>
      </c>
      <c r="K377" s="23" t="e">
        <f t="array" ref="K377">IF(OR(INDEX(Species_Availability,MATCH($N377,Species_Names,0))="No",INDEX(Species_Evo_Numbers,MATCH($N377,Species_Names,0))&lt;&gt;1),"N/A",RANK($Y377,IF(NOT(ISNA(MATCH(Combo_Species_Names,IF(Species_Availability="Yes",IF(Species_Evo_Numbers=1,Species_Names)),0))),Combo_Gym_Defense),0))</f>
        <v>#VALUE!</v>
      </c>
      <c r="L377" s="24" t="e">
        <f t="array" ref="L377">IF(OR(INDEX(Species_Availability,MATCH($N377,Species_Names,0))="No",INDEX(Species_Evo_Numbers,MATCH($N377,Species_Names,0))&lt;&gt;1),"N/A",$Y377/MAX(IF(NOT(ISNA(MATCH(Combo_Species_Names,IF(Species_Availability="Yes",IF(Species_Evo_Numbers=1,Species_Names)),0))),Combo_Gym_Defense)))</f>
        <v>#VALUE!</v>
      </c>
      <c r="M377" s="28">
        <f t="array" ref="M377">INDEX(Species_Pdex_Numbers,MATCH($N377,Species_Names,0))</f>
        <v>99</v>
      </c>
      <c r="N377" s="30" t="s">
        <v>298</v>
      </c>
      <c r="O377" s="31" t="s">
        <v>89</v>
      </c>
      <c r="P377" s="31" t="s">
        <v>281</v>
      </c>
      <c r="Q377" s="17" t="e">
        <f t="shared" si="10"/>
        <v>#VALUE!</v>
      </c>
      <c r="R377" s="32" t="e">
        <f t="array" ref="R377">IF(OR(AND(COUNTBLANK(Combo_Opponent_Type_1)=1,COUNTBLANK(Combo_Opponent_Type_2)=0),AND(AND(COUNTBLANK(Combo_Opponent_Type_1)=0,COUNTBLANK(Combo_Opponent_Type_2)=0),Combo_Opponent_Type_1=Combo_Opponent_Type_2)),
"Check Types",($S377*INDEX(Species_Tankiness,MATCH($N377,Species_Names,0)))/225)</f>
        <v>#VALUE!</v>
      </c>
      <c r="S377" s="32" t="e">
        <f t="array" ref="S377">IF(OR(AND(COUNTBLANK(Combo_Opponent_Type_1)=1,COUNTBLANK(Combo_Opponent_Type_2)=0),AND(AND(COUNTBLANK(Combo_Opponent_Type_1)=0,COUNTBLANK(Combo_Opponent_Type_2)=0),Combo_Opponent_Type_1=Combo_Opponent_Type_2)),
"Check Types",(
IF($W377&gt;=((1-Game_Weave_Human_Error)*$X377),$W377,$X377)*INDEX(Species_Attack,MATCH($N377,Species_Names,0)))/11)</f>
        <v>#VALUE!</v>
      </c>
      <c r="T377" s="33" t="e">
        <f t="shared" si="11"/>
        <v>#VALUE!</v>
      </c>
      <c r="U377" s="33">
        <f t="array" ref="U3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377,Quick_Names,0))),Type_Species)),0),1)*IF(COUNTBLANK(Combo_Opponent_Type_2)=0,INDEX(Type_Damage_Multipliers,MATCH(Combo_Opponent_Type_2,IF(Type_Move=(INDEX(Quick_Type,MATCH($O377,Quick_Names,0))),Type_Species)),0),1)*(IF(OR(INDEX(Quick_Type,MATCH($O377,Quick_Names,0))=INDEX(Species_Type_1,MATCH($N377,Species_Names,0)),INDEX(Quick_Type,MATCH($O377,Quick_Names,0))=INDEX(Species_Type_2,MATCH($N377,Species_Names,0))),Game_STAB_Multiplier,1)))</f>
        <v>1</v>
      </c>
      <c r="V377" s="33">
        <f t="array" ref="V3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377,Charge_Names,0))),Type_Species)),0),1)*IF(COUNTBLANK(Combo_Opponent_Type_2)=0,INDEX(Type_Damage_Multipliers,MATCH(Combo_Opponent_Type_2,IF(Type_Move=(INDEX(Charge_Type,MATCH($P377,Charge_Names,0))),Type_Species)),0),1)*
IF(OR(INDEX(Charge_Type,MATCH($P377,Charge_Names,0))=INDEX(Species_Type_1,MATCH($N377,Species_Names,0)),INDEX(Charge_Type,MATCH($P377,Charge_Names,0))=INDEX(Species_Type_2,MATCH($N377,Species_Names,0))),Game_STAB_Multiplier,1))</f>
        <v>1.25</v>
      </c>
      <c r="W377" s="33" t="s">
        <v>518</v>
      </c>
      <c r="X377" s="33" t="s">
        <v>787</v>
      </c>
      <c r="Y377" s="32" t="e">
        <f t="array" ref="Y377">((($Z377)*
INDEX(Species_Attack,MATCH($N377,Species_Names,0))*
INDEX(Species_Tankiness,MATCH($N377,Species_Names,0)))/1000)</f>
        <v>#VALUE!</v>
      </c>
      <c r="Z377" s="33" t="s">
        <v>411</v>
      </c>
    </row>
    <row r="378" spans="1:26" ht="14.25" customHeight="1" x14ac:dyDescent="0.2">
      <c r="A378" s="86"/>
      <c r="B378" s="22" t="str">
        <f t="array" ref="B378">CONCATENATE(TEXT($M378,"000"),".",TEXT(INDEX(Quick_Number,MATCH($O378,Quick_Names,0)),"000"),".",TEXT(INDEX(Charge_Number,MATCH($P378,Charge_Names,0)),"000"))</f>
        <v>106.207.032</v>
      </c>
      <c r="C378" s="23" t="e">
        <f t="array" ref="C378">RANK($S378,IF(Combo_Species_Names=$N378,Combo_Gym_Offense),0)</f>
        <v>#VALUE!</v>
      </c>
      <c r="D378" s="24" t="e">
        <f t="array" ref="D378">$S378/MAX(IF(Combo_Species_Names=$N378,Combo_Gym_Offense))</f>
        <v>#VALUE!</v>
      </c>
      <c r="E378" s="23" t="e">
        <f t="array" ref="E378">RANK($Y378,IF(Combo_Species_Names=$N378,Combo_Gym_Defense),0)</f>
        <v>#VALUE!</v>
      </c>
      <c r="F378" s="25" t="e">
        <f t="array" ref="F378">$Y378/MAX(IF(Combo_Species_Names=$N378,Combo_Gym_Defense))</f>
        <v>#VALUE!</v>
      </c>
      <c r="G378" s="23" t="e">
        <f t="array" ref="G378">IF(OR(INDEX(Species_Availability,MATCH($N378,Species_Names,0))="No",INDEX(Species_Evo_Numbers,MATCH($N378,Species_Names,0))&lt;&gt;1),"N/A",RANK($R378,IF(NOT(ISNA(MATCH(Combo_Species_Names,IF(Species_Availability="Yes",IF(Species_Evo_Numbers=1,Species_Names)),0))),Combo_Duel_Ability),0))</f>
        <v>#VALUE!</v>
      </c>
      <c r="H378" s="24" t="e">
        <f t="array" ref="H378">IF(OR(INDEX(Species_Availability,MATCH($N378,Species_Names,0))="No",INDEX(Species_Evo_Numbers,MATCH($N378,Species_Names,0))&lt;&gt;1),"N/A",$R378/MAX(IF(NOT(ISNA(MATCH(Combo_Species_Names,IF(Species_Availability="Yes",IF(Species_Evo_Numbers=1,Species_Names)),0))),Combo_Duel_Ability)))</f>
        <v>#VALUE!</v>
      </c>
      <c r="I378" s="23" t="e">
        <f t="array" ref="I378">IF(OR(INDEX(Species_Availability,MATCH($N378,Species_Names,0))="No",INDEX(Species_Evo_Numbers,MATCH($N378,Species_Names,0))&lt;&gt;1),"N/A",RANK($S378,IF(NOT(ISNA(MATCH(Combo_Species_Names,IF(Species_Availability="Yes",IF(Species_Evo_Numbers=1,Species_Names)),0))),Combo_Gym_Offense),0))</f>
        <v>#VALUE!</v>
      </c>
      <c r="J378" s="24" t="e">
        <f t="array" ref="J378">IF(OR(INDEX(Species_Availability,MATCH($N378,Species_Names,0))="No",INDEX(Species_Evo_Numbers,MATCH($N378,Species_Names,0))&lt;&gt;1),"N/A",$S378/MAX(IF(NOT(ISNA(MATCH(Combo_Species_Names,IF(Species_Availability="Yes",IF(Species_Evo_Numbers=1,Species_Names)),0))),Combo_Gym_Offense)))</f>
        <v>#VALUE!</v>
      </c>
      <c r="K378" s="23" t="e">
        <f t="array" ref="K378">IF(OR(INDEX(Species_Availability,MATCH($N378,Species_Names,0))="No",INDEX(Species_Evo_Numbers,MATCH($N378,Species_Names,0))&lt;&gt;1),"N/A",RANK($Y378,IF(NOT(ISNA(MATCH(Combo_Species_Names,IF(Species_Availability="Yes",IF(Species_Evo_Numbers=1,Species_Names)),0))),Combo_Gym_Defense),0))</f>
        <v>#VALUE!</v>
      </c>
      <c r="L378" s="24" t="e">
        <f t="array" ref="L378">IF(OR(INDEX(Species_Availability,MATCH($N378,Species_Names,0))="No",INDEX(Species_Evo_Numbers,MATCH($N378,Species_Names,0))&lt;&gt;1),"N/A",$Y378/MAX(IF(NOT(ISNA(MATCH(Combo_Species_Names,IF(Species_Availability="Yes",IF(Species_Evo_Numbers=1,Species_Names)),0))),Combo_Gym_Defense)))</f>
        <v>#VALUE!</v>
      </c>
      <c r="M378" s="28">
        <f t="array" ref="M378">INDEX(Species_Pdex_Numbers,MATCH($N378,Species_Names,0))</f>
        <v>106</v>
      </c>
      <c r="N378" s="30" t="s">
        <v>315</v>
      </c>
      <c r="O378" s="31" t="s">
        <v>117</v>
      </c>
      <c r="P378" s="31" t="s">
        <v>149</v>
      </c>
      <c r="Q378" s="17" t="e">
        <f t="shared" si="10"/>
        <v>#VALUE!</v>
      </c>
      <c r="R378" s="32" t="e">
        <f t="array" ref="R378">IF(OR(AND(COUNTBLANK(Combo_Opponent_Type_1)=1,COUNTBLANK(Combo_Opponent_Type_2)=0),AND(AND(COUNTBLANK(Combo_Opponent_Type_1)=0,COUNTBLANK(Combo_Opponent_Type_2)=0),Combo_Opponent_Type_1=Combo_Opponent_Type_2)),
"Check Types",($S378*INDEX(Species_Tankiness,MATCH($N378,Species_Names,0)))/225)</f>
        <v>#VALUE!</v>
      </c>
      <c r="S378" s="32" t="e">
        <f t="array" ref="S378">IF(OR(AND(COUNTBLANK(Combo_Opponent_Type_1)=1,COUNTBLANK(Combo_Opponent_Type_2)=0),AND(AND(COUNTBLANK(Combo_Opponent_Type_1)=0,COUNTBLANK(Combo_Opponent_Type_2)=0),Combo_Opponent_Type_1=Combo_Opponent_Type_2)),
"Check Types",(
IF($W378&gt;=((1-Game_Weave_Human_Error)*$X378),$W378,$X378)*INDEX(Species_Attack,MATCH($N378,Species_Names,0)))/11)</f>
        <v>#VALUE!</v>
      </c>
      <c r="T378" s="33" t="e">
        <f t="shared" si="11"/>
        <v>#VALUE!</v>
      </c>
      <c r="U378" s="33">
        <f t="array" ref="U3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378,Quick_Names,0))),Type_Species)),0),1)*IF(COUNTBLANK(Combo_Opponent_Type_2)=0,INDEX(Type_Damage_Multipliers,MATCH(Combo_Opponent_Type_2,IF(Type_Move=(INDEX(Quick_Type,MATCH($O378,Quick_Names,0))),Type_Species)),0),1)*(IF(OR(INDEX(Quick_Type,MATCH($O378,Quick_Names,0))=INDEX(Species_Type_1,MATCH($N378,Species_Names,0)),INDEX(Quick_Type,MATCH($O378,Quick_Names,0))=INDEX(Species_Type_2,MATCH($N378,Species_Names,0))),Game_STAB_Multiplier,1)))</f>
        <v>1.25</v>
      </c>
      <c r="V378" s="33">
        <f t="array" ref="V3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378,Charge_Names,0))),Type_Species)),0),1)*IF(COUNTBLANK(Combo_Opponent_Type_2)=0,INDEX(Type_Damage_Multipliers,MATCH(Combo_Opponent_Type_2,IF(Type_Move=(INDEX(Charge_Type,MATCH($P378,Charge_Names,0))),Type_Species)),0),1)*
IF(OR(INDEX(Charge_Type,MATCH($P378,Charge_Names,0))=INDEX(Species_Type_1,MATCH($N378,Species_Names,0)),INDEX(Charge_Type,MATCH($P378,Charge_Names,0))=INDEX(Species_Type_2,MATCH($N378,Species_Names,0))),Game_STAB_Multiplier,1))</f>
        <v>1</v>
      </c>
      <c r="W378" s="33" t="s">
        <v>678</v>
      </c>
      <c r="X378" s="33" t="s">
        <v>888</v>
      </c>
      <c r="Y378" s="32" t="e">
        <f t="array" ref="Y378">((($Z378)*
INDEX(Species_Attack,MATCH($N378,Species_Names,0))*
INDEX(Species_Tankiness,MATCH($N378,Species_Names,0)))/1000)</f>
        <v>#VALUE!</v>
      </c>
      <c r="Z378" s="33" t="s">
        <v>568</v>
      </c>
    </row>
    <row r="379" spans="1:26" ht="14.25" customHeight="1" x14ac:dyDescent="0.2">
      <c r="A379" s="86"/>
      <c r="B379" s="22" t="str">
        <f t="array" ref="B379">CONCATENATE(TEXT($M379,"000"),".",TEXT(INDEX(Quick_Number,MATCH($O379,Quick_Names,0)),"000"),".",TEXT(INDEX(Charge_Number,MATCH($P379,Charge_Names,0)),"000"))</f>
        <v>015.224.100</v>
      </c>
      <c r="C379" s="23" t="e">
        <f t="array" ref="C379">RANK($S379,IF(Combo_Species_Names=$N379,Combo_Gym_Offense),0)</f>
        <v>#VALUE!</v>
      </c>
      <c r="D379" s="24" t="e">
        <f t="array" ref="D379">$S379/MAX(IF(Combo_Species_Names=$N379,Combo_Gym_Offense))</f>
        <v>#VALUE!</v>
      </c>
      <c r="E379" s="23" t="e">
        <f t="array" ref="E379">RANK($Y379,IF(Combo_Species_Names=$N379,Combo_Gym_Defense),0)</f>
        <v>#VALUE!</v>
      </c>
      <c r="F379" s="25" t="e">
        <f t="array" ref="F379">$Y379/MAX(IF(Combo_Species_Names=$N379,Combo_Gym_Defense))</f>
        <v>#VALUE!</v>
      </c>
      <c r="G379" s="23" t="e">
        <f t="array" ref="G379">IF(OR(INDEX(Species_Availability,MATCH($N379,Species_Names,0))="No",INDEX(Species_Evo_Numbers,MATCH($N379,Species_Names,0))&lt;&gt;1),"N/A",RANK($R379,IF(NOT(ISNA(MATCH(Combo_Species_Names,IF(Species_Availability="Yes",IF(Species_Evo_Numbers=1,Species_Names)),0))),Combo_Duel_Ability),0))</f>
        <v>#VALUE!</v>
      </c>
      <c r="H379" s="24" t="e">
        <f t="array" ref="H379">IF(OR(INDEX(Species_Availability,MATCH($N379,Species_Names,0))="No",INDEX(Species_Evo_Numbers,MATCH($N379,Species_Names,0))&lt;&gt;1),"N/A",$R379/MAX(IF(NOT(ISNA(MATCH(Combo_Species_Names,IF(Species_Availability="Yes",IF(Species_Evo_Numbers=1,Species_Names)),0))),Combo_Duel_Ability)))</f>
        <v>#VALUE!</v>
      </c>
      <c r="I379" s="23" t="e">
        <f t="array" ref="I379">IF(OR(INDEX(Species_Availability,MATCH($N379,Species_Names,0))="No",INDEX(Species_Evo_Numbers,MATCH($N379,Species_Names,0))&lt;&gt;1),"N/A",RANK($S379,IF(NOT(ISNA(MATCH(Combo_Species_Names,IF(Species_Availability="Yes",IF(Species_Evo_Numbers=1,Species_Names)),0))),Combo_Gym_Offense),0))</f>
        <v>#VALUE!</v>
      </c>
      <c r="J379" s="24" t="e">
        <f t="array" ref="J379">IF(OR(INDEX(Species_Availability,MATCH($N379,Species_Names,0))="No",INDEX(Species_Evo_Numbers,MATCH($N379,Species_Names,0))&lt;&gt;1),"N/A",$S379/MAX(IF(NOT(ISNA(MATCH(Combo_Species_Names,IF(Species_Availability="Yes",IF(Species_Evo_Numbers=1,Species_Names)),0))),Combo_Gym_Offense)))</f>
        <v>#VALUE!</v>
      </c>
      <c r="K379" s="23" t="e">
        <f t="array" ref="K379">IF(OR(INDEX(Species_Availability,MATCH($N379,Species_Names,0))="No",INDEX(Species_Evo_Numbers,MATCH($N379,Species_Names,0))&lt;&gt;1),"N/A",RANK($Y379,IF(NOT(ISNA(MATCH(Combo_Species_Names,IF(Species_Availability="Yes",IF(Species_Evo_Numbers=1,Species_Names)),0))),Combo_Gym_Defense),0))</f>
        <v>#VALUE!</v>
      </c>
      <c r="L379" s="24" t="e">
        <f t="array" ref="L379">IF(OR(INDEX(Species_Availability,MATCH($N379,Species_Names,0))="No",INDEX(Species_Evo_Numbers,MATCH($N379,Species_Names,0))&lt;&gt;1),"N/A",$Y379/MAX(IF(NOT(ISNA(MATCH(Combo_Species_Names,IF(Species_Availability="Yes",IF(Species_Evo_Numbers=1,Species_Names)),0))),Combo_Gym_Defense)))</f>
        <v>#VALUE!</v>
      </c>
      <c r="M379" s="28">
        <f t="array" ref="M379">INDEX(Species_Pdex_Numbers,MATCH($N379,Species_Names,0))</f>
        <v>15</v>
      </c>
      <c r="N379" s="30" t="s">
        <v>120</v>
      </c>
      <c r="O379" s="31" t="s">
        <v>77</v>
      </c>
      <c r="P379" s="31" t="s">
        <v>218</v>
      </c>
      <c r="Q379" s="17" t="e">
        <f t="shared" si="10"/>
        <v>#VALUE!</v>
      </c>
      <c r="R379" s="32" t="e">
        <f t="array" ref="R379">IF(OR(AND(COUNTBLANK(Combo_Opponent_Type_1)=1,COUNTBLANK(Combo_Opponent_Type_2)=0),AND(AND(COUNTBLANK(Combo_Opponent_Type_1)=0,COUNTBLANK(Combo_Opponent_Type_2)=0),Combo_Opponent_Type_1=Combo_Opponent_Type_2)),
"Check Types",($S379*INDEX(Species_Tankiness,MATCH($N379,Species_Names,0)))/225)</f>
        <v>#VALUE!</v>
      </c>
      <c r="S379" s="32" t="e">
        <f t="array" ref="S379">IF(OR(AND(COUNTBLANK(Combo_Opponent_Type_1)=1,COUNTBLANK(Combo_Opponent_Type_2)=0),AND(AND(COUNTBLANK(Combo_Opponent_Type_1)=0,COUNTBLANK(Combo_Opponent_Type_2)=0),Combo_Opponent_Type_1=Combo_Opponent_Type_2)),
"Check Types",(
IF($W379&gt;=((1-Game_Weave_Human_Error)*$X379),$W379,$X379)*INDEX(Species_Attack,MATCH($N379,Species_Names,0)))/11)</f>
        <v>#VALUE!</v>
      </c>
      <c r="T379" s="33" t="e">
        <f t="shared" si="11"/>
        <v>#VALUE!</v>
      </c>
      <c r="U379" s="33">
        <f t="array" ref="U3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379,Quick_Names,0))),Type_Species)),0),1)*IF(COUNTBLANK(Combo_Opponent_Type_2)=0,INDEX(Type_Damage_Multipliers,MATCH(Combo_Opponent_Type_2,IF(Type_Move=(INDEX(Quick_Type,MATCH($O379,Quick_Names,0))),Type_Species)),0),1)*(IF(OR(INDEX(Quick_Type,MATCH($O379,Quick_Names,0))=INDEX(Species_Type_1,MATCH($N379,Species_Names,0)),INDEX(Quick_Type,MATCH($O379,Quick_Names,0))=INDEX(Species_Type_2,MATCH($N379,Species_Names,0))),Game_STAB_Multiplier,1)))</f>
        <v>1.25</v>
      </c>
      <c r="V379" s="33">
        <f t="array" ref="V3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379,Charge_Names,0))),Type_Species)),0),1)*IF(COUNTBLANK(Combo_Opponent_Type_2)=0,INDEX(Type_Damage_Multipliers,MATCH(Combo_Opponent_Type_2,IF(Type_Move=(INDEX(Charge_Type,MATCH($P379,Charge_Names,0))),Type_Species)),0),1)*
IF(OR(INDEX(Charge_Type,MATCH($P379,Charge_Names,0))=INDEX(Species_Type_1,MATCH($N379,Species_Names,0)),INDEX(Charge_Type,MATCH($P379,Charge_Names,0))=INDEX(Species_Type_2,MATCH($N379,Species_Names,0))),Game_STAB_Multiplier,1))</f>
        <v>1.25</v>
      </c>
      <c r="W379" s="33" t="s">
        <v>446</v>
      </c>
      <c r="X379" s="33" t="s">
        <v>889</v>
      </c>
      <c r="Y379" s="32" t="e">
        <f t="array" ref="Y379">((($Z379)*
INDEX(Species_Attack,MATCH($N379,Species_Names,0))*
INDEX(Species_Tankiness,MATCH($N379,Species_Names,0)))/1000)</f>
        <v>#VALUE!</v>
      </c>
      <c r="Z379" s="33" t="s">
        <v>716</v>
      </c>
    </row>
    <row r="380" spans="1:26" ht="14.25" customHeight="1" x14ac:dyDescent="0.2">
      <c r="A380" s="86"/>
      <c r="B380" s="22" t="str">
        <f t="array" ref="B380">CONCATENATE(TEXT($M380,"000"),".",TEXT(INDEX(Quick_Number,MATCH($O380,Quick_Names,0)),"000"),".",TEXT(INDEX(Charge_Number,MATCH($P380,Charge_Names,0)),"000"))</f>
        <v>082.205.072</v>
      </c>
      <c r="C380" s="23" t="e">
        <f t="array" ref="C380">RANK($S380,IF(Combo_Species_Names=$N380,Combo_Gym_Offense),0)</f>
        <v>#VALUE!</v>
      </c>
      <c r="D380" s="24" t="e">
        <f t="array" ref="D380">$S380/MAX(IF(Combo_Species_Names=$N380,Combo_Gym_Offense))</f>
        <v>#VALUE!</v>
      </c>
      <c r="E380" s="23" t="e">
        <f t="array" ref="E380">RANK($Y380,IF(Combo_Species_Names=$N380,Combo_Gym_Defense),0)</f>
        <v>#VALUE!</v>
      </c>
      <c r="F380" s="25" t="e">
        <f t="array" ref="F380">$Y380/MAX(IF(Combo_Species_Names=$N380,Combo_Gym_Defense))</f>
        <v>#VALUE!</v>
      </c>
      <c r="G380" s="23" t="e">
        <f t="array" ref="G380">IF(OR(INDEX(Species_Availability,MATCH($N380,Species_Names,0))="No",INDEX(Species_Evo_Numbers,MATCH($N380,Species_Names,0))&lt;&gt;1),"N/A",RANK($R380,IF(NOT(ISNA(MATCH(Combo_Species_Names,IF(Species_Availability="Yes",IF(Species_Evo_Numbers=1,Species_Names)),0))),Combo_Duel_Ability),0))</f>
        <v>#VALUE!</v>
      </c>
      <c r="H380" s="24" t="e">
        <f t="array" ref="H380">IF(OR(INDEX(Species_Availability,MATCH($N380,Species_Names,0))="No",INDEX(Species_Evo_Numbers,MATCH($N380,Species_Names,0))&lt;&gt;1),"N/A",$R380/MAX(IF(NOT(ISNA(MATCH(Combo_Species_Names,IF(Species_Availability="Yes",IF(Species_Evo_Numbers=1,Species_Names)),0))),Combo_Duel_Ability)))</f>
        <v>#VALUE!</v>
      </c>
      <c r="I380" s="23" t="e">
        <f t="array" ref="I380">IF(OR(INDEX(Species_Availability,MATCH($N380,Species_Names,0))="No",INDEX(Species_Evo_Numbers,MATCH($N380,Species_Names,0))&lt;&gt;1),"N/A",RANK($S380,IF(NOT(ISNA(MATCH(Combo_Species_Names,IF(Species_Availability="Yes",IF(Species_Evo_Numbers=1,Species_Names)),0))),Combo_Gym_Offense),0))</f>
        <v>#VALUE!</v>
      </c>
      <c r="J380" s="24" t="e">
        <f t="array" ref="J380">IF(OR(INDEX(Species_Availability,MATCH($N380,Species_Names,0))="No",INDEX(Species_Evo_Numbers,MATCH($N380,Species_Names,0))&lt;&gt;1),"N/A",$S380/MAX(IF(NOT(ISNA(MATCH(Combo_Species_Names,IF(Species_Availability="Yes",IF(Species_Evo_Numbers=1,Species_Names)),0))),Combo_Gym_Offense)))</f>
        <v>#VALUE!</v>
      </c>
      <c r="K380" s="23" t="e">
        <f t="array" ref="K380">IF(OR(INDEX(Species_Availability,MATCH($N380,Species_Names,0))="No",INDEX(Species_Evo_Numbers,MATCH($N380,Species_Names,0))&lt;&gt;1),"N/A",RANK($Y380,IF(NOT(ISNA(MATCH(Combo_Species_Names,IF(Species_Availability="Yes",IF(Species_Evo_Numbers=1,Species_Names)),0))),Combo_Gym_Defense),0))</f>
        <v>#VALUE!</v>
      </c>
      <c r="L380" s="24" t="e">
        <f t="array" ref="L380">IF(OR(INDEX(Species_Availability,MATCH($N380,Species_Names,0))="No",INDEX(Species_Evo_Numbers,MATCH($N380,Species_Names,0))&lt;&gt;1),"N/A",$Y380/MAX(IF(NOT(ISNA(MATCH(Combo_Species_Names,IF(Species_Availability="Yes",IF(Species_Evo_Numbers=1,Species_Names)),0))),Combo_Gym_Defense)))</f>
        <v>#VALUE!</v>
      </c>
      <c r="M380" s="28">
        <f t="array" ref="M380">INDEX(Species_Pdex_Numbers,MATCH($N380,Species_Names,0))</f>
        <v>82</v>
      </c>
      <c r="N380" s="30" t="s">
        <v>256</v>
      </c>
      <c r="O380" s="31" t="s">
        <v>115</v>
      </c>
      <c r="P380" s="31" t="s">
        <v>278</v>
      </c>
      <c r="Q380" s="17" t="e">
        <f t="shared" si="10"/>
        <v>#VALUE!</v>
      </c>
      <c r="R380" s="32" t="e">
        <f t="array" ref="R380">IF(OR(AND(COUNTBLANK(Combo_Opponent_Type_1)=1,COUNTBLANK(Combo_Opponent_Type_2)=0),AND(AND(COUNTBLANK(Combo_Opponent_Type_1)=0,COUNTBLANK(Combo_Opponent_Type_2)=0),Combo_Opponent_Type_1=Combo_Opponent_Type_2)),
"Check Types",($S380*INDEX(Species_Tankiness,MATCH($N380,Species_Names,0)))/225)</f>
        <v>#VALUE!</v>
      </c>
      <c r="S380" s="32" t="e">
        <f t="array" ref="S380">IF(OR(AND(COUNTBLANK(Combo_Opponent_Type_1)=1,COUNTBLANK(Combo_Opponent_Type_2)=0),AND(AND(COUNTBLANK(Combo_Opponent_Type_1)=0,COUNTBLANK(Combo_Opponent_Type_2)=0),Combo_Opponent_Type_1=Combo_Opponent_Type_2)),
"Check Types",(
IF($W380&gt;=((1-Game_Weave_Human_Error)*$X380),$W380,$X380)*INDEX(Species_Attack,MATCH($N380,Species_Names,0)))/11)</f>
        <v>#VALUE!</v>
      </c>
      <c r="T380" s="33" t="e">
        <f t="shared" si="11"/>
        <v>#VALUE!</v>
      </c>
      <c r="U380" s="33">
        <f t="array" ref="U3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380,Quick_Names,0))),Type_Species)),0),1)*IF(COUNTBLANK(Combo_Opponent_Type_2)=0,INDEX(Type_Damage_Multipliers,MATCH(Combo_Opponent_Type_2,IF(Type_Move=(INDEX(Quick_Type,MATCH($O380,Quick_Names,0))),Type_Species)),0),1)*(IF(OR(INDEX(Quick_Type,MATCH($O380,Quick_Names,0))=INDEX(Species_Type_1,MATCH($N380,Species_Names,0)),INDEX(Quick_Type,MATCH($O380,Quick_Names,0))=INDEX(Species_Type_2,MATCH($N380,Species_Names,0))),Game_STAB_Multiplier,1)))</f>
        <v>1.25</v>
      </c>
      <c r="V380" s="33">
        <f t="array" ref="V3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380,Charge_Names,0))),Type_Species)),0),1)*IF(COUNTBLANK(Combo_Opponent_Type_2)=0,INDEX(Type_Damage_Multipliers,MATCH(Combo_Opponent_Type_2,IF(Type_Move=(INDEX(Charge_Type,MATCH($P380,Charge_Names,0))),Type_Species)),0),1)*
IF(OR(INDEX(Charge_Type,MATCH($P380,Charge_Names,0))=INDEX(Species_Type_1,MATCH($N380,Species_Names,0)),INDEX(Charge_Type,MATCH($P380,Charge_Names,0))=INDEX(Species_Type_2,MATCH($N380,Species_Names,0))),Game_STAB_Multiplier,1))</f>
        <v>1.25</v>
      </c>
      <c r="W380" s="33" t="s">
        <v>678</v>
      </c>
      <c r="X380" s="33" t="s">
        <v>660</v>
      </c>
      <c r="Y380" s="32" t="e">
        <f t="array" ref="Y380">((($Z380)*
INDEX(Species_Attack,MATCH($N380,Species_Names,0))*
INDEX(Species_Tankiness,MATCH($N380,Species_Names,0)))/1000)</f>
        <v>#VALUE!</v>
      </c>
      <c r="Z380" s="33" t="s">
        <v>668</v>
      </c>
    </row>
    <row r="381" spans="1:26" ht="14.25" customHeight="1" x14ac:dyDescent="0.2">
      <c r="A381" s="86"/>
      <c r="B381" s="22" t="str">
        <f t="array" ref="B381">CONCATENATE(TEXT($M381,"000"),".",TEXT(INDEX(Quick_Number,MATCH($O381,Quick_Names,0)),"000"),".",TEXT(INDEX(Charge_Number,MATCH($P381,Charge_Names,0)),"000"))</f>
        <v>107.241.033</v>
      </c>
      <c r="C381" s="23" t="e">
        <f t="array" ref="C381">RANK($S381,IF(Combo_Species_Names=$N381,Combo_Gym_Offense),0)</f>
        <v>#VALUE!</v>
      </c>
      <c r="D381" s="24" t="e">
        <f t="array" ref="D381">$S381/MAX(IF(Combo_Species_Names=$N381,Combo_Gym_Offense))</f>
        <v>#VALUE!</v>
      </c>
      <c r="E381" s="23" t="e">
        <f t="array" ref="E381">RANK($Y381,IF(Combo_Species_Names=$N381,Combo_Gym_Defense),0)</f>
        <v>#VALUE!</v>
      </c>
      <c r="F381" s="25" t="e">
        <f t="array" ref="F381">$Y381/MAX(IF(Combo_Species_Names=$N381,Combo_Gym_Defense))</f>
        <v>#VALUE!</v>
      </c>
      <c r="G381" s="23" t="e">
        <f t="array" ref="G381">IF(OR(INDEX(Species_Availability,MATCH($N381,Species_Names,0))="No",INDEX(Species_Evo_Numbers,MATCH($N381,Species_Names,0))&lt;&gt;1),"N/A",RANK($R381,IF(NOT(ISNA(MATCH(Combo_Species_Names,IF(Species_Availability="Yes",IF(Species_Evo_Numbers=1,Species_Names)),0))),Combo_Duel_Ability),0))</f>
        <v>#VALUE!</v>
      </c>
      <c r="H381" s="24" t="e">
        <f t="array" ref="H381">IF(OR(INDEX(Species_Availability,MATCH($N381,Species_Names,0))="No",INDEX(Species_Evo_Numbers,MATCH($N381,Species_Names,0))&lt;&gt;1),"N/A",$R381/MAX(IF(NOT(ISNA(MATCH(Combo_Species_Names,IF(Species_Availability="Yes",IF(Species_Evo_Numbers=1,Species_Names)),0))),Combo_Duel_Ability)))</f>
        <v>#VALUE!</v>
      </c>
      <c r="I381" s="23" t="e">
        <f t="array" ref="I381">IF(OR(INDEX(Species_Availability,MATCH($N381,Species_Names,0))="No",INDEX(Species_Evo_Numbers,MATCH($N381,Species_Names,0))&lt;&gt;1),"N/A",RANK($S381,IF(NOT(ISNA(MATCH(Combo_Species_Names,IF(Species_Availability="Yes",IF(Species_Evo_Numbers=1,Species_Names)),0))),Combo_Gym_Offense),0))</f>
        <v>#VALUE!</v>
      </c>
      <c r="J381" s="24" t="e">
        <f t="array" ref="J381">IF(OR(INDEX(Species_Availability,MATCH($N381,Species_Names,0))="No",INDEX(Species_Evo_Numbers,MATCH($N381,Species_Names,0))&lt;&gt;1),"N/A",$S381/MAX(IF(NOT(ISNA(MATCH(Combo_Species_Names,IF(Species_Availability="Yes",IF(Species_Evo_Numbers=1,Species_Names)),0))),Combo_Gym_Offense)))</f>
        <v>#VALUE!</v>
      </c>
      <c r="K381" s="23" t="e">
        <f t="array" ref="K381">IF(OR(INDEX(Species_Availability,MATCH($N381,Species_Names,0))="No",INDEX(Species_Evo_Numbers,MATCH($N381,Species_Names,0))&lt;&gt;1),"N/A",RANK($Y381,IF(NOT(ISNA(MATCH(Combo_Species_Names,IF(Species_Availability="Yes",IF(Species_Evo_Numbers=1,Species_Names)),0))),Combo_Gym_Defense),0))</f>
        <v>#VALUE!</v>
      </c>
      <c r="L381" s="24" t="e">
        <f t="array" ref="L381">IF(OR(INDEX(Species_Availability,MATCH($N381,Species_Names,0))="No",INDEX(Species_Evo_Numbers,MATCH($N381,Species_Names,0))&lt;&gt;1),"N/A",$Y381/MAX(IF(NOT(ISNA(MATCH(Combo_Species_Names,IF(Species_Availability="Yes",IF(Species_Evo_Numbers=1,Species_Names)),0))),Combo_Gym_Defense)))</f>
        <v>#VALUE!</v>
      </c>
      <c r="M381" s="28">
        <f t="array" ref="M381">INDEX(Species_Pdex_Numbers,MATCH($N381,Species_Names,0))</f>
        <v>107</v>
      </c>
      <c r="N381" s="30" t="s">
        <v>317</v>
      </c>
      <c r="O381" s="31" t="s">
        <v>97</v>
      </c>
      <c r="P381" s="31" t="s">
        <v>260</v>
      </c>
      <c r="Q381" s="17" t="e">
        <f t="shared" si="10"/>
        <v>#VALUE!</v>
      </c>
      <c r="R381" s="32" t="e">
        <f t="array" ref="R381">IF(OR(AND(COUNTBLANK(Combo_Opponent_Type_1)=1,COUNTBLANK(Combo_Opponent_Type_2)=0),AND(AND(COUNTBLANK(Combo_Opponent_Type_1)=0,COUNTBLANK(Combo_Opponent_Type_2)=0),Combo_Opponent_Type_1=Combo_Opponent_Type_2)),
"Check Types",($S381*INDEX(Species_Tankiness,MATCH($N381,Species_Names,0)))/225)</f>
        <v>#VALUE!</v>
      </c>
      <c r="S381" s="32" t="e">
        <f t="array" ref="S381">IF(OR(AND(COUNTBLANK(Combo_Opponent_Type_1)=1,COUNTBLANK(Combo_Opponent_Type_2)=0),AND(AND(COUNTBLANK(Combo_Opponent_Type_1)=0,COUNTBLANK(Combo_Opponent_Type_2)=0),Combo_Opponent_Type_1=Combo_Opponent_Type_2)),
"Check Types",(
IF($W381&gt;=((1-Game_Weave_Human_Error)*$X381),$W381,$X381)*INDEX(Species_Attack,MATCH($N381,Species_Names,0)))/11)</f>
        <v>#VALUE!</v>
      </c>
      <c r="T381" s="33" t="e">
        <f t="shared" si="11"/>
        <v>#VALUE!</v>
      </c>
      <c r="U381" s="33">
        <f t="array" ref="U3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381,Quick_Names,0))),Type_Species)),0),1)*IF(COUNTBLANK(Combo_Opponent_Type_2)=0,INDEX(Type_Damage_Multipliers,MATCH(Combo_Opponent_Type_2,IF(Type_Move=(INDEX(Quick_Type,MATCH($O381,Quick_Names,0))),Type_Species)),0),1)*(IF(OR(INDEX(Quick_Type,MATCH($O381,Quick_Names,0))=INDEX(Species_Type_1,MATCH($N381,Species_Names,0)),INDEX(Quick_Type,MATCH($O381,Quick_Names,0))=INDEX(Species_Type_2,MATCH($N381,Species_Names,0))),Game_STAB_Multiplier,1)))</f>
        <v>1.25</v>
      </c>
      <c r="V381" s="33">
        <f t="array" ref="V3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381,Charge_Names,0))),Type_Species)),0),1)*IF(COUNTBLANK(Combo_Opponent_Type_2)=0,INDEX(Type_Damage_Multipliers,MATCH(Combo_Opponent_Type_2,IF(Type_Move=(INDEX(Charge_Type,MATCH($P381,Charge_Names,0))),Type_Species)),0),1)*
IF(OR(INDEX(Charge_Type,MATCH($P381,Charge_Names,0))=INDEX(Species_Type_1,MATCH($N381,Species_Names,0)),INDEX(Charge_Type,MATCH($P381,Charge_Names,0))=INDEX(Species_Type_2,MATCH($N381,Species_Names,0))),Game_STAB_Multiplier,1))</f>
        <v>1</v>
      </c>
      <c r="W381" s="33" t="s">
        <v>842</v>
      </c>
      <c r="X381" s="33" t="s">
        <v>731</v>
      </c>
      <c r="Y381" s="32" t="e">
        <f t="array" ref="Y381">((($Z381)*
INDEX(Species_Attack,MATCH($N381,Species_Names,0))*
INDEX(Species_Tankiness,MATCH($N381,Species_Names,0)))/1000)</f>
        <v>#VALUE!</v>
      </c>
      <c r="Z381" s="33" t="s">
        <v>471</v>
      </c>
    </row>
    <row r="382" spans="1:26" ht="14.25" customHeight="1" x14ac:dyDescent="0.2">
      <c r="A382" s="86"/>
      <c r="B382" s="22" t="str">
        <f t="array" ref="B382">CONCATENATE(TEXT($M382,"000"),".",TEXT(INDEX(Quick_Number,MATCH($O382,Quick_Names,0)),"000"),".",TEXT(INDEX(Charge_Number,MATCH($P382,Charge_Names,0)),"000"))</f>
        <v>107.241.077</v>
      </c>
      <c r="C382" s="23" t="e">
        <f t="array" ref="C382">RANK($S382,IF(Combo_Species_Names=$N382,Combo_Gym_Offense),0)</f>
        <v>#VALUE!</v>
      </c>
      <c r="D382" s="24" t="e">
        <f t="array" ref="D382">$S382/MAX(IF(Combo_Species_Names=$N382,Combo_Gym_Offense))</f>
        <v>#VALUE!</v>
      </c>
      <c r="E382" s="23" t="e">
        <f t="array" ref="E382">RANK($Y382,IF(Combo_Species_Names=$N382,Combo_Gym_Defense),0)</f>
        <v>#VALUE!</v>
      </c>
      <c r="F382" s="25" t="e">
        <f t="array" ref="F382">$Y382/MAX(IF(Combo_Species_Names=$N382,Combo_Gym_Defense))</f>
        <v>#VALUE!</v>
      </c>
      <c r="G382" s="23" t="e">
        <f t="array" ref="G382">IF(OR(INDEX(Species_Availability,MATCH($N382,Species_Names,0))="No",INDEX(Species_Evo_Numbers,MATCH($N382,Species_Names,0))&lt;&gt;1),"N/A",RANK($R382,IF(NOT(ISNA(MATCH(Combo_Species_Names,IF(Species_Availability="Yes",IF(Species_Evo_Numbers=1,Species_Names)),0))),Combo_Duel_Ability),0))</f>
        <v>#VALUE!</v>
      </c>
      <c r="H382" s="24" t="e">
        <f t="array" ref="H382">IF(OR(INDEX(Species_Availability,MATCH($N382,Species_Names,0))="No",INDEX(Species_Evo_Numbers,MATCH($N382,Species_Names,0))&lt;&gt;1),"N/A",$R382/MAX(IF(NOT(ISNA(MATCH(Combo_Species_Names,IF(Species_Availability="Yes",IF(Species_Evo_Numbers=1,Species_Names)),0))),Combo_Duel_Ability)))</f>
        <v>#VALUE!</v>
      </c>
      <c r="I382" s="23" t="e">
        <f t="array" ref="I382">IF(OR(INDEX(Species_Availability,MATCH($N382,Species_Names,0))="No",INDEX(Species_Evo_Numbers,MATCH($N382,Species_Names,0))&lt;&gt;1),"N/A",RANK($S382,IF(NOT(ISNA(MATCH(Combo_Species_Names,IF(Species_Availability="Yes",IF(Species_Evo_Numbers=1,Species_Names)),0))),Combo_Gym_Offense),0))</f>
        <v>#VALUE!</v>
      </c>
      <c r="J382" s="24" t="e">
        <f t="array" ref="J382">IF(OR(INDEX(Species_Availability,MATCH($N382,Species_Names,0))="No",INDEX(Species_Evo_Numbers,MATCH($N382,Species_Names,0))&lt;&gt;1),"N/A",$S382/MAX(IF(NOT(ISNA(MATCH(Combo_Species_Names,IF(Species_Availability="Yes",IF(Species_Evo_Numbers=1,Species_Names)),0))),Combo_Gym_Offense)))</f>
        <v>#VALUE!</v>
      </c>
      <c r="K382" s="23" t="e">
        <f t="array" ref="K382">IF(OR(INDEX(Species_Availability,MATCH($N382,Species_Names,0))="No",INDEX(Species_Evo_Numbers,MATCH($N382,Species_Names,0))&lt;&gt;1),"N/A",RANK($Y382,IF(NOT(ISNA(MATCH(Combo_Species_Names,IF(Species_Availability="Yes",IF(Species_Evo_Numbers=1,Species_Names)),0))),Combo_Gym_Defense),0))</f>
        <v>#VALUE!</v>
      </c>
      <c r="L382" s="24" t="e">
        <f t="array" ref="L382">IF(OR(INDEX(Species_Availability,MATCH($N382,Species_Names,0))="No",INDEX(Species_Evo_Numbers,MATCH($N382,Species_Names,0))&lt;&gt;1),"N/A",$Y382/MAX(IF(NOT(ISNA(MATCH(Combo_Species_Names,IF(Species_Availability="Yes",IF(Species_Evo_Numbers=1,Species_Names)),0))),Combo_Gym_Defense)))</f>
        <v>#VALUE!</v>
      </c>
      <c r="M382" s="28">
        <f t="array" ref="M382">INDEX(Species_Pdex_Numbers,MATCH($N382,Species_Names,0))</f>
        <v>107</v>
      </c>
      <c r="N382" s="30" t="s">
        <v>317</v>
      </c>
      <c r="O382" s="31" t="s">
        <v>97</v>
      </c>
      <c r="P382" s="31" t="s">
        <v>214</v>
      </c>
      <c r="Q382" s="17" t="e">
        <f t="shared" si="10"/>
        <v>#VALUE!</v>
      </c>
      <c r="R382" s="32" t="e">
        <f t="array" ref="R382">IF(OR(AND(COUNTBLANK(Combo_Opponent_Type_1)=1,COUNTBLANK(Combo_Opponent_Type_2)=0),AND(AND(COUNTBLANK(Combo_Opponent_Type_1)=0,COUNTBLANK(Combo_Opponent_Type_2)=0),Combo_Opponent_Type_1=Combo_Opponent_Type_2)),
"Check Types",($S382*INDEX(Species_Tankiness,MATCH($N382,Species_Names,0)))/225)</f>
        <v>#VALUE!</v>
      </c>
      <c r="S382" s="32" t="e">
        <f t="array" ref="S382">IF(OR(AND(COUNTBLANK(Combo_Opponent_Type_1)=1,COUNTBLANK(Combo_Opponent_Type_2)=0),AND(AND(COUNTBLANK(Combo_Opponent_Type_1)=0,COUNTBLANK(Combo_Opponent_Type_2)=0),Combo_Opponent_Type_1=Combo_Opponent_Type_2)),
"Check Types",(
IF($W382&gt;=((1-Game_Weave_Human_Error)*$X382),$W382,$X382)*INDEX(Species_Attack,MATCH($N382,Species_Names,0)))/11)</f>
        <v>#VALUE!</v>
      </c>
      <c r="T382" s="33" t="e">
        <f t="shared" si="11"/>
        <v>#VALUE!</v>
      </c>
      <c r="U382" s="33">
        <f t="array" ref="U3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382,Quick_Names,0))),Type_Species)),0),1)*IF(COUNTBLANK(Combo_Opponent_Type_2)=0,INDEX(Type_Damage_Multipliers,MATCH(Combo_Opponent_Type_2,IF(Type_Move=(INDEX(Quick_Type,MATCH($O382,Quick_Names,0))),Type_Species)),0),1)*(IF(OR(INDEX(Quick_Type,MATCH($O382,Quick_Names,0))=INDEX(Species_Type_1,MATCH($N382,Species_Names,0)),INDEX(Quick_Type,MATCH($O382,Quick_Names,0))=INDEX(Species_Type_2,MATCH($N382,Species_Names,0))),Game_STAB_Multiplier,1)))</f>
        <v>1.25</v>
      </c>
      <c r="V382" s="33">
        <f t="array" ref="V3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382,Charge_Names,0))),Type_Species)),0),1)*IF(COUNTBLANK(Combo_Opponent_Type_2)=0,INDEX(Type_Damage_Multipliers,MATCH(Combo_Opponent_Type_2,IF(Type_Move=(INDEX(Charge_Type,MATCH($P382,Charge_Names,0))),Type_Species)),0),1)*
IF(OR(INDEX(Charge_Type,MATCH($P382,Charge_Names,0))=INDEX(Species_Type_1,MATCH($N382,Species_Names,0)),INDEX(Charge_Type,MATCH($P382,Charge_Names,0))=INDEX(Species_Type_2,MATCH($N382,Species_Names,0))),Game_STAB_Multiplier,1))</f>
        <v>1</v>
      </c>
      <c r="W382" s="33" t="s">
        <v>842</v>
      </c>
      <c r="X382" s="33" t="s">
        <v>890</v>
      </c>
      <c r="Y382" s="32" t="e">
        <f t="array" ref="Y382">((($Z382)*
INDEX(Species_Attack,MATCH($N382,Species_Names,0))*
INDEX(Species_Tankiness,MATCH($N382,Species_Names,0)))/1000)</f>
        <v>#VALUE!</v>
      </c>
      <c r="Z382" s="33" t="s">
        <v>891</v>
      </c>
    </row>
    <row r="383" spans="1:26" ht="14.25" customHeight="1" x14ac:dyDescent="0.2">
      <c r="A383" s="86"/>
      <c r="B383" s="22" t="str">
        <f t="array" ref="B383">CONCATENATE(TEXT($M383,"000"),".",TEXT(INDEX(Quick_Number,MATCH($O383,Quick_Names,0)),"000"),".",TEXT(INDEX(Charge_Number,MATCH($P383,Charge_Names,0)),"000"))</f>
        <v>107.241.115</v>
      </c>
      <c r="C383" s="23" t="e">
        <f t="array" ref="C383">RANK($S383,IF(Combo_Species_Names=$N383,Combo_Gym_Offense),0)</f>
        <v>#VALUE!</v>
      </c>
      <c r="D383" s="24" t="e">
        <f t="array" ref="D383">$S383/MAX(IF(Combo_Species_Names=$N383,Combo_Gym_Offense))</f>
        <v>#VALUE!</v>
      </c>
      <c r="E383" s="23" t="e">
        <f t="array" ref="E383">RANK($Y383,IF(Combo_Species_Names=$N383,Combo_Gym_Defense),0)</f>
        <v>#VALUE!</v>
      </c>
      <c r="F383" s="25" t="e">
        <f t="array" ref="F383">$Y383/MAX(IF(Combo_Species_Names=$N383,Combo_Gym_Defense))</f>
        <v>#VALUE!</v>
      </c>
      <c r="G383" s="23" t="e">
        <f t="array" ref="G383">IF(OR(INDEX(Species_Availability,MATCH($N383,Species_Names,0))="No",INDEX(Species_Evo_Numbers,MATCH($N383,Species_Names,0))&lt;&gt;1),"N/A",RANK($R383,IF(NOT(ISNA(MATCH(Combo_Species_Names,IF(Species_Availability="Yes",IF(Species_Evo_Numbers=1,Species_Names)),0))),Combo_Duel_Ability),0))</f>
        <v>#VALUE!</v>
      </c>
      <c r="H383" s="24" t="e">
        <f t="array" ref="H383">IF(OR(INDEX(Species_Availability,MATCH($N383,Species_Names,0))="No",INDEX(Species_Evo_Numbers,MATCH($N383,Species_Names,0))&lt;&gt;1),"N/A",$R383/MAX(IF(NOT(ISNA(MATCH(Combo_Species_Names,IF(Species_Availability="Yes",IF(Species_Evo_Numbers=1,Species_Names)),0))),Combo_Duel_Ability)))</f>
        <v>#VALUE!</v>
      </c>
      <c r="I383" s="23" t="e">
        <f t="array" ref="I383">IF(OR(INDEX(Species_Availability,MATCH($N383,Species_Names,0))="No",INDEX(Species_Evo_Numbers,MATCH($N383,Species_Names,0))&lt;&gt;1),"N/A",RANK($S383,IF(NOT(ISNA(MATCH(Combo_Species_Names,IF(Species_Availability="Yes",IF(Species_Evo_Numbers=1,Species_Names)),0))),Combo_Gym_Offense),0))</f>
        <v>#VALUE!</v>
      </c>
      <c r="J383" s="24" t="e">
        <f t="array" ref="J383">IF(OR(INDEX(Species_Availability,MATCH($N383,Species_Names,0))="No",INDEX(Species_Evo_Numbers,MATCH($N383,Species_Names,0))&lt;&gt;1),"N/A",$S383/MAX(IF(NOT(ISNA(MATCH(Combo_Species_Names,IF(Species_Availability="Yes",IF(Species_Evo_Numbers=1,Species_Names)),0))),Combo_Gym_Offense)))</f>
        <v>#VALUE!</v>
      </c>
      <c r="K383" s="23" t="e">
        <f t="array" ref="K383">IF(OR(INDEX(Species_Availability,MATCH($N383,Species_Names,0))="No",INDEX(Species_Evo_Numbers,MATCH($N383,Species_Names,0))&lt;&gt;1),"N/A",RANK($Y383,IF(NOT(ISNA(MATCH(Combo_Species_Names,IF(Species_Availability="Yes",IF(Species_Evo_Numbers=1,Species_Names)),0))),Combo_Gym_Defense),0))</f>
        <v>#VALUE!</v>
      </c>
      <c r="L383" s="24" t="e">
        <f t="array" ref="L383">IF(OR(INDEX(Species_Availability,MATCH($N383,Species_Names,0))="No",INDEX(Species_Evo_Numbers,MATCH($N383,Species_Names,0))&lt;&gt;1),"N/A",$Y383/MAX(IF(NOT(ISNA(MATCH(Combo_Species_Names,IF(Species_Availability="Yes",IF(Species_Evo_Numbers=1,Species_Names)),0))),Combo_Gym_Defense)))</f>
        <v>#VALUE!</v>
      </c>
      <c r="M383" s="28">
        <f t="array" ref="M383">INDEX(Species_Pdex_Numbers,MATCH($N383,Species_Names,0))</f>
        <v>107</v>
      </c>
      <c r="N383" s="30" t="s">
        <v>317</v>
      </c>
      <c r="O383" s="31" t="s">
        <v>97</v>
      </c>
      <c r="P383" s="31" t="s">
        <v>238</v>
      </c>
      <c r="Q383" s="17" t="e">
        <f t="shared" si="10"/>
        <v>#VALUE!</v>
      </c>
      <c r="R383" s="32" t="e">
        <f t="array" ref="R383">IF(OR(AND(COUNTBLANK(Combo_Opponent_Type_1)=1,COUNTBLANK(Combo_Opponent_Type_2)=0),AND(AND(COUNTBLANK(Combo_Opponent_Type_1)=0,COUNTBLANK(Combo_Opponent_Type_2)=0),Combo_Opponent_Type_1=Combo_Opponent_Type_2)),
"Check Types",($S383*INDEX(Species_Tankiness,MATCH($N383,Species_Names,0)))/225)</f>
        <v>#VALUE!</v>
      </c>
      <c r="S383" s="32" t="e">
        <f t="array" ref="S383">IF(OR(AND(COUNTBLANK(Combo_Opponent_Type_1)=1,COUNTBLANK(Combo_Opponent_Type_2)=0),AND(AND(COUNTBLANK(Combo_Opponent_Type_1)=0,COUNTBLANK(Combo_Opponent_Type_2)=0),Combo_Opponent_Type_1=Combo_Opponent_Type_2)),
"Check Types",(
IF($W383&gt;=((1-Game_Weave_Human_Error)*$X383),$W383,$X383)*INDEX(Species_Attack,MATCH($N383,Species_Names,0)))/11)</f>
        <v>#VALUE!</v>
      </c>
      <c r="T383" s="33" t="e">
        <f t="shared" si="11"/>
        <v>#VALUE!</v>
      </c>
      <c r="U383" s="33">
        <f t="array" ref="U3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383,Quick_Names,0))),Type_Species)),0),1)*IF(COUNTBLANK(Combo_Opponent_Type_2)=0,INDEX(Type_Damage_Multipliers,MATCH(Combo_Opponent_Type_2,IF(Type_Move=(INDEX(Quick_Type,MATCH($O383,Quick_Names,0))),Type_Species)),0),1)*(IF(OR(INDEX(Quick_Type,MATCH($O383,Quick_Names,0))=INDEX(Species_Type_1,MATCH($N383,Species_Names,0)),INDEX(Quick_Type,MATCH($O383,Quick_Names,0))=INDEX(Species_Type_2,MATCH($N383,Species_Names,0))),Game_STAB_Multiplier,1)))</f>
        <v>1.25</v>
      </c>
      <c r="V383" s="33">
        <f t="array" ref="V3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383,Charge_Names,0))),Type_Species)),0),1)*IF(COUNTBLANK(Combo_Opponent_Type_2)=0,INDEX(Type_Damage_Multipliers,MATCH(Combo_Opponent_Type_2,IF(Type_Move=(INDEX(Charge_Type,MATCH($P383,Charge_Names,0))),Type_Species)),0),1)*
IF(OR(INDEX(Charge_Type,MATCH($P383,Charge_Names,0))=INDEX(Species_Type_1,MATCH($N383,Species_Names,0)),INDEX(Charge_Type,MATCH($P383,Charge_Names,0))=INDEX(Species_Type_2,MATCH($N383,Species_Names,0))),Game_STAB_Multiplier,1))</f>
        <v>1</v>
      </c>
      <c r="W383" s="33" t="s">
        <v>842</v>
      </c>
      <c r="X383" s="33" t="s">
        <v>892</v>
      </c>
      <c r="Y383" s="32" t="e">
        <f t="array" ref="Y383">((($Z383)*
INDEX(Species_Attack,MATCH($N383,Species_Names,0))*
INDEX(Species_Tankiness,MATCH($N383,Species_Names,0)))/1000)</f>
        <v>#VALUE!</v>
      </c>
      <c r="Z383" s="33" t="s">
        <v>891</v>
      </c>
    </row>
    <row r="384" spans="1:26" ht="14.25" customHeight="1" x14ac:dyDescent="0.2">
      <c r="A384" s="86"/>
      <c r="B384" s="22" t="str">
        <f t="array" ref="B384">CONCATENATE(TEXT($M384,"000"),".",TEXT(INDEX(Quick_Number,MATCH($O384,Quick_Names,0)),"000"),".",TEXT(INDEX(Charge_Number,MATCH($P384,Charge_Names,0)),"000"))</f>
        <v>122.235.108</v>
      </c>
      <c r="C384" s="23" t="e">
        <f t="array" ref="C384">RANK($S384,IF(Combo_Species_Names=$N384,Combo_Gym_Offense),0)</f>
        <v>#VALUE!</v>
      </c>
      <c r="D384" s="24" t="e">
        <f t="array" ref="D384">$S384/MAX(IF(Combo_Species_Names=$N384,Combo_Gym_Offense))</f>
        <v>#VALUE!</v>
      </c>
      <c r="E384" s="23" t="e">
        <f t="array" ref="E384">RANK($Y384,IF(Combo_Species_Names=$N384,Combo_Gym_Defense),0)</f>
        <v>#VALUE!</v>
      </c>
      <c r="F384" s="25" t="e">
        <f t="array" ref="F384">$Y384/MAX(IF(Combo_Species_Names=$N384,Combo_Gym_Defense))</f>
        <v>#VALUE!</v>
      </c>
      <c r="G384" s="23" t="e">
        <f t="array" ref="G384">IF(OR(INDEX(Species_Availability,MATCH($N384,Species_Names,0))="No",INDEX(Species_Evo_Numbers,MATCH($N384,Species_Names,0))&lt;&gt;1),"N/A",RANK($R384,IF(NOT(ISNA(MATCH(Combo_Species_Names,IF(Species_Availability="Yes",IF(Species_Evo_Numbers=1,Species_Names)),0))),Combo_Duel_Ability),0))</f>
        <v>#VALUE!</v>
      </c>
      <c r="H384" s="24" t="e">
        <f t="array" ref="H384">IF(OR(INDEX(Species_Availability,MATCH($N384,Species_Names,0))="No",INDEX(Species_Evo_Numbers,MATCH($N384,Species_Names,0))&lt;&gt;1),"N/A",$R384/MAX(IF(NOT(ISNA(MATCH(Combo_Species_Names,IF(Species_Availability="Yes",IF(Species_Evo_Numbers=1,Species_Names)),0))),Combo_Duel_Ability)))</f>
        <v>#VALUE!</v>
      </c>
      <c r="I384" s="23" t="e">
        <f t="array" ref="I384">IF(OR(INDEX(Species_Availability,MATCH($N384,Species_Names,0))="No",INDEX(Species_Evo_Numbers,MATCH($N384,Species_Names,0))&lt;&gt;1),"N/A",RANK($S384,IF(NOT(ISNA(MATCH(Combo_Species_Names,IF(Species_Availability="Yes",IF(Species_Evo_Numbers=1,Species_Names)),0))),Combo_Gym_Offense),0))</f>
        <v>#VALUE!</v>
      </c>
      <c r="J384" s="24" t="e">
        <f t="array" ref="J384">IF(OR(INDEX(Species_Availability,MATCH($N384,Species_Names,0))="No",INDEX(Species_Evo_Numbers,MATCH($N384,Species_Names,0))&lt;&gt;1),"N/A",$S384/MAX(IF(NOT(ISNA(MATCH(Combo_Species_Names,IF(Species_Availability="Yes",IF(Species_Evo_Numbers=1,Species_Names)),0))),Combo_Gym_Offense)))</f>
        <v>#VALUE!</v>
      </c>
      <c r="K384" s="23" t="e">
        <f t="array" ref="K384">IF(OR(INDEX(Species_Availability,MATCH($N384,Species_Names,0))="No",INDEX(Species_Evo_Numbers,MATCH($N384,Species_Names,0))&lt;&gt;1),"N/A",RANK($Y384,IF(NOT(ISNA(MATCH(Combo_Species_Names,IF(Species_Availability="Yes",IF(Species_Evo_Numbers=1,Species_Names)),0))),Combo_Gym_Defense),0))</f>
        <v>#VALUE!</v>
      </c>
      <c r="L384" s="24" t="e">
        <f t="array" ref="L384">IF(OR(INDEX(Species_Availability,MATCH($N384,Species_Names,0))="No",INDEX(Species_Evo_Numbers,MATCH($N384,Species_Names,0))&lt;&gt;1),"N/A",$Y384/MAX(IF(NOT(ISNA(MATCH(Combo_Species_Names,IF(Species_Availability="Yes",IF(Species_Evo_Numbers=1,Species_Names)),0))),Combo_Gym_Defense)))</f>
        <v>#VALUE!</v>
      </c>
      <c r="M384" s="28">
        <f t="array" ref="M384">INDEX(Species_Pdex_Numbers,MATCH($N384,Species_Names,0))</f>
        <v>122</v>
      </c>
      <c r="N384" s="30" t="s">
        <v>339</v>
      </c>
      <c r="O384" s="31" t="s">
        <v>108</v>
      </c>
      <c r="P384" s="31" t="s">
        <v>58</v>
      </c>
      <c r="Q384" s="17" t="e">
        <f t="shared" si="10"/>
        <v>#VALUE!</v>
      </c>
      <c r="R384" s="32" t="e">
        <f t="array" ref="R384">IF(OR(AND(COUNTBLANK(Combo_Opponent_Type_1)=1,COUNTBLANK(Combo_Opponent_Type_2)=0),AND(AND(COUNTBLANK(Combo_Opponent_Type_1)=0,COUNTBLANK(Combo_Opponent_Type_2)=0),Combo_Opponent_Type_1=Combo_Opponent_Type_2)),
"Check Types",($S384*INDEX(Species_Tankiness,MATCH($N384,Species_Names,0)))/225)</f>
        <v>#VALUE!</v>
      </c>
      <c r="S384" s="32" t="e">
        <f t="array" ref="S384">IF(OR(AND(COUNTBLANK(Combo_Opponent_Type_1)=1,COUNTBLANK(Combo_Opponent_Type_2)=0),AND(AND(COUNTBLANK(Combo_Opponent_Type_1)=0,COUNTBLANK(Combo_Opponent_Type_2)=0),Combo_Opponent_Type_1=Combo_Opponent_Type_2)),
"Check Types",(
IF($W384&gt;=((1-Game_Weave_Human_Error)*$X384),$W384,$X384)*INDEX(Species_Attack,MATCH($N384,Species_Names,0)))/11)</f>
        <v>#VALUE!</v>
      </c>
      <c r="T384" s="33" t="e">
        <f t="shared" si="11"/>
        <v>#VALUE!</v>
      </c>
      <c r="U384" s="33">
        <f t="array" ref="U3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384,Quick_Names,0))),Type_Species)),0),1)*IF(COUNTBLANK(Combo_Opponent_Type_2)=0,INDEX(Type_Damage_Multipliers,MATCH(Combo_Opponent_Type_2,IF(Type_Move=(INDEX(Quick_Type,MATCH($O384,Quick_Names,0))),Type_Species)),0),1)*(IF(OR(INDEX(Quick_Type,MATCH($O384,Quick_Names,0))=INDEX(Species_Type_1,MATCH($N384,Species_Names,0)),INDEX(Quick_Type,MATCH($O384,Quick_Names,0))=INDEX(Species_Type_2,MATCH($N384,Species_Names,0))),Game_STAB_Multiplier,1)))</f>
        <v>1.25</v>
      </c>
      <c r="V384" s="33">
        <f t="array" ref="V3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384,Charge_Names,0))),Type_Species)),0),1)*IF(COUNTBLANK(Combo_Opponent_Type_2)=0,INDEX(Type_Damage_Multipliers,MATCH(Combo_Opponent_Type_2,IF(Type_Move=(INDEX(Charge_Type,MATCH($P384,Charge_Names,0))),Type_Species)),0),1)*
IF(OR(INDEX(Charge_Type,MATCH($P384,Charge_Names,0))=INDEX(Species_Type_1,MATCH($N384,Species_Names,0)),INDEX(Charge_Type,MATCH($P384,Charge_Names,0))=INDEX(Species_Type_2,MATCH($N384,Species_Names,0))),Game_STAB_Multiplier,1))</f>
        <v>1.25</v>
      </c>
      <c r="W384" s="33" t="s">
        <v>467</v>
      </c>
      <c r="X384" s="33" t="s">
        <v>495</v>
      </c>
      <c r="Y384" s="32" t="e">
        <f t="array" ref="Y384">((($Z384)*
INDEX(Species_Attack,MATCH($N384,Species_Names,0))*
INDEX(Species_Tankiness,MATCH($N384,Species_Names,0)))/1000)</f>
        <v>#VALUE!</v>
      </c>
      <c r="Z384" s="33" t="s">
        <v>440</v>
      </c>
    </row>
    <row r="385" spans="1:26" ht="14.25" customHeight="1" x14ac:dyDescent="0.2">
      <c r="A385" s="86"/>
      <c r="B385" s="22" t="str">
        <f t="array" ref="B385">CONCATENATE(TEXT($M385,"000"),".",TEXT(INDEX(Quick_Number,MATCH($O385,Quick_Names,0)),"000"),".",TEXT(INDEX(Charge_Number,MATCH($P385,Charge_Names,0)),"000"))</f>
        <v>085.239.121</v>
      </c>
      <c r="C385" s="23" t="e">
        <f t="array" ref="C385">RANK($S385,IF(Combo_Species_Names=$N385,Combo_Gym_Offense),0)</f>
        <v>#VALUE!</v>
      </c>
      <c r="D385" s="24" t="e">
        <f t="array" ref="D385">$S385/MAX(IF(Combo_Species_Names=$N385,Combo_Gym_Offense))</f>
        <v>#VALUE!</v>
      </c>
      <c r="E385" s="23" t="e">
        <f t="array" ref="E385">RANK($Y385,IF(Combo_Species_Names=$N385,Combo_Gym_Defense),0)</f>
        <v>#VALUE!</v>
      </c>
      <c r="F385" s="25" t="e">
        <f t="array" ref="F385">$Y385/MAX(IF(Combo_Species_Names=$N385,Combo_Gym_Defense))</f>
        <v>#VALUE!</v>
      </c>
      <c r="G385" s="23" t="e">
        <f t="array" ref="G385">IF(OR(INDEX(Species_Availability,MATCH($N385,Species_Names,0))="No",INDEX(Species_Evo_Numbers,MATCH($N385,Species_Names,0))&lt;&gt;1),"N/A",RANK($R385,IF(NOT(ISNA(MATCH(Combo_Species_Names,IF(Species_Availability="Yes",IF(Species_Evo_Numbers=1,Species_Names)),0))),Combo_Duel_Ability),0))</f>
        <v>#VALUE!</v>
      </c>
      <c r="H385" s="24" t="e">
        <f t="array" ref="H385">IF(OR(INDEX(Species_Availability,MATCH($N385,Species_Names,0))="No",INDEX(Species_Evo_Numbers,MATCH($N385,Species_Names,0))&lt;&gt;1),"N/A",$R385/MAX(IF(NOT(ISNA(MATCH(Combo_Species_Names,IF(Species_Availability="Yes",IF(Species_Evo_Numbers=1,Species_Names)),0))),Combo_Duel_Ability)))</f>
        <v>#VALUE!</v>
      </c>
      <c r="I385" s="23" t="e">
        <f t="array" ref="I385">IF(OR(INDEX(Species_Availability,MATCH($N385,Species_Names,0))="No",INDEX(Species_Evo_Numbers,MATCH($N385,Species_Names,0))&lt;&gt;1),"N/A",RANK($S385,IF(NOT(ISNA(MATCH(Combo_Species_Names,IF(Species_Availability="Yes",IF(Species_Evo_Numbers=1,Species_Names)),0))),Combo_Gym_Offense),0))</f>
        <v>#VALUE!</v>
      </c>
      <c r="J385" s="24" t="e">
        <f t="array" ref="J385">IF(OR(INDEX(Species_Availability,MATCH($N385,Species_Names,0))="No",INDEX(Species_Evo_Numbers,MATCH($N385,Species_Names,0))&lt;&gt;1),"N/A",$S385/MAX(IF(NOT(ISNA(MATCH(Combo_Species_Names,IF(Species_Availability="Yes",IF(Species_Evo_Numbers=1,Species_Names)),0))),Combo_Gym_Offense)))</f>
        <v>#VALUE!</v>
      </c>
      <c r="K385" s="23" t="e">
        <f t="array" ref="K385">IF(OR(INDEX(Species_Availability,MATCH($N385,Species_Names,0))="No",INDEX(Species_Evo_Numbers,MATCH($N385,Species_Names,0))&lt;&gt;1),"N/A",RANK($Y385,IF(NOT(ISNA(MATCH(Combo_Species_Names,IF(Species_Availability="Yes",IF(Species_Evo_Numbers=1,Species_Names)),0))),Combo_Gym_Defense),0))</f>
        <v>#VALUE!</v>
      </c>
      <c r="L385" s="24" t="e">
        <f t="array" ref="L385">IF(OR(INDEX(Species_Availability,MATCH($N385,Species_Names,0))="No",INDEX(Species_Evo_Numbers,MATCH($N385,Species_Names,0))&lt;&gt;1),"N/A",$Y385/MAX(IF(NOT(ISNA(MATCH(Combo_Species_Names,IF(Species_Availability="Yes",IF(Species_Evo_Numbers=1,Species_Names)),0))),Combo_Gym_Defense)))</f>
        <v>#VALUE!</v>
      </c>
      <c r="M385" s="28">
        <f t="array" ref="M385">INDEX(Species_Pdex_Numbers,MATCH($N385,Species_Names,0))</f>
        <v>85</v>
      </c>
      <c r="N385" s="30" t="s">
        <v>263</v>
      </c>
      <c r="O385" s="31" t="s">
        <v>80</v>
      </c>
      <c r="P385" s="31" t="s">
        <v>294</v>
      </c>
      <c r="Q385" s="17" t="e">
        <f t="shared" si="10"/>
        <v>#VALUE!</v>
      </c>
      <c r="R385" s="32" t="e">
        <f t="array" ref="R385">IF(OR(AND(COUNTBLANK(Combo_Opponent_Type_1)=1,COUNTBLANK(Combo_Opponent_Type_2)=0),AND(AND(COUNTBLANK(Combo_Opponent_Type_1)=0,COUNTBLANK(Combo_Opponent_Type_2)=0),Combo_Opponent_Type_1=Combo_Opponent_Type_2)),
"Check Types",($S385*INDEX(Species_Tankiness,MATCH($N385,Species_Names,0)))/225)</f>
        <v>#VALUE!</v>
      </c>
      <c r="S385" s="32" t="e">
        <f t="array" ref="S385">IF(OR(AND(COUNTBLANK(Combo_Opponent_Type_1)=1,COUNTBLANK(Combo_Opponent_Type_2)=0),AND(AND(COUNTBLANK(Combo_Opponent_Type_1)=0,COUNTBLANK(Combo_Opponent_Type_2)=0),Combo_Opponent_Type_1=Combo_Opponent_Type_2)),
"Check Types",(
IF($W385&gt;=((1-Game_Weave_Human_Error)*$X385),$W385,$X385)*INDEX(Species_Attack,MATCH($N385,Species_Names,0)))/11)</f>
        <v>#VALUE!</v>
      </c>
      <c r="T385" s="33" t="e">
        <f t="shared" si="11"/>
        <v>#VALUE!</v>
      </c>
      <c r="U385" s="33">
        <f t="array" ref="U3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385,Quick_Names,0))),Type_Species)),0),1)*IF(COUNTBLANK(Combo_Opponent_Type_2)=0,INDEX(Type_Damage_Multipliers,MATCH(Combo_Opponent_Type_2,IF(Type_Move=(INDEX(Quick_Type,MATCH($O385,Quick_Names,0))),Type_Species)),0),1)*(IF(OR(INDEX(Quick_Type,MATCH($O385,Quick_Names,0))=INDEX(Species_Type_1,MATCH($N385,Species_Names,0)),INDEX(Quick_Type,MATCH($O385,Quick_Names,0))=INDEX(Species_Type_2,MATCH($N385,Species_Names,0))),Game_STAB_Multiplier,1)))</f>
        <v>1</v>
      </c>
      <c r="V385" s="33">
        <f t="array" ref="V3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385,Charge_Names,0))),Type_Species)),0),1)*IF(COUNTBLANK(Combo_Opponent_Type_2)=0,INDEX(Type_Damage_Multipliers,MATCH(Combo_Opponent_Type_2,IF(Type_Move=(INDEX(Charge_Type,MATCH($P385,Charge_Names,0))),Type_Species)),0),1)*
IF(OR(INDEX(Charge_Type,MATCH($P385,Charge_Names,0))=INDEX(Species_Type_1,MATCH($N385,Species_Names,0)),INDEX(Charge_Type,MATCH($P385,Charge_Names,0))=INDEX(Species_Type_2,MATCH($N385,Species_Names,0))),Game_STAB_Multiplier,1))</f>
        <v>1.25</v>
      </c>
      <c r="W385" s="33" t="s">
        <v>441</v>
      </c>
      <c r="X385" s="33" t="s">
        <v>766</v>
      </c>
      <c r="Y385" s="32" t="e">
        <f t="array" ref="Y385">((($Z385)*
INDEX(Species_Attack,MATCH($N385,Species_Names,0))*
INDEX(Species_Tankiness,MATCH($N385,Species_Names,0)))/1000)</f>
        <v>#VALUE!</v>
      </c>
      <c r="Z385" s="33" t="s">
        <v>513</v>
      </c>
    </row>
    <row r="386" spans="1:26" ht="14.25" customHeight="1" x14ac:dyDescent="0.2">
      <c r="A386" s="86"/>
      <c r="B386" s="22" t="str">
        <f t="array" ref="B386">CONCATENATE(TEXT($M386,"000"),".",TEXT(INDEX(Quick_Number,MATCH($O386,Quick_Names,0)),"000"),".",TEXT(INDEX(Charge_Number,MATCH($P386,Charge_Names,0)),"000"))</f>
        <v>085.239.045</v>
      </c>
      <c r="C386" s="23" t="e">
        <f t="array" ref="C386">RANK($S386,IF(Combo_Species_Names=$N386,Combo_Gym_Offense),0)</f>
        <v>#VALUE!</v>
      </c>
      <c r="D386" s="24" t="e">
        <f t="array" ref="D386">$S386/MAX(IF(Combo_Species_Names=$N386,Combo_Gym_Offense))</f>
        <v>#VALUE!</v>
      </c>
      <c r="E386" s="23" t="e">
        <f t="array" ref="E386">RANK($Y386,IF(Combo_Species_Names=$N386,Combo_Gym_Defense),0)</f>
        <v>#VALUE!</v>
      </c>
      <c r="F386" s="25" t="e">
        <f t="array" ref="F386">$Y386/MAX(IF(Combo_Species_Names=$N386,Combo_Gym_Defense))</f>
        <v>#VALUE!</v>
      </c>
      <c r="G386" s="23" t="e">
        <f t="array" ref="G386">IF(OR(INDEX(Species_Availability,MATCH($N386,Species_Names,0))="No",INDEX(Species_Evo_Numbers,MATCH($N386,Species_Names,0))&lt;&gt;1),"N/A",RANK($R386,IF(NOT(ISNA(MATCH(Combo_Species_Names,IF(Species_Availability="Yes",IF(Species_Evo_Numbers=1,Species_Names)),0))),Combo_Duel_Ability),0))</f>
        <v>#VALUE!</v>
      </c>
      <c r="H386" s="24" t="e">
        <f t="array" ref="H386">IF(OR(INDEX(Species_Availability,MATCH($N386,Species_Names,0))="No",INDEX(Species_Evo_Numbers,MATCH($N386,Species_Names,0))&lt;&gt;1),"N/A",$R386/MAX(IF(NOT(ISNA(MATCH(Combo_Species_Names,IF(Species_Availability="Yes",IF(Species_Evo_Numbers=1,Species_Names)),0))),Combo_Duel_Ability)))</f>
        <v>#VALUE!</v>
      </c>
      <c r="I386" s="23" t="e">
        <f t="array" ref="I386">IF(OR(INDEX(Species_Availability,MATCH($N386,Species_Names,0))="No",INDEX(Species_Evo_Numbers,MATCH($N386,Species_Names,0))&lt;&gt;1),"N/A",RANK($S386,IF(NOT(ISNA(MATCH(Combo_Species_Names,IF(Species_Availability="Yes",IF(Species_Evo_Numbers=1,Species_Names)),0))),Combo_Gym_Offense),0))</f>
        <v>#VALUE!</v>
      </c>
      <c r="J386" s="24" t="e">
        <f t="array" ref="J386">IF(OR(INDEX(Species_Availability,MATCH($N386,Species_Names,0))="No",INDEX(Species_Evo_Numbers,MATCH($N386,Species_Names,0))&lt;&gt;1),"N/A",$S386/MAX(IF(NOT(ISNA(MATCH(Combo_Species_Names,IF(Species_Availability="Yes",IF(Species_Evo_Numbers=1,Species_Names)),0))),Combo_Gym_Offense)))</f>
        <v>#VALUE!</v>
      </c>
      <c r="K386" s="23" t="e">
        <f t="array" ref="K386">IF(OR(INDEX(Species_Availability,MATCH($N386,Species_Names,0))="No",INDEX(Species_Evo_Numbers,MATCH($N386,Species_Names,0))&lt;&gt;1),"N/A",RANK($Y386,IF(NOT(ISNA(MATCH(Combo_Species_Names,IF(Species_Availability="Yes",IF(Species_Evo_Numbers=1,Species_Names)),0))),Combo_Gym_Defense),0))</f>
        <v>#VALUE!</v>
      </c>
      <c r="L386" s="24" t="e">
        <f t="array" ref="L386">IF(OR(INDEX(Species_Availability,MATCH($N386,Species_Names,0))="No",INDEX(Species_Evo_Numbers,MATCH($N386,Species_Names,0))&lt;&gt;1),"N/A",$Y386/MAX(IF(NOT(ISNA(MATCH(Combo_Species_Names,IF(Species_Availability="Yes",IF(Species_Evo_Numbers=1,Species_Names)),0))),Combo_Gym_Defense)))</f>
        <v>#VALUE!</v>
      </c>
      <c r="M386" s="28">
        <f t="array" ref="M386">INDEX(Species_Pdex_Numbers,MATCH($N386,Species_Names,0))</f>
        <v>85</v>
      </c>
      <c r="N386" s="30" t="s">
        <v>263</v>
      </c>
      <c r="O386" s="31" t="s">
        <v>80</v>
      </c>
      <c r="P386" s="31" t="s">
        <v>287</v>
      </c>
      <c r="Q386" s="17" t="e">
        <f t="shared" si="10"/>
        <v>#VALUE!</v>
      </c>
      <c r="R386" s="32" t="e">
        <f t="array" ref="R386">IF(OR(AND(COUNTBLANK(Combo_Opponent_Type_1)=1,COUNTBLANK(Combo_Opponent_Type_2)=0),AND(AND(COUNTBLANK(Combo_Opponent_Type_1)=0,COUNTBLANK(Combo_Opponent_Type_2)=0),Combo_Opponent_Type_1=Combo_Opponent_Type_2)),
"Check Types",($S386*INDEX(Species_Tankiness,MATCH($N386,Species_Names,0)))/225)</f>
        <v>#VALUE!</v>
      </c>
      <c r="S386" s="32" t="e">
        <f t="array" ref="S386">IF(OR(AND(COUNTBLANK(Combo_Opponent_Type_1)=1,COUNTBLANK(Combo_Opponent_Type_2)=0),AND(AND(COUNTBLANK(Combo_Opponent_Type_1)=0,COUNTBLANK(Combo_Opponent_Type_2)=0),Combo_Opponent_Type_1=Combo_Opponent_Type_2)),
"Check Types",(
IF($W386&gt;=((1-Game_Weave_Human_Error)*$X386),$W386,$X386)*INDEX(Species_Attack,MATCH($N386,Species_Names,0)))/11)</f>
        <v>#VALUE!</v>
      </c>
      <c r="T386" s="33" t="e">
        <f t="shared" si="11"/>
        <v>#VALUE!</v>
      </c>
      <c r="U386" s="33">
        <f t="array" ref="U3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386,Quick_Names,0))),Type_Species)),0),1)*IF(COUNTBLANK(Combo_Opponent_Type_2)=0,INDEX(Type_Damage_Multipliers,MATCH(Combo_Opponent_Type_2,IF(Type_Move=(INDEX(Quick_Type,MATCH($O386,Quick_Names,0))),Type_Species)),0),1)*(IF(OR(INDEX(Quick_Type,MATCH($O386,Quick_Names,0))=INDEX(Species_Type_1,MATCH($N386,Species_Names,0)),INDEX(Quick_Type,MATCH($O386,Quick_Names,0))=INDEX(Species_Type_2,MATCH($N386,Species_Names,0))),Game_STAB_Multiplier,1)))</f>
        <v>1</v>
      </c>
      <c r="V386" s="33">
        <f t="array" ref="V3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386,Charge_Names,0))),Type_Species)),0),1)*IF(COUNTBLANK(Combo_Opponent_Type_2)=0,INDEX(Type_Damage_Multipliers,MATCH(Combo_Opponent_Type_2,IF(Type_Move=(INDEX(Charge_Type,MATCH($P386,Charge_Names,0))),Type_Species)),0),1)*
IF(OR(INDEX(Charge_Type,MATCH($P386,Charge_Names,0))=INDEX(Species_Type_1,MATCH($N386,Species_Names,0)),INDEX(Charge_Type,MATCH($P386,Charge_Names,0))=INDEX(Species_Type_2,MATCH($N386,Species_Names,0))),Game_STAB_Multiplier,1))</f>
        <v>1.25</v>
      </c>
      <c r="W386" s="33" t="s">
        <v>441</v>
      </c>
      <c r="X386" s="33" t="s">
        <v>767</v>
      </c>
      <c r="Y386" s="32" t="e">
        <f t="array" ref="Y386">((($Z386)*
INDEX(Species_Attack,MATCH($N386,Species_Names,0))*
INDEX(Species_Tankiness,MATCH($N386,Species_Names,0)))/1000)</f>
        <v>#VALUE!</v>
      </c>
      <c r="Z386" s="33" t="s">
        <v>510</v>
      </c>
    </row>
    <row r="387" spans="1:26" ht="14.25" customHeight="1" x14ac:dyDescent="0.2">
      <c r="A387" s="86"/>
      <c r="B387" s="22" t="str">
        <f t="array" ref="B387">CONCATENATE(TEXT($M387,"000"),".",TEXT(INDEX(Quick_Number,MATCH($O387,Quick_Names,0)),"000"),".",TEXT(INDEX(Charge_Number,MATCH($P387,Charge_Names,0)),"000"))</f>
        <v>049.235.050</v>
      </c>
      <c r="C387" s="23" t="e">
        <f t="array" ref="C387">RANK($S387,IF(Combo_Species_Names=$N387,Combo_Gym_Offense),0)</f>
        <v>#VALUE!</v>
      </c>
      <c r="D387" s="24" t="e">
        <f t="array" ref="D387">$S387/MAX(IF(Combo_Species_Names=$N387,Combo_Gym_Offense))</f>
        <v>#VALUE!</v>
      </c>
      <c r="E387" s="23" t="e">
        <f t="array" ref="E387">RANK($Y387,IF(Combo_Species_Names=$N387,Combo_Gym_Defense),0)</f>
        <v>#VALUE!</v>
      </c>
      <c r="F387" s="25" t="e">
        <f t="array" ref="F387">$Y387/MAX(IF(Combo_Species_Names=$N387,Combo_Gym_Defense))</f>
        <v>#VALUE!</v>
      </c>
      <c r="G387" s="23" t="e">
        <f t="array" ref="G387">IF(OR(INDEX(Species_Availability,MATCH($N387,Species_Names,0))="No",INDEX(Species_Evo_Numbers,MATCH($N387,Species_Names,0))&lt;&gt;1),"N/A",RANK($R387,IF(NOT(ISNA(MATCH(Combo_Species_Names,IF(Species_Availability="Yes",IF(Species_Evo_Numbers=1,Species_Names)),0))),Combo_Duel_Ability),0))</f>
        <v>#VALUE!</v>
      </c>
      <c r="H387" s="24" t="e">
        <f t="array" ref="H387">IF(OR(INDEX(Species_Availability,MATCH($N387,Species_Names,0))="No",INDEX(Species_Evo_Numbers,MATCH($N387,Species_Names,0))&lt;&gt;1),"N/A",$R387/MAX(IF(NOT(ISNA(MATCH(Combo_Species_Names,IF(Species_Availability="Yes",IF(Species_Evo_Numbers=1,Species_Names)),0))),Combo_Duel_Ability)))</f>
        <v>#VALUE!</v>
      </c>
      <c r="I387" s="23" t="e">
        <f t="array" ref="I387">IF(OR(INDEX(Species_Availability,MATCH($N387,Species_Names,0))="No",INDEX(Species_Evo_Numbers,MATCH($N387,Species_Names,0))&lt;&gt;1),"N/A",RANK($S387,IF(NOT(ISNA(MATCH(Combo_Species_Names,IF(Species_Availability="Yes",IF(Species_Evo_Numbers=1,Species_Names)),0))),Combo_Gym_Offense),0))</f>
        <v>#VALUE!</v>
      </c>
      <c r="J387" s="24" t="e">
        <f t="array" ref="J387">IF(OR(INDEX(Species_Availability,MATCH($N387,Species_Names,0))="No",INDEX(Species_Evo_Numbers,MATCH($N387,Species_Names,0))&lt;&gt;1),"N/A",$S387/MAX(IF(NOT(ISNA(MATCH(Combo_Species_Names,IF(Species_Availability="Yes",IF(Species_Evo_Numbers=1,Species_Names)),0))),Combo_Gym_Offense)))</f>
        <v>#VALUE!</v>
      </c>
      <c r="K387" s="23" t="e">
        <f t="array" ref="K387">IF(OR(INDEX(Species_Availability,MATCH($N387,Species_Names,0))="No",INDEX(Species_Evo_Numbers,MATCH($N387,Species_Names,0))&lt;&gt;1),"N/A",RANK($Y387,IF(NOT(ISNA(MATCH(Combo_Species_Names,IF(Species_Availability="Yes",IF(Species_Evo_Numbers=1,Species_Names)),0))),Combo_Gym_Defense),0))</f>
        <v>#VALUE!</v>
      </c>
      <c r="L387" s="24" t="e">
        <f t="array" ref="L387">IF(OR(INDEX(Species_Availability,MATCH($N387,Species_Names,0))="No",INDEX(Species_Evo_Numbers,MATCH($N387,Species_Names,0))&lt;&gt;1),"N/A",$Y387/MAX(IF(NOT(ISNA(MATCH(Combo_Species_Names,IF(Species_Availability="Yes",IF(Species_Evo_Numbers=1,Species_Names)),0))),Combo_Gym_Defense)))</f>
        <v>#VALUE!</v>
      </c>
      <c r="M387" s="28">
        <f t="array" ref="M387">INDEX(Species_Pdex_Numbers,MATCH($N387,Species_Names,0))</f>
        <v>49</v>
      </c>
      <c r="N387" s="30" t="s">
        <v>189</v>
      </c>
      <c r="O387" s="31" t="s">
        <v>108</v>
      </c>
      <c r="P387" s="31" t="s">
        <v>285</v>
      </c>
      <c r="Q387" s="17" t="e">
        <f t="shared" si="10"/>
        <v>#VALUE!</v>
      </c>
      <c r="R387" s="32" t="e">
        <f t="array" ref="R387">IF(OR(AND(COUNTBLANK(Combo_Opponent_Type_1)=1,COUNTBLANK(Combo_Opponent_Type_2)=0),AND(AND(COUNTBLANK(Combo_Opponent_Type_1)=0,COUNTBLANK(Combo_Opponent_Type_2)=0),Combo_Opponent_Type_1=Combo_Opponent_Type_2)),
"Check Types",($S387*INDEX(Species_Tankiness,MATCH($N387,Species_Names,0)))/225)</f>
        <v>#VALUE!</v>
      </c>
      <c r="S387" s="32" t="e">
        <f t="array" ref="S387">IF(OR(AND(COUNTBLANK(Combo_Opponent_Type_1)=1,COUNTBLANK(Combo_Opponent_Type_2)=0),AND(AND(COUNTBLANK(Combo_Opponent_Type_1)=0,COUNTBLANK(Combo_Opponent_Type_2)=0),Combo_Opponent_Type_1=Combo_Opponent_Type_2)),
"Check Types",(
IF($W387&gt;=((1-Game_Weave_Human_Error)*$X387),$W387,$X387)*INDEX(Species_Attack,MATCH($N387,Species_Names,0)))/11)</f>
        <v>#VALUE!</v>
      </c>
      <c r="T387" s="33" t="e">
        <f t="shared" si="11"/>
        <v>#VALUE!</v>
      </c>
      <c r="U387" s="33">
        <f t="array" ref="U3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387,Quick_Names,0))),Type_Species)),0),1)*IF(COUNTBLANK(Combo_Opponent_Type_2)=0,INDEX(Type_Damage_Multipliers,MATCH(Combo_Opponent_Type_2,IF(Type_Move=(INDEX(Quick_Type,MATCH($O387,Quick_Names,0))),Type_Species)),0),1)*(IF(OR(INDEX(Quick_Type,MATCH($O387,Quick_Names,0))=INDEX(Species_Type_1,MATCH($N387,Species_Names,0)),INDEX(Quick_Type,MATCH($O387,Quick_Names,0))=INDEX(Species_Type_2,MATCH($N387,Species_Names,0))),Game_STAB_Multiplier,1)))</f>
        <v>1</v>
      </c>
      <c r="V387" s="33">
        <f t="array" ref="V3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387,Charge_Names,0))),Type_Species)),0),1)*IF(COUNTBLANK(Combo_Opponent_Type_2)=0,INDEX(Type_Damage_Multipliers,MATCH(Combo_Opponent_Type_2,IF(Type_Move=(INDEX(Charge_Type,MATCH($P387,Charge_Names,0))),Type_Species)),0),1)*
IF(OR(INDEX(Charge_Type,MATCH($P387,Charge_Names,0))=INDEX(Species_Type_1,MATCH($N387,Species_Names,0)),INDEX(Charge_Type,MATCH($P387,Charge_Names,0))=INDEX(Species_Type_2,MATCH($N387,Species_Names,0))),Game_STAB_Multiplier,1))</f>
        <v>1.25</v>
      </c>
      <c r="W387" s="33" t="s">
        <v>631</v>
      </c>
      <c r="X387" s="33" t="s">
        <v>678</v>
      </c>
      <c r="Y387" s="32" t="e">
        <f t="array" ref="Y387">((($Z387)*
INDEX(Species_Attack,MATCH($N387,Species_Names,0))*
INDEX(Species_Tankiness,MATCH($N387,Species_Names,0)))/1000)</f>
        <v>#VALUE!</v>
      </c>
      <c r="Z387" s="33" t="s">
        <v>814</v>
      </c>
    </row>
    <row r="388" spans="1:26" ht="14.25" customHeight="1" x14ac:dyDescent="0.2">
      <c r="A388" s="86"/>
      <c r="B388" s="22" t="str">
        <f t="array" ref="B388">CONCATENATE(TEXT($M388,"000"),".",TEXT(INDEX(Quick_Number,MATCH($O388,Quick_Names,0)),"000"),".",TEXT(INDEX(Charge_Number,MATCH($P388,Charge_Names,0)),"000"))</f>
        <v>057.207.051</v>
      </c>
      <c r="C388" s="23" t="e">
        <f t="array" ref="C388">RANK($S388,IF(Combo_Species_Names=$N388,Combo_Gym_Offense),0)</f>
        <v>#VALUE!</v>
      </c>
      <c r="D388" s="24" t="e">
        <f t="array" ref="D388">$S388/MAX(IF(Combo_Species_Names=$N388,Combo_Gym_Offense))</f>
        <v>#VALUE!</v>
      </c>
      <c r="E388" s="23" t="e">
        <f t="array" ref="E388">RANK($Y388,IF(Combo_Species_Names=$N388,Combo_Gym_Defense),0)</f>
        <v>#VALUE!</v>
      </c>
      <c r="F388" s="25" t="e">
        <f t="array" ref="F388">$Y388/MAX(IF(Combo_Species_Names=$N388,Combo_Gym_Defense))</f>
        <v>#VALUE!</v>
      </c>
      <c r="G388" s="23" t="e">
        <f t="array" ref="G388">IF(OR(INDEX(Species_Availability,MATCH($N388,Species_Names,0))="No",INDEX(Species_Evo_Numbers,MATCH($N388,Species_Names,0))&lt;&gt;1),"N/A",RANK($R388,IF(NOT(ISNA(MATCH(Combo_Species_Names,IF(Species_Availability="Yes",IF(Species_Evo_Numbers=1,Species_Names)),0))),Combo_Duel_Ability),0))</f>
        <v>#VALUE!</v>
      </c>
      <c r="H388" s="24" t="e">
        <f t="array" ref="H388">IF(OR(INDEX(Species_Availability,MATCH($N388,Species_Names,0))="No",INDEX(Species_Evo_Numbers,MATCH($N388,Species_Names,0))&lt;&gt;1),"N/A",$R388/MAX(IF(NOT(ISNA(MATCH(Combo_Species_Names,IF(Species_Availability="Yes",IF(Species_Evo_Numbers=1,Species_Names)),0))),Combo_Duel_Ability)))</f>
        <v>#VALUE!</v>
      </c>
      <c r="I388" s="23" t="e">
        <f t="array" ref="I388">IF(OR(INDEX(Species_Availability,MATCH($N388,Species_Names,0))="No",INDEX(Species_Evo_Numbers,MATCH($N388,Species_Names,0))&lt;&gt;1),"N/A",RANK($S388,IF(NOT(ISNA(MATCH(Combo_Species_Names,IF(Species_Availability="Yes",IF(Species_Evo_Numbers=1,Species_Names)),0))),Combo_Gym_Offense),0))</f>
        <v>#VALUE!</v>
      </c>
      <c r="J388" s="24" t="e">
        <f t="array" ref="J388">IF(OR(INDEX(Species_Availability,MATCH($N388,Species_Names,0))="No",INDEX(Species_Evo_Numbers,MATCH($N388,Species_Names,0))&lt;&gt;1),"N/A",$S388/MAX(IF(NOT(ISNA(MATCH(Combo_Species_Names,IF(Species_Availability="Yes",IF(Species_Evo_Numbers=1,Species_Names)),0))),Combo_Gym_Offense)))</f>
        <v>#VALUE!</v>
      </c>
      <c r="K388" s="23" t="e">
        <f t="array" ref="K388">IF(OR(INDEX(Species_Availability,MATCH($N388,Species_Names,0))="No",INDEX(Species_Evo_Numbers,MATCH($N388,Species_Names,0))&lt;&gt;1),"N/A",RANK($Y388,IF(NOT(ISNA(MATCH(Combo_Species_Names,IF(Species_Availability="Yes",IF(Species_Evo_Numbers=1,Species_Names)),0))),Combo_Gym_Defense),0))</f>
        <v>#VALUE!</v>
      </c>
      <c r="L388" s="24" t="e">
        <f t="array" ref="L388">IF(OR(INDEX(Species_Availability,MATCH($N388,Species_Names,0))="No",INDEX(Species_Evo_Numbers,MATCH($N388,Species_Names,0))&lt;&gt;1),"N/A",$Y388/MAX(IF(NOT(ISNA(MATCH(Combo_Species_Names,IF(Species_Availability="Yes",IF(Species_Evo_Numbers=1,Species_Names)),0))),Combo_Gym_Defense)))</f>
        <v>#VALUE!</v>
      </c>
      <c r="M388" s="28">
        <f t="array" ref="M388">INDEX(Species_Pdex_Numbers,MATCH($N388,Species_Names,0))</f>
        <v>57</v>
      </c>
      <c r="N388" s="30" t="s">
        <v>203</v>
      </c>
      <c r="O388" s="31" t="s">
        <v>117</v>
      </c>
      <c r="P388" s="31" t="s">
        <v>262</v>
      </c>
      <c r="Q388" s="17" t="e">
        <f t="shared" si="10"/>
        <v>#VALUE!</v>
      </c>
      <c r="R388" s="32" t="e">
        <f t="array" ref="R388">IF(OR(AND(COUNTBLANK(Combo_Opponent_Type_1)=1,COUNTBLANK(Combo_Opponent_Type_2)=0),AND(AND(COUNTBLANK(Combo_Opponent_Type_1)=0,COUNTBLANK(Combo_Opponent_Type_2)=0),Combo_Opponent_Type_1=Combo_Opponent_Type_2)),
"Check Types",($S388*INDEX(Species_Tankiness,MATCH($N388,Species_Names,0)))/225)</f>
        <v>#VALUE!</v>
      </c>
      <c r="S388" s="32" t="e">
        <f t="array" ref="S388">IF(OR(AND(COUNTBLANK(Combo_Opponent_Type_1)=1,COUNTBLANK(Combo_Opponent_Type_2)=0),AND(AND(COUNTBLANK(Combo_Opponent_Type_1)=0,COUNTBLANK(Combo_Opponent_Type_2)=0),Combo_Opponent_Type_1=Combo_Opponent_Type_2)),
"Check Types",(
IF($W388&gt;=((1-Game_Weave_Human_Error)*$X388),$W388,$X388)*INDEX(Species_Attack,MATCH($N388,Species_Names,0)))/11)</f>
        <v>#VALUE!</v>
      </c>
      <c r="T388" s="33" t="e">
        <f t="shared" si="11"/>
        <v>#VALUE!</v>
      </c>
      <c r="U388" s="33">
        <f t="array" ref="U3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388,Quick_Names,0))),Type_Species)),0),1)*IF(COUNTBLANK(Combo_Opponent_Type_2)=0,INDEX(Type_Damage_Multipliers,MATCH(Combo_Opponent_Type_2,IF(Type_Move=(INDEX(Quick_Type,MATCH($O388,Quick_Names,0))),Type_Species)),0),1)*(IF(OR(INDEX(Quick_Type,MATCH($O388,Quick_Names,0))=INDEX(Species_Type_1,MATCH($N388,Species_Names,0)),INDEX(Quick_Type,MATCH($O388,Quick_Names,0))=INDEX(Species_Type_2,MATCH($N388,Species_Names,0))),Game_STAB_Multiplier,1)))</f>
        <v>1.25</v>
      </c>
      <c r="V388" s="33">
        <f t="array" ref="V3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388,Charge_Names,0))),Type_Species)),0),1)*IF(COUNTBLANK(Combo_Opponent_Type_2)=0,INDEX(Type_Damage_Multipliers,MATCH(Combo_Opponent_Type_2,IF(Type_Move=(INDEX(Charge_Type,MATCH($P388,Charge_Names,0))),Type_Species)),0),1)*
IF(OR(INDEX(Charge_Type,MATCH($P388,Charge_Names,0))=INDEX(Species_Type_1,MATCH($N388,Species_Names,0)),INDEX(Charge_Type,MATCH($P388,Charge_Names,0))=INDEX(Species_Type_2,MATCH($N388,Species_Names,0))),Game_STAB_Multiplier,1))</f>
        <v>1</v>
      </c>
      <c r="W388" s="33" t="s">
        <v>678</v>
      </c>
      <c r="X388" s="33" t="s">
        <v>893</v>
      </c>
      <c r="Y388" s="32" t="e">
        <f t="array" ref="Y388">((($Z388)*
INDEX(Species_Attack,MATCH($N388,Species_Names,0))*
INDEX(Species_Tankiness,MATCH($N388,Species_Names,0)))/1000)</f>
        <v>#VALUE!</v>
      </c>
      <c r="Z388" s="33" t="s">
        <v>580</v>
      </c>
    </row>
    <row r="389" spans="1:26" ht="14.25" customHeight="1" x14ac:dyDescent="0.2">
      <c r="A389" s="86"/>
      <c r="B389" s="22" t="str">
        <f t="array" ref="B389">CONCATENATE(TEXT($M389,"000"),".",TEXT(INDEX(Quick_Number,MATCH($O389,Quick_Names,0)),"000"),".",TEXT(INDEX(Charge_Number,MATCH($P389,Charge_Names,0)),"000"))</f>
        <v>022.239.045</v>
      </c>
      <c r="C389" s="23" t="e">
        <f t="array" ref="C389">RANK($S389,IF(Combo_Species_Names=$N389,Combo_Gym_Offense),0)</f>
        <v>#VALUE!</v>
      </c>
      <c r="D389" s="24" t="e">
        <f t="array" ref="D389">$S389/MAX(IF(Combo_Species_Names=$N389,Combo_Gym_Offense))</f>
        <v>#VALUE!</v>
      </c>
      <c r="E389" s="23" t="e">
        <f t="array" ref="E389">RANK($Y389,IF(Combo_Species_Names=$N389,Combo_Gym_Defense),0)</f>
        <v>#VALUE!</v>
      </c>
      <c r="F389" s="25" t="e">
        <f t="array" ref="F389">$Y389/MAX(IF(Combo_Species_Names=$N389,Combo_Gym_Defense))</f>
        <v>#VALUE!</v>
      </c>
      <c r="G389" s="23" t="e">
        <f t="array" ref="G389">IF(OR(INDEX(Species_Availability,MATCH($N389,Species_Names,0))="No",INDEX(Species_Evo_Numbers,MATCH($N389,Species_Names,0))&lt;&gt;1),"N/A",RANK($R389,IF(NOT(ISNA(MATCH(Combo_Species_Names,IF(Species_Availability="Yes",IF(Species_Evo_Numbers=1,Species_Names)),0))),Combo_Duel_Ability),0))</f>
        <v>#VALUE!</v>
      </c>
      <c r="H389" s="24" t="e">
        <f t="array" ref="H389">IF(OR(INDEX(Species_Availability,MATCH($N389,Species_Names,0))="No",INDEX(Species_Evo_Numbers,MATCH($N389,Species_Names,0))&lt;&gt;1),"N/A",$R389/MAX(IF(NOT(ISNA(MATCH(Combo_Species_Names,IF(Species_Availability="Yes",IF(Species_Evo_Numbers=1,Species_Names)),0))),Combo_Duel_Ability)))</f>
        <v>#VALUE!</v>
      </c>
      <c r="I389" s="23" t="e">
        <f t="array" ref="I389">IF(OR(INDEX(Species_Availability,MATCH($N389,Species_Names,0))="No",INDEX(Species_Evo_Numbers,MATCH($N389,Species_Names,0))&lt;&gt;1),"N/A",RANK($S389,IF(NOT(ISNA(MATCH(Combo_Species_Names,IF(Species_Availability="Yes",IF(Species_Evo_Numbers=1,Species_Names)),0))),Combo_Gym_Offense),0))</f>
        <v>#VALUE!</v>
      </c>
      <c r="J389" s="24" t="e">
        <f t="array" ref="J389">IF(OR(INDEX(Species_Availability,MATCH($N389,Species_Names,0))="No",INDEX(Species_Evo_Numbers,MATCH($N389,Species_Names,0))&lt;&gt;1),"N/A",$S389/MAX(IF(NOT(ISNA(MATCH(Combo_Species_Names,IF(Species_Availability="Yes",IF(Species_Evo_Numbers=1,Species_Names)),0))),Combo_Gym_Offense)))</f>
        <v>#VALUE!</v>
      </c>
      <c r="K389" s="23" t="e">
        <f t="array" ref="K389">IF(OR(INDEX(Species_Availability,MATCH($N389,Species_Names,0))="No",INDEX(Species_Evo_Numbers,MATCH($N389,Species_Names,0))&lt;&gt;1),"N/A",RANK($Y389,IF(NOT(ISNA(MATCH(Combo_Species_Names,IF(Species_Availability="Yes",IF(Species_Evo_Numbers=1,Species_Names)),0))),Combo_Gym_Defense),0))</f>
        <v>#VALUE!</v>
      </c>
      <c r="L389" s="24" t="e">
        <f t="array" ref="L389">IF(OR(INDEX(Species_Availability,MATCH($N389,Species_Names,0))="No",INDEX(Species_Evo_Numbers,MATCH($N389,Species_Names,0))&lt;&gt;1),"N/A",$Y389/MAX(IF(NOT(ISNA(MATCH(Combo_Species_Names,IF(Species_Availability="Yes",IF(Species_Evo_Numbers=1,Species_Names)),0))),Combo_Gym_Defense)))</f>
        <v>#VALUE!</v>
      </c>
      <c r="M389" s="28">
        <f t="array" ref="M389">INDEX(Species_Pdex_Numbers,MATCH($N389,Species_Names,0))</f>
        <v>22</v>
      </c>
      <c r="N389" s="30" t="s">
        <v>132</v>
      </c>
      <c r="O389" s="31" t="s">
        <v>80</v>
      </c>
      <c r="P389" s="31" t="s">
        <v>287</v>
      </c>
      <c r="Q389" s="17" t="e">
        <f t="shared" si="10"/>
        <v>#VALUE!</v>
      </c>
      <c r="R389" s="32" t="e">
        <f t="array" ref="R389">IF(OR(AND(COUNTBLANK(Combo_Opponent_Type_1)=1,COUNTBLANK(Combo_Opponent_Type_2)=0),AND(AND(COUNTBLANK(Combo_Opponent_Type_1)=0,COUNTBLANK(Combo_Opponent_Type_2)=0),Combo_Opponent_Type_1=Combo_Opponent_Type_2)),
"Check Types",($S389*INDEX(Species_Tankiness,MATCH($N389,Species_Names,0)))/225)</f>
        <v>#VALUE!</v>
      </c>
      <c r="S389" s="32" t="e">
        <f t="array" ref="S389">IF(OR(AND(COUNTBLANK(Combo_Opponent_Type_1)=1,COUNTBLANK(Combo_Opponent_Type_2)=0),AND(AND(COUNTBLANK(Combo_Opponent_Type_1)=0,COUNTBLANK(Combo_Opponent_Type_2)=0),Combo_Opponent_Type_1=Combo_Opponent_Type_2)),
"Check Types",(
IF($W389&gt;=((1-Game_Weave_Human_Error)*$X389),$W389,$X389)*INDEX(Species_Attack,MATCH($N389,Species_Names,0)))/11)</f>
        <v>#VALUE!</v>
      </c>
      <c r="T389" s="33" t="e">
        <f t="shared" si="11"/>
        <v>#VALUE!</v>
      </c>
      <c r="U389" s="33">
        <f t="array" ref="U3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389,Quick_Names,0))),Type_Species)),0),1)*IF(COUNTBLANK(Combo_Opponent_Type_2)=0,INDEX(Type_Damage_Multipliers,MATCH(Combo_Opponent_Type_2,IF(Type_Move=(INDEX(Quick_Type,MATCH($O389,Quick_Names,0))),Type_Species)),0),1)*(IF(OR(INDEX(Quick_Type,MATCH($O389,Quick_Names,0))=INDEX(Species_Type_1,MATCH($N389,Species_Names,0)),INDEX(Quick_Type,MATCH($O389,Quick_Names,0))=INDEX(Species_Type_2,MATCH($N389,Species_Names,0))),Game_STAB_Multiplier,1)))</f>
        <v>1</v>
      </c>
      <c r="V389" s="33">
        <f t="array" ref="V3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389,Charge_Names,0))),Type_Species)),0),1)*IF(COUNTBLANK(Combo_Opponent_Type_2)=0,INDEX(Type_Damage_Multipliers,MATCH(Combo_Opponent_Type_2,IF(Type_Move=(INDEX(Charge_Type,MATCH($P389,Charge_Names,0))),Type_Species)),0),1)*
IF(OR(INDEX(Charge_Type,MATCH($P389,Charge_Names,0))=INDEX(Species_Type_1,MATCH($N389,Species_Names,0)),INDEX(Charge_Type,MATCH($P389,Charge_Names,0))=INDEX(Species_Type_2,MATCH($N389,Species_Names,0))),Game_STAB_Multiplier,1))</f>
        <v>1.25</v>
      </c>
      <c r="W389" s="33" t="s">
        <v>441</v>
      </c>
      <c r="X389" s="33" t="s">
        <v>767</v>
      </c>
      <c r="Y389" s="32" t="e">
        <f t="array" ref="Y389">((($Z389)*
INDEX(Species_Attack,MATCH($N389,Species_Names,0))*
INDEX(Species_Tankiness,MATCH($N389,Species_Names,0)))/1000)</f>
        <v>#VALUE!</v>
      </c>
      <c r="Z389" s="33" t="s">
        <v>510</v>
      </c>
    </row>
    <row r="390" spans="1:26" ht="14.25" customHeight="1" x14ac:dyDescent="0.2">
      <c r="A390" s="86"/>
      <c r="B390" s="22" t="str">
        <f t="array" ref="B390">CONCATENATE(TEXT($M390,"000"),".",TEXT(INDEX(Quick_Number,MATCH($O390,Quick_Names,0)),"000"),".",TEXT(INDEX(Charge_Number,MATCH($P390,Charge_Names,0)),"000"))</f>
        <v>022.239.080</v>
      </c>
      <c r="C390" s="23" t="e">
        <f t="array" ref="C390">RANK($S390,IF(Combo_Species_Names=$N390,Combo_Gym_Offense),0)</f>
        <v>#VALUE!</v>
      </c>
      <c r="D390" s="24" t="e">
        <f t="array" ref="D390">$S390/MAX(IF(Combo_Species_Names=$N390,Combo_Gym_Offense))</f>
        <v>#VALUE!</v>
      </c>
      <c r="E390" s="23" t="e">
        <f t="array" ref="E390">RANK($Y390,IF(Combo_Species_Names=$N390,Combo_Gym_Defense),0)</f>
        <v>#VALUE!</v>
      </c>
      <c r="F390" s="25" t="e">
        <f t="array" ref="F390">$Y390/MAX(IF(Combo_Species_Names=$N390,Combo_Gym_Defense))</f>
        <v>#VALUE!</v>
      </c>
      <c r="G390" s="23" t="e">
        <f t="array" ref="G390">IF(OR(INDEX(Species_Availability,MATCH($N390,Species_Names,0))="No",INDEX(Species_Evo_Numbers,MATCH($N390,Species_Names,0))&lt;&gt;1),"N/A",RANK($R390,IF(NOT(ISNA(MATCH(Combo_Species_Names,IF(Species_Availability="Yes",IF(Species_Evo_Numbers=1,Species_Names)),0))),Combo_Duel_Ability),0))</f>
        <v>#VALUE!</v>
      </c>
      <c r="H390" s="24" t="e">
        <f t="array" ref="H390">IF(OR(INDEX(Species_Availability,MATCH($N390,Species_Names,0))="No",INDEX(Species_Evo_Numbers,MATCH($N390,Species_Names,0))&lt;&gt;1),"N/A",$R390/MAX(IF(NOT(ISNA(MATCH(Combo_Species_Names,IF(Species_Availability="Yes",IF(Species_Evo_Numbers=1,Species_Names)),0))),Combo_Duel_Ability)))</f>
        <v>#VALUE!</v>
      </c>
      <c r="I390" s="23" t="e">
        <f t="array" ref="I390">IF(OR(INDEX(Species_Availability,MATCH($N390,Species_Names,0))="No",INDEX(Species_Evo_Numbers,MATCH($N390,Species_Names,0))&lt;&gt;1),"N/A",RANK($S390,IF(NOT(ISNA(MATCH(Combo_Species_Names,IF(Species_Availability="Yes",IF(Species_Evo_Numbers=1,Species_Names)),0))),Combo_Gym_Offense),0))</f>
        <v>#VALUE!</v>
      </c>
      <c r="J390" s="24" t="e">
        <f t="array" ref="J390">IF(OR(INDEX(Species_Availability,MATCH($N390,Species_Names,0))="No",INDEX(Species_Evo_Numbers,MATCH($N390,Species_Names,0))&lt;&gt;1),"N/A",$S390/MAX(IF(NOT(ISNA(MATCH(Combo_Species_Names,IF(Species_Availability="Yes",IF(Species_Evo_Numbers=1,Species_Names)),0))),Combo_Gym_Offense)))</f>
        <v>#VALUE!</v>
      </c>
      <c r="K390" s="23" t="e">
        <f t="array" ref="K390">IF(OR(INDEX(Species_Availability,MATCH($N390,Species_Names,0))="No",INDEX(Species_Evo_Numbers,MATCH($N390,Species_Names,0))&lt;&gt;1),"N/A",RANK($Y390,IF(NOT(ISNA(MATCH(Combo_Species_Names,IF(Species_Availability="Yes",IF(Species_Evo_Numbers=1,Species_Names)),0))),Combo_Gym_Defense),0))</f>
        <v>#VALUE!</v>
      </c>
      <c r="L390" s="24" t="e">
        <f t="array" ref="L390">IF(OR(INDEX(Species_Availability,MATCH($N390,Species_Names,0))="No",INDEX(Species_Evo_Numbers,MATCH($N390,Species_Names,0))&lt;&gt;1),"N/A",$Y390/MAX(IF(NOT(ISNA(MATCH(Combo_Species_Names,IF(Species_Availability="Yes",IF(Species_Evo_Numbers=1,Species_Names)),0))),Combo_Gym_Defense)))</f>
        <v>#VALUE!</v>
      </c>
      <c r="M390" s="28">
        <f t="array" ref="M390">INDEX(Species_Pdex_Numbers,MATCH($N390,Species_Names,0))</f>
        <v>22</v>
      </c>
      <c r="N390" s="30" t="s">
        <v>132</v>
      </c>
      <c r="O390" s="31" t="s">
        <v>80</v>
      </c>
      <c r="P390" s="31" t="s">
        <v>302</v>
      </c>
      <c r="Q390" s="17" t="e">
        <f t="shared" ref="Q390:Q453" si="12">IF(OR(AND(COUNTBLANK(Combo_Opponent_Type_1)=1,COUNTBLANK(Combo_Opponent_Type_2)=0),AND(AND(COUNTBLANK(Combo_Opponent_Type_1)=0,COUNTBLANK(Combo_Opponent_Type_2)=0),Combo_Opponent_Type_1=Combo_Opponent_Type_2)),
"Check Types",IF($W390&gt;=((1-Game_Weave_Human_Error)*$X390),"Quick Only","Weave"))</f>
        <v>#VALUE!</v>
      </c>
      <c r="R390" s="32" t="e">
        <f t="array" ref="R390">IF(OR(AND(COUNTBLANK(Combo_Opponent_Type_1)=1,COUNTBLANK(Combo_Opponent_Type_2)=0),AND(AND(COUNTBLANK(Combo_Opponent_Type_1)=0,COUNTBLANK(Combo_Opponent_Type_2)=0),Combo_Opponent_Type_1=Combo_Opponent_Type_2)),
"Check Types",($S390*INDEX(Species_Tankiness,MATCH($N390,Species_Names,0)))/225)</f>
        <v>#VALUE!</v>
      </c>
      <c r="S390" s="32" t="e">
        <f t="array" ref="S390">IF(OR(AND(COUNTBLANK(Combo_Opponent_Type_1)=1,COUNTBLANK(Combo_Opponent_Type_2)=0),AND(AND(COUNTBLANK(Combo_Opponent_Type_1)=0,COUNTBLANK(Combo_Opponent_Type_2)=0),Combo_Opponent_Type_1=Combo_Opponent_Type_2)),
"Check Types",(
IF($W390&gt;=((1-Game_Weave_Human_Error)*$X390),$W390,$X390)*INDEX(Species_Attack,MATCH($N390,Species_Names,0)))/11)</f>
        <v>#VALUE!</v>
      </c>
      <c r="T390" s="33" t="e">
        <f t="shared" ref="T390:T453" si="13">IF(OR(AND(COUNTBLANK(Combo_Opponent_Type_1)=1,COUNTBLANK(Combo_Opponent_Type_2)=0),AND(AND(COUNTBLANK(Combo_Opponent_Type_1)=0,COUNTBLANK(Combo_Opponent_Type_2)=0),Combo_Opponent_Type_1=Combo_Opponent_Type_2)),
"Check Types",IF($W390&gt;=((1-Game_Weave_Human_Error)*$X390),$W390,$X390))</f>
        <v>#VALUE!</v>
      </c>
      <c r="U390" s="33">
        <f t="array" ref="U3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390,Quick_Names,0))),Type_Species)),0),1)*IF(COUNTBLANK(Combo_Opponent_Type_2)=0,INDEX(Type_Damage_Multipliers,MATCH(Combo_Opponent_Type_2,IF(Type_Move=(INDEX(Quick_Type,MATCH($O390,Quick_Names,0))),Type_Species)),0),1)*(IF(OR(INDEX(Quick_Type,MATCH($O390,Quick_Names,0))=INDEX(Species_Type_1,MATCH($N390,Species_Names,0)),INDEX(Quick_Type,MATCH($O390,Quick_Names,0))=INDEX(Species_Type_2,MATCH($N390,Species_Names,0))),Game_STAB_Multiplier,1)))</f>
        <v>1</v>
      </c>
      <c r="V390" s="33">
        <f t="array" ref="V3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390,Charge_Names,0))),Type_Species)),0),1)*IF(COUNTBLANK(Combo_Opponent_Type_2)=0,INDEX(Type_Damage_Multipliers,MATCH(Combo_Opponent_Type_2,IF(Type_Move=(INDEX(Charge_Type,MATCH($P390,Charge_Names,0))),Type_Species)),0),1)*
IF(OR(INDEX(Charge_Type,MATCH($P390,Charge_Names,0))=INDEX(Species_Type_1,MATCH($N390,Species_Names,0)),INDEX(Charge_Type,MATCH($P390,Charge_Names,0))=INDEX(Species_Type_2,MATCH($N390,Species_Names,0))),Game_STAB_Multiplier,1))</f>
        <v>1</v>
      </c>
      <c r="W390" s="33" t="s">
        <v>441</v>
      </c>
      <c r="X390" s="33" t="s">
        <v>894</v>
      </c>
      <c r="Y390" s="32" t="e">
        <f t="array" ref="Y390">((($Z390)*
INDEX(Species_Attack,MATCH($N390,Species_Names,0))*
INDEX(Species_Tankiness,MATCH($N390,Species_Names,0)))/1000)</f>
        <v>#VALUE!</v>
      </c>
      <c r="Z390" s="33" t="s">
        <v>507</v>
      </c>
    </row>
    <row r="391" spans="1:26" ht="14.25" customHeight="1" x14ac:dyDescent="0.2">
      <c r="A391" s="86"/>
      <c r="B391" s="22" t="str">
        <f t="array" ref="B391">CONCATENATE(TEXT($M391,"000"),".",TEXT(INDEX(Quick_Number,MATCH($O391,Quick_Names,0)),"000"),".",TEXT(INDEX(Charge_Number,MATCH($P391,Charge_Names,0)),"000"))</f>
        <v>099.216.020</v>
      </c>
      <c r="C391" s="23" t="e">
        <f t="array" ref="C391">RANK($S391,IF(Combo_Species_Names=$N391,Combo_Gym_Offense),0)</f>
        <v>#VALUE!</v>
      </c>
      <c r="D391" s="24" t="e">
        <f t="array" ref="D391">$S391/MAX(IF(Combo_Species_Names=$N391,Combo_Gym_Offense))</f>
        <v>#VALUE!</v>
      </c>
      <c r="E391" s="23" t="e">
        <f t="array" ref="E391">RANK($Y391,IF(Combo_Species_Names=$N391,Combo_Gym_Defense),0)</f>
        <v>#VALUE!</v>
      </c>
      <c r="F391" s="25" t="e">
        <f t="array" ref="F391">$Y391/MAX(IF(Combo_Species_Names=$N391,Combo_Gym_Defense))</f>
        <v>#VALUE!</v>
      </c>
      <c r="G391" s="23" t="e">
        <f t="array" ref="G391">IF(OR(INDEX(Species_Availability,MATCH($N391,Species_Names,0))="No",INDEX(Species_Evo_Numbers,MATCH($N391,Species_Names,0))&lt;&gt;1),"N/A",RANK($R391,IF(NOT(ISNA(MATCH(Combo_Species_Names,IF(Species_Availability="Yes",IF(Species_Evo_Numbers=1,Species_Names)),0))),Combo_Duel_Ability),0))</f>
        <v>#VALUE!</v>
      </c>
      <c r="H391" s="24" t="e">
        <f t="array" ref="H391">IF(OR(INDEX(Species_Availability,MATCH($N391,Species_Names,0))="No",INDEX(Species_Evo_Numbers,MATCH($N391,Species_Names,0))&lt;&gt;1),"N/A",$R391/MAX(IF(NOT(ISNA(MATCH(Combo_Species_Names,IF(Species_Availability="Yes",IF(Species_Evo_Numbers=1,Species_Names)),0))),Combo_Duel_Ability)))</f>
        <v>#VALUE!</v>
      </c>
      <c r="I391" s="23" t="e">
        <f t="array" ref="I391">IF(OR(INDEX(Species_Availability,MATCH($N391,Species_Names,0))="No",INDEX(Species_Evo_Numbers,MATCH($N391,Species_Names,0))&lt;&gt;1),"N/A",RANK($S391,IF(NOT(ISNA(MATCH(Combo_Species_Names,IF(Species_Availability="Yes",IF(Species_Evo_Numbers=1,Species_Names)),0))),Combo_Gym_Offense),0))</f>
        <v>#VALUE!</v>
      </c>
      <c r="J391" s="24" t="e">
        <f t="array" ref="J391">IF(OR(INDEX(Species_Availability,MATCH($N391,Species_Names,0))="No",INDEX(Species_Evo_Numbers,MATCH($N391,Species_Names,0))&lt;&gt;1),"N/A",$S391/MAX(IF(NOT(ISNA(MATCH(Combo_Species_Names,IF(Species_Availability="Yes",IF(Species_Evo_Numbers=1,Species_Names)),0))),Combo_Gym_Offense)))</f>
        <v>#VALUE!</v>
      </c>
      <c r="K391" s="23" t="e">
        <f t="array" ref="K391">IF(OR(INDEX(Species_Availability,MATCH($N391,Species_Names,0))="No",INDEX(Species_Evo_Numbers,MATCH($N391,Species_Names,0))&lt;&gt;1),"N/A",RANK($Y391,IF(NOT(ISNA(MATCH(Combo_Species_Names,IF(Species_Availability="Yes",IF(Species_Evo_Numbers=1,Species_Names)),0))),Combo_Gym_Defense),0))</f>
        <v>#VALUE!</v>
      </c>
      <c r="L391" s="24" t="e">
        <f t="array" ref="L391">IF(OR(INDEX(Species_Availability,MATCH($N391,Species_Names,0))="No",INDEX(Species_Evo_Numbers,MATCH($N391,Species_Names,0))&lt;&gt;1),"N/A",$Y391/MAX(IF(NOT(ISNA(MATCH(Combo_Species_Names,IF(Species_Availability="Yes",IF(Species_Evo_Numbers=1,Species_Names)),0))),Combo_Gym_Defense)))</f>
        <v>#VALUE!</v>
      </c>
      <c r="M391" s="28">
        <f t="array" ref="M391">INDEX(Species_Pdex_Numbers,MATCH($N391,Species_Names,0))</f>
        <v>99</v>
      </c>
      <c r="N391" s="30" t="s">
        <v>298</v>
      </c>
      <c r="O391" s="31" t="s">
        <v>89</v>
      </c>
      <c r="P391" s="31" t="s">
        <v>267</v>
      </c>
      <c r="Q391" s="17" t="e">
        <f t="shared" si="12"/>
        <v>#VALUE!</v>
      </c>
      <c r="R391" s="32" t="e">
        <f t="array" ref="R391">IF(OR(AND(COUNTBLANK(Combo_Opponent_Type_1)=1,COUNTBLANK(Combo_Opponent_Type_2)=0),AND(AND(COUNTBLANK(Combo_Opponent_Type_1)=0,COUNTBLANK(Combo_Opponent_Type_2)=0),Combo_Opponent_Type_1=Combo_Opponent_Type_2)),
"Check Types",($S391*INDEX(Species_Tankiness,MATCH($N391,Species_Names,0)))/225)</f>
        <v>#VALUE!</v>
      </c>
      <c r="S391" s="32" t="e">
        <f t="array" ref="S391">IF(OR(AND(COUNTBLANK(Combo_Opponent_Type_1)=1,COUNTBLANK(Combo_Opponent_Type_2)=0),AND(AND(COUNTBLANK(Combo_Opponent_Type_1)=0,COUNTBLANK(Combo_Opponent_Type_2)=0),Combo_Opponent_Type_1=Combo_Opponent_Type_2)),
"Check Types",(
IF($W391&gt;=((1-Game_Weave_Human_Error)*$X391),$W391,$X391)*INDEX(Species_Attack,MATCH($N391,Species_Names,0)))/11)</f>
        <v>#VALUE!</v>
      </c>
      <c r="T391" s="33" t="e">
        <f t="shared" si="13"/>
        <v>#VALUE!</v>
      </c>
      <c r="U391" s="33">
        <f t="array" ref="U3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391,Quick_Names,0))),Type_Species)),0),1)*IF(COUNTBLANK(Combo_Opponent_Type_2)=0,INDEX(Type_Damage_Multipliers,MATCH(Combo_Opponent_Type_2,IF(Type_Move=(INDEX(Quick_Type,MATCH($O391,Quick_Names,0))),Type_Species)),0),1)*(IF(OR(INDEX(Quick_Type,MATCH($O391,Quick_Names,0))=INDEX(Species_Type_1,MATCH($N391,Species_Names,0)),INDEX(Quick_Type,MATCH($O391,Quick_Names,0))=INDEX(Species_Type_2,MATCH($N391,Species_Names,0))),Game_STAB_Multiplier,1)))</f>
        <v>1</v>
      </c>
      <c r="V391" s="33">
        <f t="array" ref="V3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391,Charge_Names,0))),Type_Species)),0),1)*IF(COUNTBLANK(Combo_Opponent_Type_2)=0,INDEX(Type_Damage_Multipliers,MATCH(Combo_Opponent_Type_2,IF(Type_Move=(INDEX(Charge_Type,MATCH($P391,Charge_Names,0))),Type_Species)),0),1)*
IF(OR(INDEX(Charge_Type,MATCH($P391,Charge_Names,0))=INDEX(Species_Type_1,MATCH($N391,Species_Names,0)),INDEX(Charge_Type,MATCH($P391,Charge_Names,0))=INDEX(Species_Type_2,MATCH($N391,Species_Names,0))),Game_STAB_Multiplier,1))</f>
        <v>1</v>
      </c>
      <c r="W391" s="33" t="s">
        <v>518</v>
      </c>
      <c r="X391" s="33" t="s">
        <v>895</v>
      </c>
      <c r="Y391" s="32" t="e">
        <f t="array" ref="Y391">((($Z391)*
INDEX(Species_Attack,MATCH($N391,Species_Names,0))*
INDEX(Species_Tankiness,MATCH($N391,Species_Names,0)))/1000)</f>
        <v>#VALUE!</v>
      </c>
      <c r="Z391" s="33" t="s">
        <v>896</v>
      </c>
    </row>
    <row r="392" spans="1:26" ht="14.25" customHeight="1" x14ac:dyDescent="0.2">
      <c r="A392" s="86"/>
      <c r="B392" s="22" t="str">
        <f t="array" ref="B392">CONCATENATE(TEXT($M392,"000"),".",TEXT(INDEX(Quick_Number,MATCH($O392,Quick_Names,0)),"000"),".",TEXT(INDEX(Charge_Number,MATCH($P392,Charge_Names,0)),"000"))</f>
        <v>012.235.049</v>
      </c>
      <c r="C392" s="23" t="e">
        <f t="array" ref="C392">RANK($S392,IF(Combo_Species_Names=$N392,Combo_Gym_Offense),0)</f>
        <v>#VALUE!</v>
      </c>
      <c r="D392" s="24" t="e">
        <f t="array" ref="D392">$S392/MAX(IF(Combo_Species_Names=$N392,Combo_Gym_Offense))</f>
        <v>#VALUE!</v>
      </c>
      <c r="E392" s="23" t="e">
        <f t="array" ref="E392">RANK($Y392,IF(Combo_Species_Names=$N392,Combo_Gym_Defense),0)</f>
        <v>#VALUE!</v>
      </c>
      <c r="F392" s="25" t="e">
        <f t="array" ref="F392">$Y392/MAX(IF(Combo_Species_Names=$N392,Combo_Gym_Defense))</f>
        <v>#VALUE!</v>
      </c>
      <c r="G392" s="23" t="e">
        <f t="array" ref="G392">IF(OR(INDEX(Species_Availability,MATCH($N392,Species_Names,0))="No",INDEX(Species_Evo_Numbers,MATCH($N392,Species_Names,0))&lt;&gt;1),"N/A",RANK($R392,IF(NOT(ISNA(MATCH(Combo_Species_Names,IF(Species_Availability="Yes",IF(Species_Evo_Numbers=1,Species_Names)),0))),Combo_Duel_Ability),0))</f>
        <v>#VALUE!</v>
      </c>
      <c r="H392" s="24" t="e">
        <f t="array" ref="H392">IF(OR(INDEX(Species_Availability,MATCH($N392,Species_Names,0))="No",INDEX(Species_Evo_Numbers,MATCH($N392,Species_Names,0))&lt;&gt;1),"N/A",$R392/MAX(IF(NOT(ISNA(MATCH(Combo_Species_Names,IF(Species_Availability="Yes",IF(Species_Evo_Numbers=1,Species_Names)),0))),Combo_Duel_Ability)))</f>
        <v>#VALUE!</v>
      </c>
      <c r="I392" s="23" t="e">
        <f t="array" ref="I392">IF(OR(INDEX(Species_Availability,MATCH($N392,Species_Names,0))="No",INDEX(Species_Evo_Numbers,MATCH($N392,Species_Names,0))&lt;&gt;1),"N/A",RANK($S392,IF(NOT(ISNA(MATCH(Combo_Species_Names,IF(Species_Availability="Yes",IF(Species_Evo_Numbers=1,Species_Names)),0))),Combo_Gym_Offense),0))</f>
        <v>#VALUE!</v>
      </c>
      <c r="J392" s="24" t="e">
        <f t="array" ref="J392">IF(OR(INDEX(Species_Availability,MATCH($N392,Species_Names,0))="No",INDEX(Species_Evo_Numbers,MATCH($N392,Species_Names,0))&lt;&gt;1),"N/A",$S392/MAX(IF(NOT(ISNA(MATCH(Combo_Species_Names,IF(Species_Availability="Yes",IF(Species_Evo_Numbers=1,Species_Names)),0))),Combo_Gym_Offense)))</f>
        <v>#VALUE!</v>
      </c>
      <c r="K392" s="23" t="e">
        <f t="array" ref="K392">IF(OR(INDEX(Species_Availability,MATCH($N392,Species_Names,0))="No",INDEX(Species_Evo_Numbers,MATCH($N392,Species_Names,0))&lt;&gt;1),"N/A",RANK($Y392,IF(NOT(ISNA(MATCH(Combo_Species_Names,IF(Species_Availability="Yes",IF(Species_Evo_Numbers=1,Species_Names)),0))),Combo_Gym_Defense),0))</f>
        <v>#VALUE!</v>
      </c>
      <c r="L392" s="24" t="e">
        <f t="array" ref="L392">IF(OR(INDEX(Species_Availability,MATCH($N392,Species_Names,0))="No",INDEX(Species_Evo_Numbers,MATCH($N392,Species_Names,0))&lt;&gt;1),"N/A",$Y392/MAX(IF(NOT(ISNA(MATCH(Combo_Species_Names,IF(Species_Availability="Yes",IF(Species_Evo_Numbers=1,Species_Names)),0))),Combo_Gym_Defense)))</f>
        <v>#VALUE!</v>
      </c>
      <c r="M392" s="28">
        <f t="array" ref="M392">INDEX(Species_Pdex_Numbers,MATCH($N392,Species_Names,0))</f>
        <v>12</v>
      </c>
      <c r="N392" s="30" t="s">
        <v>104</v>
      </c>
      <c r="O392" s="31" t="s">
        <v>108</v>
      </c>
      <c r="P392" s="31" t="s">
        <v>211</v>
      </c>
      <c r="Q392" s="17" t="e">
        <f t="shared" si="12"/>
        <v>#VALUE!</v>
      </c>
      <c r="R392" s="32" t="e">
        <f t="array" ref="R392">IF(OR(AND(COUNTBLANK(Combo_Opponent_Type_1)=1,COUNTBLANK(Combo_Opponent_Type_2)=0),AND(AND(COUNTBLANK(Combo_Opponent_Type_1)=0,COUNTBLANK(Combo_Opponent_Type_2)=0),Combo_Opponent_Type_1=Combo_Opponent_Type_2)),
"Check Types",($S392*INDEX(Species_Tankiness,MATCH($N392,Species_Names,0)))/225)</f>
        <v>#VALUE!</v>
      </c>
      <c r="S392" s="32" t="e">
        <f t="array" ref="S392">IF(OR(AND(COUNTBLANK(Combo_Opponent_Type_1)=1,COUNTBLANK(Combo_Opponent_Type_2)=0),AND(AND(COUNTBLANK(Combo_Opponent_Type_1)=0,COUNTBLANK(Combo_Opponent_Type_2)=0),Combo_Opponent_Type_1=Combo_Opponent_Type_2)),
"Check Types",(
IF($W392&gt;=((1-Game_Weave_Human_Error)*$X392),$W392,$X392)*INDEX(Species_Attack,MATCH($N392,Species_Names,0)))/11)</f>
        <v>#VALUE!</v>
      </c>
      <c r="T392" s="33" t="e">
        <f t="shared" si="13"/>
        <v>#VALUE!</v>
      </c>
      <c r="U392" s="33">
        <f t="array" ref="U3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392,Quick_Names,0))),Type_Species)),0),1)*IF(COUNTBLANK(Combo_Opponent_Type_2)=0,INDEX(Type_Damage_Multipliers,MATCH(Combo_Opponent_Type_2,IF(Type_Move=(INDEX(Quick_Type,MATCH($O392,Quick_Names,0))),Type_Species)),0),1)*(IF(OR(INDEX(Quick_Type,MATCH($O392,Quick_Names,0))=INDEX(Species_Type_1,MATCH($N392,Species_Names,0)),INDEX(Quick_Type,MATCH($O392,Quick_Names,0))=INDEX(Species_Type_2,MATCH($N392,Species_Names,0))),Game_STAB_Multiplier,1)))</f>
        <v>1</v>
      </c>
      <c r="V392" s="33">
        <f t="array" ref="V3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392,Charge_Names,0))),Type_Species)),0),1)*IF(COUNTBLANK(Combo_Opponent_Type_2)=0,INDEX(Type_Damage_Multipliers,MATCH(Combo_Opponent_Type_2,IF(Type_Move=(INDEX(Charge_Type,MATCH($P392,Charge_Names,0))),Type_Species)),0),1)*
IF(OR(INDEX(Charge_Type,MATCH($P392,Charge_Names,0))=INDEX(Species_Type_1,MATCH($N392,Species_Names,0)),INDEX(Charge_Type,MATCH($P392,Charge_Names,0))=INDEX(Species_Type_2,MATCH($N392,Species_Names,0))),Game_STAB_Multiplier,1))</f>
        <v>1.25</v>
      </c>
      <c r="W392" s="33" t="s">
        <v>631</v>
      </c>
      <c r="X392" s="33" t="s">
        <v>596</v>
      </c>
      <c r="Y392" s="32" t="e">
        <f t="array" ref="Y392">((($Z392)*
INDEX(Species_Attack,MATCH($N392,Species_Names,0))*
INDEX(Species_Tankiness,MATCH($N392,Species_Names,0)))/1000)</f>
        <v>#VALUE!</v>
      </c>
      <c r="Z392" s="33" t="s">
        <v>768</v>
      </c>
    </row>
    <row r="393" spans="1:26" ht="14.25" customHeight="1" x14ac:dyDescent="0.2">
      <c r="A393" s="86"/>
      <c r="B393" s="22" t="str">
        <f t="array" ref="B393">CONCATENATE(TEXT($M393,"000"),".",TEXT(INDEX(Quick_Number,MATCH($O393,Quick_Names,0)),"000"),".",TEXT(INDEX(Charge_Number,MATCH($P393,Charge_Names,0)),"000"))</f>
        <v>137.219.099</v>
      </c>
      <c r="C393" s="23" t="e">
        <f t="array" ref="C393">RANK($S393,IF(Combo_Species_Names=$N393,Combo_Gym_Offense),0)</f>
        <v>#VALUE!</v>
      </c>
      <c r="D393" s="24" t="e">
        <f t="array" ref="D393">$S393/MAX(IF(Combo_Species_Names=$N393,Combo_Gym_Offense))</f>
        <v>#VALUE!</v>
      </c>
      <c r="E393" s="23" t="e">
        <f t="array" ref="E393">RANK($Y393,IF(Combo_Species_Names=$N393,Combo_Gym_Defense),0)</f>
        <v>#VALUE!</v>
      </c>
      <c r="F393" s="25" t="e">
        <f t="array" ref="F393">$Y393/MAX(IF(Combo_Species_Names=$N393,Combo_Gym_Defense))</f>
        <v>#VALUE!</v>
      </c>
      <c r="G393" s="23" t="e">
        <f t="array" ref="G393">IF(OR(INDEX(Species_Availability,MATCH($N393,Species_Names,0))="No",INDEX(Species_Evo_Numbers,MATCH($N393,Species_Names,0))&lt;&gt;1),"N/A",RANK($R393,IF(NOT(ISNA(MATCH(Combo_Species_Names,IF(Species_Availability="Yes",IF(Species_Evo_Numbers=1,Species_Names)),0))),Combo_Duel_Ability),0))</f>
        <v>#VALUE!</v>
      </c>
      <c r="H393" s="24" t="e">
        <f t="array" ref="H393">IF(OR(INDEX(Species_Availability,MATCH($N393,Species_Names,0))="No",INDEX(Species_Evo_Numbers,MATCH($N393,Species_Names,0))&lt;&gt;1),"N/A",$R393/MAX(IF(NOT(ISNA(MATCH(Combo_Species_Names,IF(Species_Availability="Yes",IF(Species_Evo_Numbers=1,Species_Names)),0))),Combo_Duel_Ability)))</f>
        <v>#VALUE!</v>
      </c>
      <c r="I393" s="23" t="e">
        <f t="array" ref="I393">IF(OR(INDEX(Species_Availability,MATCH($N393,Species_Names,0))="No",INDEX(Species_Evo_Numbers,MATCH($N393,Species_Names,0))&lt;&gt;1),"N/A",RANK($S393,IF(NOT(ISNA(MATCH(Combo_Species_Names,IF(Species_Availability="Yes",IF(Species_Evo_Numbers=1,Species_Names)),0))),Combo_Gym_Offense),0))</f>
        <v>#VALUE!</v>
      </c>
      <c r="J393" s="24" t="e">
        <f t="array" ref="J393">IF(OR(INDEX(Species_Availability,MATCH($N393,Species_Names,0))="No",INDEX(Species_Evo_Numbers,MATCH($N393,Species_Names,0))&lt;&gt;1),"N/A",$S393/MAX(IF(NOT(ISNA(MATCH(Combo_Species_Names,IF(Species_Availability="Yes",IF(Species_Evo_Numbers=1,Species_Names)),0))),Combo_Gym_Offense)))</f>
        <v>#VALUE!</v>
      </c>
      <c r="K393" s="23" t="e">
        <f t="array" ref="K393">IF(OR(INDEX(Species_Availability,MATCH($N393,Species_Names,0))="No",INDEX(Species_Evo_Numbers,MATCH($N393,Species_Names,0))&lt;&gt;1),"N/A",RANK($Y393,IF(NOT(ISNA(MATCH(Combo_Species_Names,IF(Species_Availability="Yes",IF(Species_Evo_Numbers=1,Species_Names)),0))),Combo_Gym_Defense),0))</f>
        <v>#VALUE!</v>
      </c>
      <c r="L393" s="24" t="e">
        <f t="array" ref="L393">IF(OR(INDEX(Species_Availability,MATCH($N393,Species_Names,0))="No",INDEX(Species_Evo_Numbers,MATCH($N393,Species_Names,0))&lt;&gt;1),"N/A",$Y393/MAX(IF(NOT(ISNA(MATCH(Combo_Species_Names,IF(Species_Availability="Yes",IF(Species_Evo_Numbers=1,Species_Names)),0))),Combo_Gym_Defense)))</f>
        <v>#VALUE!</v>
      </c>
      <c r="M393" s="28">
        <f t="array" ref="M393">INDEX(Species_Pdex_Numbers,MATCH($N393,Species_Names,0))</f>
        <v>137</v>
      </c>
      <c r="N393" s="30" t="s">
        <v>355</v>
      </c>
      <c r="O393" s="31" t="s">
        <v>119</v>
      </c>
      <c r="P393" s="31" t="s">
        <v>236</v>
      </c>
      <c r="Q393" s="17" t="e">
        <f t="shared" si="12"/>
        <v>#VALUE!</v>
      </c>
      <c r="R393" s="32" t="e">
        <f t="array" ref="R393">IF(OR(AND(COUNTBLANK(Combo_Opponent_Type_1)=1,COUNTBLANK(Combo_Opponent_Type_2)=0),AND(AND(COUNTBLANK(Combo_Opponent_Type_1)=0,COUNTBLANK(Combo_Opponent_Type_2)=0),Combo_Opponent_Type_1=Combo_Opponent_Type_2)),
"Check Types",($S393*INDEX(Species_Tankiness,MATCH($N393,Species_Names,0)))/225)</f>
        <v>#VALUE!</v>
      </c>
      <c r="S393" s="32" t="e">
        <f t="array" ref="S393">IF(OR(AND(COUNTBLANK(Combo_Opponent_Type_1)=1,COUNTBLANK(Combo_Opponent_Type_2)=0),AND(AND(COUNTBLANK(Combo_Opponent_Type_1)=0,COUNTBLANK(Combo_Opponent_Type_2)=0),Combo_Opponent_Type_1=Combo_Opponent_Type_2)),
"Check Types",(
IF($W393&gt;=((1-Game_Weave_Human_Error)*$X393),$W393,$X393)*INDEX(Species_Attack,MATCH($N393,Species_Names,0)))/11)</f>
        <v>#VALUE!</v>
      </c>
      <c r="T393" s="33" t="e">
        <f t="shared" si="13"/>
        <v>#VALUE!</v>
      </c>
      <c r="U393" s="33">
        <f t="array" ref="U3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393,Quick_Names,0))),Type_Species)),0),1)*IF(COUNTBLANK(Combo_Opponent_Type_2)=0,INDEX(Type_Damage_Multipliers,MATCH(Combo_Opponent_Type_2,IF(Type_Move=(INDEX(Quick_Type,MATCH($O393,Quick_Names,0))),Type_Species)),0),1)*(IF(OR(INDEX(Quick_Type,MATCH($O393,Quick_Names,0))=INDEX(Species_Type_1,MATCH($N393,Species_Names,0)),INDEX(Quick_Type,MATCH($O393,Quick_Names,0))=INDEX(Species_Type_2,MATCH($N393,Species_Names,0))),Game_STAB_Multiplier,1)))</f>
        <v>1.25</v>
      </c>
      <c r="V393" s="33">
        <f t="array" ref="V3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393,Charge_Names,0))),Type_Species)),0),1)*IF(COUNTBLANK(Combo_Opponent_Type_2)=0,INDEX(Type_Damage_Multipliers,MATCH(Combo_Opponent_Type_2,IF(Type_Move=(INDEX(Charge_Type,MATCH($P393,Charge_Names,0))),Type_Species)),0),1)*
IF(OR(INDEX(Charge_Type,MATCH($P393,Charge_Names,0))=INDEX(Species_Type_1,MATCH($N393,Species_Names,0)),INDEX(Charge_Type,MATCH($P393,Charge_Names,0))=INDEX(Species_Type_2,MATCH($N393,Species_Names,0))),Game_STAB_Multiplier,1))</f>
        <v>1</v>
      </c>
      <c r="W393" s="33" t="s">
        <v>564</v>
      </c>
      <c r="X393" s="33" t="s">
        <v>860</v>
      </c>
      <c r="Y393" s="32" t="e">
        <f t="array" ref="Y393">((($Z393)*
INDEX(Species_Attack,MATCH($N393,Species_Names,0))*
INDEX(Species_Tankiness,MATCH($N393,Species_Names,0)))/1000)</f>
        <v>#VALUE!</v>
      </c>
      <c r="Z393" s="33" t="s">
        <v>662</v>
      </c>
    </row>
    <row r="394" spans="1:26" ht="14.25" customHeight="1" x14ac:dyDescent="0.2">
      <c r="A394" s="86"/>
      <c r="B394" s="22" t="str">
        <f t="array" ref="B394">CONCATENATE(TEXT($M394,"000"),".",TEXT(INDEX(Quick_Number,MATCH($O394,Quick_Names,0)),"000"),".",TEXT(INDEX(Charge_Number,MATCH($P394,Charge_Names,0)),"000"))</f>
        <v>020.202.129</v>
      </c>
      <c r="C394" s="23" t="e">
        <f t="array" ref="C394">RANK($S394,IF(Combo_Species_Names=$N394,Combo_Gym_Offense),0)</f>
        <v>#VALUE!</v>
      </c>
      <c r="D394" s="24" t="e">
        <f t="array" ref="D394">$S394/MAX(IF(Combo_Species_Names=$N394,Combo_Gym_Offense))</f>
        <v>#VALUE!</v>
      </c>
      <c r="E394" s="23" t="e">
        <f t="array" ref="E394">RANK($Y394,IF(Combo_Species_Names=$N394,Combo_Gym_Defense),0)</f>
        <v>#VALUE!</v>
      </c>
      <c r="F394" s="25" t="e">
        <f t="array" ref="F394">$Y394/MAX(IF(Combo_Species_Names=$N394,Combo_Gym_Defense))</f>
        <v>#VALUE!</v>
      </c>
      <c r="G394" s="23" t="e">
        <f t="array" ref="G394">IF(OR(INDEX(Species_Availability,MATCH($N394,Species_Names,0))="No",INDEX(Species_Evo_Numbers,MATCH($N394,Species_Names,0))&lt;&gt;1),"N/A",RANK($R394,IF(NOT(ISNA(MATCH(Combo_Species_Names,IF(Species_Availability="Yes",IF(Species_Evo_Numbers=1,Species_Names)),0))),Combo_Duel_Ability),0))</f>
        <v>#VALUE!</v>
      </c>
      <c r="H394" s="24" t="e">
        <f t="array" ref="H394">IF(OR(INDEX(Species_Availability,MATCH($N394,Species_Names,0))="No",INDEX(Species_Evo_Numbers,MATCH($N394,Species_Names,0))&lt;&gt;1),"N/A",$R394/MAX(IF(NOT(ISNA(MATCH(Combo_Species_Names,IF(Species_Availability="Yes",IF(Species_Evo_Numbers=1,Species_Names)),0))),Combo_Duel_Ability)))</f>
        <v>#VALUE!</v>
      </c>
      <c r="I394" s="23" t="e">
        <f t="array" ref="I394">IF(OR(INDEX(Species_Availability,MATCH($N394,Species_Names,0))="No",INDEX(Species_Evo_Numbers,MATCH($N394,Species_Names,0))&lt;&gt;1),"N/A",RANK($S394,IF(NOT(ISNA(MATCH(Combo_Species_Names,IF(Species_Availability="Yes",IF(Species_Evo_Numbers=1,Species_Names)),0))),Combo_Gym_Offense),0))</f>
        <v>#VALUE!</v>
      </c>
      <c r="J394" s="24" t="e">
        <f t="array" ref="J394">IF(OR(INDEX(Species_Availability,MATCH($N394,Species_Names,0))="No",INDEX(Species_Evo_Numbers,MATCH($N394,Species_Names,0))&lt;&gt;1),"N/A",$S394/MAX(IF(NOT(ISNA(MATCH(Combo_Species_Names,IF(Species_Availability="Yes",IF(Species_Evo_Numbers=1,Species_Names)),0))),Combo_Gym_Offense)))</f>
        <v>#VALUE!</v>
      </c>
      <c r="K394" s="23" t="e">
        <f t="array" ref="K394">IF(OR(INDEX(Species_Availability,MATCH($N394,Species_Names,0))="No",INDEX(Species_Evo_Numbers,MATCH($N394,Species_Names,0))&lt;&gt;1),"N/A",RANK($Y394,IF(NOT(ISNA(MATCH(Combo_Species_Names,IF(Species_Availability="Yes",IF(Species_Evo_Numbers=1,Species_Names)),0))),Combo_Gym_Defense),0))</f>
        <v>#VALUE!</v>
      </c>
      <c r="L394" s="24" t="e">
        <f t="array" ref="L394">IF(OR(INDEX(Species_Availability,MATCH($N394,Species_Names,0))="No",INDEX(Species_Evo_Numbers,MATCH($N394,Species_Names,0))&lt;&gt;1),"N/A",$Y394/MAX(IF(NOT(ISNA(MATCH(Combo_Species_Names,IF(Species_Availability="Yes",IF(Species_Evo_Numbers=1,Species_Names)),0))),Combo_Gym_Defense)))</f>
        <v>#VALUE!</v>
      </c>
      <c r="M394" s="28">
        <f t="array" ref="M394">INDEX(Species_Pdex_Numbers,MATCH($N394,Species_Names,0))</f>
        <v>20</v>
      </c>
      <c r="N394" s="30" t="s">
        <v>129</v>
      </c>
      <c r="O394" s="31" t="s">
        <v>59</v>
      </c>
      <c r="P394" s="31" t="s">
        <v>216</v>
      </c>
      <c r="Q394" s="17" t="e">
        <f t="shared" si="12"/>
        <v>#VALUE!</v>
      </c>
      <c r="R394" s="32" t="e">
        <f t="array" ref="R394">IF(OR(AND(COUNTBLANK(Combo_Opponent_Type_1)=1,COUNTBLANK(Combo_Opponent_Type_2)=0),AND(AND(COUNTBLANK(Combo_Opponent_Type_1)=0,COUNTBLANK(Combo_Opponent_Type_2)=0),Combo_Opponent_Type_1=Combo_Opponent_Type_2)),
"Check Types",($S394*INDEX(Species_Tankiness,MATCH($N394,Species_Names,0)))/225)</f>
        <v>#VALUE!</v>
      </c>
      <c r="S394" s="32" t="e">
        <f t="array" ref="S394">IF(OR(AND(COUNTBLANK(Combo_Opponent_Type_1)=1,COUNTBLANK(Combo_Opponent_Type_2)=0),AND(AND(COUNTBLANK(Combo_Opponent_Type_1)=0,COUNTBLANK(Combo_Opponent_Type_2)=0),Combo_Opponent_Type_1=Combo_Opponent_Type_2)),
"Check Types",(
IF($W394&gt;=((1-Game_Weave_Human_Error)*$X394),$W394,$X394)*INDEX(Species_Attack,MATCH($N394,Species_Names,0)))/11)</f>
        <v>#VALUE!</v>
      </c>
      <c r="T394" s="33" t="e">
        <f t="shared" si="13"/>
        <v>#VALUE!</v>
      </c>
      <c r="U394" s="33">
        <f t="array" ref="U3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394,Quick_Names,0))),Type_Species)),0),1)*IF(COUNTBLANK(Combo_Opponent_Type_2)=0,INDEX(Type_Damage_Multipliers,MATCH(Combo_Opponent_Type_2,IF(Type_Move=(INDEX(Quick_Type,MATCH($O394,Quick_Names,0))),Type_Species)),0),1)*(IF(OR(INDEX(Quick_Type,MATCH($O394,Quick_Names,0))=INDEX(Species_Type_1,MATCH($N394,Species_Names,0)),INDEX(Quick_Type,MATCH($O394,Quick_Names,0))=INDEX(Species_Type_2,MATCH($N394,Species_Names,0))),Game_STAB_Multiplier,1)))</f>
        <v>1</v>
      </c>
      <c r="V394" s="33">
        <f t="array" ref="V3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394,Charge_Names,0))),Type_Species)),0),1)*IF(COUNTBLANK(Combo_Opponent_Type_2)=0,INDEX(Type_Damage_Multipliers,MATCH(Combo_Opponent_Type_2,IF(Type_Move=(INDEX(Charge_Type,MATCH($P394,Charge_Names,0))),Type_Species)),0),1)*
IF(OR(INDEX(Charge_Type,MATCH($P394,Charge_Names,0))=INDEX(Species_Type_1,MATCH($N394,Species_Names,0)),INDEX(Charge_Type,MATCH($P394,Charge_Names,0))=INDEX(Species_Type_2,MATCH($N394,Species_Names,0))),Game_STAB_Multiplier,1))</f>
        <v>1.25</v>
      </c>
      <c r="W394" s="33" t="s">
        <v>453</v>
      </c>
      <c r="X394" s="33" t="s">
        <v>824</v>
      </c>
      <c r="Y394" s="32" t="e">
        <f t="array" ref="Y394">((($Z394)*
INDEX(Species_Attack,MATCH($N394,Species_Names,0))*
INDEX(Species_Tankiness,MATCH($N394,Species_Names,0)))/1000)</f>
        <v>#VALUE!</v>
      </c>
      <c r="Z394" s="33" t="s">
        <v>867</v>
      </c>
    </row>
    <row r="395" spans="1:26" ht="14.25" customHeight="1" x14ac:dyDescent="0.2">
      <c r="A395" s="86"/>
      <c r="B395" s="22" t="str">
        <f t="array" ref="B395">CONCATENATE(TEXT($M395,"000"),".",TEXT(INDEX(Quick_Number,MATCH($O395,Quick_Names,0)),"000"),".",TEXT(INDEX(Charge_Number,MATCH($P395,Charge_Names,0)),"000"))</f>
        <v>020.219.014</v>
      </c>
      <c r="C395" s="23" t="e">
        <f t="array" ref="C395">RANK($S395,IF(Combo_Species_Names=$N395,Combo_Gym_Offense),0)</f>
        <v>#VALUE!</v>
      </c>
      <c r="D395" s="24" t="e">
        <f t="array" ref="D395">$S395/MAX(IF(Combo_Species_Names=$N395,Combo_Gym_Offense))</f>
        <v>#VALUE!</v>
      </c>
      <c r="E395" s="23" t="e">
        <f t="array" ref="E395">RANK($Y395,IF(Combo_Species_Names=$N395,Combo_Gym_Defense),0)</f>
        <v>#VALUE!</v>
      </c>
      <c r="F395" s="25" t="e">
        <f t="array" ref="F395">$Y395/MAX(IF(Combo_Species_Names=$N395,Combo_Gym_Defense))</f>
        <v>#VALUE!</v>
      </c>
      <c r="G395" s="23" t="e">
        <f t="array" ref="G395">IF(OR(INDEX(Species_Availability,MATCH($N395,Species_Names,0))="No",INDEX(Species_Evo_Numbers,MATCH($N395,Species_Names,0))&lt;&gt;1),"N/A",RANK($R395,IF(NOT(ISNA(MATCH(Combo_Species_Names,IF(Species_Availability="Yes",IF(Species_Evo_Numbers=1,Species_Names)),0))),Combo_Duel_Ability),0))</f>
        <v>#VALUE!</v>
      </c>
      <c r="H395" s="24" t="e">
        <f t="array" ref="H395">IF(OR(INDEX(Species_Availability,MATCH($N395,Species_Names,0))="No",INDEX(Species_Evo_Numbers,MATCH($N395,Species_Names,0))&lt;&gt;1),"N/A",$R395/MAX(IF(NOT(ISNA(MATCH(Combo_Species_Names,IF(Species_Availability="Yes",IF(Species_Evo_Numbers=1,Species_Names)),0))),Combo_Duel_Ability)))</f>
        <v>#VALUE!</v>
      </c>
      <c r="I395" s="23" t="e">
        <f t="array" ref="I395">IF(OR(INDEX(Species_Availability,MATCH($N395,Species_Names,0))="No",INDEX(Species_Evo_Numbers,MATCH($N395,Species_Names,0))&lt;&gt;1),"N/A",RANK($S395,IF(NOT(ISNA(MATCH(Combo_Species_Names,IF(Species_Availability="Yes",IF(Species_Evo_Numbers=1,Species_Names)),0))),Combo_Gym_Offense),0))</f>
        <v>#VALUE!</v>
      </c>
      <c r="J395" s="24" t="e">
        <f t="array" ref="J395">IF(OR(INDEX(Species_Availability,MATCH($N395,Species_Names,0))="No",INDEX(Species_Evo_Numbers,MATCH($N395,Species_Names,0))&lt;&gt;1),"N/A",$S395/MAX(IF(NOT(ISNA(MATCH(Combo_Species_Names,IF(Species_Availability="Yes",IF(Species_Evo_Numbers=1,Species_Names)),0))),Combo_Gym_Offense)))</f>
        <v>#VALUE!</v>
      </c>
      <c r="K395" s="23" t="e">
        <f t="array" ref="K395">IF(OR(INDEX(Species_Availability,MATCH($N395,Species_Names,0))="No",INDEX(Species_Evo_Numbers,MATCH($N395,Species_Names,0))&lt;&gt;1),"N/A",RANK($Y395,IF(NOT(ISNA(MATCH(Combo_Species_Names,IF(Species_Availability="Yes",IF(Species_Evo_Numbers=1,Species_Names)),0))),Combo_Gym_Defense),0))</f>
        <v>#VALUE!</v>
      </c>
      <c r="L395" s="24" t="e">
        <f t="array" ref="L395">IF(OR(INDEX(Species_Availability,MATCH($N395,Species_Names,0))="No",INDEX(Species_Evo_Numbers,MATCH($N395,Species_Names,0))&lt;&gt;1),"N/A",$Y395/MAX(IF(NOT(ISNA(MATCH(Combo_Species_Names,IF(Species_Availability="Yes",IF(Species_Evo_Numbers=1,Species_Names)),0))),Combo_Gym_Defense)))</f>
        <v>#VALUE!</v>
      </c>
      <c r="M395" s="28">
        <f t="array" ref="M395">INDEX(Species_Pdex_Numbers,MATCH($N395,Species_Names,0))</f>
        <v>20</v>
      </c>
      <c r="N395" s="30" t="s">
        <v>129</v>
      </c>
      <c r="O395" s="31" t="s">
        <v>119</v>
      </c>
      <c r="P395" s="31" t="s">
        <v>130</v>
      </c>
      <c r="Q395" s="17" t="e">
        <f t="shared" si="12"/>
        <v>#VALUE!</v>
      </c>
      <c r="R395" s="32" t="e">
        <f t="array" ref="R395">IF(OR(AND(COUNTBLANK(Combo_Opponent_Type_1)=1,COUNTBLANK(Combo_Opponent_Type_2)=0),AND(AND(COUNTBLANK(Combo_Opponent_Type_1)=0,COUNTBLANK(Combo_Opponent_Type_2)=0),Combo_Opponent_Type_1=Combo_Opponent_Type_2)),
"Check Types",($S395*INDEX(Species_Tankiness,MATCH($N395,Species_Names,0)))/225)</f>
        <v>#VALUE!</v>
      </c>
      <c r="S395" s="32" t="e">
        <f t="array" ref="S395">IF(OR(AND(COUNTBLANK(Combo_Opponent_Type_1)=1,COUNTBLANK(Combo_Opponent_Type_2)=0),AND(AND(COUNTBLANK(Combo_Opponent_Type_1)=0,COUNTBLANK(Combo_Opponent_Type_2)=0),Combo_Opponent_Type_1=Combo_Opponent_Type_2)),
"Check Types",(
IF($W395&gt;=((1-Game_Weave_Human_Error)*$X395),$W395,$X395)*INDEX(Species_Attack,MATCH($N395,Species_Names,0)))/11)</f>
        <v>#VALUE!</v>
      </c>
      <c r="T395" s="33" t="e">
        <f t="shared" si="13"/>
        <v>#VALUE!</v>
      </c>
      <c r="U395" s="33">
        <f t="array" ref="U3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395,Quick_Names,0))),Type_Species)),0),1)*IF(COUNTBLANK(Combo_Opponent_Type_2)=0,INDEX(Type_Damage_Multipliers,MATCH(Combo_Opponent_Type_2,IF(Type_Move=(INDEX(Quick_Type,MATCH($O395,Quick_Names,0))),Type_Species)),0),1)*(IF(OR(INDEX(Quick_Type,MATCH($O395,Quick_Names,0))=INDEX(Species_Type_1,MATCH($N395,Species_Names,0)),INDEX(Quick_Type,MATCH($O395,Quick_Names,0))=INDEX(Species_Type_2,MATCH($N395,Species_Names,0))),Game_STAB_Multiplier,1)))</f>
        <v>1.25</v>
      </c>
      <c r="V395" s="33">
        <f t="array" ref="V3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395,Charge_Names,0))),Type_Species)),0),1)*IF(COUNTBLANK(Combo_Opponent_Type_2)=0,INDEX(Type_Damage_Multipliers,MATCH(Combo_Opponent_Type_2,IF(Type_Move=(INDEX(Charge_Type,MATCH($P395,Charge_Names,0))),Type_Species)),0),1)*
IF(OR(INDEX(Charge_Type,MATCH($P395,Charge_Names,0))=INDEX(Species_Type_1,MATCH($N395,Species_Names,0)),INDEX(Charge_Type,MATCH($P395,Charge_Names,0))=INDEX(Species_Type_2,MATCH($N395,Species_Names,0))),Game_STAB_Multiplier,1))</f>
        <v>1.25</v>
      </c>
      <c r="W395" s="33" t="s">
        <v>564</v>
      </c>
      <c r="X395" s="33" t="s">
        <v>710</v>
      </c>
      <c r="Y395" s="32" t="e">
        <f t="array" ref="Y395">((($Z395)*
INDEX(Species_Attack,MATCH($N395,Species_Names,0))*
INDEX(Species_Tankiness,MATCH($N395,Species_Names,0)))/1000)</f>
        <v>#VALUE!</v>
      </c>
      <c r="Z395" s="33" t="s">
        <v>681</v>
      </c>
    </row>
    <row r="396" spans="1:26" ht="14.25" customHeight="1" x14ac:dyDescent="0.2">
      <c r="A396" s="86"/>
      <c r="B396" s="22" t="str">
        <f t="array" ref="B396">CONCATENATE(TEXT($M396,"000"),".",TEXT(INDEX(Quick_Number,MATCH($O396,Quick_Names,0)),"000"),".",TEXT(INDEX(Charge_Number,MATCH($P396,Charge_Names,0)),"000"))</f>
        <v>015.224.045</v>
      </c>
      <c r="C396" s="23" t="e">
        <f t="array" ref="C396">RANK($S396,IF(Combo_Species_Names=$N396,Combo_Gym_Offense),0)</f>
        <v>#VALUE!</v>
      </c>
      <c r="D396" s="24" t="e">
        <f t="array" ref="D396">$S396/MAX(IF(Combo_Species_Names=$N396,Combo_Gym_Offense))</f>
        <v>#VALUE!</v>
      </c>
      <c r="E396" s="23" t="e">
        <f t="array" ref="E396">RANK($Y396,IF(Combo_Species_Names=$N396,Combo_Gym_Defense),0)</f>
        <v>#VALUE!</v>
      </c>
      <c r="F396" s="25" t="e">
        <f t="array" ref="F396">$Y396/MAX(IF(Combo_Species_Names=$N396,Combo_Gym_Defense))</f>
        <v>#VALUE!</v>
      </c>
      <c r="G396" s="23" t="e">
        <f t="array" ref="G396">IF(OR(INDEX(Species_Availability,MATCH($N396,Species_Names,0))="No",INDEX(Species_Evo_Numbers,MATCH($N396,Species_Names,0))&lt;&gt;1),"N/A",RANK($R396,IF(NOT(ISNA(MATCH(Combo_Species_Names,IF(Species_Availability="Yes",IF(Species_Evo_Numbers=1,Species_Names)),0))),Combo_Duel_Ability),0))</f>
        <v>#VALUE!</v>
      </c>
      <c r="H396" s="24" t="e">
        <f t="array" ref="H396">IF(OR(INDEX(Species_Availability,MATCH($N396,Species_Names,0))="No",INDEX(Species_Evo_Numbers,MATCH($N396,Species_Names,0))&lt;&gt;1),"N/A",$R396/MAX(IF(NOT(ISNA(MATCH(Combo_Species_Names,IF(Species_Availability="Yes",IF(Species_Evo_Numbers=1,Species_Names)),0))),Combo_Duel_Ability)))</f>
        <v>#VALUE!</v>
      </c>
      <c r="I396" s="23" t="e">
        <f t="array" ref="I396">IF(OR(INDEX(Species_Availability,MATCH($N396,Species_Names,0))="No",INDEX(Species_Evo_Numbers,MATCH($N396,Species_Names,0))&lt;&gt;1),"N/A",RANK($S396,IF(NOT(ISNA(MATCH(Combo_Species_Names,IF(Species_Availability="Yes",IF(Species_Evo_Numbers=1,Species_Names)),0))),Combo_Gym_Offense),0))</f>
        <v>#VALUE!</v>
      </c>
      <c r="J396" s="24" t="e">
        <f t="array" ref="J396">IF(OR(INDEX(Species_Availability,MATCH($N396,Species_Names,0))="No",INDEX(Species_Evo_Numbers,MATCH($N396,Species_Names,0))&lt;&gt;1),"N/A",$S396/MAX(IF(NOT(ISNA(MATCH(Combo_Species_Names,IF(Species_Availability="Yes",IF(Species_Evo_Numbers=1,Species_Names)),0))),Combo_Gym_Offense)))</f>
        <v>#VALUE!</v>
      </c>
      <c r="K396" s="23" t="e">
        <f t="array" ref="K396">IF(OR(INDEX(Species_Availability,MATCH($N396,Species_Names,0))="No",INDEX(Species_Evo_Numbers,MATCH($N396,Species_Names,0))&lt;&gt;1),"N/A",RANK($Y396,IF(NOT(ISNA(MATCH(Combo_Species_Names,IF(Species_Availability="Yes",IF(Species_Evo_Numbers=1,Species_Names)),0))),Combo_Gym_Defense),0))</f>
        <v>#VALUE!</v>
      </c>
      <c r="L396" s="24" t="e">
        <f t="array" ref="L396">IF(OR(INDEX(Species_Availability,MATCH($N396,Species_Names,0))="No",INDEX(Species_Evo_Numbers,MATCH($N396,Species_Names,0))&lt;&gt;1),"N/A",$Y396/MAX(IF(NOT(ISNA(MATCH(Combo_Species_Names,IF(Species_Availability="Yes",IF(Species_Evo_Numbers=1,Species_Names)),0))),Combo_Gym_Defense)))</f>
        <v>#VALUE!</v>
      </c>
      <c r="M396" s="28">
        <f t="array" ref="M396">INDEX(Species_Pdex_Numbers,MATCH($N396,Species_Names,0))</f>
        <v>15</v>
      </c>
      <c r="N396" s="30" t="s">
        <v>120</v>
      </c>
      <c r="O396" s="31" t="s">
        <v>77</v>
      </c>
      <c r="P396" s="31" t="s">
        <v>287</v>
      </c>
      <c r="Q396" s="17" t="e">
        <f t="shared" si="12"/>
        <v>#VALUE!</v>
      </c>
      <c r="R396" s="32" t="e">
        <f t="array" ref="R396">IF(OR(AND(COUNTBLANK(Combo_Opponent_Type_1)=1,COUNTBLANK(Combo_Opponent_Type_2)=0),AND(AND(COUNTBLANK(Combo_Opponent_Type_1)=0,COUNTBLANK(Combo_Opponent_Type_2)=0),Combo_Opponent_Type_1=Combo_Opponent_Type_2)),
"Check Types",($S396*INDEX(Species_Tankiness,MATCH($N396,Species_Names,0)))/225)</f>
        <v>#VALUE!</v>
      </c>
      <c r="S396" s="32" t="e">
        <f t="array" ref="S396">IF(OR(AND(COUNTBLANK(Combo_Opponent_Type_1)=1,COUNTBLANK(Combo_Opponent_Type_2)=0),AND(AND(COUNTBLANK(Combo_Opponent_Type_1)=0,COUNTBLANK(Combo_Opponent_Type_2)=0),Combo_Opponent_Type_1=Combo_Opponent_Type_2)),
"Check Types",(
IF($W396&gt;=((1-Game_Weave_Human_Error)*$X396),$W396,$X396)*INDEX(Species_Attack,MATCH($N396,Species_Names,0)))/11)</f>
        <v>#VALUE!</v>
      </c>
      <c r="T396" s="33" t="e">
        <f t="shared" si="13"/>
        <v>#VALUE!</v>
      </c>
      <c r="U396" s="33">
        <f t="array" ref="U3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396,Quick_Names,0))),Type_Species)),0),1)*IF(COUNTBLANK(Combo_Opponent_Type_2)=0,INDEX(Type_Damage_Multipliers,MATCH(Combo_Opponent_Type_2,IF(Type_Move=(INDEX(Quick_Type,MATCH($O396,Quick_Names,0))),Type_Species)),0),1)*(IF(OR(INDEX(Quick_Type,MATCH($O396,Quick_Names,0))=INDEX(Species_Type_1,MATCH($N396,Species_Names,0)),INDEX(Quick_Type,MATCH($O396,Quick_Names,0))=INDEX(Species_Type_2,MATCH($N396,Species_Names,0))),Game_STAB_Multiplier,1)))</f>
        <v>1.25</v>
      </c>
      <c r="V396" s="33">
        <f t="array" ref="V3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396,Charge_Names,0))),Type_Species)),0),1)*IF(COUNTBLANK(Combo_Opponent_Type_2)=0,INDEX(Type_Damage_Multipliers,MATCH(Combo_Opponent_Type_2,IF(Type_Move=(INDEX(Charge_Type,MATCH($P396,Charge_Names,0))),Type_Species)),0),1)*
IF(OR(INDEX(Charge_Type,MATCH($P396,Charge_Names,0))=INDEX(Species_Type_1,MATCH($N396,Species_Names,0)),INDEX(Charge_Type,MATCH($P396,Charge_Names,0))=INDEX(Species_Type_2,MATCH($N396,Species_Names,0))),Game_STAB_Multiplier,1))</f>
        <v>1</v>
      </c>
      <c r="W396" s="33" t="s">
        <v>446</v>
      </c>
      <c r="X396" s="33" t="s">
        <v>762</v>
      </c>
      <c r="Y396" s="32" t="e">
        <f t="array" ref="Y396">((($Z396)*
INDEX(Species_Attack,MATCH($N396,Species_Names,0))*
INDEX(Species_Tankiness,MATCH($N396,Species_Names,0)))/1000)</f>
        <v>#VALUE!</v>
      </c>
      <c r="Z396" s="33" t="s">
        <v>605</v>
      </c>
    </row>
    <row r="397" spans="1:26" ht="14.25" customHeight="1" x14ac:dyDescent="0.2">
      <c r="A397" s="86"/>
      <c r="B397" s="22" t="str">
        <f t="array" ref="B397">CONCATENATE(TEXT($M397,"000"),".",TEXT(INDEX(Quick_Number,MATCH($O397,Quick_Names,0)),"000"),".",TEXT(INDEX(Charge_Number,MATCH($P397,Charge_Names,0)),"000"))</f>
        <v>057.208.051</v>
      </c>
      <c r="C397" s="23" t="e">
        <f t="array" ref="C397">RANK($S397,IF(Combo_Species_Names=$N397,Combo_Gym_Offense),0)</f>
        <v>#VALUE!</v>
      </c>
      <c r="D397" s="24" t="e">
        <f t="array" ref="D397">$S397/MAX(IF(Combo_Species_Names=$N397,Combo_Gym_Offense))</f>
        <v>#VALUE!</v>
      </c>
      <c r="E397" s="23" t="e">
        <f t="array" ref="E397">RANK($Y397,IF(Combo_Species_Names=$N397,Combo_Gym_Defense),0)</f>
        <v>#VALUE!</v>
      </c>
      <c r="F397" s="25" t="e">
        <f t="array" ref="F397">$Y397/MAX(IF(Combo_Species_Names=$N397,Combo_Gym_Defense))</f>
        <v>#VALUE!</v>
      </c>
      <c r="G397" s="23" t="e">
        <f t="array" ref="G397">IF(OR(INDEX(Species_Availability,MATCH($N397,Species_Names,0))="No",INDEX(Species_Evo_Numbers,MATCH($N397,Species_Names,0))&lt;&gt;1),"N/A",RANK($R397,IF(NOT(ISNA(MATCH(Combo_Species_Names,IF(Species_Availability="Yes",IF(Species_Evo_Numbers=1,Species_Names)),0))),Combo_Duel_Ability),0))</f>
        <v>#VALUE!</v>
      </c>
      <c r="H397" s="24" t="e">
        <f t="array" ref="H397">IF(OR(INDEX(Species_Availability,MATCH($N397,Species_Names,0))="No",INDEX(Species_Evo_Numbers,MATCH($N397,Species_Names,0))&lt;&gt;1),"N/A",$R397/MAX(IF(NOT(ISNA(MATCH(Combo_Species_Names,IF(Species_Availability="Yes",IF(Species_Evo_Numbers=1,Species_Names)),0))),Combo_Duel_Ability)))</f>
        <v>#VALUE!</v>
      </c>
      <c r="I397" s="23" t="e">
        <f t="array" ref="I397">IF(OR(INDEX(Species_Availability,MATCH($N397,Species_Names,0))="No",INDEX(Species_Evo_Numbers,MATCH($N397,Species_Names,0))&lt;&gt;1),"N/A",RANK($S397,IF(NOT(ISNA(MATCH(Combo_Species_Names,IF(Species_Availability="Yes",IF(Species_Evo_Numbers=1,Species_Names)),0))),Combo_Gym_Offense),0))</f>
        <v>#VALUE!</v>
      </c>
      <c r="J397" s="24" t="e">
        <f t="array" ref="J397">IF(OR(INDEX(Species_Availability,MATCH($N397,Species_Names,0))="No",INDEX(Species_Evo_Numbers,MATCH($N397,Species_Names,0))&lt;&gt;1),"N/A",$S397/MAX(IF(NOT(ISNA(MATCH(Combo_Species_Names,IF(Species_Availability="Yes",IF(Species_Evo_Numbers=1,Species_Names)),0))),Combo_Gym_Offense)))</f>
        <v>#VALUE!</v>
      </c>
      <c r="K397" s="23" t="e">
        <f t="array" ref="K397">IF(OR(INDEX(Species_Availability,MATCH($N397,Species_Names,0))="No",INDEX(Species_Evo_Numbers,MATCH($N397,Species_Names,0))&lt;&gt;1),"N/A",RANK($Y397,IF(NOT(ISNA(MATCH(Combo_Species_Names,IF(Species_Availability="Yes",IF(Species_Evo_Numbers=1,Species_Names)),0))),Combo_Gym_Defense),0))</f>
        <v>#VALUE!</v>
      </c>
      <c r="L397" s="24" t="e">
        <f t="array" ref="L397">IF(OR(INDEX(Species_Availability,MATCH($N397,Species_Names,0))="No",INDEX(Species_Evo_Numbers,MATCH($N397,Species_Names,0))&lt;&gt;1),"N/A",$Y397/MAX(IF(NOT(ISNA(MATCH(Combo_Species_Names,IF(Species_Availability="Yes",IF(Species_Evo_Numbers=1,Species_Names)),0))),Combo_Gym_Defense)))</f>
        <v>#VALUE!</v>
      </c>
      <c r="M397" s="28">
        <f t="array" ref="M397">INDEX(Species_Pdex_Numbers,MATCH($N397,Species_Names,0))</f>
        <v>57</v>
      </c>
      <c r="N397" s="30" t="s">
        <v>203</v>
      </c>
      <c r="O397" s="31" t="s">
        <v>122</v>
      </c>
      <c r="P397" s="31" t="s">
        <v>262</v>
      </c>
      <c r="Q397" s="17" t="e">
        <f t="shared" si="12"/>
        <v>#VALUE!</v>
      </c>
      <c r="R397" s="32" t="e">
        <f t="array" ref="R397">IF(OR(AND(COUNTBLANK(Combo_Opponent_Type_1)=1,COUNTBLANK(Combo_Opponent_Type_2)=0),AND(AND(COUNTBLANK(Combo_Opponent_Type_1)=0,COUNTBLANK(Combo_Opponent_Type_2)=0),Combo_Opponent_Type_1=Combo_Opponent_Type_2)),
"Check Types",($S397*INDEX(Species_Tankiness,MATCH($N397,Species_Names,0)))/225)</f>
        <v>#VALUE!</v>
      </c>
      <c r="S397" s="32" t="e">
        <f t="array" ref="S397">IF(OR(AND(COUNTBLANK(Combo_Opponent_Type_1)=1,COUNTBLANK(Combo_Opponent_Type_2)=0),AND(AND(COUNTBLANK(Combo_Opponent_Type_1)=0,COUNTBLANK(Combo_Opponent_Type_2)=0),Combo_Opponent_Type_1=Combo_Opponent_Type_2)),
"Check Types",(
IF($W397&gt;=((1-Game_Weave_Human_Error)*$X397),$W397,$X397)*INDEX(Species_Attack,MATCH($N397,Species_Names,0)))/11)</f>
        <v>#VALUE!</v>
      </c>
      <c r="T397" s="33" t="e">
        <f t="shared" si="13"/>
        <v>#VALUE!</v>
      </c>
      <c r="U397" s="33">
        <f t="array" ref="U3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397,Quick_Names,0))),Type_Species)),0),1)*IF(COUNTBLANK(Combo_Opponent_Type_2)=0,INDEX(Type_Damage_Multipliers,MATCH(Combo_Opponent_Type_2,IF(Type_Move=(INDEX(Quick_Type,MATCH($O397,Quick_Names,0))),Type_Species)),0),1)*(IF(OR(INDEX(Quick_Type,MATCH($O397,Quick_Names,0))=INDEX(Species_Type_1,MATCH($N397,Species_Names,0)),INDEX(Quick_Type,MATCH($O397,Quick_Names,0))=INDEX(Species_Type_2,MATCH($N397,Species_Names,0))),Game_STAB_Multiplier,1)))</f>
        <v>1.25</v>
      </c>
      <c r="V397" s="33">
        <f t="array" ref="V3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397,Charge_Names,0))),Type_Species)),0),1)*IF(COUNTBLANK(Combo_Opponent_Type_2)=0,INDEX(Type_Damage_Multipliers,MATCH(Combo_Opponent_Type_2,IF(Type_Move=(INDEX(Charge_Type,MATCH($P397,Charge_Names,0))),Type_Species)),0),1)*
IF(OR(INDEX(Charge_Type,MATCH($P397,Charge_Names,0))=INDEX(Species_Type_1,MATCH($N397,Species_Names,0)),INDEX(Charge_Type,MATCH($P397,Charge_Names,0))=INDEX(Species_Type_2,MATCH($N397,Species_Names,0))),Game_STAB_Multiplier,1))</f>
        <v>1</v>
      </c>
      <c r="W397" s="33" t="s">
        <v>564</v>
      </c>
      <c r="X397" s="33" t="s">
        <v>758</v>
      </c>
      <c r="Y397" s="32" t="e">
        <f t="array" ref="Y397">((($Z397)*
INDEX(Species_Attack,MATCH($N397,Species_Names,0))*
INDEX(Species_Tankiness,MATCH($N397,Species_Names,0)))/1000)</f>
        <v>#VALUE!</v>
      </c>
      <c r="Z397" s="33" t="s">
        <v>897</v>
      </c>
    </row>
    <row r="398" spans="1:26" ht="14.25" customHeight="1" x14ac:dyDescent="0.2">
      <c r="A398" s="86"/>
      <c r="B398" s="22" t="str">
        <f t="array" ref="B398">CONCATENATE(TEXT($M398,"000"),".",TEXT(INDEX(Quick_Number,MATCH($O398,Quick_Names,0)),"000"),".",TEXT(INDEX(Charge_Number,MATCH($P398,Charge_Names,0)),"000"))</f>
        <v>122.234.030</v>
      </c>
      <c r="C398" s="23" t="e">
        <f t="array" ref="C398">RANK($S398,IF(Combo_Species_Names=$N398,Combo_Gym_Offense),0)</f>
        <v>#VALUE!</v>
      </c>
      <c r="D398" s="24" t="e">
        <f t="array" ref="D398">$S398/MAX(IF(Combo_Species_Names=$N398,Combo_Gym_Offense))</f>
        <v>#VALUE!</v>
      </c>
      <c r="E398" s="23" t="e">
        <f t="array" ref="E398">RANK($Y398,IF(Combo_Species_Names=$N398,Combo_Gym_Defense),0)</f>
        <v>#VALUE!</v>
      </c>
      <c r="F398" s="25" t="e">
        <f t="array" ref="F398">$Y398/MAX(IF(Combo_Species_Names=$N398,Combo_Gym_Defense))</f>
        <v>#VALUE!</v>
      </c>
      <c r="G398" s="23" t="e">
        <f t="array" ref="G398">IF(OR(INDEX(Species_Availability,MATCH($N398,Species_Names,0))="No",INDEX(Species_Evo_Numbers,MATCH($N398,Species_Names,0))&lt;&gt;1),"N/A",RANK($R398,IF(NOT(ISNA(MATCH(Combo_Species_Names,IF(Species_Availability="Yes",IF(Species_Evo_Numbers=1,Species_Names)),0))),Combo_Duel_Ability),0))</f>
        <v>#VALUE!</v>
      </c>
      <c r="H398" s="24" t="e">
        <f t="array" ref="H398">IF(OR(INDEX(Species_Availability,MATCH($N398,Species_Names,0))="No",INDEX(Species_Evo_Numbers,MATCH($N398,Species_Names,0))&lt;&gt;1),"N/A",$R398/MAX(IF(NOT(ISNA(MATCH(Combo_Species_Names,IF(Species_Availability="Yes",IF(Species_Evo_Numbers=1,Species_Names)),0))),Combo_Duel_Ability)))</f>
        <v>#VALUE!</v>
      </c>
      <c r="I398" s="23" t="e">
        <f t="array" ref="I398">IF(OR(INDEX(Species_Availability,MATCH($N398,Species_Names,0))="No",INDEX(Species_Evo_Numbers,MATCH($N398,Species_Names,0))&lt;&gt;1),"N/A",RANK($S398,IF(NOT(ISNA(MATCH(Combo_Species_Names,IF(Species_Availability="Yes",IF(Species_Evo_Numbers=1,Species_Names)),0))),Combo_Gym_Offense),0))</f>
        <v>#VALUE!</v>
      </c>
      <c r="J398" s="24" t="e">
        <f t="array" ref="J398">IF(OR(INDEX(Species_Availability,MATCH($N398,Species_Names,0))="No",INDEX(Species_Evo_Numbers,MATCH($N398,Species_Names,0))&lt;&gt;1),"N/A",$S398/MAX(IF(NOT(ISNA(MATCH(Combo_Species_Names,IF(Species_Availability="Yes",IF(Species_Evo_Numbers=1,Species_Names)),0))),Combo_Gym_Offense)))</f>
        <v>#VALUE!</v>
      </c>
      <c r="K398" s="23" t="e">
        <f t="array" ref="K398">IF(OR(INDEX(Species_Availability,MATCH($N398,Species_Names,0))="No",INDEX(Species_Evo_Numbers,MATCH($N398,Species_Names,0))&lt;&gt;1),"N/A",RANK($Y398,IF(NOT(ISNA(MATCH(Combo_Species_Names,IF(Species_Availability="Yes",IF(Species_Evo_Numbers=1,Species_Names)),0))),Combo_Gym_Defense),0))</f>
        <v>#VALUE!</v>
      </c>
      <c r="L398" s="24" t="e">
        <f t="array" ref="L398">IF(OR(INDEX(Species_Availability,MATCH($N398,Species_Names,0))="No",INDEX(Species_Evo_Numbers,MATCH($N398,Species_Names,0))&lt;&gt;1),"N/A",$Y398/MAX(IF(NOT(ISNA(MATCH(Combo_Species_Names,IF(Species_Availability="Yes",IF(Species_Evo_Numbers=1,Species_Names)),0))),Combo_Gym_Defense)))</f>
        <v>#VALUE!</v>
      </c>
      <c r="M398" s="28">
        <f t="array" ref="M398">INDEX(Species_Pdex_Numbers,MATCH($N398,Species_Names,0))</f>
        <v>122</v>
      </c>
      <c r="N398" s="30" t="s">
        <v>339</v>
      </c>
      <c r="O398" s="31" t="s">
        <v>79</v>
      </c>
      <c r="P398" s="31" t="s">
        <v>283</v>
      </c>
      <c r="Q398" s="17" t="e">
        <f t="shared" si="12"/>
        <v>#VALUE!</v>
      </c>
      <c r="R398" s="32" t="e">
        <f t="array" ref="R398">IF(OR(AND(COUNTBLANK(Combo_Opponent_Type_1)=1,COUNTBLANK(Combo_Opponent_Type_2)=0),AND(AND(COUNTBLANK(Combo_Opponent_Type_1)=0,COUNTBLANK(Combo_Opponent_Type_2)=0),Combo_Opponent_Type_1=Combo_Opponent_Type_2)),
"Check Types",($S398*INDEX(Species_Tankiness,MATCH($N398,Species_Names,0)))/225)</f>
        <v>#VALUE!</v>
      </c>
      <c r="S398" s="32" t="e">
        <f t="array" ref="S398">IF(OR(AND(COUNTBLANK(Combo_Opponent_Type_1)=1,COUNTBLANK(Combo_Opponent_Type_2)=0),AND(AND(COUNTBLANK(Combo_Opponent_Type_1)=0,COUNTBLANK(Combo_Opponent_Type_2)=0),Combo_Opponent_Type_1=Combo_Opponent_Type_2)),
"Check Types",(
IF($W398&gt;=((1-Game_Weave_Human_Error)*$X398),$W398,$X398)*INDEX(Species_Attack,MATCH($N398,Species_Names,0)))/11)</f>
        <v>#VALUE!</v>
      </c>
      <c r="T398" s="33" t="e">
        <f t="shared" si="13"/>
        <v>#VALUE!</v>
      </c>
      <c r="U398" s="33">
        <f t="array" ref="U3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398,Quick_Names,0))),Type_Species)),0),1)*IF(COUNTBLANK(Combo_Opponent_Type_2)=0,INDEX(Type_Damage_Multipliers,MATCH(Combo_Opponent_Type_2,IF(Type_Move=(INDEX(Quick_Type,MATCH($O398,Quick_Names,0))),Type_Species)),0),1)*(IF(OR(INDEX(Quick_Type,MATCH($O398,Quick_Names,0))=INDEX(Species_Type_1,MATCH($N398,Species_Names,0)),INDEX(Quick_Type,MATCH($O398,Quick_Names,0))=INDEX(Species_Type_2,MATCH($N398,Species_Names,0))),Game_STAB_Multiplier,1)))</f>
        <v>1.25</v>
      </c>
      <c r="V398" s="33">
        <f t="array" ref="V3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398,Charge_Names,0))),Type_Species)),0),1)*IF(COUNTBLANK(Combo_Opponent_Type_2)=0,INDEX(Type_Damage_Multipliers,MATCH(Combo_Opponent_Type_2,IF(Type_Move=(INDEX(Charge_Type,MATCH($P398,Charge_Names,0))),Type_Species)),0),1)*
IF(OR(INDEX(Charge_Type,MATCH($P398,Charge_Names,0))=INDEX(Species_Type_1,MATCH($N398,Species_Names,0)),INDEX(Charge_Type,MATCH($P398,Charge_Names,0))=INDEX(Species_Type_2,MATCH($N398,Species_Names,0))),Game_STAB_Multiplier,1))</f>
        <v>1.25</v>
      </c>
      <c r="W398" s="33" t="s">
        <v>446</v>
      </c>
      <c r="X398" s="33" t="s">
        <v>898</v>
      </c>
      <c r="Y398" s="32" t="e">
        <f t="array" ref="Y398">((($Z398)*
INDEX(Species_Attack,MATCH($N398,Species_Names,0))*
INDEX(Species_Tankiness,MATCH($N398,Species_Names,0)))/1000)</f>
        <v>#VALUE!</v>
      </c>
      <c r="Z398" s="33" t="s">
        <v>847</v>
      </c>
    </row>
    <row r="399" spans="1:26" ht="14.25" customHeight="1" x14ac:dyDescent="0.2">
      <c r="A399" s="86"/>
      <c r="B399" s="22" t="str">
        <f t="array" ref="B399">CONCATENATE(TEXT($M399,"000"),".",TEXT(INDEX(Quick_Number,MATCH($O399,Quick_Names,0)),"000"),".",TEXT(INDEX(Charge_Number,MATCH($P399,Charge_Names,0)),"000"))</f>
        <v>122.234.070</v>
      </c>
      <c r="C399" s="23" t="e">
        <f t="array" ref="C399">RANK($S399,IF(Combo_Species_Names=$N399,Combo_Gym_Offense),0)</f>
        <v>#VALUE!</v>
      </c>
      <c r="D399" s="24" t="e">
        <f t="array" ref="D399">$S399/MAX(IF(Combo_Species_Names=$N399,Combo_Gym_Offense))</f>
        <v>#VALUE!</v>
      </c>
      <c r="E399" s="23" t="e">
        <f t="array" ref="E399">RANK($Y399,IF(Combo_Species_Names=$N399,Combo_Gym_Defense),0)</f>
        <v>#VALUE!</v>
      </c>
      <c r="F399" s="25" t="e">
        <f t="array" ref="F399">$Y399/MAX(IF(Combo_Species_Names=$N399,Combo_Gym_Defense))</f>
        <v>#VALUE!</v>
      </c>
      <c r="G399" s="23" t="e">
        <f t="array" ref="G399">IF(OR(INDEX(Species_Availability,MATCH($N399,Species_Names,0))="No",INDEX(Species_Evo_Numbers,MATCH($N399,Species_Names,0))&lt;&gt;1),"N/A",RANK($R399,IF(NOT(ISNA(MATCH(Combo_Species_Names,IF(Species_Availability="Yes",IF(Species_Evo_Numbers=1,Species_Names)),0))),Combo_Duel_Ability),0))</f>
        <v>#VALUE!</v>
      </c>
      <c r="H399" s="24" t="e">
        <f t="array" ref="H399">IF(OR(INDEX(Species_Availability,MATCH($N399,Species_Names,0))="No",INDEX(Species_Evo_Numbers,MATCH($N399,Species_Names,0))&lt;&gt;1),"N/A",$R399/MAX(IF(NOT(ISNA(MATCH(Combo_Species_Names,IF(Species_Availability="Yes",IF(Species_Evo_Numbers=1,Species_Names)),0))),Combo_Duel_Ability)))</f>
        <v>#VALUE!</v>
      </c>
      <c r="I399" s="23" t="e">
        <f t="array" ref="I399">IF(OR(INDEX(Species_Availability,MATCH($N399,Species_Names,0))="No",INDEX(Species_Evo_Numbers,MATCH($N399,Species_Names,0))&lt;&gt;1),"N/A",RANK($S399,IF(NOT(ISNA(MATCH(Combo_Species_Names,IF(Species_Availability="Yes",IF(Species_Evo_Numbers=1,Species_Names)),0))),Combo_Gym_Offense),0))</f>
        <v>#VALUE!</v>
      </c>
      <c r="J399" s="24" t="e">
        <f t="array" ref="J399">IF(OR(INDEX(Species_Availability,MATCH($N399,Species_Names,0))="No",INDEX(Species_Evo_Numbers,MATCH($N399,Species_Names,0))&lt;&gt;1),"N/A",$S399/MAX(IF(NOT(ISNA(MATCH(Combo_Species_Names,IF(Species_Availability="Yes",IF(Species_Evo_Numbers=1,Species_Names)),0))),Combo_Gym_Offense)))</f>
        <v>#VALUE!</v>
      </c>
      <c r="K399" s="23" t="e">
        <f t="array" ref="K399">IF(OR(INDEX(Species_Availability,MATCH($N399,Species_Names,0))="No",INDEX(Species_Evo_Numbers,MATCH($N399,Species_Names,0))&lt;&gt;1),"N/A",RANK($Y399,IF(NOT(ISNA(MATCH(Combo_Species_Names,IF(Species_Availability="Yes",IF(Species_Evo_Numbers=1,Species_Names)),0))),Combo_Gym_Defense),0))</f>
        <v>#VALUE!</v>
      </c>
      <c r="L399" s="24" t="e">
        <f t="array" ref="L399">IF(OR(INDEX(Species_Availability,MATCH($N399,Species_Names,0))="No",INDEX(Species_Evo_Numbers,MATCH($N399,Species_Names,0))&lt;&gt;1),"N/A",$Y399/MAX(IF(NOT(ISNA(MATCH(Combo_Species_Names,IF(Species_Availability="Yes",IF(Species_Evo_Numbers=1,Species_Names)),0))),Combo_Gym_Defense)))</f>
        <v>#VALUE!</v>
      </c>
      <c r="M399" s="28">
        <f t="array" ref="M399">INDEX(Species_Pdex_Numbers,MATCH($N399,Species_Names,0))</f>
        <v>122</v>
      </c>
      <c r="N399" s="30" t="s">
        <v>339</v>
      </c>
      <c r="O399" s="31" t="s">
        <v>79</v>
      </c>
      <c r="P399" s="31" t="s">
        <v>234</v>
      </c>
      <c r="Q399" s="17" t="e">
        <f t="shared" si="12"/>
        <v>#VALUE!</v>
      </c>
      <c r="R399" s="32" t="e">
        <f t="array" ref="R399">IF(OR(AND(COUNTBLANK(Combo_Opponent_Type_1)=1,COUNTBLANK(Combo_Opponent_Type_2)=0),AND(AND(COUNTBLANK(Combo_Opponent_Type_1)=0,COUNTBLANK(Combo_Opponent_Type_2)=0),Combo_Opponent_Type_1=Combo_Opponent_Type_2)),
"Check Types",($S399*INDEX(Species_Tankiness,MATCH($N399,Species_Names,0)))/225)</f>
        <v>#VALUE!</v>
      </c>
      <c r="S399" s="32" t="e">
        <f t="array" ref="S399">IF(OR(AND(COUNTBLANK(Combo_Opponent_Type_1)=1,COUNTBLANK(Combo_Opponent_Type_2)=0),AND(AND(COUNTBLANK(Combo_Opponent_Type_1)=0,COUNTBLANK(Combo_Opponent_Type_2)=0),Combo_Opponent_Type_1=Combo_Opponent_Type_2)),
"Check Types",(
IF($W399&gt;=((1-Game_Weave_Human_Error)*$X399),$W399,$X399)*INDEX(Species_Attack,MATCH($N399,Species_Names,0)))/11)</f>
        <v>#VALUE!</v>
      </c>
      <c r="T399" s="33" t="e">
        <f t="shared" si="13"/>
        <v>#VALUE!</v>
      </c>
      <c r="U399" s="33">
        <f t="array" ref="U3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399,Quick_Names,0))),Type_Species)),0),1)*IF(COUNTBLANK(Combo_Opponent_Type_2)=0,INDEX(Type_Damage_Multipliers,MATCH(Combo_Opponent_Type_2,IF(Type_Move=(INDEX(Quick_Type,MATCH($O399,Quick_Names,0))),Type_Species)),0),1)*(IF(OR(INDEX(Quick_Type,MATCH($O399,Quick_Names,0))=INDEX(Species_Type_1,MATCH($N399,Species_Names,0)),INDEX(Quick_Type,MATCH($O399,Quick_Names,0))=INDEX(Species_Type_2,MATCH($N399,Species_Names,0))),Game_STAB_Multiplier,1)))</f>
        <v>1.25</v>
      </c>
      <c r="V399" s="33">
        <f t="array" ref="V3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399,Charge_Names,0))),Type_Species)),0),1)*IF(COUNTBLANK(Combo_Opponent_Type_2)=0,INDEX(Type_Damage_Multipliers,MATCH(Combo_Opponent_Type_2,IF(Type_Move=(INDEX(Charge_Type,MATCH($P399,Charge_Names,0))),Type_Species)),0),1)*
IF(OR(INDEX(Charge_Type,MATCH($P399,Charge_Names,0))=INDEX(Species_Type_1,MATCH($N399,Species_Names,0)),INDEX(Charge_Type,MATCH($P399,Charge_Names,0))=INDEX(Species_Type_2,MATCH($N399,Species_Names,0))),Game_STAB_Multiplier,1))</f>
        <v>1</v>
      </c>
      <c r="W399" s="33" t="s">
        <v>446</v>
      </c>
      <c r="X399" s="33" t="s">
        <v>637</v>
      </c>
      <c r="Y399" s="32" t="e">
        <f t="array" ref="Y399">((($Z399)*
INDEX(Species_Attack,MATCH($N399,Species_Names,0))*
INDEX(Species_Tankiness,MATCH($N399,Species_Names,0)))/1000)</f>
        <v>#VALUE!</v>
      </c>
      <c r="Z399" s="33" t="s">
        <v>638</v>
      </c>
    </row>
    <row r="400" spans="1:26" ht="14.25" customHeight="1" x14ac:dyDescent="0.2">
      <c r="A400" s="86"/>
      <c r="B400" s="22" t="str">
        <f t="array" ref="B400">CONCATENATE(TEXT($M400,"000"),".",TEXT(INDEX(Quick_Number,MATCH($O400,Quick_Names,0)),"000"),".",TEXT(INDEX(Charge_Number,MATCH($P400,Charge_Names,0)),"000"))</f>
        <v>022.211.045</v>
      </c>
      <c r="C400" s="23" t="e">
        <f t="array" ref="C400">RANK($S400,IF(Combo_Species_Names=$N400,Combo_Gym_Offense),0)</f>
        <v>#VALUE!</v>
      </c>
      <c r="D400" s="24" t="e">
        <f t="array" ref="D400">$S400/MAX(IF(Combo_Species_Names=$N400,Combo_Gym_Offense))</f>
        <v>#VALUE!</v>
      </c>
      <c r="E400" s="23" t="e">
        <f t="array" ref="E400">RANK($Y400,IF(Combo_Species_Names=$N400,Combo_Gym_Defense),0)</f>
        <v>#VALUE!</v>
      </c>
      <c r="F400" s="25" t="e">
        <f t="array" ref="F400">$Y400/MAX(IF(Combo_Species_Names=$N400,Combo_Gym_Defense))</f>
        <v>#VALUE!</v>
      </c>
      <c r="G400" s="23" t="e">
        <f t="array" ref="G400">IF(OR(INDEX(Species_Availability,MATCH($N400,Species_Names,0))="No",INDEX(Species_Evo_Numbers,MATCH($N400,Species_Names,0))&lt;&gt;1),"N/A",RANK($R400,IF(NOT(ISNA(MATCH(Combo_Species_Names,IF(Species_Availability="Yes",IF(Species_Evo_Numbers=1,Species_Names)),0))),Combo_Duel_Ability),0))</f>
        <v>#VALUE!</v>
      </c>
      <c r="H400" s="24" t="e">
        <f t="array" ref="H400">IF(OR(INDEX(Species_Availability,MATCH($N400,Species_Names,0))="No",INDEX(Species_Evo_Numbers,MATCH($N400,Species_Names,0))&lt;&gt;1),"N/A",$R400/MAX(IF(NOT(ISNA(MATCH(Combo_Species_Names,IF(Species_Availability="Yes",IF(Species_Evo_Numbers=1,Species_Names)),0))),Combo_Duel_Ability)))</f>
        <v>#VALUE!</v>
      </c>
      <c r="I400" s="23" t="e">
        <f t="array" ref="I400">IF(OR(INDEX(Species_Availability,MATCH($N400,Species_Names,0))="No",INDEX(Species_Evo_Numbers,MATCH($N400,Species_Names,0))&lt;&gt;1),"N/A",RANK($S400,IF(NOT(ISNA(MATCH(Combo_Species_Names,IF(Species_Availability="Yes",IF(Species_Evo_Numbers=1,Species_Names)),0))),Combo_Gym_Offense),0))</f>
        <v>#VALUE!</v>
      </c>
      <c r="J400" s="24" t="e">
        <f t="array" ref="J400">IF(OR(INDEX(Species_Availability,MATCH($N400,Species_Names,0))="No",INDEX(Species_Evo_Numbers,MATCH($N400,Species_Names,0))&lt;&gt;1),"N/A",$S400/MAX(IF(NOT(ISNA(MATCH(Combo_Species_Names,IF(Species_Availability="Yes",IF(Species_Evo_Numbers=1,Species_Names)),0))),Combo_Gym_Offense)))</f>
        <v>#VALUE!</v>
      </c>
      <c r="K400" s="23" t="e">
        <f t="array" ref="K400">IF(OR(INDEX(Species_Availability,MATCH($N400,Species_Names,0))="No",INDEX(Species_Evo_Numbers,MATCH($N400,Species_Names,0))&lt;&gt;1),"N/A",RANK($Y400,IF(NOT(ISNA(MATCH(Combo_Species_Names,IF(Species_Availability="Yes",IF(Species_Evo_Numbers=1,Species_Names)),0))),Combo_Gym_Defense),0))</f>
        <v>#VALUE!</v>
      </c>
      <c r="L400" s="24" t="e">
        <f t="array" ref="L400">IF(OR(INDEX(Species_Availability,MATCH($N400,Species_Names,0))="No",INDEX(Species_Evo_Numbers,MATCH($N400,Species_Names,0))&lt;&gt;1),"N/A",$Y400/MAX(IF(NOT(ISNA(MATCH(Combo_Species_Names,IF(Species_Availability="Yes",IF(Species_Evo_Numbers=1,Species_Names)),0))),Combo_Gym_Defense)))</f>
        <v>#VALUE!</v>
      </c>
      <c r="M400" s="28">
        <f t="array" ref="M400">INDEX(Species_Pdex_Numbers,MATCH($N400,Species_Names,0))</f>
        <v>22</v>
      </c>
      <c r="N400" s="30" t="s">
        <v>132</v>
      </c>
      <c r="O400" s="31" t="s">
        <v>114</v>
      </c>
      <c r="P400" s="31" t="s">
        <v>287</v>
      </c>
      <c r="Q400" s="17" t="e">
        <f t="shared" si="12"/>
        <v>#VALUE!</v>
      </c>
      <c r="R400" s="32" t="e">
        <f t="array" ref="R400">IF(OR(AND(COUNTBLANK(Combo_Opponent_Type_1)=1,COUNTBLANK(Combo_Opponent_Type_2)=0),AND(AND(COUNTBLANK(Combo_Opponent_Type_1)=0,COUNTBLANK(Combo_Opponent_Type_2)=0),Combo_Opponent_Type_1=Combo_Opponent_Type_2)),
"Check Types",($S400*INDEX(Species_Tankiness,MATCH($N400,Species_Names,0)))/225)</f>
        <v>#VALUE!</v>
      </c>
      <c r="S400" s="32" t="e">
        <f t="array" ref="S400">IF(OR(AND(COUNTBLANK(Combo_Opponent_Type_1)=1,COUNTBLANK(Combo_Opponent_Type_2)=0),AND(AND(COUNTBLANK(Combo_Opponent_Type_1)=0,COUNTBLANK(Combo_Opponent_Type_2)=0),Combo_Opponent_Type_1=Combo_Opponent_Type_2)),
"Check Types",(
IF($W400&gt;=((1-Game_Weave_Human_Error)*$X400),$W400,$X400)*INDEX(Species_Attack,MATCH($N400,Species_Names,0)))/11)</f>
        <v>#VALUE!</v>
      </c>
      <c r="T400" s="33" t="e">
        <f t="shared" si="13"/>
        <v>#VALUE!</v>
      </c>
      <c r="U400" s="33">
        <f t="array" ref="U4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400,Quick_Names,0))),Type_Species)),0),1)*IF(COUNTBLANK(Combo_Opponent_Type_2)=0,INDEX(Type_Damage_Multipliers,MATCH(Combo_Opponent_Type_2,IF(Type_Move=(INDEX(Quick_Type,MATCH($O400,Quick_Names,0))),Type_Species)),0),1)*(IF(OR(INDEX(Quick_Type,MATCH($O400,Quick_Names,0))=INDEX(Species_Type_1,MATCH($N400,Species_Names,0)),INDEX(Quick_Type,MATCH($O400,Quick_Names,0))=INDEX(Species_Type_2,MATCH($N400,Species_Names,0))),Game_STAB_Multiplier,1)))</f>
        <v>1.25</v>
      </c>
      <c r="V400" s="33">
        <f t="array" ref="V4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400,Charge_Names,0))),Type_Species)),0),1)*IF(COUNTBLANK(Combo_Opponent_Type_2)=0,INDEX(Type_Damage_Multipliers,MATCH(Combo_Opponent_Type_2,IF(Type_Move=(INDEX(Charge_Type,MATCH($P400,Charge_Names,0))),Type_Species)),0),1)*
IF(OR(INDEX(Charge_Type,MATCH($P400,Charge_Names,0))=INDEX(Species_Type_1,MATCH($N400,Species_Names,0)),INDEX(Charge_Type,MATCH($P400,Charge_Names,0))=INDEX(Species_Type_2,MATCH($N400,Species_Names,0))),Game_STAB_Multiplier,1))</f>
        <v>1.25</v>
      </c>
      <c r="W400" s="33" t="s">
        <v>876</v>
      </c>
      <c r="X400" s="33" t="s">
        <v>899</v>
      </c>
      <c r="Y400" s="32" t="e">
        <f t="array" ref="Y400">((($Z400)*
INDEX(Species_Attack,MATCH($N400,Species_Names,0))*
INDEX(Species_Tankiness,MATCH($N400,Species_Names,0)))/1000)</f>
        <v>#VALUE!</v>
      </c>
      <c r="Z400" s="33" t="s">
        <v>654</v>
      </c>
    </row>
    <row r="401" spans="1:26" ht="14.25" customHeight="1" x14ac:dyDescent="0.2">
      <c r="A401" s="86"/>
      <c r="B401" s="22" t="str">
        <f t="array" ref="B401">CONCATENATE(TEXT($M401,"000"),".",TEXT(INDEX(Quick_Number,MATCH($O401,Quick_Names,0)),"000"),".",TEXT(INDEX(Charge_Number,MATCH($P401,Charge_Names,0)),"000"))</f>
        <v>022.211.080</v>
      </c>
      <c r="C401" s="23" t="e">
        <f t="array" ref="C401">RANK($S401,IF(Combo_Species_Names=$N401,Combo_Gym_Offense),0)</f>
        <v>#VALUE!</v>
      </c>
      <c r="D401" s="24" t="e">
        <f t="array" ref="D401">$S401/MAX(IF(Combo_Species_Names=$N401,Combo_Gym_Offense))</f>
        <v>#VALUE!</v>
      </c>
      <c r="E401" s="23" t="e">
        <f t="array" ref="E401">RANK($Y401,IF(Combo_Species_Names=$N401,Combo_Gym_Defense),0)</f>
        <v>#VALUE!</v>
      </c>
      <c r="F401" s="25" t="e">
        <f t="array" ref="F401">$Y401/MAX(IF(Combo_Species_Names=$N401,Combo_Gym_Defense))</f>
        <v>#VALUE!</v>
      </c>
      <c r="G401" s="23" t="e">
        <f t="array" ref="G401">IF(OR(INDEX(Species_Availability,MATCH($N401,Species_Names,0))="No",INDEX(Species_Evo_Numbers,MATCH($N401,Species_Names,0))&lt;&gt;1),"N/A",RANK($R401,IF(NOT(ISNA(MATCH(Combo_Species_Names,IF(Species_Availability="Yes",IF(Species_Evo_Numbers=1,Species_Names)),0))),Combo_Duel_Ability),0))</f>
        <v>#VALUE!</v>
      </c>
      <c r="H401" s="24" t="e">
        <f t="array" ref="H401">IF(OR(INDEX(Species_Availability,MATCH($N401,Species_Names,0))="No",INDEX(Species_Evo_Numbers,MATCH($N401,Species_Names,0))&lt;&gt;1),"N/A",$R401/MAX(IF(NOT(ISNA(MATCH(Combo_Species_Names,IF(Species_Availability="Yes",IF(Species_Evo_Numbers=1,Species_Names)),0))),Combo_Duel_Ability)))</f>
        <v>#VALUE!</v>
      </c>
      <c r="I401" s="23" t="e">
        <f t="array" ref="I401">IF(OR(INDEX(Species_Availability,MATCH($N401,Species_Names,0))="No",INDEX(Species_Evo_Numbers,MATCH($N401,Species_Names,0))&lt;&gt;1),"N/A",RANK($S401,IF(NOT(ISNA(MATCH(Combo_Species_Names,IF(Species_Availability="Yes",IF(Species_Evo_Numbers=1,Species_Names)),0))),Combo_Gym_Offense),0))</f>
        <v>#VALUE!</v>
      </c>
      <c r="J401" s="24" t="e">
        <f t="array" ref="J401">IF(OR(INDEX(Species_Availability,MATCH($N401,Species_Names,0))="No",INDEX(Species_Evo_Numbers,MATCH($N401,Species_Names,0))&lt;&gt;1),"N/A",$S401/MAX(IF(NOT(ISNA(MATCH(Combo_Species_Names,IF(Species_Availability="Yes",IF(Species_Evo_Numbers=1,Species_Names)),0))),Combo_Gym_Offense)))</f>
        <v>#VALUE!</v>
      </c>
      <c r="K401" s="23" t="e">
        <f t="array" ref="K401">IF(OR(INDEX(Species_Availability,MATCH($N401,Species_Names,0))="No",INDEX(Species_Evo_Numbers,MATCH($N401,Species_Names,0))&lt;&gt;1),"N/A",RANK($Y401,IF(NOT(ISNA(MATCH(Combo_Species_Names,IF(Species_Availability="Yes",IF(Species_Evo_Numbers=1,Species_Names)),0))),Combo_Gym_Defense),0))</f>
        <v>#VALUE!</v>
      </c>
      <c r="L401" s="24" t="e">
        <f t="array" ref="L401">IF(OR(INDEX(Species_Availability,MATCH($N401,Species_Names,0))="No",INDEX(Species_Evo_Numbers,MATCH($N401,Species_Names,0))&lt;&gt;1),"N/A",$Y401/MAX(IF(NOT(ISNA(MATCH(Combo_Species_Names,IF(Species_Availability="Yes",IF(Species_Evo_Numbers=1,Species_Names)),0))),Combo_Gym_Defense)))</f>
        <v>#VALUE!</v>
      </c>
      <c r="M401" s="28">
        <f t="array" ref="M401">INDEX(Species_Pdex_Numbers,MATCH($N401,Species_Names,0))</f>
        <v>22</v>
      </c>
      <c r="N401" s="30" t="s">
        <v>132</v>
      </c>
      <c r="O401" s="31" t="s">
        <v>114</v>
      </c>
      <c r="P401" s="31" t="s">
        <v>302</v>
      </c>
      <c r="Q401" s="17" t="e">
        <f t="shared" si="12"/>
        <v>#VALUE!</v>
      </c>
      <c r="R401" s="32" t="e">
        <f t="array" ref="R401">IF(OR(AND(COUNTBLANK(Combo_Opponent_Type_1)=1,COUNTBLANK(Combo_Opponent_Type_2)=0),AND(AND(COUNTBLANK(Combo_Opponent_Type_1)=0,COUNTBLANK(Combo_Opponent_Type_2)=0),Combo_Opponent_Type_1=Combo_Opponent_Type_2)),
"Check Types",($S401*INDEX(Species_Tankiness,MATCH($N401,Species_Names,0)))/225)</f>
        <v>#VALUE!</v>
      </c>
      <c r="S401" s="32" t="e">
        <f t="array" ref="S401">IF(OR(AND(COUNTBLANK(Combo_Opponent_Type_1)=1,COUNTBLANK(Combo_Opponent_Type_2)=0),AND(AND(COUNTBLANK(Combo_Opponent_Type_1)=0,COUNTBLANK(Combo_Opponent_Type_2)=0),Combo_Opponent_Type_1=Combo_Opponent_Type_2)),
"Check Types",(
IF($W401&gt;=((1-Game_Weave_Human_Error)*$X401),$W401,$X401)*INDEX(Species_Attack,MATCH($N401,Species_Names,0)))/11)</f>
        <v>#VALUE!</v>
      </c>
      <c r="T401" s="33" t="e">
        <f t="shared" si="13"/>
        <v>#VALUE!</v>
      </c>
      <c r="U401" s="33">
        <f t="array" ref="U4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401,Quick_Names,0))),Type_Species)),0),1)*IF(COUNTBLANK(Combo_Opponent_Type_2)=0,INDEX(Type_Damage_Multipliers,MATCH(Combo_Opponent_Type_2,IF(Type_Move=(INDEX(Quick_Type,MATCH($O401,Quick_Names,0))),Type_Species)),0),1)*(IF(OR(INDEX(Quick_Type,MATCH($O401,Quick_Names,0))=INDEX(Species_Type_1,MATCH($N401,Species_Names,0)),INDEX(Quick_Type,MATCH($O401,Quick_Names,0))=INDEX(Species_Type_2,MATCH($N401,Species_Names,0))),Game_STAB_Multiplier,1)))</f>
        <v>1.25</v>
      </c>
      <c r="V401" s="33">
        <f t="array" ref="V4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401,Charge_Names,0))),Type_Species)),0),1)*IF(COUNTBLANK(Combo_Opponent_Type_2)=0,INDEX(Type_Damage_Multipliers,MATCH(Combo_Opponent_Type_2,IF(Type_Move=(INDEX(Charge_Type,MATCH($P401,Charge_Names,0))),Type_Species)),0),1)*
IF(OR(INDEX(Charge_Type,MATCH($P401,Charge_Names,0))=INDEX(Species_Type_1,MATCH($N401,Species_Names,0)),INDEX(Charge_Type,MATCH($P401,Charge_Names,0))=INDEX(Species_Type_2,MATCH($N401,Species_Names,0))),Game_STAB_Multiplier,1))</f>
        <v>1</v>
      </c>
      <c r="W401" s="33" t="s">
        <v>876</v>
      </c>
      <c r="X401" s="33" t="s">
        <v>469</v>
      </c>
      <c r="Y401" s="32" t="e">
        <f t="array" ref="Y401">((($Z401)*
INDEX(Species_Attack,MATCH($N401,Species_Names,0))*
INDEX(Species_Tankiness,MATCH($N401,Species_Names,0)))/1000)</f>
        <v>#VALUE!</v>
      </c>
      <c r="Z401" s="33" t="s">
        <v>641</v>
      </c>
    </row>
    <row r="402" spans="1:26" ht="14.25" customHeight="1" x14ac:dyDescent="0.2">
      <c r="A402" s="86"/>
      <c r="B402" s="22" t="str">
        <f t="array" ref="B402">CONCATENATE(TEXT($M402,"000"),".",TEXT(INDEX(Quick_Number,MATCH($O402,Quick_Names,0)),"000"),".",TEXT(INDEX(Charge_Number,MATCH($P402,Charge_Names,0)),"000"))</f>
        <v>053.238.065</v>
      </c>
      <c r="C402" s="23" t="e">
        <f t="array" ref="C402">RANK($S402,IF(Combo_Species_Names=$N402,Combo_Gym_Offense),0)</f>
        <v>#VALUE!</v>
      </c>
      <c r="D402" s="24" t="e">
        <f t="array" ref="D402">$S402/MAX(IF(Combo_Species_Names=$N402,Combo_Gym_Offense))</f>
        <v>#VALUE!</v>
      </c>
      <c r="E402" s="23" t="e">
        <f t="array" ref="E402">RANK($Y402,IF(Combo_Species_Names=$N402,Combo_Gym_Defense),0)</f>
        <v>#VALUE!</v>
      </c>
      <c r="F402" s="25" t="e">
        <f t="array" ref="F402">$Y402/MAX(IF(Combo_Species_Names=$N402,Combo_Gym_Defense))</f>
        <v>#VALUE!</v>
      </c>
      <c r="G402" s="23" t="e">
        <f t="array" ref="G402">IF(OR(INDEX(Species_Availability,MATCH($N402,Species_Names,0))="No",INDEX(Species_Evo_Numbers,MATCH($N402,Species_Names,0))&lt;&gt;1),"N/A",RANK($R402,IF(NOT(ISNA(MATCH(Combo_Species_Names,IF(Species_Availability="Yes",IF(Species_Evo_Numbers=1,Species_Names)),0))),Combo_Duel_Ability),0))</f>
        <v>#VALUE!</v>
      </c>
      <c r="H402" s="24" t="e">
        <f t="array" ref="H402">IF(OR(INDEX(Species_Availability,MATCH($N402,Species_Names,0))="No",INDEX(Species_Evo_Numbers,MATCH($N402,Species_Names,0))&lt;&gt;1),"N/A",$R402/MAX(IF(NOT(ISNA(MATCH(Combo_Species_Names,IF(Species_Availability="Yes",IF(Species_Evo_Numbers=1,Species_Names)),0))),Combo_Duel_Ability)))</f>
        <v>#VALUE!</v>
      </c>
      <c r="I402" s="23" t="e">
        <f t="array" ref="I402">IF(OR(INDEX(Species_Availability,MATCH($N402,Species_Names,0))="No",INDEX(Species_Evo_Numbers,MATCH($N402,Species_Names,0))&lt;&gt;1),"N/A",RANK($S402,IF(NOT(ISNA(MATCH(Combo_Species_Names,IF(Species_Availability="Yes",IF(Species_Evo_Numbers=1,Species_Names)),0))),Combo_Gym_Offense),0))</f>
        <v>#VALUE!</v>
      </c>
      <c r="J402" s="24" t="e">
        <f t="array" ref="J402">IF(OR(INDEX(Species_Availability,MATCH($N402,Species_Names,0))="No",INDEX(Species_Evo_Numbers,MATCH($N402,Species_Names,0))&lt;&gt;1),"N/A",$S402/MAX(IF(NOT(ISNA(MATCH(Combo_Species_Names,IF(Species_Availability="Yes",IF(Species_Evo_Numbers=1,Species_Names)),0))),Combo_Gym_Offense)))</f>
        <v>#VALUE!</v>
      </c>
      <c r="K402" s="23" t="e">
        <f t="array" ref="K402">IF(OR(INDEX(Species_Availability,MATCH($N402,Species_Names,0))="No",INDEX(Species_Evo_Numbers,MATCH($N402,Species_Names,0))&lt;&gt;1),"N/A",RANK($Y402,IF(NOT(ISNA(MATCH(Combo_Species_Names,IF(Species_Availability="Yes",IF(Species_Evo_Numbers=1,Species_Names)),0))),Combo_Gym_Defense),0))</f>
        <v>#VALUE!</v>
      </c>
      <c r="L402" s="24" t="e">
        <f t="array" ref="L402">IF(OR(INDEX(Species_Availability,MATCH($N402,Species_Names,0))="No",INDEX(Species_Evo_Numbers,MATCH($N402,Species_Names,0))&lt;&gt;1),"N/A",$Y402/MAX(IF(NOT(ISNA(MATCH(Combo_Species_Names,IF(Species_Availability="Yes",IF(Species_Evo_Numbers=1,Species_Names)),0))),Combo_Gym_Defense)))</f>
        <v>#VALUE!</v>
      </c>
      <c r="M402" s="28">
        <f t="array" ref="M402">INDEX(Species_Pdex_Numbers,MATCH($N402,Species_Names,0))</f>
        <v>53</v>
      </c>
      <c r="N402" s="30" t="s">
        <v>195</v>
      </c>
      <c r="O402" s="31" t="s">
        <v>76</v>
      </c>
      <c r="P402" s="31" t="s">
        <v>249</v>
      </c>
      <c r="Q402" s="17" t="e">
        <f t="shared" si="12"/>
        <v>#VALUE!</v>
      </c>
      <c r="R402" s="32" t="e">
        <f t="array" ref="R402">IF(OR(AND(COUNTBLANK(Combo_Opponent_Type_1)=1,COUNTBLANK(Combo_Opponent_Type_2)=0),AND(AND(COUNTBLANK(Combo_Opponent_Type_1)=0,COUNTBLANK(Combo_Opponent_Type_2)=0),Combo_Opponent_Type_1=Combo_Opponent_Type_2)),
"Check Types",($S402*INDEX(Species_Tankiness,MATCH($N402,Species_Names,0)))/225)</f>
        <v>#VALUE!</v>
      </c>
      <c r="S402" s="32" t="e">
        <f t="array" ref="S402">IF(OR(AND(COUNTBLANK(Combo_Opponent_Type_1)=1,COUNTBLANK(Combo_Opponent_Type_2)=0),AND(AND(COUNTBLANK(Combo_Opponent_Type_1)=0,COUNTBLANK(Combo_Opponent_Type_2)=0),Combo_Opponent_Type_1=Combo_Opponent_Type_2)),
"Check Types",(
IF($W402&gt;=((1-Game_Weave_Human_Error)*$X402),$W402,$X402)*INDEX(Species_Attack,MATCH($N402,Species_Names,0)))/11)</f>
        <v>#VALUE!</v>
      </c>
      <c r="T402" s="33" t="e">
        <f t="shared" si="13"/>
        <v>#VALUE!</v>
      </c>
      <c r="U402" s="33">
        <f t="array" ref="U4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402,Quick_Names,0))),Type_Species)),0),1)*IF(COUNTBLANK(Combo_Opponent_Type_2)=0,INDEX(Type_Damage_Multipliers,MATCH(Combo_Opponent_Type_2,IF(Type_Move=(INDEX(Quick_Type,MATCH($O402,Quick_Names,0))),Type_Species)),0),1)*(IF(OR(INDEX(Quick_Type,MATCH($O402,Quick_Names,0))=INDEX(Species_Type_1,MATCH($N402,Species_Names,0)),INDEX(Quick_Type,MATCH($O402,Quick_Names,0))=INDEX(Species_Type_2,MATCH($N402,Species_Names,0))),Game_STAB_Multiplier,1)))</f>
        <v>1</v>
      </c>
      <c r="V402" s="33">
        <f t="array" ref="V4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402,Charge_Names,0))),Type_Species)),0),1)*IF(COUNTBLANK(Combo_Opponent_Type_2)=0,INDEX(Type_Damage_Multipliers,MATCH(Combo_Opponent_Type_2,IF(Type_Move=(INDEX(Charge_Type,MATCH($P402,Charge_Names,0))),Type_Species)),0),1)*
IF(OR(INDEX(Charge_Type,MATCH($P402,Charge_Names,0))=INDEX(Species_Type_1,MATCH($N402,Species_Names,0)),INDEX(Charge_Type,MATCH($P402,Charge_Names,0))=INDEX(Species_Type_2,MATCH($N402,Species_Names,0))),Game_STAB_Multiplier,1))</f>
        <v>1</v>
      </c>
      <c r="W402" s="33" t="s">
        <v>589</v>
      </c>
      <c r="X402" s="33" t="s">
        <v>714</v>
      </c>
      <c r="Y402" s="32" t="e">
        <f t="array" ref="Y402">((($Z402)*
INDEX(Species_Attack,MATCH($N402,Species_Names,0))*
INDEX(Species_Tankiness,MATCH($N402,Species_Names,0)))/1000)</f>
        <v>#VALUE!</v>
      </c>
      <c r="Z402" s="33" t="s">
        <v>900</v>
      </c>
    </row>
    <row r="403" spans="1:26" ht="14.25" customHeight="1" x14ac:dyDescent="0.2">
      <c r="A403" s="86"/>
      <c r="B403" s="22" t="str">
        <f t="array" ref="B403">CONCATENATE(TEXT($M403,"000"),".",TEXT(INDEX(Quick_Number,MATCH($O403,Quick_Names,0)),"000"),".",TEXT(INDEX(Charge_Number,MATCH($P403,Charge_Names,0)),"000"))</f>
        <v>053.238.051</v>
      </c>
      <c r="C403" s="23" t="e">
        <f t="array" ref="C403">RANK($S403,IF(Combo_Species_Names=$N403,Combo_Gym_Offense),0)</f>
        <v>#VALUE!</v>
      </c>
      <c r="D403" s="24" t="e">
        <f t="array" ref="D403">$S403/MAX(IF(Combo_Species_Names=$N403,Combo_Gym_Offense))</f>
        <v>#VALUE!</v>
      </c>
      <c r="E403" s="23" t="e">
        <f t="array" ref="E403">RANK($Y403,IF(Combo_Species_Names=$N403,Combo_Gym_Defense),0)</f>
        <v>#VALUE!</v>
      </c>
      <c r="F403" s="25" t="e">
        <f t="array" ref="F403">$Y403/MAX(IF(Combo_Species_Names=$N403,Combo_Gym_Defense))</f>
        <v>#VALUE!</v>
      </c>
      <c r="G403" s="23" t="e">
        <f t="array" ref="G403">IF(OR(INDEX(Species_Availability,MATCH($N403,Species_Names,0))="No",INDEX(Species_Evo_Numbers,MATCH($N403,Species_Names,0))&lt;&gt;1),"N/A",RANK($R403,IF(NOT(ISNA(MATCH(Combo_Species_Names,IF(Species_Availability="Yes",IF(Species_Evo_Numbers=1,Species_Names)),0))),Combo_Duel_Ability),0))</f>
        <v>#VALUE!</v>
      </c>
      <c r="H403" s="24" t="e">
        <f t="array" ref="H403">IF(OR(INDEX(Species_Availability,MATCH($N403,Species_Names,0))="No",INDEX(Species_Evo_Numbers,MATCH($N403,Species_Names,0))&lt;&gt;1),"N/A",$R403/MAX(IF(NOT(ISNA(MATCH(Combo_Species_Names,IF(Species_Availability="Yes",IF(Species_Evo_Numbers=1,Species_Names)),0))),Combo_Duel_Ability)))</f>
        <v>#VALUE!</v>
      </c>
      <c r="I403" s="23" t="e">
        <f t="array" ref="I403">IF(OR(INDEX(Species_Availability,MATCH($N403,Species_Names,0))="No",INDEX(Species_Evo_Numbers,MATCH($N403,Species_Names,0))&lt;&gt;1),"N/A",RANK($S403,IF(NOT(ISNA(MATCH(Combo_Species_Names,IF(Species_Availability="Yes",IF(Species_Evo_Numbers=1,Species_Names)),0))),Combo_Gym_Offense),0))</f>
        <v>#VALUE!</v>
      </c>
      <c r="J403" s="24" t="e">
        <f t="array" ref="J403">IF(OR(INDEX(Species_Availability,MATCH($N403,Species_Names,0))="No",INDEX(Species_Evo_Numbers,MATCH($N403,Species_Names,0))&lt;&gt;1),"N/A",$S403/MAX(IF(NOT(ISNA(MATCH(Combo_Species_Names,IF(Species_Availability="Yes",IF(Species_Evo_Numbers=1,Species_Names)),0))),Combo_Gym_Offense)))</f>
        <v>#VALUE!</v>
      </c>
      <c r="K403" s="23" t="e">
        <f t="array" ref="K403">IF(OR(INDEX(Species_Availability,MATCH($N403,Species_Names,0))="No",INDEX(Species_Evo_Numbers,MATCH($N403,Species_Names,0))&lt;&gt;1),"N/A",RANK($Y403,IF(NOT(ISNA(MATCH(Combo_Species_Names,IF(Species_Availability="Yes",IF(Species_Evo_Numbers=1,Species_Names)),0))),Combo_Gym_Defense),0))</f>
        <v>#VALUE!</v>
      </c>
      <c r="L403" s="24" t="e">
        <f t="array" ref="L403">IF(OR(INDEX(Species_Availability,MATCH($N403,Species_Names,0))="No",INDEX(Species_Evo_Numbers,MATCH($N403,Species_Names,0))&lt;&gt;1),"N/A",$Y403/MAX(IF(NOT(ISNA(MATCH(Combo_Species_Names,IF(Species_Availability="Yes",IF(Species_Evo_Numbers=1,Species_Names)),0))),Combo_Gym_Defense)))</f>
        <v>#VALUE!</v>
      </c>
      <c r="M403" s="28">
        <f t="array" ref="M403">INDEX(Species_Pdex_Numbers,MATCH($N403,Species_Names,0))</f>
        <v>53</v>
      </c>
      <c r="N403" s="30" t="s">
        <v>195</v>
      </c>
      <c r="O403" s="31" t="s">
        <v>76</v>
      </c>
      <c r="P403" s="31" t="s">
        <v>262</v>
      </c>
      <c r="Q403" s="17" t="e">
        <f t="shared" si="12"/>
        <v>#VALUE!</v>
      </c>
      <c r="R403" s="32" t="e">
        <f t="array" ref="R403">IF(OR(AND(COUNTBLANK(Combo_Opponent_Type_1)=1,COUNTBLANK(Combo_Opponent_Type_2)=0),AND(AND(COUNTBLANK(Combo_Opponent_Type_1)=0,COUNTBLANK(Combo_Opponent_Type_2)=0),Combo_Opponent_Type_1=Combo_Opponent_Type_2)),
"Check Types",($S403*INDEX(Species_Tankiness,MATCH($N403,Species_Names,0)))/225)</f>
        <v>#VALUE!</v>
      </c>
      <c r="S403" s="32" t="e">
        <f t="array" ref="S403">IF(OR(AND(COUNTBLANK(Combo_Opponent_Type_1)=1,COUNTBLANK(Combo_Opponent_Type_2)=0),AND(AND(COUNTBLANK(Combo_Opponent_Type_1)=0,COUNTBLANK(Combo_Opponent_Type_2)=0),Combo_Opponent_Type_1=Combo_Opponent_Type_2)),
"Check Types",(
IF($W403&gt;=((1-Game_Weave_Human_Error)*$X403),$W403,$X403)*INDEX(Species_Attack,MATCH($N403,Species_Names,0)))/11)</f>
        <v>#VALUE!</v>
      </c>
      <c r="T403" s="33" t="e">
        <f t="shared" si="13"/>
        <v>#VALUE!</v>
      </c>
      <c r="U403" s="33">
        <f t="array" ref="U4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403,Quick_Names,0))),Type_Species)),0),1)*IF(COUNTBLANK(Combo_Opponent_Type_2)=0,INDEX(Type_Damage_Multipliers,MATCH(Combo_Opponent_Type_2,IF(Type_Move=(INDEX(Quick_Type,MATCH($O403,Quick_Names,0))),Type_Species)),0),1)*(IF(OR(INDEX(Quick_Type,MATCH($O403,Quick_Names,0))=INDEX(Species_Type_1,MATCH($N403,Species_Names,0)),INDEX(Quick_Type,MATCH($O403,Quick_Names,0))=INDEX(Species_Type_2,MATCH($N403,Species_Names,0))),Game_STAB_Multiplier,1)))</f>
        <v>1</v>
      </c>
      <c r="V403" s="33">
        <f t="array" ref="V4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403,Charge_Names,0))),Type_Species)),0),1)*IF(COUNTBLANK(Combo_Opponent_Type_2)=0,INDEX(Type_Damage_Multipliers,MATCH(Combo_Opponent_Type_2,IF(Type_Move=(INDEX(Charge_Type,MATCH($P403,Charge_Names,0))),Type_Species)),0),1)*
IF(OR(INDEX(Charge_Type,MATCH($P403,Charge_Names,0))=INDEX(Species_Type_1,MATCH($N403,Species_Names,0)),INDEX(Charge_Type,MATCH($P403,Charge_Names,0))=INDEX(Species_Type_2,MATCH($N403,Species_Names,0))),Game_STAB_Multiplier,1))</f>
        <v>1</v>
      </c>
      <c r="W403" s="33" t="s">
        <v>589</v>
      </c>
      <c r="X403" s="33" t="s">
        <v>766</v>
      </c>
      <c r="Y403" s="32" t="e">
        <f t="array" ref="Y403">((($Z403)*
INDEX(Species_Attack,MATCH($N403,Species_Names,0))*
INDEX(Species_Tankiness,MATCH($N403,Species_Names,0)))/1000)</f>
        <v>#VALUE!</v>
      </c>
      <c r="Z403" s="33" t="s">
        <v>901</v>
      </c>
    </row>
    <row r="404" spans="1:26" ht="14.25" customHeight="1" x14ac:dyDescent="0.2">
      <c r="A404" s="86"/>
      <c r="B404" s="22" t="str">
        <f t="array" ref="B404">CONCATENATE(TEXT($M404,"000"),".",TEXT(INDEX(Quick_Number,MATCH($O404,Quick_Names,0)),"000"),".",TEXT(INDEX(Charge_Number,MATCH($P404,Charge_Names,0)),"000"))</f>
        <v>015.201.045</v>
      </c>
      <c r="C404" s="23" t="e">
        <f t="array" ref="C404">RANK($S404,IF(Combo_Species_Names=$N404,Combo_Gym_Offense),0)</f>
        <v>#VALUE!</v>
      </c>
      <c r="D404" s="24" t="e">
        <f t="array" ref="D404">$S404/MAX(IF(Combo_Species_Names=$N404,Combo_Gym_Offense))</f>
        <v>#VALUE!</v>
      </c>
      <c r="E404" s="23" t="e">
        <f t="array" ref="E404">RANK($Y404,IF(Combo_Species_Names=$N404,Combo_Gym_Defense),0)</f>
        <v>#VALUE!</v>
      </c>
      <c r="F404" s="25" t="e">
        <f t="array" ref="F404">$Y404/MAX(IF(Combo_Species_Names=$N404,Combo_Gym_Defense))</f>
        <v>#VALUE!</v>
      </c>
      <c r="G404" s="23" t="e">
        <f t="array" ref="G404">IF(OR(INDEX(Species_Availability,MATCH($N404,Species_Names,0))="No",INDEX(Species_Evo_Numbers,MATCH($N404,Species_Names,0))&lt;&gt;1),"N/A",RANK($R404,IF(NOT(ISNA(MATCH(Combo_Species_Names,IF(Species_Availability="Yes",IF(Species_Evo_Numbers=1,Species_Names)),0))),Combo_Duel_Ability),0))</f>
        <v>#VALUE!</v>
      </c>
      <c r="H404" s="24" t="e">
        <f t="array" ref="H404">IF(OR(INDEX(Species_Availability,MATCH($N404,Species_Names,0))="No",INDEX(Species_Evo_Numbers,MATCH($N404,Species_Names,0))&lt;&gt;1),"N/A",$R404/MAX(IF(NOT(ISNA(MATCH(Combo_Species_Names,IF(Species_Availability="Yes",IF(Species_Evo_Numbers=1,Species_Names)),0))),Combo_Duel_Ability)))</f>
        <v>#VALUE!</v>
      </c>
      <c r="I404" s="23" t="e">
        <f t="array" ref="I404">IF(OR(INDEX(Species_Availability,MATCH($N404,Species_Names,0))="No",INDEX(Species_Evo_Numbers,MATCH($N404,Species_Names,0))&lt;&gt;1),"N/A",RANK($S404,IF(NOT(ISNA(MATCH(Combo_Species_Names,IF(Species_Availability="Yes",IF(Species_Evo_Numbers=1,Species_Names)),0))),Combo_Gym_Offense),0))</f>
        <v>#VALUE!</v>
      </c>
      <c r="J404" s="24" t="e">
        <f t="array" ref="J404">IF(OR(INDEX(Species_Availability,MATCH($N404,Species_Names,0))="No",INDEX(Species_Evo_Numbers,MATCH($N404,Species_Names,0))&lt;&gt;1),"N/A",$S404/MAX(IF(NOT(ISNA(MATCH(Combo_Species_Names,IF(Species_Availability="Yes",IF(Species_Evo_Numbers=1,Species_Names)),0))),Combo_Gym_Offense)))</f>
        <v>#VALUE!</v>
      </c>
      <c r="K404" s="23" t="e">
        <f t="array" ref="K404">IF(OR(INDEX(Species_Availability,MATCH($N404,Species_Names,0))="No",INDEX(Species_Evo_Numbers,MATCH($N404,Species_Names,0))&lt;&gt;1),"N/A",RANK($Y404,IF(NOT(ISNA(MATCH(Combo_Species_Names,IF(Species_Availability="Yes",IF(Species_Evo_Numbers=1,Species_Names)),0))),Combo_Gym_Defense),0))</f>
        <v>#VALUE!</v>
      </c>
      <c r="L404" s="24" t="e">
        <f t="array" ref="L404">IF(OR(INDEX(Species_Availability,MATCH($N404,Species_Names,0))="No",INDEX(Species_Evo_Numbers,MATCH($N404,Species_Names,0))&lt;&gt;1),"N/A",$Y404/MAX(IF(NOT(ISNA(MATCH(Combo_Species_Names,IF(Species_Availability="Yes",IF(Species_Evo_Numbers=1,Species_Names)),0))),Combo_Gym_Defense)))</f>
        <v>#VALUE!</v>
      </c>
      <c r="M404" s="28">
        <f t="array" ref="M404">INDEX(Species_Pdex_Numbers,MATCH($N404,Species_Names,0))</f>
        <v>15</v>
      </c>
      <c r="N404" s="30" t="s">
        <v>120</v>
      </c>
      <c r="O404" s="31" t="s">
        <v>82</v>
      </c>
      <c r="P404" s="31" t="s">
        <v>287</v>
      </c>
      <c r="Q404" s="17" t="e">
        <f t="shared" si="12"/>
        <v>#VALUE!</v>
      </c>
      <c r="R404" s="32" t="e">
        <f t="array" ref="R404">IF(OR(AND(COUNTBLANK(Combo_Opponent_Type_1)=1,COUNTBLANK(Combo_Opponent_Type_2)=0),AND(AND(COUNTBLANK(Combo_Opponent_Type_1)=0,COUNTBLANK(Combo_Opponent_Type_2)=0),Combo_Opponent_Type_1=Combo_Opponent_Type_2)),
"Check Types",($S404*INDEX(Species_Tankiness,MATCH($N404,Species_Names,0)))/225)</f>
        <v>#VALUE!</v>
      </c>
      <c r="S404" s="32" t="e">
        <f t="array" ref="S404">IF(OR(AND(COUNTBLANK(Combo_Opponent_Type_1)=1,COUNTBLANK(Combo_Opponent_Type_2)=0),AND(AND(COUNTBLANK(Combo_Opponent_Type_1)=0,COUNTBLANK(Combo_Opponent_Type_2)=0),Combo_Opponent_Type_1=Combo_Opponent_Type_2)),
"Check Types",(
IF($W404&gt;=((1-Game_Weave_Human_Error)*$X404),$W404,$X404)*INDEX(Species_Attack,MATCH($N404,Species_Names,0)))/11)</f>
        <v>#VALUE!</v>
      </c>
      <c r="T404" s="33" t="e">
        <f t="shared" si="13"/>
        <v>#VALUE!</v>
      </c>
      <c r="U404" s="33">
        <f t="array" ref="U4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404,Quick_Names,0))),Type_Species)),0),1)*IF(COUNTBLANK(Combo_Opponent_Type_2)=0,INDEX(Type_Damage_Multipliers,MATCH(Combo_Opponent_Type_2,IF(Type_Move=(INDEX(Quick_Type,MATCH($O404,Quick_Names,0))),Type_Species)),0),1)*(IF(OR(INDEX(Quick_Type,MATCH($O404,Quick_Names,0))=INDEX(Species_Type_1,MATCH($N404,Species_Names,0)),INDEX(Quick_Type,MATCH($O404,Quick_Names,0))=INDEX(Species_Type_2,MATCH($N404,Species_Names,0))),Game_STAB_Multiplier,1)))</f>
        <v>1.25</v>
      </c>
      <c r="V404" s="33">
        <f t="array" ref="V4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404,Charge_Names,0))),Type_Species)),0),1)*IF(COUNTBLANK(Combo_Opponent_Type_2)=0,INDEX(Type_Damage_Multipliers,MATCH(Combo_Opponent_Type_2,IF(Type_Move=(INDEX(Charge_Type,MATCH($P404,Charge_Names,0))),Type_Species)),0),1)*
IF(OR(INDEX(Charge_Type,MATCH($P404,Charge_Names,0))=INDEX(Species_Type_1,MATCH($N404,Species_Names,0)),INDEX(Charge_Type,MATCH($P404,Charge_Names,0))=INDEX(Species_Type_2,MATCH($N404,Species_Names,0))),Game_STAB_Multiplier,1))</f>
        <v>1</v>
      </c>
      <c r="W404" s="33" t="s">
        <v>436</v>
      </c>
      <c r="X404" s="33" t="s">
        <v>902</v>
      </c>
      <c r="Y404" s="32" t="e">
        <f t="array" ref="Y404">((($Z404)*
INDEX(Species_Attack,MATCH($N404,Species_Names,0))*
INDEX(Species_Tankiness,MATCH($N404,Species_Names,0)))/1000)</f>
        <v>#VALUE!</v>
      </c>
      <c r="Z404" s="33" t="s">
        <v>903</v>
      </c>
    </row>
    <row r="405" spans="1:26" ht="14.25" customHeight="1" x14ac:dyDescent="0.2">
      <c r="A405" s="86"/>
      <c r="B405" s="22" t="str">
        <f t="array" ref="B405">CONCATENATE(TEXT($M405,"000"),".",TEXT(INDEX(Quick_Number,MATCH($O405,Quick_Names,0)),"000"),".",TEXT(INDEX(Charge_Number,MATCH($P405,Charge_Names,0)),"000"))</f>
        <v>106.241.056</v>
      </c>
      <c r="C405" s="23" t="e">
        <f t="array" ref="C405">RANK($S405,IF(Combo_Species_Names=$N405,Combo_Gym_Offense),0)</f>
        <v>#VALUE!</v>
      </c>
      <c r="D405" s="24" t="e">
        <f t="array" ref="D405">$S405/MAX(IF(Combo_Species_Names=$N405,Combo_Gym_Offense))</f>
        <v>#VALUE!</v>
      </c>
      <c r="E405" s="23" t="e">
        <f t="array" ref="E405">RANK($Y405,IF(Combo_Species_Names=$N405,Combo_Gym_Defense),0)</f>
        <v>#VALUE!</v>
      </c>
      <c r="F405" s="25" t="e">
        <f t="array" ref="F405">$Y405/MAX(IF(Combo_Species_Names=$N405,Combo_Gym_Defense))</f>
        <v>#VALUE!</v>
      </c>
      <c r="G405" s="23" t="e">
        <f t="array" ref="G405">IF(OR(INDEX(Species_Availability,MATCH($N405,Species_Names,0))="No",INDEX(Species_Evo_Numbers,MATCH($N405,Species_Names,0))&lt;&gt;1),"N/A",RANK($R405,IF(NOT(ISNA(MATCH(Combo_Species_Names,IF(Species_Availability="Yes",IF(Species_Evo_Numbers=1,Species_Names)),0))),Combo_Duel_Ability),0))</f>
        <v>#VALUE!</v>
      </c>
      <c r="H405" s="24" t="e">
        <f t="array" ref="H405">IF(OR(INDEX(Species_Availability,MATCH($N405,Species_Names,0))="No",INDEX(Species_Evo_Numbers,MATCH($N405,Species_Names,0))&lt;&gt;1),"N/A",$R405/MAX(IF(NOT(ISNA(MATCH(Combo_Species_Names,IF(Species_Availability="Yes",IF(Species_Evo_Numbers=1,Species_Names)),0))),Combo_Duel_Ability)))</f>
        <v>#VALUE!</v>
      </c>
      <c r="I405" s="23" t="e">
        <f t="array" ref="I405">IF(OR(INDEX(Species_Availability,MATCH($N405,Species_Names,0))="No",INDEX(Species_Evo_Numbers,MATCH($N405,Species_Names,0))&lt;&gt;1),"N/A",RANK($S405,IF(NOT(ISNA(MATCH(Combo_Species_Names,IF(Species_Availability="Yes",IF(Species_Evo_Numbers=1,Species_Names)),0))),Combo_Gym_Offense),0))</f>
        <v>#VALUE!</v>
      </c>
      <c r="J405" s="24" t="e">
        <f t="array" ref="J405">IF(OR(INDEX(Species_Availability,MATCH($N405,Species_Names,0))="No",INDEX(Species_Evo_Numbers,MATCH($N405,Species_Names,0))&lt;&gt;1),"N/A",$S405/MAX(IF(NOT(ISNA(MATCH(Combo_Species_Names,IF(Species_Availability="Yes",IF(Species_Evo_Numbers=1,Species_Names)),0))),Combo_Gym_Offense)))</f>
        <v>#VALUE!</v>
      </c>
      <c r="K405" s="23" t="e">
        <f t="array" ref="K405">IF(OR(INDEX(Species_Availability,MATCH($N405,Species_Names,0))="No",INDEX(Species_Evo_Numbers,MATCH($N405,Species_Names,0))&lt;&gt;1),"N/A",RANK($Y405,IF(NOT(ISNA(MATCH(Combo_Species_Names,IF(Species_Availability="Yes",IF(Species_Evo_Numbers=1,Species_Names)),0))),Combo_Gym_Defense),0))</f>
        <v>#VALUE!</v>
      </c>
      <c r="L405" s="24" t="e">
        <f t="array" ref="L405">IF(OR(INDEX(Species_Availability,MATCH($N405,Species_Names,0))="No",INDEX(Species_Evo_Numbers,MATCH($N405,Species_Names,0))&lt;&gt;1),"N/A",$Y405/MAX(IF(NOT(ISNA(MATCH(Combo_Species_Names,IF(Species_Availability="Yes",IF(Species_Evo_Numbers=1,Species_Names)),0))),Combo_Gym_Defense)))</f>
        <v>#VALUE!</v>
      </c>
      <c r="M405" s="28">
        <f t="array" ref="M405">INDEX(Species_Pdex_Numbers,MATCH($N405,Species_Names,0))</f>
        <v>106</v>
      </c>
      <c r="N405" s="30" t="s">
        <v>315</v>
      </c>
      <c r="O405" s="31" t="s">
        <v>97</v>
      </c>
      <c r="P405" s="31" t="s">
        <v>255</v>
      </c>
      <c r="Q405" s="17" t="e">
        <f t="shared" si="12"/>
        <v>#VALUE!</v>
      </c>
      <c r="R405" s="32" t="e">
        <f t="array" ref="R405">IF(OR(AND(COUNTBLANK(Combo_Opponent_Type_1)=1,COUNTBLANK(Combo_Opponent_Type_2)=0),AND(AND(COUNTBLANK(Combo_Opponent_Type_1)=0,COUNTBLANK(Combo_Opponent_Type_2)=0),Combo_Opponent_Type_1=Combo_Opponent_Type_2)),
"Check Types",($S405*INDEX(Species_Tankiness,MATCH($N405,Species_Names,0)))/225)</f>
        <v>#VALUE!</v>
      </c>
      <c r="S405" s="32" t="e">
        <f t="array" ref="S405">IF(OR(AND(COUNTBLANK(Combo_Opponent_Type_1)=1,COUNTBLANK(Combo_Opponent_Type_2)=0),AND(AND(COUNTBLANK(Combo_Opponent_Type_1)=0,COUNTBLANK(Combo_Opponent_Type_2)=0),Combo_Opponent_Type_1=Combo_Opponent_Type_2)),
"Check Types",(
IF($W405&gt;=((1-Game_Weave_Human_Error)*$X405),$W405,$X405)*INDEX(Species_Attack,MATCH($N405,Species_Names,0)))/11)</f>
        <v>#VALUE!</v>
      </c>
      <c r="T405" s="33" t="e">
        <f t="shared" si="13"/>
        <v>#VALUE!</v>
      </c>
      <c r="U405" s="33">
        <f t="array" ref="U4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405,Quick_Names,0))),Type_Species)),0),1)*IF(COUNTBLANK(Combo_Opponent_Type_2)=0,INDEX(Type_Damage_Multipliers,MATCH(Combo_Opponent_Type_2,IF(Type_Move=(INDEX(Quick_Type,MATCH($O405,Quick_Names,0))),Type_Species)),0),1)*(IF(OR(INDEX(Quick_Type,MATCH($O405,Quick_Names,0))=INDEX(Species_Type_1,MATCH($N405,Species_Names,0)),INDEX(Quick_Type,MATCH($O405,Quick_Names,0))=INDEX(Species_Type_2,MATCH($N405,Species_Names,0))),Game_STAB_Multiplier,1)))</f>
        <v>1.25</v>
      </c>
      <c r="V405" s="33">
        <f t="array" ref="V4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405,Charge_Names,0))),Type_Species)),0),1)*IF(COUNTBLANK(Combo_Opponent_Type_2)=0,INDEX(Type_Damage_Multipliers,MATCH(Combo_Opponent_Type_2,IF(Type_Move=(INDEX(Charge_Type,MATCH($P405,Charge_Names,0))),Type_Species)),0),1)*
IF(OR(INDEX(Charge_Type,MATCH($P405,Charge_Names,0))=INDEX(Species_Type_1,MATCH($N405,Species_Names,0)),INDEX(Charge_Type,MATCH($P405,Charge_Names,0))=INDEX(Species_Type_2,MATCH($N405,Species_Names,0))),Game_STAB_Multiplier,1))</f>
        <v>1.25</v>
      </c>
      <c r="W405" s="33" t="s">
        <v>842</v>
      </c>
      <c r="X405" s="33" t="s">
        <v>481</v>
      </c>
      <c r="Y405" s="32" t="e">
        <f t="array" ref="Y405">((($Z405)*
INDEX(Species_Attack,MATCH($N405,Species_Names,0))*
INDEX(Species_Tankiness,MATCH($N405,Species_Names,0)))/1000)</f>
        <v>#VALUE!</v>
      </c>
      <c r="Z405" s="33" t="s">
        <v>725</v>
      </c>
    </row>
    <row r="406" spans="1:26" ht="14.25" customHeight="1" x14ac:dyDescent="0.2">
      <c r="A406" s="86"/>
      <c r="B406" s="22" t="str">
        <f t="array" ref="B406">CONCATENATE(TEXT($M406,"000"),".",TEXT(INDEX(Quick_Number,MATCH($O406,Quick_Names,0)),"000"),".",TEXT(INDEX(Charge_Number,MATCH($P406,Charge_Names,0)),"000"))</f>
        <v>106.241.127</v>
      </c>
      <c r="C406" s="23" t="e">
        <f t="array" ref="C406">RANK($S406,IF(Combo_Species_Names=$N406,Combo_Gym_Offense),0)</f>
        <v>#VALUE!</v>
      </c>
      <c r="D406" s="24" t="e">
        <f t="array" ref="D406">$S406/MAX(IF(Combo_Species_Names=$N406,Combo_Gym_Offense))</f>
        <v>#VALUE!</v>
      </c>
      <c r="E406" s="23" t="e">
        <f t="array" ref="E406">RANK($Y406,IF(Combo_Species_Names=$N406,Combo_Gym_Defense),0)</f>
        <v>#VALUE!</v>
      </c>
      <c r="F406" s="25" t="e">
        <f t="array" ref="F406">$Y406/MAX(IF(Combo_Species_Names=$N406,Combo_Gym_Defense))</f>
        <v>#VALUE!</v>
      </c>
      <c r="G406" s="23" t="e">
        <f t="array" ref="G406">IF(OR(INDEX(Species_Availability,MATCH($N406,Species_Names,0))="No",INDEX(Species_Evo_Numbers,MATCH($N406,Species_Names,0))&lt;&gt;1),"N/A",RANK($R406,IF(NOT(ISNA(MATCH(Combo_Species_Names,IF(Species_Availability="Yes",IF(Species_Evo_Numbers=1,Species_Names)),0))),Combo_Duel_Ability),0))</f>
        <v>#VALUE!</v>
      </c>
      <c r="H406" s="24" t="e">
        <f t="array" ref="H406">IF(OR(INDEX(Species_Availability,MATCH($N406,Species_Names,0))="No",INDEX(Species_Evo_Numbers,MATCH($N406,Species_Names,0))&lt;&gt;1),"N/A",$R406/MAX(IF(NOT(ISNA(MATCH(Combo_Species_Names,IF(Species_Availability="Yes",IF(Species_Evo_Numbers=1,Species_Names)),0))),Combo_Duel_Ability)))</f>
        <v>#VALUE!</v>
      </c>
      <c r="I406" s="23" t="e">
        <f t="array" ref="I406">IF(OR(INDEX(Species_Availability,MATCH($N406,Species_Names,0))="No",INDEX(Species_Evo_Numbers,MATCH($N406,Species_Names,0))&lt;&gt;1),"N/A",RANK($S406,IF(NOT(ISNA(MATCH(Combo_Species_Names,IF(Species_Availability="Yes",IF(Species_Evo_Numbers=1,Species_Names)),0))),Combo_Gym_Offense),0))</f>
        <v>#VALUE!</v>
      </c>
      <c r="J406" s="24" t="e">
        <f t="array" ref="J406">IF(OR(INDEX(Species_Availability,MATCH($N406,Species_Names,0))="No",INDEX(Species_Evo_Numbers,MATCH($N406,Species_Names,0))&lt;&gt;1),"N/A",$S406/MAX(IF(NOT(ISNA(MATCH(Combo_Species_Names,IF(Species_Availability="Yes",IF(Species_Evo_Numbers=1,Species_Names)),0))),Combo_Gym_Offense)))</f>
        <v>#VALUE!</v>
      </c>
      <c r="K406" s="23" t="e">
        <f t="array" ref="K406">IF(OR(INDEX(Species_Availability,MATCH($N406,Species_Names,0))="No",INDEX(Species_Evo_Numbers,MATCH($N406,Species_Names,0))&lt;&gt;1),"N/A",RANK($Y406,IF(NOT(ISNA(MATCH(Combo_Species_Names,IF(Species_Availability="Yes",IF(Species_Evo_Numbers=1,Species_Names)),0))),Combo_Gym_Defense),0))</f>
        <v>#VALUE!</v>
      </c>
      <c r="L406" s="24" t="e">
        <f t="array" ref="L406">IF(OR(INDEX(Species_Availability,MATCH($N406,Species_Names,0))="No",INDEX(Species_Evo_Numbers,MATCH($N406,Species_Names,0))&lt;&gt;1),"N/A",$Y406/MAX(IF(NOT(ISNA(MATCH(Combo_Species_Names,IF(Species_Availability="Yes",IF(Species_Evo_Numbers=1,Species_Names)),0))),Combo_Gym_Defense)))</f>
        <v>#VALUE!</v>
      </c>
      <c r="M406" s="28">
        <f t="array" ref="M406">INDEX(Species_Pdex_Numbers,MATCH($N406,Species_Names,0))</f>
        <v>106</v>
      </c>
      <c r="N406" s="30" t="s">
        <v>315</v>
      </c>
      <c r="O406" s="31" t="s">
        <v>97</v>
      </c>
      <c r="P406" s="31" t="s">
        <v>241</v>
      </c>
      <c r="Q406" s="17" t="e">
        <f t="shared" si="12"/>
        <v>#VALUE!</v>
      </c>
      <c r="R406" s="32" t="e">
        <f t="array" ref="R406">IF(OR(AND(COUNTBLANK(Combo_Opponent_Type_1)=1,COUNTBLANK(Combo_Opponent_Type_2)=0),AND(AND(COUNTBLANK(Combo_Opponent_Type_1)=0,COUNTBLANK(Combo_Opponent_Type_2)=0),Combo_Opponent_Type_1=Combo_Opponent_Type_2)),
"Check Types",($S406*INDEX(Species_Tankiness,MATCH($N406,Species_Names,0)))/225)</f>
        <v>#VALUE!</v>
      </c>
      <c r="S406" s="32" t="e">
        <f t="array" ref="S406">IF(OR(AND(COUNTBLANK(Combo_Opponent_Type_1)=1,COUNTBLANK(Combo_Opponent_Type_2)=0),AND(AND(COUNTBLANK(Combo_Opponent_Type_1)=0,COUNTBLANK(Combo_Opponent_Type_2)=0),Combo_Opponent_Type_1=Combo_Opponent_Type_2)),
"Check Types",(
IF($W406&gt;=((1-Game_Weave_Human_Error)*$X406),$W406,$X406)*INDEX(Species_Attack,MATCH($N406,Species_Names,0)))/11)</f>
        <v>#VALUE!</v>
      </c>
      <c r="T406" s="33" t="e">
        <f t="shared" si="13"/>
        <v>#VALUE!</v>
      </c>
      <c r="U406" s="33">
        <f t="array" ref="U4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406,Quick_Names,0))),Type_Species)),0),1)*IF(COUNTBLANK(Combo_Opponent_Type_2)=0,INDEX(Type_Damage_Multipliers,MATCH(Combo_Opponent_Type_2,IF(Type_Move=(INDEX(Quick_Type,MATCH($O406,Quick_Names,0))),Type_Species)),0),1)*(IF(OR(INDEX(Quick_Type,MATCH($O406,Quick_Names,0))=INDEX(Species_Type_1,MATCH($N406,Species_Names,0)),INDEX(Quick_Type,MATCH($O406,Quick_Names,0))=INDEX(Species_Type_2,MATCH($N406,Species_Names,0))),Game_STAB_Multiplier,1)))</f>
        <v>1.25</v>
      </c>
      <c r="V406" s="33">
        <f t="array" ref="V4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406,Charge_Names,0))),Type_Species)),0),1)*IF(COUNTBLANK(Combo_Opponent_Type_2)=0,INDEX(Type_Damage_Multipliers,MATCH(Combo_Opponent_Type_2,IF(Type_Move=(INDEX(Charge_Type,MATCH($P406,Charge_Names,0))),Type_Species)),0),1)*
IF(OR(INDEX(Charge_Type,MATCH($P406,Charge_Names,0))=INDEX(Species_Type_1,MATCH($N406,Species_Names,0)),INDEX(Charge_Type,MATCH($P406,Charge_Names,0))=INDEX(Species_Type_2,MATCH($N406,Species_Names,0))),Game_STAB_Multiplier,1))</f>
        <v>1</v>
      </c>
      <c r="W406" s="33" t="s">
        <v>842</v>
      </c>
      <c r="X406" s="33" t="s">
        <v>904</v>
      </c>
      <c r="Y406" s="32" t="e">
        <f t="array" ref="Y406">((($Z406)*
INDEX(Species_Attack,MATCH($N406,Species_Names,0))*
INDEX(Species_Tankiness,MATCH($N406,Species_Names,0)))/1000)</f>
        <v>#VALUE!</v>
      </c>
      <c r="Z406" s="33" t="s">
        <v>492</v>
      </c>
    </row>
    <row r="407" spans="1:26" ht="14.25" customHeight="1" x14ac:dyDescent="0.2">
      <c r="A407" s="86"/>
      <c r="B407" s="22" t="str">
        <f t="array" ref="B407">CONCATENATE(TEXT($M407,"000"),".",TEXT(INDEX(Quick_Number,MATCH($O407,Quick_Names,0)),"000"),".",TEXT(INDEX(Charge_Number,MATCH($P407,Charge_Names,0)),"000"))</f>
        <v>137.219.035</v>
      </c>
      <c r="C407" s="23" t="e">
        <f t="array" ref="C407">RANK($S407,IF(Combo_Species_Names=$N407,Combo_Gym_Offense),0)</f>
        <v>#VALUE!</v>
      </c>
      <c r="D407" s="24" t="e">
        <f t="array" ref="D407">$S407/MAX(IF(Combo_Species_Names=$N407,Combo_Gym_Offense))</f>
        <v>#VALUE!</v>
      </c>
      <c r="E407" s="23" t="e">
        <f t="array" ref="E407">RANK($Y407,IF(Combo_Species_Names=$N407,Combo_Gym_Defense),0)</f>
        <v>#VALUE!</v>
      </c>
      <c r="F407" s="25" t="e">
        <f t="array" ref="F407">$Y407/MAX(IF(Combo_Species_Names=$N407,Combo_Gym_Defense))</f>
        <v>#VALUE!</v>
      </c>
      <c r="G407" s="23" t="e">
        <f t="array" ref="G407">IF(OR(INDEX(Species_Availability,MATCH($N407,Species_Names,0))="No",INDEX(Species_Evo_Numbers,MATCH($N407,Species_Names,0))&lt;&gt;1),"N/A",RANK($R407,IF(NOT(ISNA(MATCH(Combo_Species_Names,IF(Species_Availability="Yes",IF(Species_Evo_Numbers=1,Species_Names)),0))),Combo_Duel_Ability),0))</f>
        <v>#VALUE!</v>
      </c>
      <c r="H407" s="24" t="e">
        <f t="array" ref="H407">IF(OR(INDEX(Species_Availability,MATCH($N407,Species_Names,0))="No",INDEX(Species_Evo_Numbers,MATCH($N407,Species_Names,0))&lt;&gt;1),"N/A",$R407/MAX(IF(NOT(ISNA(MATCH(Combo_Species_Names,IF(Species_Availability="Yes",IF(Species_Evo_Numbers=1,Species_Names)),0))),Combo_Duel_Ability)))</f>
        <v>#VALUE!</v>
      </c>
      <c r="I407" s="23" t="e">
        <f t="array" ref="I407">IF(OR(INDEX(Species_Availability,MATCH($N407,Species_Names,0))="No",INDEX(Species_Evo_Numbers,MATCH($N407,Species_Names,0))&lt;&gt;1),"N/A",RANK($S407,IF(NOT(ISNA(MATCH(Combo_Species_Names,IF(Species_Availability="Yes",IF(Species_Evo_Numbers=1,Species_Names)),0))),Combo_Gym_Offense),0))</f>
        <v>#VALUE!</v>
      </c>
      <c r="J407" s="24" t="e">
        <f t="array" ref="J407">IF(OR(INDEX(Species_Availability,MATCH($N407,Species_Names,0))="No",INDEX(Species_Evo_Numbers,MATCH($N407,Species_Names,0))&lt;&gt;1),"N/A",$S407/MAX(IF(NOT(ISNA(MATCH(Combo_Species_Names,IF(Species_Availability="Yes",IF(Species_Evo_Numbers=1,Species_Names)),0))),Combo_Gym_Offense)))</f>
        <v>#VALUE!</v>
      </c>
      <c r="K407" s="23" t="e">
        <f t="array" ref="K407">IF(OR(INDEX(Species_Availability,MATCH($N407,Species_Names,0))="No",INDEX(Species_Evo_Numbers,MATCH($N407,Species_Names,0))&lt;&gt;1),"N/A",RANK($Y407,IF(NOT(ISNA(MATCH(Combo_Species_Names,IF(Species_Availability="Yes",IF(Species_Evo_Numbers=1,Species_Names)),0))),Combo_Gym_Defense),0))</f>
        <v>#VALUE!</v>
      </c>
      <c r="L407" s="24" t="e">
        <f t="array" ref="L407">IF(OR(INDEX(Species_Availability,MATCH($N407,Species_Names,0))="No",INDEX(Species_Evo_Numbers,MATCH($N407,Species_Names,0))&lt;&gt;1),"N/A",$Y407/MAX(IF(NOT(ISNA(MATCH(Combo_Species_Names,IF(Species_Availability="Yes",IF(Species_Evo_Numbers=1,Species_Names)),0))),Combo_Gym_Defense)))</f>
        <v>#VALUE!</v>
      </c>
      <c r="M407" s="28">
        <f t="array" ref="M407">INDEX(Species_Pdex_Numbers,MATCH($N407,Species_Names,0))</f>
        <v>137</v>
      </c>
      <c r="N407" s="30" t="s">
        <v>355</v>
      </c>
      <c r="O407" s="31" t="s">
        <v>119</v>
      </c>
      <c r="P407" s="31" t="s">
        <v>245</v>
      </c>
      <c r="Q407" s="17" t="e">
        <f t="shared" si="12"/>
        <v>#VALUE!</v>
      </c>
      <c r="R407" s="32" t="e">
        <f t="array" ref="R407">IF(OR(AND(COUNTBLANK(Combo_Opponent_Type_1)=1,COUNTBLANK(Combo_Opponent_Type_2)=0),AND(AND(COUNTBLANK(Combo_Opponent_Type_1)=0,COUNTBLANK(Combo_Opponent_Type_2)=0),Combo_Opponent_Type_1=Combo_Opponent_Type_2)),
"Check Types",($S407*INDEX(Species_Tankiness,MATCH($N407,Species_Names,0)))/225)</f>
        <v>#VALUE!</v>
      </c>
      <c r="S407" s="32" t="e">
        <f t="array" ref="S407">IF(OR(AND(COUNTBLANK(Combo_Opponent_Type_1)=1,COUNTBLANK(Combo_Opponent_Type_2)=0),AND(AND(COUNTBLANK(Combo_Opponent_Type_1)=0,COUNTBLANK(Combo_Opponent_Type_2)=0),Combo_Opponent_Type_1=Combo_Opponent_Type_2)),
"Check Types",(
IF($W407&gt;=((1-Game_Weave_Human_Error)*$X407),$W407,$X407)*INDEX(Species_Attack,MATCH($N407,Species_Names,0)))/11)</f>
        <v>#VALUE!</v>
      </c>
      <c r="T407" s="33" t="e">
        <f t="shared" si="13"/>
        <v>#VALUE!</v>
      </c>
      <c r="U407" s="33">
        <f t="array" ref="U4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407,Quick_Names,0))),Type_Species)),0),1)*IF(COUNTBLANK(Combo_Opponent_Type_2)=0,INDEX(Type_Damage_Multipliers,MATCH(Combo_Opponent_Type_2,IF(Type_Move=(INDEX(Quick_Type,MATCH($O407,Quick_Names,0))),Type_Species)),0),1)*(IF(OR(INDEX(Quick_Type,MATCH($O407,Quick_Names,0))=INDEX(Species_Type_1,MATCH($N407,Species_Names,0)),INDEX(Quick_Type,MATCH($O407,Quick_Names,0))=INDEX(Species_Type_2,MATCH($N407,Species_Names,0))),Game_STAB_Multiplier,1)))</f>
        <v>1.25</v>
      </c>
      <c r="V407" s="33">
        <f t="array" ref="V4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407,Charge_Names,0))),Type_Species)),0),1)*IF(COUNTBLANK(Combo_Opponent_Type_2)=0,INDEX(Type_Damage_Multipliers,MATCH(Combo_Opponent_Type_2,IF(Type_Move=(INDEX(Charge_Type,MATCH($P407,Charge_Names,0))),Type_Species)),0),1)*
IF(OR(INDEX(Charge_Type,MATCH($P407,Charge_Names,0))=INDEX(Species_Type_1,MATCH($N407,Species_Names,0)),INDEX(Charge_Type,MATCH($P407,Charge_Names,0))=INDEX(Species_Type_2,MATCH($N407,Species_Names,0))),Game_STAB_Multiplier,1))</f>
        <v>1</v>
      </c>
      <c r="W407" s="33" t="s">
        <v>564</v>
      </c>
      <c r="X407" s="33" t="s">
        <v>905</v>
      </c>
      <c r="Y407" s="32" t="e">
        <f t="array" ref="Y407">((($Z407)*
INDEX(Species_Attack,MATCH($N407,Species_Names,0))*
INDEX(Species_Tankiness,MATCH($N407,Species_Names,0)))/1000)</f>
        <v>#VALUE!</v>
      </c>
      <c r="Z407" s="33" t="s">
        <v>906</v>
      </c>
    </row>
    <row r="408" spans="1:26" ht="14.25" customHeight="1" x14ac:dyDescent="0.2">
      <c r="A408" s="86"/>
      <c r="B408" s="22" t="str">
        <f t="array" ref="B408">CONCATENATE(TEXT($M408,"000"),".",TEXT(INDEX(Quick_Number,MATCH($O408,Quick_Names,0)),"000"),".",TEXT(INDEX(Charge_Number,MATCH($P408,Charge_Names,0)),"000"))</f>
        <v>107.229.123</v>
      </c>
      <c r="C408" s="23" t="e">
        <f t="array" ref="C408">RANK($S408,IF(Combo_Species_Names=$N408,Combo_Gym_Offense),0)</f>
        <v>#VALUE!</v>
      </c>
      <c r="D408" s="24" t="e">
        <f t="array" ref="D408">$S408/MAX(IF(Combo_Species_Names=$N408,Combo_Gym_Offense))</f>
        <v>#VALUE!</v>
      </c>
      <c r="E408" s="23" t="e">
        <f t="array" ref="E408">RANK($Y408,IF(Combo_Species_Names=$N408,Combo_Gym_Defense),0)</f>
        <v>#VALUE!</v>
      </c>
      <c r="F408" s="25" t="e">
        <f t="array" ref="F408">$Y408/MAX(IF(Combo_Species_Names=$N408,Combo_Gym_Defense))</f>
        <v>#VALUE!</v>
      </c>
      <c r="G408" s="23" t="e">
        <f t="array" ref="G408">IF(OR(INDEX(Species_Availability,MATCH($N408,Species_Names,0))="No",INDEX(Species_Evo_Numbers,MATCH($N408,Species_Names,0))&lt;&gt;1),"N/A",RANK($R408,IF(NOT(ISNA(MATCH(Combo_Species_Names,IF(Species_Availability="Yes",IF(Species_Evo_Numbers=1,Species_Names)),0))),Combo_Duel_Ability),0))</f>
        <v>#VALUE!</v>
      </c>
      <c r="H408" s="24" t="e">
        <f t="array" ref="H408">IF(OR(INDEX(Species_Availability,MATCH($N408,Species_Names,0))="No",INDEX(Species_Evo_Numbers,MATCH($N408,Species_Names,0))&lt;&gt;1),"N/A",$R408/MAX(IF(NOT(ISNA(MATCH(Combo_Species_Names,IF(Species_Availability="Yes",IF(Species_Evo_Numbers=1,Species_Names)),0))),Combo_Duel_Ability)))</f>
        <v>#VALUE!</v>
      </c>
      <c r="I408" s="23" t="e">
        <f t="array" ref="I408">IF(OR(INDEX(Species_Availability,MATCH($N408,Species_Names,0))="No",INDEX(Species_Evo_Numbers,MATCH($N408,Species_Names,0))&lt;&gt;1),"N/A",RANK($S408,IF(NOT(ISNA(MATCH(Combo_Species_Names,IF(Species_Availability="Yes",IF(Species_Evo_Numbers=1,Species_Names)),0))),Combo_Gym_Offense),0))</f>
        <v>#VALUE!</v>
      </c>
      <c r="J408" s="24" t="e">
        <f t="array" ref="J408">IF(OR(INDEX(Species_Availability,MATCH($N408,Species_Names,0))="No",INDEX(Species_Evo_Numbers,MATCH($N408,Species_Names,0))&lt;&gt;1),"N/A",$S408/MAX(IF(NOT(ISNA(MATCH(Combo_Species_Names,IF(Species_Availability="Yes",IF(Species_Evo_Numbers=1,Species_Names)),0))),Combo_Gym_Offense)))</f>
        <v>#VALUE!</v>
      </c>
      <c r="K408" s="23" t="e">
        <f t="array" ref="K408">IF(OR(INDEX(Species_Availability,MATCH($N408,Species_Names,0))="No",INDEX(Species_Evo_Numbers,MATCH($N408,Species_Names,0))&lt;&gt;1),"N/A",RANK($Y408,IF(NOT(ISNA(MATCH(Combo_Species_Names,IF(Species_Availability="Yes",IF(Species_Evo_Numbers=1,Species_Names)),0))),Combo_Gym_Defense),0))</f>
        <v>#VALUE!</v>
      </c>
      <c r="L408" s="24" t="e">
        <f t="array" ref="L408">IF(OR(INDEX(Species_Availability,MATCH($N408,Species_Names,0))="No",INDEX(Species_Evo_Numbers,MATCH($N408,Species_Names,0))&lt;&gt;1),"N/A",$Y408/MAX(IF(NOT(ISNA(MATCH(Combo_Species_Names,IF(Species_Availability="Yes",IF(Species_Evo_Numbers=1,Species_Names)),0))),Combo_Gym_Defense)))</f>
        <v>#VALUE!</v>
      </c>
      <c r="M408" s="28">
        <f t="array" ref="M408">INDEX(Species_Pdex_Numbers,MATCH($N408,Species_Names,0))</f>
        <v>107</v>
      </c>
      <c r="N408" s="30" t="s">
        <v>317</v>
      </c>
      <c r="O408" s="31" t="s">
        <v>118</v>
      </c>
      <c r="P408" s="31" t="s">
        <v>188</v>
      </c>
      <c r="Q408" s="17" t="e">
        <f t="shared" si="12"/>
        <v>#VALUE!</v>
      </c>
      <c r="R408" s="32" t="e">
        <f t="array" ref="R408">IF(OR(AND(COUNTBLANK(Combo_Opponent_Type_1)=1,COUNTBLANK(Combo_Opponent_Type_2)=0),AND(AND(COUNTBLANK(Combo_Opponent_Type_1)=0,COUNTBLANK(Combo_Opponent_Type_2)=0),Combo_Opponent_Type_1=Combo_Opponent_Type_2)),
"Check Types",($S408*INDEX(Species_Tankiness,MATCH($N408,Species_Names,0)))/225)</f>
        <v>#VALUE!</v>
      </c>
      <c r="S408" s="32" t="e">
        <f t="array" ref="S408">IF(OR(AND(COUNTBLANK(Combo_Opponent_Type_1)=1,COUNTBLANK(Combo_Opponent_Type_2)=0),AND(AND(COUNTBLANK(Combo_Opponent_Type_1)=0,COUNTBLANK(Combo_Opponent_Type_2)=0),Combo_Opponent_Type_1=Combo_Opponent_Type_2)),
"Check Types",(
IF($W408&gt;=((1-Game_Weave_Human_Error)*$X408),$W408,$X408)*INDEX(Species_Attack,MATCH($N408,Species_Names,0)))/11)</f>
        <v>#VALUE!</v>
      </c>
      <c r="T408" s="33" t="e">
        <f t="shared" si="13"/>
        <v>#VALUE!</v>
      </c>
      <c r="U408" s="33">
        <f t="array" ref="U4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408,Quick_Names,0))),Type_Species)),0),1)*IF(COUNTBLANK(Combo_Opponent_Type_2)=0,INDEX(Type_Damage_Multipliers,MATCH(Combo_Opponent_Type_2,IF(Type_Move=(INDEX(Quick_Type,MATCH($O408,Quick_Names,0))),Type_Species)),0),1)*(IF(OR(INDEX(Quick_Type,MATCH($O408,Quick_Names,0))=INDEX(Species_Type_1,MATCH($N408,Species_Names,0)),INDEX(Quick_Type,MATCH($O408,Quick_Names,0))=INDEX(Species_Type_2,MATCH($N408,Species_Names,0))),Game_STAB_Multiplier,1)))</f>
        <v>1</v>
      </c>
      <c r="V408" s="33">
        <f t="array" ref="V4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408,Charge_Names,0))),Type_Species)),0),1)*IF(COUNTBLANK(Combo_Opponent_Type_2)=0,INDEX(Type_Damage_Multipliers,MATCH(Combo_Opponent_Type_2,IF(Type_Move=(INDEX(Charge_Type,MATCH($P408,Charge_Names,0))),Type_Species)),0),1)*
IF(OR(INDEX(Charge_Type,MATCH($P408,Charge_Names,0))=INDEX(Species_Type_1,MATCH($N408,Species_Names,0)),INDEX(Charge_Type,MATCH($P408,Charge_Names,0))=INDEX(Species_Type_2,MATCH($N408,Species_Names,0))),Game_STAB_Multiplier,1))</f>
        <v>1.25</v>
      </c>
      <c r="W408" s="33" t="s">
        <v>621</v>
      </c>
      <c r="X408" s="33" t="s">
        <v>907</v>
      </c>
      <c r="Y408" s="32" t="e">
        <f t="array" ref="Y408">((($Z408)*
INDEX(Species_Attack,MATCH($N408,Species_Names,0))*
INDEX(Species_Tankiness,MATCH($N408,Species_Names,0)))/1000)</f>
        <v>#VALUE!</v>
      </c>
      <c r="Z408" s="33" t="s">
        <v>857</v>
      </c>
    </row>
    <row r="409" spans="1:26" ht="14.25" customHeight="1" x14ac:dyDescent="0.2">
      <c r="A409" s="86"/>
      <c r="B409" s="22" t="str">
        <f t="array" ref="B409">CONCATENATE(TEXT($M409,"000"),".",TEXT(INDEX(Quick_Number,MATCH($O409,Quick_Names,0)),"000"),".",TEXT(INDEX(Charge_Number,MATCH($P409,Charge_Names,0)),"000"))</f>
        <v>106.207.056</v>
      </c>
      <c r="C409" s="23" t="e">
        <f t="array" ref="C409">RANK($S409,IF(Combo_Species_Names=$N409,Combo_Gym_Offense),0)</f>
        <v>#VALUE!</v>
      </c>
      <c r="D409" s="24" t="e">
        <f t="array" ref="D409">$S409/MAX(IF(Combo_Species_Names=$N409,Combo_Gym_Offense))</f>
        <v>#VALUE!</v>
      </c>
      <c r="E409" s="23" t="e">
        <f t="array" ref="E409">RANK($Y409,IF(Combo_Species_Names=$N409,Combo_Gym_Defense),0)</f>
        <v>#VALUE!</v>
      </c>
      <c r="F409" s="25" t="e">
        <f t="array" ref="F409">$Y409/MAX(IF(Combo_Species_Names=$N409,Combo_Gym_Defense))</f>
        <v>#VALUE!</v>
      </c>
      <c r="G409" s="23" t="e">
        <f t="array" ref="G409">IF(OR(INDEX(Species_Availability,MATCH($N409,Species_Names,0))="No",INDEX(Species_Evo_Numbers,MATCH($N409,Species_Names,0))&lt;&gt;1),"N/A",RANK($R409,IF(NOT(ISNA(MATCH(Combo_Species_Names,IF(Species_Availability="Yes",IF(Species_Evo_Numbers=1,Species_Names)),0))),Combo_Duel_Ability),0))</f>
        <v>#VALUE!</v>
      </c>
      <c r="H409" s="24" t="e">
        <f t="array" ref="H409">IF(OR(INDEX(Species_Availability,MATCH($N409,Species_Names,0))="No",INDEX(Species_Evo_Numbers,MATCH($N409,Species_Names,0))&lt;&gt;1),"N/A",$R409/MAX(IF(NOT(ISNA(MATCH(Combo_Species_Names,IF(Species_Availability="Yes",IF(Species_Evo_Numbers=1,Species_Names)),0))),Combo_Duel_Ability)))</f>
        <v>#VALUE!</v>
      </c>
      <c r="I409" s="23" t="e">
        <f t="array" ref="I409">IF(OR(INDEX(Species_Availability,MATCH($N409,Species_Names,0))="No",INDEX(Species_Evo_Numbers,MATCH($N409,Species_Names,0))&lt;&gt;1),"N/A",RANK($S409,IF(NOT(ISNA(MATCH(Combo_Species_Names,IF(Species_Availability="Yes",IF(Species_Evo_Numbers=1,Species_Names)),0))),Combo_Gym_Offense),0))</f>
        <v>#VALUE!</v>
      </c>
      <c r="J409" s="24" t="e">
        <f t="array" ref="J409">IF(OR(INDEX(Species_Availability,MATCH($N409,Species_Names,0))="No",INDEX(Species_Evo_Numbers,MATCH($N409,Species_Names,0))&lt;&gt;1),"N/A",$S409/MAX(IF(NOT(ISNA(MATCH(Combo_Species_Names,IF(Species_Availability="Yes",IF(Species_Evo_Numbers=1,Species_Names)),0))),Combo_Gym_Offense)))</f>
        <v>#VALUE!</v>
      </c>
      <c r="K409" s="23" t="e">
        <f t="array" ref="K409">IF(OR(INDEX(Species_Availability,MATCH($N409,Species_Names,0))="No",INDEX(Species_Evo_Numbers,MATCH($N409,Species_Names,0))&lt;&gt;1),"N/A",RANK($Y409,IF(NOT(ISNA(MATCH(Combo_Species_Names,IF(Species_Availability="Yes",IF(Species_Evo_Numbers=1,Species_Names)),0))),Combo_Gym_Defense),0))</f>
        <v>#VALUE!</v>
      </c>
      <c r="L409" s="24" t="e">
        <f t="array" ref="L409">IF(OR(INDEX(Species_Availability,MATCH($N409,Species_Names,0))="No",INDEX(Species_Evo_Numbers,MATCH($N409,Species_Names,0))&lt;&gt;1),"N/A",$Y409/MAX(IF(NOT(ISNA(MATCH(Combo_Species_Names,IF(Species_Availability="Yes",IF(Species_Evo_Numbers=1,Species_Names)),0))),Combo_Gym_Defense)))</f>
        <v>#VALUE!</v>
      </c>
      <c r="M409" s="28">
        <f t="array" ref="M409">INDEX(Species_Pdex_Numbers,MATCH($N409,Species_Names,0))</f>
        <v>106</v>
      </c>
      <c r="N409" s="30" t="s">
        <v>315</v>
      </c>
      <c r="O409" s="31" t="s">
        <v>117</v>
      </c>
      <c r="P409" s="31" t="s">
        <v>255</v>
      </c>
      <c r="Q409" s="17" t="e">
        <f t="shared" si="12"/>
        <v>#VALUE!</v>
      </c>
      <c r="R409" s="32" t="e">
        <f t="array" ref="R409">IF(OR(AND(COUNTBLANK(Combo_Opponent_Type_1)=1,COUNTBLANK(Combo_Opponent_Type_2)=0),AND(AND(COUNTBLANK(Combo_Opponent_Type_1)=0,COUNTBLANK(Combo_Opponent_Type_2)=0),Combo_Opponent_Type_1=Combo_Opponent_Type_2)),
"Check Types",($S409*INDEX(Species_Tankiness,MATCH($N409,Species_Names,0)))/225)</f>
        <v>#VALUE!</v>
      </c>
      <c r="S409" s="32" t="e">
        <f t="array" ref="S409">IF(OR(AND(COUNTBLANK(Combo_Opponent_Type_1)=1,COUNTBLANK(Combo_Opponent_Type_2)=0),AND(AND(COUNTBLANK(Combo_Opponent_Type_1)=0,COUNTBLANK(Combo_Opponent_Type_2)=0),Combo_Opponent_Type_1=Combo_Opponent_Type_2)),
"Check Types",(
IF($W409&gt;=((1-Game_Weave_Human_Error)*$X409),$W409,$X409)*INDEX(Species_Attack,MATCH($N409,Species_Names,0)))/11)</f>
        <v>#VALUE!</v>
      </c>
      <c r="T409" s="33" t="e">
        <f t="shared" si="13"/>
        <v>#VALUE!</v>
      </c>
      <c r="U409" s="33">
        <f t="array" ref="U4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409,Quick_Names,0))),Type_Species)),0),1)*IF(COUNTBLANK(Combo_Opponent_Type_2)=0,INDEX(Type_Damage_Multipliers,MATCH(Combo_Opponent_Type_2,IF(Type_Move=(INDEX(Quick_Type,MATCH($O409,Quick_Names,0))),Type_Species)),0),1)*(IF(OR(INDEX(Quick_Type,MATCH($O409,Quick_Names,0))=INDEX(Species_Type_1,MATCH($N409,Species_Names,0)),INDEX(Quick_Type,MATCH($O409,Quick_Names,0))=INDEX(Species_Type_2,MATCH($N409,Species_Names,0))),Game_STAB_Multiplier,1)))</f>
        <v>1.25</v>
      </c>
      <c r="V409" s="33">
        <f t="array" ref="V4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409,Charge_Names,0))),Type_Species)),0),1)*IF(COUNTBLANK(Combo_Opponent_Type_2)=0,INDEX(Type_Damage_Multipliers,MATCH(Combo_Opponent_Type_2,IF(Type_Move=(INDEX(Charge_Type,MATCH($P409,Charge_Names,0))),Type_Species)),0),1)*
IF(OR(INDEX(Charge_Type,MATCH($P409,Charge_Names,0))=INDEX(Species_Type_1,MATCH($N409,Species_Names,0)),INDEX(Charge_Type,MATCH($P409,Charge_Names,0))=INDEX(Species_Type_2,MATCH($N409,Species_Names,0))),Game_STAB_Multiplier,1))</f>
        <v>1.25</v>
      </c>
      <c r="W409" s="33" t="s">
        <v>678</v>
      </c>
      <c r="X409" s="33" t="s">
        <v>688</v>
      </c>
      <c r="Y409" s="32" t="e">
        <f t="array" ref="Y409">((($Z409)*
INDEX(Species_Attack,MATCH($N409,Species_Names,0))*
INDEX(Species_Tankiness,MATCH($N409,Species_Names,0)))/1000)</f>
        <v>#VALUE!</v>
      </c>
      <c r="Z409" s="33" t="s">
        <v>849</v>
      </c>
    </row>
    <row r="410" spans="1:26" ht="14.25" customHeight="1" x14ac:dyDescent="0.2">
      <c r="A410" s="86"/>
      <c r="B410" s="22" t="str">
        <f t="array" ref="B410">CONCATENATE(TEXT($M410,"000"),".",TEXT(INDEX(Quick_Number,MATCH($O410,Quick_Names,0)),"000"),".",TEXT(INDEX(Charge_Number,MATCH($P410,Charge_Names,0)),"000"))</f>
        <v>012.235.099</v>
      </c>
      <c r="C410" s="23" t="e">
        <f t="array" ref="C410">RANK($S410,IF(Combo_Species_Names=$N410,Combo_Gym_Offense),0)</f>
        <v>#VALUE!</v>
      </c>
      <c r="D410" s="24" t="e">
        <f t="array" ref="D410">$S410/MAX(IF(Combo_Species_Names=$N410,Combo_Gym_Offense))</f>
        <v>#VALUE!</v>
      </c>
      <c r="E410" s="23" t="e">
        <f t="array" ref="E410">RANK($Y410,IF(Combo_Species_Names=$N410,Combo_Gym_Defense),0)</f>
        <v>#VALUE!</v>
      </c>
      <c r="F410" s="25" t="e">
        <f t="array" ref="F410">$Y410/MAX(IF(Combo_Species_Names=$N410,Combo_Gym_Defense))</f>
        <v>#VALUE!</v>
      </c>
      <c r="G410" s="23" t="e">
        <f t="array" ref="G410">IF(OR(INDEX(Species_Availability,MATCH($N410,Species_Names,0))="No",INDEX(Species_Evo_Numbers,MATCH($N410,Species_Names,0))&lt;&gt;1),"N/A",RANK($R410,IF(NOT(ISNA(MATCH(Combo_Species_Names,IF(Species_Availability="Yes",IF(Species_Evo_Numbers=1,Species_Names)),0))),Combo_Duel_Ability),0))</f>
        <v>#VALUE!</v>
      </c>
      <c r="H410" s="24" t="e">
        <f t="array" ref="H410">IF(OR(INDEX(Species_Availability,MATCH($N410,Species_Names,0))="No",INDEX(Species_Evo_Numbers,MATCH($N410,Species_Names,0))&lt;&gt;1),"N/A",$R410/MAX(IF(NOT(ISNA(MATCH(Combo_Species_Names,IF(Species_Availability="Yes",IF(Species_Evo_Numbers=1,Species_Names)),0))),Combo_Duel_Ability)))</f>
        <v>#VALUE!</v>
      </c>
      <c r="I410" s="23" t="e">
        <f t="array" ref="I410">IF(OR(INDEX(Species_Availability,MATCH($N410,Species_Names,0))="No",INDEX(Species_Evo_Numbers,MATCH($N410,Species_Names,0))&lt;&gt;1),"N/A",RANK($S410,IF(NOT(ISNA(MATCH(Combo_Species_Names,IF(Species_Availability="Yes",IF(Species_Evo_Numbers=1,Species_Names)),0))),Combo_Gym_Offense),0))</f>
        <v>#VALUE!</v>
      </c>
      <c r="J410" s="24" t="e">
        <f t="array" ref="J410">IF(OR(INDEX(Species_Availability,MATCH($N410,Species_Names,0))="No",INDEX(Species_Evo_Numbers,MATCH($N410,Species_Names,0))&lt;&gt;1),"N/A",$S410/MAX(IF(NOT(ISNA(MATCH(Combo_Species_Names,IF(Species_Availability="Yes",IF(Species_Evo_Numbers=1,Species_Names)),0))),Combo_Gym_Offense)))</f>
        <v>#VALUE!</v>
      </c>
      <c r="K410" s="23" t="e">
        <f t="array" ref="K410">IF(OR(INDEX(Species_Availability,MATCH($N410,Species_Names,0))="No",INDEX(Species_Evo_Numbers,MATCH($N410,Species_Names,0))&lt;&gt;1),"N/A",RANK($Y410,IF(NOT(ISNA(MATCH(Combo_Species_Names,IF(Species_Availability="Yes",IF(Species_Evo_Numbers=1,Species_Names)),0))),Combo_Gym_Defense),0))</f>
        <v>#VALUE!</v>
      </c>
      <c r="L410" s="24" t="e">
        <f t="array" ref="L410">IF(OR(INDEX(Species_Availability,MATCH($N410,Species_Names,0))="No",INDEX(Species_Evo_Numbers,MATCH($N410,Species_Names,0))&lt;&gt;1),"N/A",$Y410/MAX(IF(NOT(ISNA(MATCH(Combo_Species_Names,IF(Species_Availability="Yes",IF(Species_Evo_Numbers=1,Species_Names)),0))),Combo_Gym_Defense)))</f>
        <v>#VALUE!</v>
      </c>
      <c r="M410" s="28">
        <f t="array" ref="M410">INDEX(Species_Pdex_Numbers,MATCH($N410,Species_Names,0))</f>
        <v>12</v>
      </c>
      <c r="N410" s="30" t="s">
        <v>104</v>
      </c>
      <c r="O410" s="31" t="s">
        <v>108</v>
      </c>
      <c r="P410" s="31" t="s">
        <v>236</v>
      </c>
      <c r="Q410" s="17" t="e">
        <f t="shared" si="12"/>
        <v>#VALUE!</v>
      </c>
      <c r="R410" s="32" t="e">
        <f t="array" ref="R410">IF(OR(AND(COUNTBLANK(Combo_Opponent_Type_1)=1,COUNTBLANK(Combo_Opponent_Type_2)=0),AND(AND(COUNTBLANK(Combo_Opponent_Type_1)=0,COUNTBLANK(Combo_Opponent_Type_2)=0),Combo_Opponent_Type_1=Combo_Opponent_Type_2)),
"Check Types",($S410*INDEX(Species_Tankiness,MATCH($N410,Species_Names,0)))/225)</f>
        <v>#VALUE!</v>
      </c>
      <c r="S410" s="32" t="e">
        <f t="array" ref="S410">IF(OR(AND(COUNTBLANK(Combo_Opponent_Type_1)=1,COUNTBLANK(Combo_Opponent_Type_2)=0),AND(AND(COUNTBLANK(Combo_Opponent_Type_1)=0,COUNTBLANK(Combo_Opponent_Type_2)=0),Combo_Opponent_Type_1=Combo_Opponent_Type_2)),
"Check Types",(
IF($W410&gt;=((1-Game_Weave_Human_Error)*$X410),$W410,$X410)*INDEX(Species_Attack,MATCH($N410,Species_Names,0)))/11)</f>
        <v>#VALUE!</v>
      </c>
      <c r="T410" s="33" t="e">
        <f t="shared" si="13"/>
        <v>#VALUE!</v>
      </c>
      <c r="U410" s="33">
        <f t="array" ref="U4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410,Quick_Names,0))),Type_Species)),0),1)*IF(COUNTBLANK(Combo_Opponent_Type_2)=0,INDEX(Type_Damage_Multipliers,MATCH(Combo_Opponent_Type_2,IF(Type_Move=(INDEX(Quick_Type,MATCH($O410,Quick_Names,0))),Type_Species)),0),1)*(IF(OR(INDEX(Quick_Type,MATCH($O410,Quick_Names,0))=INDEX(Species_Type_1,MATCH($N410,Species_Names,0)),INDEX(Quick_Type,MATCH($O410,Quick_Names,0))=INDEX(Species_Type_2,MATCH($N410,Species_Names,0))),Game_STAB_Multiplier,1)))</f>
        <v>1</v>
      </c>
      <c r="V410" s="33">
        <f t="array" ref="V4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410,Charge_Names,0))),Type_Species)),0),1)*IF(COUNTBLANK(Combo_Opponent_Type_2)=0,INDEX(Type_Damage_Multipliers,MATCH(Combo_Opponent_Type_2,IF(Type_Move=(INDEX(Charge_Type,MATCH($P410,Charge_Names,0))),Type_Species)),0),1)*
IF(OR(INDEX(Charge_Type,MATCH($P410,Charge_Names,0))=INDEX(Species_Type_1,MATCH($N410,Species_Names,0)),INDEX(Charge_Type,MATCH($P410,Charge_Names,0))=INDEX(Species_Type_2,MATCH($N410,Species_Names,0))),Game_STAB_Multiplier,1))</f>
        <v>1.25</v>
      </c>
      <c r="W410" s="33" t="s">
        <v>631</v>
      </c>
      <c r="X410" s="33" t="s">
        <v>689</v>
      </c>
      <c r="Y410" s="32" t="e">
        <f t="array" ref="Y410">((($Z410)*
INDEX(Species_Attack,MATCH($N410,Species_Names,0))*
INDEX(Species_Tankiness,MATCH($N410,Species_Names,0)))/1000)</f>
        <v>#VALUE!</v>
      </c>
      <c r="Z410" s="33" t="s">
        <v>725</v>
      </c>
    </row>
    <row r="411" spans="1:26" ht="14.25" customHeight="1" x14ac:dyDescent="0.2">
      <c r="A411" s="86"/>
      <c r="B411" s="22" t="str">
        <f t="array" ref="B411">CONCATENATE(TEXT($M411,"000"),".",TEXT(INDEX(Quick_Number,MATCH($O411,Quick_Names,0)),"000"),".",TEXT(INDEX(Charge_Number,MATCH($P411,Charge_Names,0)),"000"))</f>
        <v>012.235.108</v>
      </c>
      <c r="C411" s="23" t="e">
        <f t="array" ref="C411">RANK($S411,IF(Combo_Species_Names=$N411,Combo_Gym_Offense),0)</f>
        <v>#VALUE!</v>
      </c>
      <c r="D411" s="24" t="e">
        <f t="array" ref="D411">$S411/MAX(IF(Combo_Species_Names=$N411,Combo_Gym_Offense))</f>
        <v>#VALUE!</v>
      </c>
      <c r="E411" s="23" t="e">
        <f t="array" ref="E411">RANK($Y411,IF(Combo_Species_Names=$N411,Combo_Gym_Defense),0)</f>
        <v>#VALUE!</v>
      </c>
      <c r="F411" s="25" t="e">
        <f t="array" ref="F411">$Y411/MAX(IF(Combo_Species_Names=$N411,Combo_Gym_Defense))</f>
        <v>#VALUE!</v>
      </c>
      <c r="G411" s="23" t="e">
        <f t="array" ref="G411">IF(OR(INDEX(Species_Availability,MATCH($N411,Species_Names,0))="No",INDEX(Species_Evo_Numbers,MATCH($N411,Species_Names,0))&lt;&gt;1),"N/A",RANK($R411,IF(NOT(ISNA(MATCH(Combo_Species_Names,IF(Species_Availability="Yes",IF(Species_Evo_Numbers=1,Species_Names)),0))),Combo_Duel_Ability),0))</f>
        <v>#VALUE!</v>
      </c>
      <c r="H411" s="24" t="e">
        <f t="array" ref="H411">IF(OR(INDEX(Species_Availability,MATCH($N411,Species_Names,0))="No",INDEX(Species_Evo_Numbers,MATCH($N411,Species_Names,0))&lt;&gt;1),"N/A",$R411/MAX(IF(NOT(ISNA(MATCH(Combo_Species_Names,IF(Species_Availability="Yes",IF(Species_Evo_Numbers=1,Species_Names)),0))),Combo_Duel_Ability)))</f>
        <v>#VALUE!</v>
      </c>
      <c r="I411" s="23" t="e">
        <f t="array" ref="I411">IF(OR(INDEX(Species_Availability,MATCH($N411,Species_Names,0))="No",INDEX(Species_Evo_Numbers,MATCH($N411,Species_Names,0))&lt;&gt;1),"N/A",RANK($S411,IF(NOT(ISNA(MATCH(Combo_Species_Names,IF(Species_Availability="Yes",IF(Species_Evo_Numbers=1,Species_Names)),0))),Combo_Gym_Offense),0))</f>
        <v>#VALUE!</v>
      </c>
      <c r="J411" s="24" t="e">
        <f t="array" ref="J411">IF(OR(INDEX(Species_Availability,MATCH($N411,Species_Names,0))="No",INDEX(Species_Evo_Numbers,MATCH($N411,Species_Names,0))&lt;&gt;1),"N/A",$S411/MAX(IF(NOT(ISNA(MATCH(Combo_Species_Names,IF(Species_Availability="Yes",IF(Species_Evo_Numbers=1,Species_Names)),0))),Combo_Gym_Offense)))</f>
        <v>#VALUE!</v>
      </c>
      <c r="K411" s="23" t="e">
        <f t="array" ref="K411">IF(OR(INDEX(Species_Availability,MATCH($N411,Species_Names,0))="No",INDEX(Species_Evo_Numbers,MATCH($N411,Species_Names,0))&lt;&gt;1),"N/A",RANK($Y411,IF(NOT(ISNA(MATCH(Combo_Species_Names,IF(Species_Availability="Yes",IF(Species_Evo_Numbers=1,Species_Names)),0))),Combo_Gym_Defense),0))</f>
        <v>#VALUE!</v>
      </c>
      <c r="L411" s="24" t="e">
        <f t="array" ref="L411">IF(OR(INDEX(Species_Availability,MATCH($N411,Species_Names,0))="No",INDEX(Species_Evo_Numbers,MATCH($N411,Species_Names,0))&lt;&gt;1),"N/A",$Y411/MAX(IF(NOT(ISNA(MATCH(Combo_Species_Names,IF(Species_Availability="Yes",IF(Species_Evo_Numbers=1,Species_Names)),0))),Combo_Gym_Defense)))</f>
        <v>#VALUE!</v>
      </c>
      <c r="M411" s="28">
        <f t="array" ref="M411">INDEX(Species_Pdex_Numbers,MATCH($N411,Species_Names,0))</f>
        <v>12</v>
      </c>
      <c r="N411" s="30" t="s">
        <v>104</v>
      </c>
      <c r="O411" s="31" t="s">
        <v>108</v>
      </c>
      <c r="P411" s="31" t="s">
        <v>58</v>
      </c>
      <c r="Q411" s="17" t="e">
        <f t="shared" si="12"/>
        <v>#VALUE!</v>
      </c>
      <c r="R411" s="32" t="e">
        <f t="array" ref="R411">IF(OR(AND(COUNTBLANK(Combo_Opponent_Type_1)=1,COUNTBLANK(Combo_Opponent_Type_2)=0),AND(AND(COUNTBLANK(Combo_Opponent_Type_1)=0,COUNTBLANK(Combo_Opponent_Type_2)=0),Combo_Opponent_Type_1=Combo_Opponent_Type_2)),
"Check Types",($S411*INDEX(Species_Tankiness,MATCH($N411,Species_Names,0)))/225)</f>
        <v>#VALUE!</v>
      </c>
      <c r="S411" s="32" t="e">
        <f t="array" ref="S411">IF(OR(AND(COUNTBLANK(Combo_Opponent_Type_1)=1,COUNTBLANK(Combo_Opponent_Type_2)=0),AND(AND(COUNTBLANK(Combo_Opponent_Type_1)=0,COUNTBLANK(Combo_Opponent_Type_2)=0),Combo_Opponent_Type_1=Combo_Opponent_Type_2)),
"Check Types",(
IF($W411&gt;=((1-Game_Weave_Human_Error)*$X411),$W411,$X411)*INDEX(Species_Attack,MATCH($N411,Species_Names,0)))/11)</f>
        <v>#VALUE!</v>
      </c>
      <c r="T411" s="33" t="e">
        <f t="shared" si="13"/>
        <v>#VALUE!</v>
      </c>
      <c r="U411" s="33">
        <f t="array" ref="U4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411,Quick_Names,0))),Type_Species)),0),1)*IF(COUNTBLANK(Combo_Opponent_Type_2)=0,INDEX(Type_Damage_Multipliers,MATCH(Combo_Opponent_Type_2,IF(Type_Move=(INDEX(Quick_Type,MATCH($O411,Quick_Names,0))),Type_Species)),0),1)*(IF(OR(INDEX(Quick_Type,MATCH($O411,Quick_Names,0))=INDEX(Species_Type_1,MATCH($N411,Species_Names,0)),INDEX(Quick_Type,MATCH($O411,Quick_Names,0))=INDEX(Species_Type_2,MATCH($N411,Species_Names,0))),Game_STAB_Multiplier,1)))</f>
        <v>1</v>
      </c>
      <c r="V411" s="33">
        <f t="array" ref="V4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411,Charge_Names,0))),Type_Species)),0),1)*IF(COUNTBLANK(Combo_Opponent_Type_2)=0,INDEX(Type_Damage_Multipliers,MATCH(Combo_Opponent_Type_2,IF(Type_Move=(INDEX(Charge_Type,MATCH($P411,Charge_Names,0))),Type_Species)),0),1)*
IF(OR(INDEX(Charge_Type,MATCH($P411,Charge_Names,0))=INDEX(Species_Type_1,MATCH($N411,Species_Names,0)),INDEX(Charge_Type,MATCH($P411,Charge_Names,0))=INDEX(Species_Type_2,MATCH($N411,Species_Names,0))),Game_STAB_Multiplier,1))</f>
        <v>1</v>
      </c>
      <c r="W411" s="33" t="s">
        <v>631</v>
      </c>
      <c r="X411" s="33" t="s">
        <v>688</v>
      </c>
      <c r="Y411" s="32" t="e">
        <f t="array" ref="Y411">((($Z411)*
INDEX(Species_Attack,MATCH($N411,Species_Names,0))*
INDEX(Species_Tankiness,MATCH($N411,Species_Names,0)))/1000)</f>
        <v>#VALUE!</v>
      </c>
      <c r="Z411" s="33" t="s">
        <v>527</v>
      </c>
    </row>
    <row r="412" spans="1:26" ht="14.25" customHeight="1" x14ac:dyDescent="0.2">
      <c r="A412" s="86"/>
      <c r="B412" s="22" t="str">
        <f t="array" ref="B412">CONCATENATE(TEXT($M412,"000"),".",TEXT(INDEX(Quick_Number,MATCH($O412,Quick_Names,0)),"000"),".",TEXT(INDEX(Charge_Number,MATCH($P412,Charge_Names,0)),"000"))</f>
        <v>137.219.030</v>
      </c>
      <c r="C412" s="23" t="e">
        <f t="array" ref="C412">RANK($S412,IF(Combo_Species_Names=$N412,Combo_Gym_Offense),0)</f>
        <v>#VALUE!</v>
      </c>
      <c r="D412" s="24" t="e">
        <f t="array" ref="D412">$S412/MAX(IF(Combo_Species_Names=$N412,Combo_Gym_Offense))</f>
        <v>#VALUE!</v>
      </c>
      <c r="E412" s="23" t="e">
        <f t="array" ref="E412">RANK($Y412,IF(Combo_Species_Names=$N412,Combo_Gym_Defense),0)</f>
        <v>#VALUE!</v>
      </c>
      <c r="F412" s="25" t="e">
        <f t="array" ref="F412">$Y412/MAX(IF(Combo_Species_Names=$N412,Combo_Gym_Defense))</f>
        <v>#VALUE!</v>
      </c>
      <c r="G412" s="23" t="e">
        <f t="array" ref="G412">IF(OR(INDEX(Species_Availability,MATCH($N412,Species_Names,0))="No",INDEX(Species_Evo_Numbers,MATCH($N412,Species_Names,0))&lt;&gt;1),"N/A",RANK($R412,IF(NOT(ISNA(MATCH(Combo_Species_Names,IF(Species_Availability="Yes",IF(Species_Evo_Numbers=1,Species_Names)),0))),Combo_Duel_Ability),0))</f>
        <v>#VALUE!</v>
      </c>
      <c r="H412" s="24" t="e">
        <f t="array" ref="H412">IF(OR(INDEX(Species_Availability,MATCH($N412,Species_Names,0))="No",INDEX(Species_Evo_Numbers,MATCH($N412,Species_Names,0))&lt;&gt;1),"N/A",$R412/MAX(IF(NOT(ISNA(MATCH(Combo_Species_Names,IF(Species_Availability="Yes",IF(Species_Evo_Numbers=1,Species_Names)),0))),Combo_Duel_Ability)))</f>
        <v>#VALUE!</v>
      </c>
      <c r="I412" s="23" t="e">
        <f t="array" ref="I412">IF(OR(INDEX(Species_Availability,MATCH($N412,Species_Names,0))="No",INDEX(Species_Evo_Numbers,MATCH($N412,Species_Names,0))&lt;&gt;1),"N/A",RANK($S412,IF(NOT(ISNA(MATCH(Combo_Species_Names,IF(Species_Availability="Yes",IF(Species_Evo_Numbers=1,Species_Names)),0))),Combo_Gym_Offense),0))</f>
        <v>#VALUE!</v>
      </c>
      <c r="J412" s="24" t="e">
        <f t="array" ref="J412">IF(OR(INDEX(Species_Availability,MATCH($N412,Species_Names,0))="No",INDEX(Species_Evo_Numbers,MATCH($N412,Species_Names,0))&lt;&gt;1),"N/A",$S412/MAX(IF(NOT(ISNA(MATCH(Combo_Species_Names,IF(Species_Availability="Yes",IF(Species_Evo_Numbers=1,Species_Names)),0))),Combo_Gym_Offense)))</f>
        <v>#VALUE!</v>
      </c>
      <c r="K412" s="23" t="e">
        <f t="array" ref="K412">IF(OR(INDEX(Species_Availability,MATCH($N412,Species_Names,0))="No",INDEX(Species_Evo_Numbers,MATCH($N412,Species_Names,0))&lt;&gt;1),"N/A",RANK($Y412,IF(NOT(ISNA(MATCH(Combo_Species_Names,IF(Species_Availability="Yes",IF(Species_Evo_Numbers=1,Species_Names)),0))),Combo_Gym_Defense),0))</f>
        <v>#VALUE!</v>
      </c>
      <c r="L412" s="24" t="e">
        <f t="array" ref="L412">IF(OR(INDEX(Species_Availability,MATCH($N412,Species_Names,0))="No",INDEX(Species_Evo_Numbers,MATCH($N412,Species_Names,0))&lt;&gt;1),"N/A",$Y412/MAX(IF(NOT(ISNA(MATCH(Combo_Species_Names,IF(Species_Availability="Yes",IF(Species_Evo_Numbers=1,Species_Names)),0))),Combo_Gym_Defense)))</f>
        <v>#VALUE!</v>
      </c>
      <c r="M412" s="28">
        <f t="array" ref="M412">INDEX(Species_Pdex_Numbers,MATCH($N412,Species_Names,0))</f>
        <v>137</v>
      </c>
      <c r="N412" s="30" t="s">
        <v>355</v>
      </c>
      <c r="O412" s="31" t="s">
        <v>119</v>
      </c>
      <c r="P412" s="31" t="s">
        <v>283</v>
      </c>
      <c r="Q412" s="17" t="e">
        <f t="shared" si="12"/>
        <v>#VALUE!</v>
      </c>
      <c r="R412" s="32" t="e">
        <f t="array" ref="R412">IF(OR(AND(COUNTBLANK(Combo_Opponent_Type_1)=1,COUNTBLANK(Combo_Opponent_Type_2)=0),AND(AND(COUNTBLANK(Combo_Opponent_Type_1)=0,COUNTBLANK(Combo_Opponent_Type_2)=0),Combo_Opponent_Type_1=Combo_Opponent_Type_2)),
"Check Types",($S412*INDEX(Species_Tankiness,MATCH($N412,Species_Names,0)))/225)</f>
        <v>#VALUE!</v>
      </c>
      <c r="S412" s="32" t="e">
        <f t="array" ref="S412">IF(OR(AND(COUNTBLANK(Combo_Opponent_Type_1)=1,COUNTBLANK(Combo_Opponent_Type_2)=0),AND(AND(COUNTBLANK(Combo_Opponent_Type_1)=0,COUNTBLANK(Combo_Opponent_Type_2)=0),Combo_Opponent_Type_1=Combo_Opponent_Type_2)),
"Check Types",(
IF($W412&gt;=((1-Game_Weave_Human_Error)*$X412),$W412,$X412)*INDEX(Species_Attack,MATCH($N412,Species_Names,0)))/11)</f>
        <v>#VALUE!</v>
      </c>
      <c r="T412" s="33" t="e">
        <f t="shared" si="13"/>
        <v>#VALUE!</v>
      </c>
      <c r="U412" s="33">
        <f t="array" ref="U4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412,Quick_Names,0))),Type_Species)),0),1)*IF(COUNTBLANK(Combo_Opponent_Type_2)=0,INDEX(Type_Damage_Multipliers,MATCH(Combo_Opponent_Type_2,IF(Type_Move=(INDEX(Quick_Type,MATCH($O412,Quick_Names,0))),Type_Species)),0),1)*(IF(OR(INDEX(Quick_Type,MATCH($O412,Quick_Names,0))=INDEX(Species_Type_1,MATCH($N412,Species_Names,0)),INDEX(Quick_Type,MATCH($O412,Quick_Names,0))=INDEX(Species_Type_2,MATCH($N412,Species_Names,0))),Game_STAB_Multiplier,1)))</f>
        <v>1.25</v>
      </c>
      <c r="V412" s="33">
        <f t="array" ref="V4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412,Charge_Names,0))),Type_Species)),0),1)*IF(COUNTBLANK(Combo_Opponent_Type_2)=0,INDEX(Type_Damage_Multipliers,MATCH(Combo_Opponent_Type_2,IF(Type_Move=(INDEX(Charge_Type,MATCH($P412,Charge_Names,0))),Type_Species)),0),1)*
IF(OR(INDEX(Charge_Type,MATCH($P412,Charge_Names,0))=INDEX(Species_Type_1,MATCH($N412,Species_Names,0)),INDEX(Charge_Type,MATCH($P412,Charge_Names,0))=INDEX(Species_Type_2,MATCH($N412,Species_Names,0))),Game_STAB_Multiplier,1))</f>
        <v>1</v>
      </c>
      <c r="W412" s="33" t="s">
        <v>564</v>
      </c>
      <c r="X412" s="33" t="s">
        <v>908</v>
      </c>
      <c r="Y412" s="32" t="e">
        <f t="array" ref="Y412">((($Z412)*
INDEX(Species_Attack,MATCH($N412,Species_Names,0))*
INDEX(Species_Tankiness,MATCH($N412,Species_Names,0)))/1000)</f>
        <v>#VALUE!</v>
      </c>
      <c r="Z412" s="33" t="s">
        <v>909</v>
      </c>
    </row>
    <row r="413" spans="1:26" ht="14.25" customHeight="1" x14ac:dyDescent="0.2">
      <c r="A413" s="86"/>
      <c r="B413" s="22" t="str">
        <f t="array" ref="B413">CONCATENATE(TEXT($M413,"000"),".",TEXT(INDEX(Quick_Number,MATCH($O413,Quick_Names,0)),"000"),".",TEXT(INDEX(Charge_Number,MATCH($P413,Charge_Names,0)),"000"))</f>
        <v>122.235.070</v>
      </c>
      <c r="C413" s="23" t="e">
        <f t="array" ref="C413">RANK($S413,IF(Combo_Species_Names=$N413,Combo_Gym_Offense),0)</f>
        <v>#VALUE!</v>
      </c>
      <c r="D413" s="24" t="e">
        <f t="array" ref="D413">$S413/MAX(IF(Combo_Species_Names=$N413,Combo_Gym_Offense))</f>
        <v>#VALUE!</v>
      </c>
      <c r="E413" s="23" t="e">
        <f t="array" ref="E413">RANK($Y413,IF(Combo_Species_Names=$N413,Combo_Gym_Defense),0)</f>
        <v>#VALUE!</v>
      </c>
      <c r="F413" s="25" t="e">
        <f t="array" ref="F413">$Y413/MAX(IF(Combo_Species_Names=$N413,Combo_Gym_Defense))</f>
        <v>#VALUE!</v>
      </c>
      <c r="G413" s="23" t="e">
        <f t="array" ref="G413">IF(OR(INDEX(Species_Availability,MATCH($N413,Species_Names,0))="No",INDEX(Species_Evo_Numbers,MATCH($N413,Species_Names,0))&lt;&gt;1),"N/A",RANK($R413,IF(NOT(ISNA(MATCH(Combo_Species_Names,IF(Species_Availability="Yes",IF(Species_Evo_Numbers=1,Species_Names)),0))),Combo_Duel_Ability),0))</f>
        <v>#VALUE!</v>
      </c>
      <c r="H413" s="24" t="e">
        <f t="array" ref="H413">IF(OR(INDEX(Species_Availability,MATCH($N413,Species_Names,0))="No",INDEX(Species_Evo_Numbers,MATCH($N413,Species_Names,0))&lt;&gt;1),"N/A",$R413/MAX(IF(NOT(ISNA(MATCH(Combo_Species_Names,IF(Species_Availability="Yes",IF(Species_Evo_Numbers=1,Species_Names)),0))),Combo_Duel_Ability)))</f>
        <v>#VALUE!</v>
      </c>
      <c r="I413" s="23" t="e">
        <f t="array" ref="I413">IF(OR(INDEX(Species_Availability,MATCH($N413,Species_Names,0))="No",INDEX(Species_Evo_Numbers,MATCH($N413,Species_Names,0))&lt;&gt;1),"N/A",RANK($S413,IF(NOT(ISNA(MATCH(Combo_Species_Names,IF(Species_Availability="Yes",IF(Species_Evo_Numbers=1,Species_Names)),0))),Combo_Gym_Offense),0))</f>
        <v>#VALUE!</v>
      </c>
      <c r="J413" s="24" t="e">
        <f t="array" ref="J413">IF(OR(INDEX(Species_Availability,MATCH($N413,Species_Names,0))="No",INDEX(Species_Evo_Numbers,MATCH($N413,Species_Names,0))&lt;&gt;1),"N/A",$S413/MAX(IF(NOT(ISNA(MATCH(Combo_Species_Names,IF(Species_Availability="Yes",IF(Species_Evo_Numbers=1,Species_Names)),0))),Combo_Gym_Offense)))</f>
        <v>#VALUE!</v>
      </c>
      <c r="K413" s="23" t="e">
        <f t="array" ref="K413">IF(OR(INDEX(Species_Availability,MATCH($N413,Species_Names,0))="No",INDEX(Species_Evo_Numbers,MATCH($N413,Species_Names,0))&lt;&gt;1),"N/A",RANK($Y413,IF(NOT(ISNA(MATCH(Combo_Species_Names,IF(Species_Availability="Yes",IF(Species_Evo_Numbers=1,Species_Names)),0))),Combo_Gym_Defense),0))</f>
        <v>#VALUE!</v>
      </c>
      <c r="L413" s="24" t="e">
        <f t="array" ref="L413">IF(OR(INDEX(Species_Availability,MATCH($N413,Species_Names,0))="No",INDEX(Species_Evo_Numbers,MATCH($N413,Species_Names,0))&lt;&gt;1),"N/A",$Y413/MAX(IF(NOT(ISNA(MATCH(Combo_Species_Names,IF(Species_Availability="Yes",IF(Species_Evo_Numbers=1,Species_Names)),0))),Combo_Gym_Defense)))</f>
        <v>#VALUE!</v>
      </c>
      <c r="M413" s="28">
        <f t="array" ref="M413">INDEX(Species_Pdex_Numbers,MATCH($N413,Species_Names,0))</f>
        <v>122</v>
      </c>
      <c r="N413" s="30" t="s">
        <v>339</v>
      </c>
      <c r="O413" s="31" t="s">
        <v>108</v>
      </c>
      <c r="P413" s="31" t="s">
        <v>234</v>
      </c>
      <c r="Q413" s="17" t="e">
        <f t="shared" si="12"/>
        <v>#VALUE!</v>
      </c>
      <c r="R413" s="32" t="e">
        <f t="array" ref="R413">IF(OR(AND(COUNTBLANK(Combo_Opponent_Type_1)=1,COUNTBLANK(Combo_Opponent_Type_2)=0),AND(AND(COUNTBLANK(Combo_Opponent_Type_1)=0,COUNTBLANK(Combo_Opponent_Type_2)=0),Combo_Opponent_Type_1=Combo_Opponent_Type_2)),
"Check Types",($S413*INDEX(Species_Tankiness,MATCH($N413,Species_Names,0)))/225)</f>
        <v>#VALUE!</v>
      </c>
      <c r="S413" s="32" t="e">
        <f t="array" ref="S413">IF(OR(AND(COUNTBLANK(Combo_Opponent_Type_1)=1,COUNTBLANK(Combo_Opponent_Type_2)=0),AND(AND(COUNTBLANK(Combo_Opponent_Type_1)=0,COUNTBLANK(Combo_Opponent_Type_2)=0),Combo_Opponent_Type_1=Combo_Opponent_Type_2)),
"Check Types",(
IF($W413&gt;=((1-Game_Weave_Human_Error)*$X413),$W413,$X413)*INDEX(Species_Attack,MATCH($N413,Species_Names,0)))/11)</f>
        <v>#VALUE!</v>
      </c>
      <c r="T413" s="33" t="e">
        <f t="shared" si="13"/>
        <v>#VALUE!</v>
      </c>
      <c r="U413" s="33">
        <f t="array" ref="U4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413,Quick_Names,0))),Type_Species)),0),1)*IF(COUNTBLANK(Combo_Opponent_Type_2)=0,INDEX(Type_Damage_Multipliers,MATCH(Combo_Opponent_Type_2,IF(Type_Move=(INDEX(Quick_Type,MATCH($O413,Quick_Names,0))),Type_Species)),0),1)*(IF(OR(INDEX(Quick_Type,MATCH($O413,Quick_Names,0))=INDEX(Species_Type_1,MATCH($N413,Species_Names,0)),INDEX(Quick_Type,MATCH($O413,Quick_Names,0))=INDEX(Species_Type_2,MATCH($N413,Species_Names,0))),Game_STAB_Multiplier,1)))</f>
        <v>1.25</v>
      </c>
      <c r="V413" s="33">
        <f t="array" ref="V4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413,Charge_Names,0))),Type_Species)),0),1)*IF(COUNTBLANK(Combo_Opponent_Type_2)=0,INDEX(Type_Damage_Multipliers,MATCH(Combo_Opponent_Type_2,IF(Type_Move=(INDEX(Charge_Type,MATCH($P413,Charge_Names,0))),Type_Species)),0),1)*
IF(OR(INDEX(Charge_Type,MATCH($P413,Charge_Names,0))=INDEX(Species_Type_1,MATCH($N413,Species_Names,0)),INDEX(Charge_Type,MATCH($P413,Charge_Names,0))=INDEX(Species_Type_2,MATCH($N413,Species_Names,0))),Game_STAB_Multiplier,1))</f>
        <v>1</v>
      </c>
      <c r="W413" s="33" t="s">
        <v>467</v>
      </c>
      <c r="X413" s="33" t="s">
        <v>689</v>
      </c>
      <c r="Y413" s="32" t="e">
        <f t="array" ref="Y413">((($Z413)*
INDEX(Species_Attack,MATCH($N413,Species_Names,0))*
INDEX(Species_Tankiness,MATCH($N413,Species_Names,0)))/1000)</f>
        <v>#VALUE!</v>
      </c>
      <c r="Z413" s="33" t="s">
        <v>471</v>
      </c>
    </row>
    <row r="414" spans="1:26" ht="14.25" customHeight="1" x14ac:dyDescent="0.2">
      <c r="A414" s="86"/>
      <c r="B414" s="22" t="str">
        <f t="array" ref="B414">CONCATENATE(TEXT($M414,"000"),".",TEXT(INDEX(Quick_Number,MATCH($O414,Quick_Names,0)),"000"),".",TEXT(INDEX(Charge_Number,MATCH($P414,Charge_Names,0)),"000"))</f>
        <v>122.235.030</v>
      </c>
      <c r="C414" s="23" t="e">
        <f t="array" ref="C414">RANK($S414,IF(Combo_Species_Names=$N414,Combo_Gym_Offense),0)</f>
        <v>#VALUE!</v>
      </c>
      <c r="D414" s="24" t="e">
        <f t="array" ref="D414">$S414/MAX(IF(Combo_Species_Names=$N414,Combo_Gym_Offense))</f>
        <v>#VALUE!</v>
      </c>
      <c r="E414" s="23" t="e">
        <f t="array" ref="E414">RANK($Y414,IF(Combo_Species_Names=$N414,Combo_Gym_Defense),0)</f>
        <v>#VALUE!</v>
      </c>
      <c r="F414" s="25" t="e">
        <f t="array" ref="F414">$Y414/MAX(IF(Combo_Species_Names=$N414,Combo_Gym_Defense))</f>
        <v>#VALUE!</v>
      </c>
      <c r="G414" s="23" t="e">
        <f t="array" ref="G414">IF(OR(INDEX(Species_Availability,MATCH($N414,Species_Names,0))="No",INDEX(Species_Evo_Numbers,MATCH($N414,Species_Names,0))&lt;&gt;1),"N/A",RANK($R414,IF(NOT(ISNA(MATCH(Combo_Species_Names,IF(Species_Availability="Yes",IF(Species_Evo_Numbers=1,Species_Names)),0))),Combo_Duel_Ability),0))</f>
        <v>#VALUE!</v>
      </c>
      <c r="H414" s="24" t="e">
        <f t="array" ref="H414">IF(OR(INDEX(Species_Availability,MATCH($N414,Species_Names,0))="No",INDEX(Species_Evo_Numbers,MATCH($N414,Species_Names,0))&lt;&gt;1),"N/A",$R414/MAX(IF(NOT(ISNA(MATCH(Combo_Species_Names,IF(Species_Availability="Yes",IF(Species_Evo_Numbers=1,Species_Names)),0))),Combo_Duel_Ability)))</f>
        <v>#VALUE!</v>
      </c>
      <c r="I414" s="23" t="e">
        <f t="array" ref="I414">IF(OR(INDEX(Species_Availability,MATCH($N414,Species_Names,0))="No",INDEX(Species_Evo_Numbers,MATCH($N414,Species_Names,0))&lt;&gt;1),"N/A",RANK($S414,IF(NOT(ISNA(MATCH(Combo_Species_Names,IF(Species_Availability="Yes",IF(Species_Evo_Numbers=1,Species_Names)),0))),Combo_Gym_Offense),0))</f>
        <v>#VALUE!</v>
      </c>
      <c r="J414" s="24" t="e">
        <f t="array" ref="J414">IF(OR(INDEX(Species_Availability,MATCH($N414,Species_Names,0))="No",INDEX(Species_Evo_Numbers,MATCH($N414,Species_Names,0))&lt;&gt;1),"N/A",$S414/MAX(IF(NOT(ISNA(MATCH(Combo_Species_Names,IF(Species_Availability="Yes",IF(Species_Evo_Numbers=1,Species_Names)),0))),Combo_Gym_Offense)))</f>
        <v>#VALUE!</v>
      </c>
      <c r="K414" s="23" t="e">
        <f t="array" ref="K414">IF(OR(INDEX(Species_Availability,MATCH($N414,Species_Names,0))="No",INDEX(Species_Evo_Numbers,MATCH($N414,Species_Names,0))&lt;&gt;1),"N/A",RANK($Y414,IF(NOT(ISNA(MATCH(Combo_Species_Names,IF(Species_Availability="Yes",IF(Species_Evo_Numbers=1,Species_Names)),0))),Combo_Gym_Defense),0))</f>
        <v>#VALUE!</v>
      </c>
      <c r="L414" s="24" t="e">
        <f t="array" ref="L414">IF(OR(INDEX(Species_Availability,MATCH($N414,Species_Names,0))="No",INDEX(Species_Evo_Numbers,MATCH($N414,Species_Names,0))&lt;&gt;1),"N/A",$Y414/MAX(IF(NOT(ISNA(MATCH(Combo_Species_Names,IF(Species_Availability="Yes",IF(Species_Evo_Numbers=1,Species_Names)),0))),Combo_Gym_Defense)))</f>
        <v>#VALUE!</v>
      </c>
      <c r="M414" s="28">
        <f t="array" ref="M414">INDEX(Species_Pdex_Numbers,MATCH($N414,Species_Names,0))</f>
        <v>122</v>
      </c>
      <c r="N414" s="30" t="s">
        <v>339</v>
      </c>
      <c r="O414" s="31" t="s">
        <v>108</v>
      </c>
      <c r="P414" s="31" t="s">
        <v>283</v>
      </c>
      <c r="Q414" s="17" t="e">
        <f t="shared" si="12"/>
        <v>#VALUE!</v>
      </c>
      <c r="R414" s="32" t="e">
        <f t="array" ref="R414">IF(OR(AND(COUNTBLANK(Combo_Opponent_Type_1)=1,COUNTBLANK(Combo_Opponent_Type_2)=0),AND(AND(COUNTBLANK(Combo_Opponent_Type_1)=0,COUNTBLANK(Combo_Opponent_Type_2)=0),Combo_Opponent_Type_1=Combo_Opponent_Type_2)),
"Check Types",($S414*INDEX(Species_Tankiness,MATCH($N414,Species_Names,0)))/225)</f>
        <v>#VALUE!</v>
      </c>
      <c r="S414" s="32" t="e">
        <f t="array" ref="S414">IF(OR(AND(COUNTBLANK(Combo_Opponent_Type_1)=1,COUNTBLANK(Combo_Opponent_Type_2)=0),AND(AND(COUNTBLANK(Combo_Opponent_Type_1)=0,COUNTBLANK(Combo_Opponent_Type_2)=0),Combo_Opponent_Type_1=Combo_Opponent_Type_2)),
"Check Types",(
IF($W414&gt;=((1-Game_Weave_Human_Error)*$X414),$W414,$X414)*INDEX(Species_Attack,MATCH($N414,Species_Names,0)))/11)</f>
        <v>#VALUE!</v>
      </c>
      <c r="T414" s="33" t="e">
        <f t="shared" si="13"/>
        <v>#VALUE!</v>
      </c>
      <c r="U414" s="33">
        <f t="array" ref="U4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414,Quick_Names,0))),Type_Species)),0),1)*IF(COUNTBLANK(Combo_Opponent_Type_2)=0,INDEX(Type_Damage_Multipliers,MATCH(Combo_Opponent_Type_2,IF(Type_Move=(INDEX(Quick_Type,MATCH($O414,Quick_Names,0))),Type_Species)),0),1)*(IF(OR(INDEX(Quick_Type,MATCH($O414,Quick_Names,0))=INDEX(Species_Type_1,MATCH($N414,Species_Names,0)),INDEX(Quick_Type,MATCH($O414,Quick_Names,0))=INDEX(Species_Type_2,MATCH($N414,Species_Names,0))),Game_STAB_Multiplier,1)))</f>
        <v>1.25</v>
      </c>
      <c r="V414" s="33">
        <f t="array" ref="V4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414,Charge_Names,0))),Type_Species)),0),1)*IF(COUNTBLANK(Combo_Opponent_Type_2)=0,INDEX(Type_Damage_Multipliers,MATCH(Combo_Opponent_Type_2,IF(Type_Move=(INDEX(Charge_Type,MATCH($P414,Charge_Names,0))),Type_Species)),0),1)*
IF(OR(INDEX(Charge_Type,MATCH($P414,Charge_Names,0))=INDEX(Species_Type_1,MATCH($N414,Species_Names,0)),INDEX(Charge_Type,MATCH($P414,Charge_Names,0))=INDEX(Species_Type_2,MATCH($N414,Species_Names,0))),Game_STAB_Multiplier,1))</f>
        <v>1.25</v>
      </c>
      <c r="W414" s="33" t="s">
        <v>467</v>
      </c>
      <c r="X414" s="33" t="s">
        <v>910</v>
      </c>
      <c r="Y414" s="32" t="e">
        <f t="array" ref="Y414">((($Z414)*
INDEX(Species_Attack,MATCH($N414,Species_Names,0))*
INDEX(Species_Tankiness,MATCH($N414,Species_Names,0)))/1000)</f>
        <v>#VALUE!</v>
      </c>
      <c r="Z414" s="33" t="s">
        <v>911</v>
      </c>
    </row>
    <row r="415" spans="1:26" ht="14.25" customHeight="1" x14ac:dyDescent="0.2">
      <c r="A415" s="86"/>
      <c r="B415" s="22" t="str">
        <f t="array" ref="B415">CONCATENATE(TEXT($M415,"000"),".",TEXT(INDEX(Quick_Number,MATCH($O415,Quick_Names,0)),"000"),".",TEXT(INDEX(Charge_Number,MATCH($P415,Charge_Names,0)),"000"))</f>
        <v>020.219.129</v>
      </c>
      <c r="C415" s="23" t="e">
        <f t="array" ref="C415">RANK($S415,IF(Combo_Species_Names=$N415,Combo_Gym_Offense),0)</f>
        <v>#VALUE!</v>
      </c>
      <c r="D415" s="24" t="e">
        <f t="array" ref="D415">$S415/MAX(IF(Combo_Species_Names=$N415,Combo_Gym_Offense))</f>
        <v>#VALUE!</v>
      </c>
      <c r="E415" s="23" t="e">
        <f t="array" ref="E415">RANK($Y415,IF(Combo_Species_Names=$N415,Combo_Gym_Defense),0)</f>
        <v>#VALUE!</v>
      </c>
      <c r="F415" s="25" t="e">
        <f t="array" ref="F415">$Y415/MAX(IF(Combo_Species_Names=$N415,Combo_Gym_Defense))</f>
        <v>#VALUE!</v>
      </c>
      <c r="G415" s="23" t="e">
        <f t="array" ref="G415">IF(OR(INDEX(Species_Availability,MATCH($N415,Species_Names,0))="No",INDEX(Species_Evo_Numbers,MATCH($N415,Species_Names,0))&lt;&gt;1),"N/A",RANK($R415,IF(NOT(ISNA(MATCH(Combo_Species_Names,IF(Species_Availability="Yes",IF(Species_Evo_Numbers=1,Species_Names)),0))),Combo_Duel_Ability),0))</f>
        <v>#VALUE!</v>
      </c>
      <c r="H415" s="24" t="e">
        <f t="array" ref="H415">IF(OR(INDEX(Species_Availability,MATCH($N415,Species_Names,0))="No",INDEX(Species_Evo_Numbers,MATCH($N415,Species_Names,0))&lt;&gt;1),"N/A",$R415/MAX(IF(NOT(ISNA(MATCH(Combo_Species_Names,IF(Species_Availability="Yes",IF(Species_Evo_Numbers=1,Species_Names)),0))),Combo_Duel_Ability)))</f>
        <v>#VALUE!</v>
      </c>
      <c r="I415" s="23" t="e">
        <f t="array" ref="I415">IF(OR(INDEX(Species_Availability,MATCH($N415,Species_Names,0))="No",INDEX(Species_Evo_Numbers,MATCH($N415,Species_Names,0))&lt;&gt;1),"N/A",RANK($S415,IF(NOT(ISNA(MATCH(Combo_Species_Names,IF(Species_Availability="Yes",IF(Species_Evo_Numbers=1,Species_Names)),0))),Combo_Gym_Offense),0))</f>
        <v>#VALUE!</v>
      </c>
      <c r="J415" s="24" t="e">
        <f t="array" ref="J415">IF(OR(INDEX(Species_Availability,MATCH($N415,Species_Names,0))="No",INDEX(Species_Evo_Numbers,MATCH($N415,Species_Names,0))&lt;&gt;1),"N/A",$S415/MAX(IF(NOT(ISNA(MATCH(Combo_Species_Names,IF(Species_Availability="Yes",IF(Species_Evo_Numbers=1,Species_Names)),0))),Combo_Gym_Offense)))</f>
        <v>#VALUE!</v>
      </c>
      <c r="K415" s="23" t="e">
        <f t="array" ref="K415">IF(OR(INDEX(Species_Availability,MATCH($N415,Species_Names,0))="No",INDEX(Species_Evo_Numbers,MATCH($N415,Species_Names,0))&lt;&gt;1),"N/A",RANK($Y415,IF(NOT(ISNA(MATCH(Combo_Species_Names,IF(Species_Availability="Yes",IF(Species_Evo_Numbers=1,Species_Names)),0))),Combo_Gym_Defense),0))</f>
        <v>#VALUE!</v>
      </c>
      <c r="L415" s="24" t="e">
        <f t="array" ref="L415">IF(OR(INDEX(Species_Availability,MATCH($N415,Species_Names,0))="No",INDEX(Species_Evo_Numbers,MATCH($N415,Species_Names,0))&lt;&gt;1),"N/A",$Y415/MAX(IF(NOT(ISNA(MATCH(Combo_Species_Names,IF(Species_Availability="Yes",IF(Species_Evo_Numbers=1,Species_Names)),0))),Combo_Gym_Defense)))</f>
        <v>#VALUE!</v>
      </c>
      <c r="M415" s="28">
        <f t="array" ref="M415">INDEX(Species_Pdex_Numbers,MATCH($N415,Species_Names,0))</f>
        <v>20</v>
      </c>
      <c r="N415" s="30" t="s">
        <v>129</v>
      </c>
      <c r="O415" s="31" t="s">
        <v>119</v>
      </c>
      <c r="P415" s="31" t="s">
        <v>216</v>
      </c>
      <c r="Q415" s="17" t="e">
        <f t="shared" si="12"/>
        <v>#VALUE!</v>
      </c>
      <c r="R415" s="32" t="e">
        <f t="array" ref="R415">IF(OR(AND(COUNTBLANK(Combo_Opponent_Type_1)=1,COUNTBLANK(Combo_Opponent_Type_2)=0),AND(AND(COUNTBLANK(Combo_Opponent_Type_1)=0,COUNTBLANK(Combo_Opponent_Type_2)=0),Combo_Opponent_Type_1=Combo_Opponent_Type_2)),
"Check Types",($S415*INDEX(Species_Tankiness,MATCH($N415,Species_Names,0)))/225)</f>
        <v>#VALUE!</v>
      </c>
      <c r="S415" s="32" t="e">
        <f t="array" ref="S415">IF(OR(AND(COUNTBLANK(Combo_Opponent_Type_1)=1,COUNTBLANK(Combo_Opponent_Type_2)=0),AND(AND(COUNTBLANK(Combo_Opponent_Type_1)=0,COUNTBLANK(Combo_Opponent_Type_2)=0),Combo_Opponent_Type_1=Combo_Opponent_Type_2)),
"Check Types",(
IF($W415&gt;=((1-Game_Weave_Human_Error)*$X415),$W415,$X415)*INDEX(Species_Attack,MATCH($N415,Species_Names,0)))/11)</f>
        <v>#VALUE!</v>
      </c>
      <c r="T415" s="33" t="e">
        <f t="shared" si="13"/>
        <v>#VALUE!</v>
      </c>
      <c r="U415" s="33">
        <f t="array" ref="U4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415,Quick_Names,0))),Type_Species)),0),1)*IF(COUNTBLANK(Combo_Opponent_Type_2)=0,INDEX(Type_Damage_Multipliers,MATCH(Combo_Opponent_Type_2,IF(Type_Move=(INDEX(Quick_Type,MATCH($O415,Quick_Names,0))),Type_Species)),0),1)*(IF(OR(INDEX(Quick_Type,MATCH($O415,Quick_Names,0))=INDEX(Species_Type_1,MATCH($N415,Species_Names,0)),INDEX(Quick_Type,MATCH($O415,Quick_Names,0))=INDEX(Species_Type_2,MATCH($N415,Species_Names,0))),Game_STAB_Multiplier,1)))</f>
        <v>1.25</v>
      </c>
      <c r="V415" s="33">
        <f t="array" ref="V4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415,Charge_Names,0))),Type_Species)),0),1)*IF(COUNTBLANK(Combo_Opponent_Type_2)=0,INDEX(Type_Damage_Multipliers,MATCH(Combo_Opponent_Type_2,IF(Type_Move=(INDEX(Charge_Type,MATCH($P415,Charge_Names,0))),Type_Species)),0),1)*
IF(OR(INDEX(Charge_Type,MATCH($P415,Charge_Names,0))=INDEX(Species_Type_1,MATCH($N415,Species_Names,0)),INDEX(Charge_Type,MATCH($P415,Charge_Names,0))=INDEX(Species_Type_2,MATCH($N415,Species_Names,0))),Game_STAB_Multiplier,1))</f>
        <v>1.25</v>
      </c>
      <c r="W415" s="33" t="s">
        <v>564</v>
      </c>
      <c r="X415" s="33" t="s">
        <v>826</v>
      </c>
      <c r="Y415" s="32" t="e">
        <f t="array" ref="Y415">((($Z415)*
INDEX(Species_Attack,MATCH($N415,Species_Names,0))*
INDEX(Species_Tankiness,MATCH($N415,Species_Names,0)))/1000)</f>
        <v>#VALUE!</v>
      </c>
      <c r="Z415" s="33" t="s">
        <v>912</v>
      </c>
    </row>
    <row r="416" spans="1:26" ht="14.25" customHeight="1" x14ac:dyDescent="0.2">
      <c r="A416" s="86"/>
      <c r="B416" s="22" t="str">
        <f t="array" ref="B416">CONCATENATE(TEXT($M416,"000"),".",TEXT(INDEX(Quick_Number,MATCH($O416,Quick_Names,0)),"000"),".",TEXT(INDEX(Charge_Number,MATCH($P416,Charge_Names,0)),"000"))</f>
        <v>107.229.077</v>
      </c>
      <c r="C416" s="23" t="e">
        <f t="array" ref="C416">RANK($S416,IF(Combo_Species_Names=$N416,Combo_Gym_Offense),0)</f>
        <v>#VALUE!</v>
      </c>
      <c r="D416" s="24" t="e">
        <f t="array" ref="D416">$S416/MAX(IF(Combo_Species_Names=$N416,Combo_Gym_Offense))</f>
        <v>#VALUE!</v>
      </c>
      <c r="E416" s="23" t="e">
        <f t="array" ref="E416">RANK($Y416,IF(Combo_Species_Names=$N416,Combo_Gym_Defense),0)</f>
        <v>#VALUE!</v>
      </c>
      <c r="F416" s="25" t="e">
        <f t="array" ref="F416">$Y416/MAX(IF(Combo_Species_Names=$N416,Combo_Gym_Defense))</f>
        <v>#VALUE!</v>
      </c>
      <c r="G416" s="23" t="e">
        <f t="array" ref="G416">IF(OR(INDEX(Species_Availability,MATCH($N416,Species_Names,0))="No",INDEX(Species_Evo_Numbers,MATCH($N416,Species_Names,0))&lt;&gt;1),"N/A",RANK($R416,IF(NOT(ISNA(MATCH(Combo_Species_Names,IF(Species_Availability="Yes",IF(Species_Evo_Numbers=1,Species_Names)),0))),Combo_Duel_Ability),0))</f>
        <v>#VALUE!</v>
      </c>
      <c r="H416" s="24" t="e">
        <f t="array" ref="H416">IF(OR(INDEX(Species_Availability,MATCH($N416,Species_Names,0))="No",INDEX(Species_Evo_Numbers,MATCH($N416,Species_Names,0))&lt;&gt;1),"N/A",$R416/MAX(IF(NOT(ISNA(MATCH(Combo_Species_Names,IF(Species_Availability="Yes",IF(Species_Evo_Numbers=1,Species_Names)),0))),Combo_Duel_Ability)))</f>
        <v>#VALUE!</v>
      </c>
      <c r="I416" s="23" t="e">
        <f t="array" ref="I416">IF(OR(INDEX(Species_Availability,MATCH($N416,Species_Names,0))="No",INDEX(Species_Evo_Numbers,MATCH($N416,Species_Names,0))&lt;&gt;1),"N/A",RANK($S416,IF(NOT(ISNA(MATCH(Combo_Species_Names,IF(Species_Availability="Yes",IF(Species_Evo_Numbers=1,Species_Names)),0))),Combo_Gym_Offense),0))</f>
        <v>#VALUE!</v>
      </c>
      <c r="J416" s="24" t="e">
        <f t="array" ref="J416">IF(OR(INDEX(Species_Availability,MATCH($N416,Species_Names,0))="No",INDEX(Species_Evo_Numbers,MATCH($N416,Species_Names,0))&lt;&gt;1),"N/A",$S416/MAX(IF(NOT(ISNA(MATCH(Combo_Species_Names,IF(Species_Availability="Yes",IF(Species_Evo_Numbers=1,Species_Names)),0))),Combo_Gym_Offense)))</f>
        <v>#VALUE!</v>
      </c>
      <c r="K416" s="23" t="e">
        <f t="array" ref="K416">IF(OR(INDEX(Species_Availability,MATCH($N416,Species_Names,0))="No",INDEX(Species_Evo_Numbers,MATCH($N416,Species_Names,0))&lt;&gt;1),"N/A",RANK($Y416,IF(NOT(ISNA(MATCH(Combo_Species_Names,IF(Species_Availability="Yes",IF(Species_Evo_Numbers=1,Species_Names)),0))),Combo_Gym_Defense),0))</f>
        <v>#VALUE!</v>
      </c>
      <c r="L416" s="24" t="e">
        <f t="array" ref="L416">IF(OR(INDEX(Species_Availability,MATCH($N416,Species_Names,0))="No",INDEX(Species_Evo_Numbers,MATCH($N416,Species_Names,0))&lt;&gt;1),"N/A",$Y416/MAX(IF(NOT(ISNA(MATCH(Combo_Species_Names,IF(Species_Availability="Yes",IF(Species_Evo_Numbers=1,Species_Names)),0))),Combo_Gym_Defense)))</f>
        <v>#VALUE!</v>
      </c>
      <c r="M416" s="28">
        <f t="array" ref="M416">INDEX(Species_Pdex_Numbers,MATCH($N416,Species_Names,0))</f>
        <v>107</v>
      </c>
      <c r="N416" s="30" t="s">
        <v>317</v>
      </c>
      <c r="O416" s="31" t="s">
        <v>118</v>
      </c>
      <c r="P416" s="31" t="s">
        <v>214</v>
      </c>
      <c r="Q416" s="17" t="e">
        <f t="shared" si="12"/>
        <v>#VALUE!</v>
      </c>
      <c r="R416" s="32" t="e">
        <f t="array" ref="R416">IF(OR(AND(COUNTBLANK(Combo_Opponent_Type_1)=1,COUNTBLANK(Combo_Opponent_Type_2)=0),AND(AND(COUNTBLANK(Combo_Opponent_Type_1)=0,COUNTBLANK(Combo_Opponent_Type_2)=0),Combo_Opponent_Type_1=Combo_Opponent_Type_2)),
"Check Types",($S416*INDEX(Species_Tankiness,MATCH($N416,Species_Names,0)))/225)</f>
        <v>#VALUE!</v>
      </c>
      <c r="S416" s="32" t="e">
        <f t="array" ref="S416">IF(OR(AND(COUNTBLANK(Combo_Opponent_Type_1)=1,COUNTBLANK(Combo_Opponent_Type_2)=0),AND(AND(COUNTBLANK(Combo_Opponent_Type_1)=0,COUNTBLANK(Combo_Opponent_Type_2)=0),Combo_Opponent_Type_1=Combo_Opponent_Type_2)),
"Check Types",(
IF($W416&gt;=((1-Game_Weave_Human_Error)*$X416),$W416,$X416)*INDEX(Species_Attack,MATCH($N416,Species_Names,0)))/11)</f>
        <v>#VALUE!</v>
      </c>
      <c r="T416" s="33" t="e">
        <f t="shared" si="13"/>
        <v>#VALUE!</v>
      </c>
      <c r="U416" s="33">
        <f t="array" ref="U4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416,Quick_Names,0))),Type_Species)),0),1)*IF(COUNTBLANK(Combo_Opponent_Type_2)=0,INDEX(Type_Damage_Multipliers,MATCH(Combo_Opponent_Type_2,IF(Type_Move=(INDEX(Quick_Type,MATCH($O416,Quick_Names,0))),Type_Species)),0),1)*(IF(OR(INDEX(Quick_Type,MATCH($O416,Quick_Names,0))=INDEX(Species_Type_1,MATCH($N416,Species_Names,0)),INDEX(Quick_Type,MATCH($O416,Quick_Names,0))=INDEX(Species_Type_2,MATCH($N416,Species_Names,0))),Game_STAB_Multiplier,1)))</f>
        <v>1</v>
      </c>
      <c r="V416" s="33">
        <f t="array" ref="V4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416,Charge_Names,0))),Type_Species)),0),1)*IF(COUNTBLANK(Combo_Opponent_Type_2)=0,INDEX(Type_Damage_Multipliers,MATCH(Combo_Opponent_Type_2,IF(Type_Move=(INDEX(Charge_Type,MATCH($P416,Charge_Names,0))),Type_Species)),0),1)*
IF(OR(INDEX(Charge_Type,MATCH($P416,Charge_Names,0))=INDEX(Species_Type_1,MATCH($N416,Species_Names,0)),INDEX(Charge_Type,MATCH($P416,Charge_Names,0))=INDEX(Species_Type_2,MATCH($N416,Species_Names,0))),Game_STAB_Multiplier,1))</f>
        <v>1</v>
      </c>
      <c r="W416" s="33" t="s">
        <v>621</v>
      </c>
      <c r="X416" s="33" t="s">
        <v>913</v>
      </c>
      <c r="Y416" s="32" t="e">
        <f t="array" ref="Y416">((($Z416)*
INDEX(Species_Attack,MATCH($N416,Species_Names,0))*
INDEX(Species_Tankiness,MATCH($N416,Species_Names,0)))/1000)</f>
        <v>#VALUE!</v>
      </c>
      <c r="Z416" s="33" t="s">
        <v>914</v>
      </c>
    </row>
    <row r="417" spans="1:26" ht="14.25" customHeight="1" x14ac:dyDescent="0.2">
      <c r="A417" s="86"/>
      <c r="B417" s="22" t="str">
        <f t="array" ref="B417">CONCATENATE(TEXT($M417,"000"),".",TEXT(INDEX(Quick_Number,MATCH($O417,Quick_Names,0)),"000"),".",TEXT(INDEX(Charge_Number,MATCH($P417,Charge_Names,0)),"000"))</f>
        <v>020.202.026</v>
      </c>
      <c r="C417" s="23" t="e">
        <f t="array" ref="C417">RANK($S417,IF(Combo_Species_Names=$N417,Combo_Gym_Offense),0)</f>
        <v>#VALUE!</v>
      </c>
      <c r="D417" s="24" t="e">
        <f t="array" ref="D417">$S417/MAX(IF(Combo_Species_Names=$N417,Combo_Gym_Offense))</f>
        <v>#VALUE!</v>
      </c>
      <c r="E417" s="23" t="e">
        <f t="array" ref="E417">RANK($Y417,IF(Combo_Species_Names=$N417,Combo_Gym_Defense),0)</f>
        <v>#VALUE!</v>
      </c>
      <c r="F417" s="25" t="e">
        <f t="array" ref="F417">$Y417/MAX(IF(Combo_Species_Names=$N417,Combo_Gym_Defense))</f>
        <v>#VALUE!</v>
      </c>
      <c r="G417" s="23" t="e">
        <f t="array" ref="G417">IF(OR(INDEX(Species_Availability,MATCH($N417,Species_Names,0))="No",INDEX(Species_Evo_Numbers,MATCH($N417,Species_Names,0))&lt;&gt;1),"N/A",RANK($R417,IF(NOT(ISNA(MATCH(Combo_Species_Names,IF(Species_Availability="Yes",IF(Species_Evo_Numbers=1,Species_Names)),0))),Combo_Duel_Ability),0))</f>
        <v>#VALUE!</v>
      </c>
      <c r="H417" s="24" t="e">
        <f t="array" ref="H417">IF(OR(INDEX(Species_Availability,MATCH($N417,Species_Names,0))="No",INDEX(Species_Evo_Numbers,MATCH($N417,Species_Names,0))&lt;&gt;1),"N/A",$R417/MAX(IF(NOT(ISNA(MATCH(Combo_Species_Names,IF(Species_Availability="Yes",IF(Species_Evo_Numbers=1,Species_Names)),0))),Combo_Duel_Ability)))</f>
        <v>#VALUE!</v>
      </c>
      <c r="I417" s="23" t="e">
        <f t="array" ref="I417">IF(OR(INDEX(Species_Availability,MATCH($N417,Species_Names,0))="No",INDEX(Species_Evo_Numbers,MATCH($N417,Species_Names,0))&lt;&gt;1),"N/A",RANK($S417,IF(NOT(ISNA(MATCH(Combo_Species_Names,IF(Species_Availability="Yes",IF(Species_Evo_Numbers=1,Species_Names)),0))),Combo_Gym_Offense),0))</f>
        <v>#VALUE!</v>
      </c>
      <c r="J417" s="24" t="e">
        <f t="array" ref="J417">IF(OR(INDEX(Species_Availability,MATCH($N417,Species_Names,0))="No",INDEX(Species_Evo_Numbers,MATCH($N417,Species_Names,0))&lt;&gt;1),"N/A",$S417/MAX(IF(NOT(ISNA(MATCH(Combo_Species_Names,IF(Species_Availability="Yes",IF(Species_Evo_Numbers=1,Species_Names)),0))),Combo_Gym_Offense)))</f>
        <v>#VALUE!</v>
      </c>
      <c r="K417" s="23" t="e">
        <f t="array" ref="K417">IF(OR(INDEX(Species_Availability,MATCH($N417,Species_Names,0))="No",INDEX(Species_Evo_Numbers,MATCH($N417,Species_Names,0))&lt;&gt;1),"N/A",RANK($Y417,IF(NOT(ISNA(MATCH(Combo_Species_Names,IF(Species_Availability="Yes",IF(Species_Evo_Numbers=1,Species_Names)),0))),Combo_Gym_Defense),0))</f>
        <v>#VALUE!</v>
      </c>
      <c r="L417" s="24" t="e">
        <f t="array" ref="L417">IF(OR(INDEX(Species_Availability,MATCH($N417,Species_Names,0))="No",INDEX(Species_Evo_Numbers,MATCH($N417,Species_Names,0))&lt;&gt;1),"N/A",$Y417/MAX(IF(NOT(ISNA(MATCH(Combo_Species_Names,IF(Species_Availability="Yes",IF(Species_Evo_Numbers=1,Species_Names)),0))),Combo_Gym_Defense)))</f>
        <v>#VALUE!</v>
      </c>
      <c r="M417" s="28">
        <f t="array" ref="M417">INDEX(Species_Pdex_Numbers,MATCH($N417,Species_Names,0))</f>
        <v>20</v>
      </c>
      <c r="N417" s="30" t="s">
        <v>129</v>
      </c>
      <c r="O417" s="31" t="s">
        <v>59</v>
      </c>
      <c r="P417" s="31" t="s">
        <v>264</v>
      </c>
      <c r="Q417" s="17" t="e">
        <f t="shared" si="12"/>
        <v>#VALUE!</v>
      </c>
      <c r="R417" s="32" t="e">
        <f t="array" ref="R417">IF(OR(AND(COUNTBLANK(Combo_Opponent_Type_1)=1,COUNTBLANK(Combo_Opponent_Type_2)=0),AND(AND(COUNTBLANK(Combo_Opponent_Type_1)=0,COUNTBLANK(Combo_Opponent_Type_2)=0),Combo_Opponent_Type_1=Combo_Opponent_Type_2)),
"Check Types",($S417*INDEX(Species_Tankiness,MATCH($N417,Species_Names,0)))/225)</f>
        <v>#VALUE!</v>
      </c>
      <c r="S417" s="32" t="e">
        <f t="array" ref="S417">IF(OR(AND(COUNTBLANK(Combo_Opponent_Type_1)=1,COUNTBLANK(Combo_Opponent_Type_2)=0),AND(AND(COUNTBLANK(Combo_Opponent_Type_1)=0,COUNTBLANK(Combo_Opponent_Type_2)=0),Combo_Opponent_Type_1=Combo_Opponent_Type_2)),
"Check Types",(
IF($W417&gt;=((1-Game_Weave_Human_Error)*$X417),$W417,$X417)*INDEX(Species_Attack,MATCH($N417,Species_Names,0)))/11)</f>
        <v>#VALUE!</v>
      </c>
      <c r="T417" s="33" t="e">
        <f t="shared" si="13"/>
        <v>#VALUE!</v>
      </c>
      <c r="U417" s="33">
        <f t="array" ref="U4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417,Quick_Names,0))),Type_Species)),0),1)*IF(COUNTBLANK(Combo_Opponent_Type_2)=0,INDEX(Type_Damage_Multipliers,MATCH(Combo_Opponent_Type_2,IF(Type_Move=(INDEX(Quick_Type,MATCH($O417,Quick_Names,0))),Type_Species)),0),1)*(IF(OR(INDEX(Quick_Type,MATCH($O417,Quick_Names,0))=INDEX(Species_Type_1,MATCH($N417,Species_Names,0)),INDEX(Quick_Type,MATCH($O417,Quick_Names,0))=INDEX(Species_Type_2,MATCH($N417,Species_Names,0))),Game_STAB_Multiplier,1)))</f>
        <v>1</v>
      </c>
      <c r="V417" s="33">
        <f t="array" ref="V4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417,Charge_Names,0))),Type_Species)),0),1)*IF(COUNTBLANK(Combo_Opponent_Type_2)=0,INDEX(Type_Damage_Multipliers,MATCH(Combo_Opponent_Type_2,IF(Type_Move=(INDEX(Charge_Type,MATCH($P417,Charge_Names,0))),Type_Species)),0),1)*
IF(OR(INDEX(Charge_Type,MATCH($P417,Charge_Names,0))=INDEX(Species_Type_1,MATCH($N417,Species_Names,0)),INDEX(Charge_Type,MATCH($P417,Charge_Names,0))=INDEX(Species_Type_2,MATCH($N417,Species_Names,0))),Game_STAB_Multiplier,1))</f>
        <v>1</v>
      </c>
      <c r="W417" s="33" t="s">
        <v>453</v>
      </c>
      <c r="X417" s="33" t="s">
        <v>915</v>
      </c>
      <c r="Y417" s="32" t="e">
        <f t="array" ref="Y417">((($Z417)*
INDEX(Species_Attack,MATCH($N417,Species_Names,0))*
INDEX(Species_Tankiness,MATCH($N417,Species_Names,0)))/1000)</f>
        <v>#VALUE!</v>
      </c>
      <c r="Z417" s="33" t="s">
        <v>916</v>
      </c>
    </row>
    <row r="418" spans="1:26" ht="14.25" customHeight="1" x14ac:dyDescent="0.2">
      <c r="A418" s="86"/>
      <c r="B418" s="22" t="str">
        <f t="array" ref="B418">CONCATENATE(TEXT($M418,"000"),".",TEXT(INDEX(Quick_Number,MATCH($O418,Quick_Names,0)),"000"),".",TEXT(INDEX(Charge_Number,MATCH($P418,Charge_Names,0)),"000"))</f>
        <v>083.223.117</v>
      </c>
      <c r="C418" s="23" t="e">
        <f t="array" ref="C418">RANK($S418,IF(Combo_Species_Names=$N418,Combo_Gym_Offense),0)</f>
        <v>#VALUE!</v>
      </c>
      <c r="D418" s="24" t="e">
        <f t="array" ref="D418">$S418/MAX(IF(Combo_Species_Names=$N418,Combo_Gym_Offense))</f>
        <v>#VALUE!</v>
      </c>
      <c r="E418" s="23" t="e">
        <f t="array" ref="E418">RANK($Y418,IF(Combo_Species_Names=$N418,Combo_Gym_Defense),0)</f>
        <v>#VALUE!</v>
      </c>
      <c r="F418" s="25" t="e">
        <f t="array" ref="F418">$Y418/MAX(IF(Combo_Species_Names=$N418,Combo_Gym_Defense))</f>
        <v>#VALUE!</v>
      </c>
      <c r="G418" s="23" t="e">
        <f t="array" ref="G418">IF(OR(INDEX(Species_Availability,MATCH($N418,Species_Names,0))="No",INDEX(Species_Evo_Numbers,MATCH($N418,Species_Names,0))&lt;&gt;1),"N/A",RANK($R418,IF(NOT(ISNA(MATCH(Combo_Species_Names,IF(Species_Availability="Yes",IF(Species_Evo_Numbers=1,Species_Names)),0))),Combo_Duel_Ability),0))</f>
        <v>#VALUE!</v>
      </c>
      <c r="H418" s="24" t="e">
        <f t="array" ref="H418">IF(OR(INDEX(Species_Availability,MATCH($N418,Species_Names,0))="No",INDEX(Species_Evo_Numbers,MATCH($N418,Species_Names,0))&lt;&gt;1),"N/A",$R418/MAX(IF(NOT(ISNA(MATCH(Combo_Species_Names,IF(Species_Availability="Yes",IF(Species_Evo_Numbers=1,Species_Names)),0))),Combo_Duel_Ability)))</f>
        <v>#VALUE!</v>
      </c>
      <c r="I418" s="23" t="e">
        <f t="array" ref="I418">IF(OR(INDEX(Species_Availability,MATCH($N418,Species_Names,0))="No",INDEX(Species_Evo_Numbers,MATCH($N418,Species_Names,0))&lt;&gt;1),"N/A",RANK($S418,IF(NOT(ISNA(MATCH(Combo_Species_Names,IF(Species_Availability="Yes",IF(Species_Evo_Numbers=1,Species_Names)),0))),Combo_Gym_Offense),0))</f>
        <v>#VALUE!</v>
      </c>
      <c r="J418" s="24" t="e">
        <f t="array" ref="J418">IF(OR(INDEX(Species_Availability,MATCH($N418,Species_Names,0))="No",INDEX(Species_Evo_Numbers,MATCH($N418,Species_Names,0))&lt;&gt;1),"N/A",$S418/MAX(IF(NOT(ISNA(MATCH(Combo_Species_Names,IF(Species_Availability="Yes",IF(Species_Evo_Numbers=1,Species_Names)),0))),Combo_Gym_Offense)))</f>
        <v>#VALUE!</v>
      </c>
      <c r="K418" s="23" t="e">
        <f t="array" ref="K418">IF(OR(INDEX(Species_Availability,MATCH($N418,Species_Names,0))="No",INDEX(Species_Evo_Numbers,MATCH($N418,Species_Names,0))&lt;&gt;1),"N/A",RANK($Y418,IF(NOT(ISNA(MATCH(Combo_Species_Names,IF(Species_Availability="Yes",IF(Species_Evo_Numbers=1,Species_Names)),0))),Combo_Gym_Defense),0))</f>
        <v>#VALUE!</v>
      </c>
      <c r="L418" s="24" t="e">
        <f t="array" ref="L418">IF(OR(INDEX(Species_Availability,MATCH($N418,Species_Names,0))="No",INDEX(Species_Evo_Numbers,MATCH($N418,Species_Names,0))&lt;&gt;1),"N/A",$Y418/MAX(IF(NOT(ISNA(MATCH(Combo_Species_Names,IF(Species_Availability="Yes",IF(Species_Evo_Numbers=1,Species_Names)),0))),Combo_Gym_Defense)))</f>
        <v>#VALUE!</v>
      </c>
      <c r="M418" s="28">
        <f t="array" ref="M418">INDEX(Species_Pdex_Numbers,MATCH($N418,Species_Names,0))</f>
        <v>83</v>
      </c>
      <c r="N418" s="30" t="s">
        <v>259</v>
      </c>
      <c r="O418" s="31" t="s">
        <v>100</v>
      </c>
      <c r="P418" s="31" t="s">
        <v>178</v>
      </c>
      <c r="Q418" s="17" t="e">
        <f t="shared" si="12"/>
        <v>#VALUE!</v>
      </c>
      <c r="R418" s="32" t="e">
        <f t="array" ref="R418">IF(OR(AND(COUNTBLANK(Combo_Opponent_Type_1)=1,COUNTBLANK(Combo_Opponent_Type_2)=0),AND(AND(COUNTBLANK(Combo_Opponent_Type_1)=0,COUNTBLANK(Combo_Opponent_Type_2)=0),Combo_Opponent_Type_1=Combo_Opponent_Type_2)),
"Check Types",($S418*INDEX(Species_Tankiness,MATCH($N418,Species_Names,0)))/225)</f>
        <v>#VALUE!</v>
      </c>
      <c r="S418" s="32" t="e">
        <f t="array" ref="S418">IF(OR(AND(COUNTBLANK(Combo_Opponent_Type_1)=1,COUNTBLANK(Combo_Opponent_Type_2)=0),AND(AND(COUNTBLANK(Combo_Opponent_Type_1)=0,COUNTBLANK(Combo_Opponent_Type_2)=0),Combo_Opponent_Type_1=Combo_Opponent_Type_2)),
"Check Types",(
IF($W418&gt;=((1-Game_Weave_Human_Error)*$X418),$W418,$X418)*INDEX(Species_Attack,MATCH($N418,Species_Names,0)))/11)</f>
        <v>#VALUE!</v>
      </c>
      <c r="T418" s="33" t="e">
        <f t="shared" si="13"/>
        <v>#VALUE!</v>
      </c>
      <c r="U418" s="33">
        <f t="array" ref="U4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418,Quick_Names,0))),Type_Species)),0),1)*IF(COUNTBLANK(Combo_Opponent_Type_2)=0,INDEX(Type_Damage_Multipliers,MATCH(Combo_Opponent_Type_2,IF(Type_Move=(INDEX(Quick_Type,MATCH($O418,Quick_Names,0))),Type_Species)),0),1)*(IF(OR(INDEX(Quick_Type,MATCH($O418,Quick_Names,0))=INDEX(Species_Type_1,MATCH($N418,Species_Names,0)),INDEX(Quick_Type,MATCH($O418,Quick_Names,0))=INDEX(Species_Type_2,MATCH($N418,Species_Names,0))),Game_STAB_Multiplier,1)))</f>
        <v>1.25</v>
      </c>
      <c r="V418" s="33">
        <f t="array" ref="V4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418,Charge_Names,0))),Type_Species)),0),1)*IF(COUNTBLANK(Combo_Opponent_Type_2)=0,INDEX(Type_Damage_Multipliers,MATCH(Combo_Opponent_Type_2,IF(Type_Move=(INDEX(Charge_Type,MATCH($P418,Charge_Names,0))),Type_Species)),0),1)*
IF(OR(INDEX(Charge_Type,MATCH($P418,Charge_Names,0))=INDEX(Species_Type_1,MATCH($N418,Species_Names,0)),INDEX(Charge_Type,MATCH($P418,Charge_Names,0))=INDEX(Species_Type_2,MATCH($N418,Species_Names,0))),Game_STAB_Multiplier,1))</f>
        <v>1</v>
      </c>
      <c r="W418" s="33" t="s">
        <v>628</v>
      </c>
      <c r="X418" s="33" t="s">
        <v>917</v>
      </c>
      <c r="Y418" s="32" t="e">
        <f t="array" ref="Y418">((($Z418)*
INDEX(Species_Attack,MATCH($N418,Species_Names,0))*
INDEX(Species_Tankiness,MATCH($N418,Species_Names,0)))/1000)</f>
        <v>#VALUE!</v>
      </c>
      <c r="Z418" s="33" t="s">
        <v>664</v>
      </c>
    </row>
    <row r="419" spans="1:26" ht="14.25" customHeight="1" x14ac:dyDescent="0.2">
      <c r="A419" s="86"/>
      <c r="B419" s="22" t="str">
        <f t="array" ref="B419">CONCATENATE(TEXT($M419,"000"),".",TEXT(INDEX(Quick_Number,MATCH($O419,Quick_Names,0)),"000"),".",TEXT(INDEX(Charge_Number,MATCH($P419,Charge_Names,0)),"000"))</f>
        <v>106.207.127</v>
      </c>
      <c r="C419" s="23" t="e">
        <f t="array" ref="C419">RANK($S419,IF(Combo_Species_Names=$N419,Combo_Gym_Offense),0)</f>
        <v>#VALUE!</v>
      </c>
      <c r="D419" s="24" t="e">
        <f t="array" ref="D419">$S419/MAX(IF(Combo_Species_Names=$N419,Combo_Gym_Offense))</f>
        <v>#VALUE!</v>
      </c>
      <c r="E419" s="23" t="e">
        <f t="array" ref="E419">RANK($Y419,IF(Combo_Species_Names=$N419,Combo_Gym_Defense),0)</f>
        <v>#VALUE!</v>
      </c>
      <c r="F419" s="25" t="e">
        <f t="array" ref="F419">$Y419/MAX(IF(Combo_Species_Names=$N419,Combo_Gym_Defense))</f>
        <v>#VALUE!</v>
      </c>
      <c r="G419" s="23" t="e">
        <f t="array" ref="G419">IF(OR(INDEX(Species_Availability,MATCH($N419,Species_Names,0))="No",INDEX(Species_Evo_Numbers,MATCH($N419,Species_Names,0))&lt;&gt;1),"N/A",RANK($R419,IF(NOT(ISNA(MATCH(Combo_Species_Names,IF(Species_Availability="Yes",IF(Species_Evo_Numbers=1,Species_Names)),0))),Combo_Duel_Ability),0))</f>
        <v>#VALUE!</v>
      </c>
      <c r="H419" s="24" t="e">
        <f t="array" ref="H419">IF(OR(INDEX(Species_Availability,MATCH($N419,Species_Names,0))="No",INDEX(Species_Evo_Numbers,MATCH($N419,Species_Names,0))&lt;&gt;1),"N/A",$R419/MAX(IF(NOT(ISNA(MATCH(Combo_Species_Names,IF(Species_Availability="Yes",IF(Species_Evo_Numbers=1,Species_Names)),0))),Combo_Duel_Ability)))</f>
        <v>#VALUE!</v>
      </c>
      <c r="I419" s="23" t="e">
        <f t="array" ref="I419">IF(OR(INDEX(Species_Availability,MATCH($N419,Species_Names,0))="No",INDEX(Species_Evo_Numbers,MATCH($N419,Species_Names,0))&lt;&gt;1),"N/A",RANK($S419,IF(NOT(ISNA(MATCH(Combo_Species_Names,IF(Species_Availability="Yes",IF(Species_Evo_Numbers=1,Species_Names)),0))),Combo_Gym_Offense),0))</f>
        <v>#VALUE!</v>
      </c>
      <c r="J419" s="24" t="e">
        <f t="array" ref="J419">IF(OR(INDEX(Species_Availability,MATCH($N419,Species_Names,0))="No",INDEX(Species_Evo_Numbers,MATCH($N419,Species_Names,0))&lt;&gt;1),"N/A",$S419/MAX(IF(NOT(ISNA(MATCH(Combo_Species_Names,IF(Species_Availability="Yes",IF(Species_Evo_Numbers=1,Species_Names)),0))),Combo_Gym_Offense)))</f>
        <v>#VALUE!</v>
      </c>
      <c r="K419" s="23" t="e">
        <f t="array" ref="K419">IF(OR(INDEX(Species_Availability,MATCH($N419,Species_Names,0))="No",INDEX(Species_Evo_Numbers,MATCH($N419,Species_Names,0))&lt;&gt;1),"N/A",RANK($Y419,IF(NOT(ISNA(MATCH(Combo_Species_Names,IF(Species_Availability="Yes",IF(Species_Evo_Numbers=1,Species_Names)),0))),Combo_Gym_Defense),0))</f>
        <v>#VALUE!</v>
      </c>
      <c r="L419" s="24" t="e">
        <f t="array" ref="L419">IF(OR(INDEX(Species_Availability,MATCH($N419,Species_Names,0))="No",INDEX(Species_Evo_Numbers,MATCH($N419,Species_Names,0))&lt;&gt;1),"N/A",$Y419/MAX(IF(NOT(ISNA(MATCH(Combo_Species_Names,IF(Species_Availability="Yes",IF(Species_Evo_Numbers=1,Species_Names)),0))),Combo_Gym_Defense)))</f>
        <v>#VALUE!</v>
      </c>
      <c r="M419" s="28">
        <f t="array" ref="M419">INDEX(Species_Pdex_Numbers,MATCH($N419,Species_Names,0))</f>
        <v>106</v>
      </c>
      <c r="N419" s="30" t="s">
        <v>315</v>
      </c>
      <c r="O419" s="31" t="s">
        <v>117</v>
      </c>
      <c r="P419" s="31" t="s">
        <v>241</v>
      </c>
      <c r="Q419" s="17" t="e">
        <f t="shared" si="12"/>
        <v>#VALUE!</v>
      </c>
      <c r="R419" s="32" t="e">
        <f t="array" ref="R419">IF(OR(AND(COUNTBLANK(Combo_Opponent_Type_1)=1,COUNTBLANK(Combo_Opponent_Type_2)=0),AND(AND(COUNTBLANK(Combo_Opponent_Type_1)=0,COUNTBLANK(Combo_Opponent_Type_2)=0),Combo_Opponent_Type_1=Combo_Opponent_Type_2)),
"Check Types",($S419*INDEX(Species_Tankiness,MATCH($N419,Species_Names,0)))/225)</f>
        <v>#VALUE!</v>
      </c>
      <c r="S419" s="32" t="e">
        <f t="array" ref="S419">IF(OR(AND(COUNTBLANK(Combo_Opponent_Type_1)=1,COUNTBLANK(Combo_Opponent_Type_2)=0),AND(AND(COUNTBLANK(Combo_Opponent_Type_1)=0,COUNTBLANK(Combo_Opponent_Type_2)=0),Combo_Opponent_Type_1=Combo_Opponent_Type_2)),
"Check Types",(
IF($W419&gt;=((1-Game_Weave_Human_Error)*$X419),$W419,$X419)*INDEX(Species_Attack,MATCH($N419,Species_Names,0)))/11)</f>
        <v>#VALUE!</v>
      </c>
      <c r="T419" s="33" t="e">
        <f t="shared" si="13"/>
        <v>#VALUE!</v>
      </c>
      <c r="U419" s="33">
        <f t="array" ref="U4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419,Quick_Names,0))),Type_Species)),0),1)*IF(COUNTBLANK(Combo_Opponent_Type_2)=0,INDEX(Type_Damage_Multipliers,MATCH(Combo_Opponent_Type_2,IF(Type_Move=(INDEX(Quick_Type,MATCH($O419,Quick_Names,0))),Type_Species)),0),1)*(IF(OR(INDEX(Quick_Type,MATCH($O419,Quick_Names,0))=INDEX(Species_Type_1,MATCH($N419,Species_Names,0)),INDEX(Quick_Type,MATCH($O419,Quick_Names,0))=INDEX(Species_Type_2,MATCH($N419,Species_Names,0))),Game_STAB_Multiplier,1)))</f>
        <v>1.25</v>
      </c>
      <c r="V419" s="33">
        <f t="array" ref="V4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419,Charge_Names,0))),Type_Species)),0),1)*IF(COUNTBLANK(Combo_Opponent_Type_2)=0,INDEX(Type_Damage_Multipliers,MATCH(Combo_Opponent_Type_2,IF(Type_Move=(INDEX(Charge_Type,MATCH($P419,Charge_Names,0))),Type_Species)),0),1)*
IF(OR(INDEX(Charge_Type,MATCH($P419,Charge_Names,0))=INDEX(Species_Type_1,MATCH($N419,Species_Names,0)),INDEX(Charge_Type,MATCH($P419,Charge_Names,0))=INDEX(Species_Type_2,MATCH($N419,Species_Names,0))),Game_STAB_Multiplier,1))</f>
        <v>1</v>
      </c>
      <c r="W419" s="33" t="s">
        <v>678</v>
      </c>
      <c r="X419" s="33" t="s">
        <v>767</v>
      </c>
      <c r="Y419" s="32" t="e">
        <f t="array" ref="Y419">((($Z419)*
INDEX(Species_Attack,MATCH($N419,Species_Names,0))*
INDEX(Species_Tankiness,MATCH($N419,Species_Names,0)))/1000)</f>
        <v>#VALUE!</v>
      </c>
      <c r="Z419" s="33" t="s">
        <v>813</v>
      </c>
    </row>
    <row r="420" spans="1:26" ht="14.25" customHeight="1" x14ac:dyDescent="0.2">
      <c r="A420" s="86"/>
      <c r="B420" s="22" t="str">
        <f t="array" ref="B420">CONCATENATE(TEXT($M420,"000"),".",TEXT(INDEX(Quick_Number,MATCH($O420,Quick_Names,0)),"000"),".",TEXT(INDEX(Charge_Number,MATCH($P420,Charge_Names,0)),"000"))</f>
        <v>107.229.115</v>
      </c>
      <c r="C420" s="23" t="e">
        <f t="array" ref="C420">RANK($S420,IF(Combo_Species_Names=$N420,Combo_Gym_Offense),0)</f>
        <v>#VALUE!</v>
      </c>
      <c r="D420" s="24" t="e">
        <f t="array" ref="D420">$S420/MAX(IF(Combo_Species_Names=$N420,Combo_Gym_Offense))</f>
        <v>#VALUE!</v>
      </c>
      <c r="E420" s="23" t="e">
        <f t="array" ref="E420">RANK($Y420,IF(Combo_Species_Names=$N420,Combo_Gym_Defense),0)</f>
        <v>#VALUE!</v>
      </c>
      <c r="F420" s="25" t="e">
        <f t="array" ref="F420">$Y420/MAX(IF(Combo_Species_Names=$N420,Combo_Gym_Defense))</f>
        <v>#VALUE!</v>
      </c>
      <c r="G420" s="23" t="e">
        <f t="array" ref="G420">IF(OR(INDEX(Species_Availability,MATCH($N420,Species_Names,0))="No",INDEX(Species_Evo_Numbers,MATCH($N420,Species_Names,0))&lt;&gt;1),"N/A",RANK($R420,IF(NOT(ISNA(MATCH(Combo_Species_Names,IF(Species_Availability="Yes",IF(Species_Evo_Numbers=1,Species_Names)),0))),Combo_Duel_Ability),0))</f>
        <v>#VALUE!</v>
      </c>
      <c r="H420" s="24" t="e">
        <f t="array" ref="H420">IF(OR(INDEX(Species_Availability,MATCH($N420,Species_Names,0))="No",INDEX(Species_Evo_Numbers,MATCH($N420,Species_Names,0))&lt;&gt;1),"N/A",$R420/MAX(IF(NOT(ISNA(MATCH(Combo_Species_Names,IF(Species_Availability="Yes",IF(Species_Evo_Numbers=1,Species_Names)),0))),Combo_Duel_Ability)))</f>
        <v>#VALUE!</v>
      </c>
      <c r="I420" s="23" t="e">
        <f t="array" ref="I420">IF(OR(INDEX(Species_Availability,MATCH($N420,Species_Names,0))="No",INDEX(Species_Evo_Numbers,MATCH($N420,Species_Names,0))&lt;&gt;1),"N/A",RANK($S420,IF(NOT(ISNA(MATCH(Combo_Species_Names,IF(Species_Availability="Yes",IF(Species_Evo_Numbers=1,Species_Names)),0))),Combo_Gym_Offense),0))</f>
        <v>#VALUE!</v>
      </c>
      <c r="J420" s="24" t="e">
        <f t="array" ref="J420">IF(OR(INDEX(Species_Availability,MATCH($N420,Species_Names,0))="No",INDEX(Species_Evo_Numbers,MATCH($N420,Species_Names,0))&lt;&gt;1),"N/A",$S420/MAX(IF(NOT(ISNA(MATCH(Combo_Species_Names,IF(Species_Availability="Yes",IF(Species_Evo_Numbers=1,Species_Names)),0))),Combo_Gym_Offense)))</f>
        <v>#VALUE!</v>
      </c>
      <c r="K420" s="23" t="e">
        <f t="array" ref="K420">IF(OR(INDEX(Species_Availability,MATCH($N420,Species_Names,0))="No",INDEX(Species_Evo_Numbers,MATCH($N420,Species_Names,0))&lt;&gt;1),"N/A",RANK($Y420,IF(NOT(ISNA(MATCH(Combo_Species_Names,IF(Species_Availability="Yes",IF(Species_Evo_Numbers=1,Species_Names)),0))),Combo_Gym_Defense),0))</f>
        <v>#VALUE!</v>
      </c>
      <c r="L420" s="24" t="e">
        <f t="array" ref="L420">IF(OR(INDEX(Species_Availability,MATCH($N420,Species_Names,0))="No",INDEX(Species_Evo_Numbers,MATCH($N420,Species_Names,0))&lt;&gt;1),"N/A",$Y420/MAX(IF(NOT(ISNA(MATCH(Combo_Species_Names,IF(Species_Availability="Yes",IF(Species_Evo_Numbers=1,Species_Names)),0))),Combo_Gym_Defense)))</f>
        <v>#VALUE!</v>
      </c>
      <c r="M420" s="28">
        <f t="array" ref="M420">INDEX(Species_Pdex_Numbers,MATCH($N420,Species_Names,0))</f>
        <v>107</v>
      </c>
      <c r="N420" s="30" t="s">
        <v>317</v>
      </c>
      <c r="O420" s="31" t="s">
        <v>118</v>
      </c>
      <c r="P420" s="31" t="s">
        <v>238</v>
      </c>
      <c r="Q420" s="17" t="e">
        <f t="shared" si="12"/>
        <v>#VALUE!</v>
      </c>
      <c r="R420" s="32" t="e">
        <f t="array" ref="R420">IF(OR(AND(COUNTBLANK(Combo_Opponent_Type_1)=1,COUNTBLANK(Combo_Opponent_Type_2)=0),AND(AND(COUNTBLANK(Combo_Opponent_Type_1)=0,COUNTBLANK(Combo_Opponent_Type_2)=0),Combo_Opponent_Type_1=Combo_Opponent_Type_2)),
"Check Types",($S420*INDEX(Species_Tankiness,MATCH($N420,Species_Names,0)))/225)</f>
        <v>#VALUE!</v>
      </c>
      <c r="S420" s="32" t="e">
        <f t="array" ref="S420">IF(OR(AND(COUNTBLANK(Combo_Opponent_Type_1)=1,COUNTBLANK(Combo_Opponent_Type_2)=0),AND(AND(COUNTBLANK(Combo_Opponent_Type_1)=0,COUNTBLANK(Combo_Opponent_Type_2)=0),Combo_Opponent_Type_1=Combo_Opponent_Type_2)),
"Check Types",(
IF($W420&gt;=((1-Game_Weave_Human_Error)*$X420),$W420,$X420)*INDEX(Species_Attack,MATCH($N420,Species_Names,0)))/11)</f>
        <v>#VALUE!</v>
      </c>
      <c r="T420" s="33" t="e">
        <f t="shared" si="13"/>
        <v>#VALUE!</v>
      </c>
      <c r="U420" s="33">
        <f t="array" ref="U4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420,Quick_Names,0))),Type_Species)),0),1)*IF(COUNTBLANK(Combo_Opponent_Type_2)=0,INDEX(Type_Damage_Multipliers,MATCH(Combo_Opponent_Type_2,IF(Type_Move=(INDEX(Quick_Type,MATCH($O420,Quick_Names,0))),Type_Species)),0),1)*(IF(OR(INDEX(Quick_Type,MATCH($O420,Quick_Names,0))=INDEX(Species_Type_1,MATCH($N420,Species_Names,0)),INDEX(Quick_Type,MATCH($O420,Quick_Names,0))=INDEX(Species_Type_2,MATCH($N420,Species_Names,0))),Game_STAB_Multiplier,1)))</f>
        <v>1</v>
      </c>
      <c r="V420" s="33">
        <f t="array" ref="V4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420,Charge_Names,0))),Type_Species)),0),1)*IF(COUNTBLANK(Combo_Opponent_Type_2)=0,INDEX(Type_Damage_Multipliers,MATCH(Combo_Opponent_Type_2,IF(Type_Move=(INDEX(Charge_Type,MATCH($P420,Charge_Names,0))),Type_Species)),0),1)*
IF(OR(INDEX(Charge_Type,MATCH($P420,Charge_Names,0))=INDEX(Species_Type_1,MATCH($N420,Species_Names,0)),INDEX(Charge_Type,MATCH($P420,Charge_Names,0))=INDEX(Species_Type_2,MATCH($N420,Species_Names,0))),Game_STAB_Multiplier,1))</f>
        <v>1</v>
      </c>
      <c r="W420" s="33" t="s">
        <v>621</v>
      </c>
      <c r="X420" s="33" t="s">
        <v>918</v>
      </c>
      <c r="Y420" s="32" t="e">
        <f t="array" ref="Y420">((($Z420)*
INDEX(Species_Attack,MATCH($N420,Species_Names,0))*
INDEX(Species_Tankiness,MATCH($N420,Species_Names,0)))/1000)</f>
        <v>#VALUE!</v>
      </c>
      <c r="Z420" s="33" t="s">
        <v>919</v>
      </c>
    </row>
    <row r="421" spans="1:26" ht="14.25" customHeight="1" x14ac:dyDescent="0.2">
      <c r="A421" s="86"/>
      <c r="B421" s="22" t="str">
        <f t="array" ref="B421">CONCATENATE(TEXT($M421,"000"),".",TEXT(INDEX(Quick_Number,MATCH($O421,Quick_Names,0)),"000"),".",TEXT(INDEX(Charge_Number,MATCH($P421,Charge_Names,0)),"000"))</f>
        <v>107.229.033</v>
      </c>
      <c r="C421" s="23" t="e">
        <f t="array" ref="C421">RANK($S421,IF(Combo_Species_Names=$N421,Combo_Gym_Offense),0)</f>
        <v>#VALUE!</v>
      </c>
      <c r="D421" s="24" t="e">
        <f t="array" ref="D421">$S421/MAX(IF(Combo_Species_Names=$N421,Combo_Gym_Offense))</f>
        <v>#VALUE!</v>
      </c>
      <c r="E421" s="23" t="e">
        <f t="array" ref="E421">RANK($Y421,IF(Combo_Species_Names=$N421,Combo_Gym_Defense),0)</f>
        <v>#VALUE!</v>
      </c>
      <c r="F421" s="25" t="e">
        <f t="array" ref="F421">$Y421/MAX(IF(Combo_Species_Names=$N421,Combo_Gym_Defense))</f>
        <v>#VALUE!</v>
      </c>
      <c r="G421" s="23" t="e">
        <f t="array" ref="G421">IF(OR(INDEX(Species_Availability,MATCH($N421,Species_Names,0))="No",INDEX(Species_Evo_Numbers,MATCH($N421,Species_Names,0))&lt;&gt;1),"N/A",RANK($R421,IF(NOT(ISNA(MATCH(Combo_Species_Names,IF(Species_Availability="Yes",IF(Species_Evo_Numbers=1,Species_Names)),0))),Combo_Duel_Ability),0))</f>
        <v>#VALUE!</v>
      </c>
      <c r="H421" s="24" t="e">
        <f t="array" ref="H421">IF(OR(INDEX(Species_Availability,MATCH($N421,Species_Names,0))="No",INDEX(Species_Evo_Numbers,MATCH($N421,Species_Names,0))&lt;&gt;1),"N/A",$R421/MAX(IF(NOT(ISNA(MATCH(Combo_Species_Names,IF(Species_Availability="Yes",IF(Species_Evo_Numbers=1,Species_Names)),0))),Combo_Duel_Ability)))</f>
        <v>#VALUE!</v>
      </c>
      <c r="I421" s="23" t="e">
        <f t="array" ref="I421">IF(OR(INDEX(Species_Availability,MATCH($N421,Species_Names,0))="No",INDEX(Species_Evo_Numbers,MATCH($N421,Species_Names,0))&lt;&gt;1),"N/A",RANK($S421,IF(NOT(ISNA(MATCH(Combo_Species_Names,IF(Species_Availability="Yes",IF(Species_Evo_Numbers=1,Species_Names)),0))),Combo_Gym_Offense),0))</f>
        <v>#VALUE!</v>
      </c>
      <c r="J421" s="24" t="e">
        <f t="array" ref="J421">IF(OR(INDEX(Species_Availability,MATCH($N421,Species_Names,0))="No",INDEX(Species_Evo_Numbers,MATCH($N421,Species_Names,0))&lt;&gt;1),"N/A",$S421/MAX(IF(NOT(ISNA(MATCH(Combo_Species_Names,IF(Species_Availability="Yes",IF(Species_Evo_Numbers=1,Species_Names)),0))),Combo_Gym_Offense)))</f>
        <v>#VALUE!</v>
      </c>
      <c r="K421" s="23" t="e">
        <f t="array" ref="K421">IF(OR(INDEX(Species_Availability,MATCH($N421,Species_Names,0))="No",INDEX(Species_Evo_Numbers,MATCH($N421,Species_Names,0))&lt;&gt;1),"N/A",RANK($Y421,IF(NOT(ISNA(MATCH(Combo_Species_Names,IF(Species_Availability="Yes",IF(Species_Evo_Numbers=1,Species_Names)),0))),Combo_Gym_Defense),0))</f>
        <v>#VALUE!</v>
      </c>
      <c r="L421" s="24" t="e">
        <f t="array" ref="L421">IF(OR(INDEX(Species_Availability,MATCH($N421,Species_Names,0))="No",INDEX(Species_Evo_Numbers,MATCH($N421,Species_Names,0))&lt;&gt;1),"N/A",$Y421/MAX(IF(NOT(ISNA(MATCH(Combo_Species_Names,IF(Species_Availability="Yes",IF(Species_Evo_Numbers=1,Species_Names)),0))),Combo_Gym_Defense)))</f>
        <v>#VALUE!</v>
      </c>
      <c r="M421" s="28">
        <f t="array" ref="M421">INDEX(Species_Pdex_Numbers,MATCH($N421,Species_Names,0))</f>
        <v>107</v>
      </c>
      <c r="N421" s="30" t="s">
        <v>317</v>
      </c>
      <c r="O421" s="31" t="s">
        <v>118</v>
      </c>
      <c r="P421" s="31" t="s">
        <v>260</v>
      </c>
      <c r="Q421" s="17" t="e">
        <f t="shared" si="12"/>
        <v>#VALUE!</v>
      </c>
      <c r="R421" s="32" t="e">
        <f t="array" ref="R421">IF(OR(AND(COUNTBLANK(Combo_Opponent_Type_1)=1,COUNTBLANK(Combo_Opponent_Type_2)=0),AND(AND(COUNTBLANK(Combo_Opponent_Type_1)=0,COUNTBLANK(Combo_Opponent_Type_2)=0),Combo_Opponent_Type_1=Combo_Opponent_Type_2)),
"Check Types",($S421*INDEX(Species_Tankiness,MATCH($N421,Species_Names,0)))/225)</f>
        <v>#VALUE!</v>
      </c>
      <c r="S421" s="32" t="e">
        <f t="array" ref="S421">IF(OR(AND(COUNTBLANK(Combo_Opponent_Type_1)=1,COUNTBLANK(Combo_Opponent_Type_2)=0),AND(AND(COUNTBLANK(Combo_Opponent_Type_1)=0,COUNTBLANK(Combo_Opponent_Type_2)=0),Combo_Opponent_Type_1=Combo_Opponent_Type_2)),
"Check Types",(
IF($W421&gt;=((1-Game_Weave_Human_Error)*$X421),$W421,$X421)*INDEX(Species_Attack,MATCH($N421,Species_Names,0)))/11)</f>
        <v>#VALUE!</v>
      </c>
      <c r="T421" s="33" t="e">
        <f t="shared" si="13"/>
        <v>#VALUE!</v>
      </c>
      <c r="U421" s="33">
        <f t="array" ref="U4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421,Quick_Names,0))),Type_Species)),0),1)*IF(COUNTBLANK(Combo_Opponent_Type_2)=0,INDEX(Type_Damage_Multipliers,MATCH(Combo_Opponent_Type_2,IF(Type_Move=(INDEX(Quick_Type,MATCH($O421,Quick_Names,0))),Type_Species)),0),1)*(IF(OR(INDEX(Quick_Type,MATCH($O421,Quick_Names,0))=INDEX(Species_Type_1,MATCH($N421,Species_Names,0)),INDEX(Quick_Type,MATCH($O421,Quick_Names,0))=INDEX(Species_Type_2,MATCH($N421,Species_Names,0))),Game_STAB_Multiplier,1)))</f>
        <v>1</v>
      </c>
      <c r="V421" s="33">
        <f t="array" ref="V4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421,Charge_Names,0))),Type_Species)),0),1)*IF(COUNTBLANK(Combo_Opponent_Type_2)=0,INDEX(Type_Damage_Multipliers,MATCH(Combo_Opponent_Type_2,IF(Type_Move=(INDEX(Charge_Type,MATCH($P421,Charge_Names,0))),Type_Species)),0),1)*
IF(OR(INDEX(Charge_Type,MATCH($P421,Charge_Names,0))=INDEX(Species_Type_1,MATCH($N421,Species_Names,0)),INDEX(Charge_Type,MATCH($P421,Charge_Names,0))=INDEX(Species_Type_2,MATCH($N421,Species_Names,0))),Game_STAB_Multiplier,1))</f>
        <v>1</v>
      </c>
      <c r="W421" s="33" t="s">
        <v>621</v>
      </c>
      <c r="X421" s="33" t="s">
        <v>920</v>
      </c>
      <c r="Y421" s="32" t="e">
        <f t="array" ref="Y421">((($Z421)*
INDEX(Species_Attack,MATCH($N421,Species_Names,0))*
INDEX(Species_Tankiness,MATCH($N421,Species_Names,0)))/1000)</f>
        <v>#VALUE!</v>
      </c>
      <c r="Z421" s="33" t="s">
        <v>853</v>
      </c>
    </row>
    <row r="422" spans="1:26" ht="14.25" customHeight="1" x14ac:dyDescent="0.2">
      <c r="A422" s="86"/>
      <c r="B422" s="22" t="str">
        <f t="array" ref="B422">CONCATENATE(TEXT($M422,"000"),".",TEXT(INDEX(Quick_Number,MATCH($O422,Quick_Names,0)),"000"),".",TEXT(INDEX(Charge_Number,MATCH($P422,Charge_Names,0)),"000"))</f>
        <v>051.216.031</v>
      </c>
      <c r="C422" s="23" t="e">
        <f t="array" ref="C422">RANK($S422,IF(Combo_Species_Names=$N422,Combo_Gym_Offense),0)</f>
        <v>#VALUE!</v>
      </c>
      <c r="D422" s="24" t="e">
        <f t="array" ref="D422">$S422/MAX(IF(Combo_Species_Names=$N422,Combo_Gym_Offense))</f>
        <v>#VALUE!</v>
      </c>
      <c r="E422" s="23" t="e">
        <f t="array" ref="E422">RANK($Y422,IF(Combo_Species_Names=$N422,Combo_Gym_Defense),0)</f>
        <v>#VALUE!</v>
      </c>
      <c r="F422" s="25" t="e">
        <f t="array" ref="F422">$Y422/MAX(IF(Combo_Species_Names=$N422,Combo_Gym_Defense))</f>
        <v>#VALUE!</v>
      </c>
      <c r="G422" s="23" t="e">
        <f t="array" ref="G422">IF(OR(INDEX(Species_Availability,MATCH($N422,Species_Names,0))="No",INDEX(Species_Evo_Numbers,MATCH($N422,Species_Names,0))&lt;&gt;1),"N/A",RANK($R422,IF(NOT(ISNA(MATCH(Combo_Species_Names,IF(Species_Availability="Yes",IF(Species_Evo_Numbers=1,Species_Names)),0))),Combo_Duel_Ability),0))</f>
        <v>#VALUE!</v>
      </c>
      <c r="H422" s="24" t="e">
        <f t="array" ref="H422">IF(OR(INDEX(Species_Availability,MATCH($N422,Species_Names,0))="No",INDEX(Species_Evo_Numbers,MATCH($N422,Species_Names,0))&lt;&gt;1),"N/A",$R422/MAX(IF(NOT(ISNA(MATCH(Combo_Species_Names,IF(Species_Availability="Yes",IF(Species_Evo_Numbers=1,Species_Names)),0))),Combo_Duel_Ability)))</f>
        <v>#VALUE!</v>
      </c>
      <c r="I422" s="23" t="e">
        <f t="array" ref="I422">IF(OR(INDEX(Species_Availability,MATCH($N422,Species_Names,0))="No",INDEX(Species_Evo_Numbers,MATCH($N422,Species_Names,0))&lt;&gt;1),"N/A",RANK($S422,IF(NOT(ISNA(MATCH(Combo_Species_Names,IF(Species_Availability="Yes",IF(Species_Evo_Numbers=1,Species_Names)),0))),Combo_Gym_Offense),0))</f>
        <v>#VALUE!</v>
      </c>
      <c r="J422" s="24" t="e">
        <f t="array" ref="J422">IF(OR(INDEX(Species_Availability,MATCH($N422,Species_Names,0))="No",INDEX(Species_Evo_Numbers,MATCH($N422,Species_Names,0))&lt;&gt;1),"N/A",$S422/MAX(IF(NOT(ISNA(MATCH(Combo_Species_Names,IF(Species_Availability="Yes",IF(Species_Evo_Numbers=1,Species_Names)),0))),Combo_Gym_Offense)))</f>
        <v>#VALUE!</v>
      </c>
      <c r="K422" s="23" t="e">
        <f t="array" ref="K422">IF(OR(INDEX(Species_Availability,MATCH($N422,Species_Names,0))="No",INDEX(Species_Evo_Numbers,MATCH($N422,Species_Names,0))&lt;&gt;1),"N/A",RANK($Y422,IF(NOT(ISNA(MATCH(Combo_Species_Names,IF(Species_Availability="Yes",IF(Species_Evo_Numbers=1,Species_Names)),0))),Combo_Gym_Defense),0))</f>
        <v>#VALUE!</v>
      </c>
      <c r="L422" s="24" t="e">
        <f t="array" ref="L422">IF(OR(INDEX(Species_Availability,MATCH($N422,Species_Names,0))="No",INDEX(Species_Evo_Numbers,MATCH($N422,Species_Names,0))&lt;&gt;1),"N/A",$Y422/MAX(IF(NOT(ISNA(MATCH(Combo_Species_Names,IF(Species_Availability="Yes",IF(Species_Evo_Numbers=1,Species_Names)),0))),Combo_Gym_Defense)))</f>
        <v>#VALUE!</v>
      </c>
      <c r="M422" s="28">
        <f t="array" ref="M422">INDEX(Species_Pdex_Numbers,MATCH($N422,Species_Names,0))</f>
        <v>51</v>
      </c>
      <c r="N422" s="30" t="s">
        <v>193</v>
      </c>
      <c r="O422" s="31" t="s">
        <v>89</v>
      </c>
      <c r="P422" s="31" t="s">
        <v>169</v>
      </c>
      <c r="Q422" s="17" t="e">
        <f t="shared" si="12"/>
        <v>#VALUE!</v>
      </c>
      <c r="R422" s="32" t="e">
        <f t="array" ref="R422">IF(OR(AND(COUNTBLANK(Combo_Opponent_Type_1)=1,COUNTBLANK(Combo_Opponent_Type_2)=0),AND(AND(COUNTBLANK(Combo_Opponent_Type_1)=0,COUNTBLANK(Combo_Opponent_Type_2)=0),Combo_Opponent_Type_1=Combo_Opponent_Type_2)),
"Check Types",($S422*INDEX(Species_Tankiness,MATCH($N422,Species_Names,0)))/225)</f>
        <v>#VALUE!</v>
      </c>
      <c r="S422" s="32" t="e">
        <f t="array" ref="S422">IF(OR(AND(COUNTBLANK(Combo_Opponent_Type_1)=1,COUNTBLANK(Combo_Opponent_Type_2)=0),AND(AND(COUNTBLANK(Combo_Opponent_Type_1)=0,COUNTBLANK(Combo_Opponent_Type_2)=0),Combo_Opponent_Type_1=Combo_Opponent_Type_2)),
"Check Types",(
IF($W422&gt;=((1-Game_Weave_Human_Error)*$X422),$W422,$X422)*INDEX(Species_Attack,MATCH($N422,Species_Names,0)))/11)</f>
        <v>#VALUE!</v>
      </c>
      <c r="T422" s="33" t="e">
        <f t="shared" si="13"/>
        <v>#VALUE!</v>
      </c>
      <c r="U422" s="33">
        <f t="array" ref="U4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422,Quick_Names,0))),Type_Species)),0),1)*IF(COUNTBLANK(Combo_Opponent_Type_2)=0,INDEX(Type_Damage_Multipliers,MATCH(Combo_Opponent_Type_2,IF(Type_Move=(INDEX(Quick_Type,MATCH($O422,Quick_Names,0))),Type_Species)),0),1)*(IF(OR(INDEX(Quick_Type,MATCH($O422,Quick_Names,0))=INDEX(Species_Type_1,MATCH($N422,Species_Names,0)),INDEX(Quick_Type,MATCH($O422,Quick_Names,0))=INDEX(Species_Type_2,MATCH($N422,Species_Names,0))),Game_STAB_Multiplier,1)))</f>
        <v>1.25</v>
      </c>
      <c r="V422" s="33">
        <f t="array" ref="V4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422,Charge_Names,0))),Type_Species)),0),1)*IF(COUNTBLANK(Combo_Opponent_Type_2)=0,INDEX(Type_Damage_Multipliers,MATCH(Combo_Opponent_Type_2,IF(Type_Move=(INDEX(Charge_Type,MATCH($P422,Charge_Names,0))),Type_Species)),0),1)*
IF(OR(INDEX(Charge_Type,MATCH($P422,Charge_Names,0))=INDEX(Species_Type_1,MATCH($N422,Species_Names,0)),INDEX(Charge_Type,MATCH($P422,Charge_Names,0))=INDEX(Species_Type_2,MATCH($N422,Species_Names,0))),Game_STAB_Multiplier,1))</f>
        <v>1.25</v>
      </c>
      <c r="W422" s="33" t="s">
        <v>496</v>
      </c>
      <c r="X422" s="33" t="s">
        <v>530</v>
      </c>
      <c r="Y422" s="32" t="e">
        <f t="array" ref="Y422">((($Z422)*
INDEX(Species_Attack,MATCH($N422,Species_Names,0))*
INDEX(Species_Tankiness,MATCH($N422,Species_Names,0)))/1000)</f>
        <v>#VALUE!</v>
      </c>
      <c r="Z422" s="33" t="s">
        <v>531</v>
      </c>
    </row>
    <row r="423" spans="1:26" ht="14.25" customHeight="1" x14ac:dyDescent="0.2">
      <c r="A423" s="86"/>
      <c r="B423" s="22" t="str">
        <f t="array" ref="B423">CONCATENATE(TEXT($M423,"000"),".",TEXT(INDEX(Quick_Number,MATCH($O423,Quick_Names,0)),"000"),".",TEXT(INDEX(Charge_Number,MATCH($P423,Charge_Names,0)),"000"))</f>
        <v>051.216.032</v>
      </c>
      <c r="C423" s="23" t="e">
        <f t="array" ref="C423">RANK($S423,IF(Combo_Species_Names=$N423,Combo_Gym_Offense),0)</f>
        <v>#VALUE!</v>
      </c>
      <c r="D423" s="24" t="e">
        <f t="array" ref="D423">$S423/MAX(IF(Combo_Species_Names=$N423,Combo_Gym_Offense))</f>
        <v>#VALUE!</v>
      </c>
      <c r="E423" s="23" t="e">
        <f t="array" ref="E423">RANK($Y423,IF(Combo_Species_Names=$N423,Combo_Gym_Defense),0)</f>
        <v>#VALUE!</v>
      </c>
      <c r="F423" s="25" t="e">
        <f t="array" ref="F423">$Y423/MAX(IF(Combo_Species_Names=$N423,Combo_Gym_Defense))</f>
        <v>#VALUE!</v>
      </c>
      <c r="G423" s="23" t="e">
        <f t="array" ref="G423">IF(OR(INDEX(Species_Availability,MATCH($N423,Species_Names,0))="No",INDEX(Species_Evo_Numbers,MATCH($N423,Species_Names,0))&lt;&gt;1),"N/A",RANK($R423,IF(NOT(ISNA(MATCH(Combo_Species_Names,IF(Species_Availability="Yes",IF(Species_Evo_Numbers=1,Species_Names)),0))),Combo_Duel_Ability),0))</f>
        <v>#VALUE!</v>
      </c>
      <c r="H423" s="24" t="e">
        <f t="array" ref="H423">IF(OR(INDEX(Species_Availability,MATCH($N423,Species_Names,0))="No",INDEX(Species_Evo_Numbers,MATCH($N423,Species_Names,0))&lt;&gt;1),"N/A",$R423/MAX(IF(NOT(ISNA(MATCH(Combo_Species_Names,IF(Species_Availability="Yes",IF(Species_Evo_Numbers=1,Species_Names)),0))),Combo_Duel_Ability)))</f>
        <v>#VALUE!</v>
      </c>
      <c r="I423" s="23" t="e">
        <f t="array" ref="I423">IF(OR(INDEX(Species_Availability,MATCH($N423,Species_Names,0))="No",INDEX(Species_Evo_Numbers,MATCH($N423,Species_Names,0))&lt;&gt;1),"N/A",RANK($S423,IF(NOT(ISNA(MATCH(Combo_Species_Names,IF(Species_Availability="Yes",IF(Species_Evo_Numbers=1,Species_Names)),0))),Combo_Gym_Offense),0))</f>
        <v>#VALUE!</v>
      </c>
      <c r="J423" s="24" t="e">
        <f t="array" ref="J423">IF(OR(INDEX(Species_Availability,MATCH($N423,Species_Names,0))="No",INDEX(Species_Evo_Numbers,MATCH($N423,Species_Names,0))&lt;&gt;1),"N/A",$S423/MAX(IF(NOT(ISNA(MATCH(Combo_Species_Names,IF(Species_Availability="Yes",IF(Species_Evo_Numbers=1,Species_Names)),0))),Combo_Gym_Offense)))</f>
        <v>#VALUE!</v>
      </c>
      <c r="K423" s="23" t="e">
        <f t="array" ref="K423">IF(OR(INDEX(Species_Availability,MATCH($N423,Species_Names,0))="No",INDEX(Species_Evo_Numbers,MATCH($N423,Species_Names,0))&lt;&gt;1),"N/A",RANK($Y423,IF(NOT(ISNA(MATCH(Combo_Species_Names,IF(Species_Availability="Yes",IF(Species_Evo_Numbers=1,Species_Names)),0))),Combo_Gym_Defense),0))</f>
        <v>#VALUE!</v>
      </c>
      <c r="L423" s="24" t="e">
        <f t="array" ref="L423">IF(OR(INDEX(Species_Availability,MATCH($N423,Species_Names,0))="No",INDEX(Species_Evo_Numbers,MATCH($N423,Species_Names,0))&lt;&gt;1),"N/A",$Y423/MAX(IF(NOT(ISNA(MATCH(Combo_Species_Names,IF(Species_Availability="Yes",IF(Species_Evo_Numbers=1,Species_Names)),0))),Combo_Gym_Defense)))</f>
        <v>#VALUE!</v>
      </c>
      <c r="M423" s="28">
        <f t="array" ref="M423">INDEX(Species_Pdex_Numbers,MATCH($N423,Species_Names,0))</f>
        <v>51</v>
      </c>
      <c r="N423" s="30" t="s">
        <v>193</v>
      </c>
      <c r="O423" s="31" t="s">
        <v>89</v>
      </c>
      <c r="P423" s="31" t="s">
        <v>149</v>
      </c>
      <c r="Q423" s="17" t="e">
        <f t="shared" si="12"/>
        <v>#VALUE!</v>
      </c>
      <c r="R423" s="32" t="e">
        <f t="array" ref="R423">IF(OR(AND(COUNTBLANK(Combo_Opponent_Type_1)=1,COUNTBLANK(Combo_Opponent_Type_2)=0),AND(AND(COUNTBLANK(Combo_Opponent_Type_1)=0,COUNTBLANK(Combo_Opponent_Type_2)=0),Combo_Opponent_Type_1=Combo_Opponent_Type_2)),
"Check Types",($S423*INDEX(Species_Tankiness,MATCH($N423,Species_Names,0)))/225)</f>
        <v>#VALUE!</v>
      </c>
      <c r="S423" s="32" t="e">
        <f t="array" ref="S423">IF(OR(AND(COUNTBLANK(Combo_Opponent_Type_1)=1,COUNTBLANK(Combo_Opponent_Type_2)=0),AND(AND(COUNTBLANK(Combo_Opponent_Type_1)=0,COUNTBLANK(Combo_Opponent_Type_2)=0),Combo_Opponent_Type_1=Combo_Opponent_Type_2)),
"Check Types",(
IF($W423&gt;=((1-Game_Weave_Human_Error)*$X423),$W423,$X423)*INDEX(Species_Attack,MATCH($N423,Species_Names,0)))/11)</f>
        <v>#VALUE!</v>
      </c>
      <c r="T423" s="33" t="e">
        <f t="shared" si="13"/>
        <v>#VALUE!</v>
      </c>
      <c r="U423" s="33">
        <f t="array" ref="U4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423,Quick_Names,0))),Type_Species)),0),1)*IF(COUNTBLANK(Combo_Opponent_Type_2)=0,INDEX(Type_Damage_Multipliers,MATCH(Combo_Opponent_Type_2,IF(Type_Move=(INDEX(Quick_Type,MATCH($O423,Quick_Names,0))),Type_Species)),0),1)*(IF(OR(INDEX(Quick_Type,MATCH($O423,Quick_Names,0))=INDEX(Species_Type_1,MATCH($N423,Species_Names,0)),INDEX(Quick_Type,MATCH($O423,Quick_Names,0))=INDEX(Species_Type_2,MATCH($N423,Species_Names,0))),Game_STAB_Multiplier,1)))</f>
        <v>1.25</v>
      </c>
      <c r="V423" s="33">
        <f t="array" ref="V4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423,Charge_Names,0))),Type_Species)),0),1)*IF(COUNTBLANK(Combo_Opponent_Type_2)=0,INDEX(Type_Damage_Multipliers,MATCH(Combo_Opponent_Type_2,IF(Type_Move=(INDEX(Charge_Type,MATCH($P423,Charge_Names,0))),Type_Species)),0),1)*
IF(OR(INDEX(Charge_Type,MATCH($P423,Charge_Names,0))=INDEX(Species_Type_1,MATCH($N423,Species_Names,0)),INDEX(Charge_Type,MATCH($P423,Charge_Names,0))=INDEX(Species_Type_2,MATCH($N423,Species_Names,0))),Game_STAB_Multiplier,1))</f>
        <v>1</v>
      </c>
      <c r="W423" s="33" t="s">
        <v>496</v>
      </c>
      <c r="X423" s="33" t="s">
        <v>844</v>
      </c>
      <c r="Y423" s="32" t="e">
        <f t="array" ref="Y423">((($Z423)*
INDEX(Species_Attack,MATCH($N423,Species_Names,0))*
INDEX(Species_Tankiness,MATCH($N423,Species_Names,0)))/1000)</f>
        <v>#VALUE!</v>
      </c>
      <c r="Z423" s="33" t="s">
        <v>454</v>
      </c>
    </row>
    <row r="424" spans="1:26" ht="14.25" customHeight="1" x14ac:dyDescent="0.2">
      <c r="A424" s="86"/>
      <c r="B424" s="22" t="str">
        <f t="array" ref="B424">CONCATENATE(TEXT($M424,"000"),".",TEXT(INDEX(Quick_Number,MATCH($O424,Quick_Names,0)),"000"),".",TEXT(INDEX(Charge_Number,MATCH($P424,Charge_Names,0)),"000"))</f>
        <v>020.219.026</v>
      </c>
      <c r="C424" s="23" t="e">
        <f t="array" ref="C424">RANK($S424,IF(Combo_Species_Names=$N424,Combo_Gym_Offense),0)</f>
        <v>#VALUE!</v>
      </c>
      <c r="D424" s="24" t="e">
        <f t="array" ref="D424">$S424/MAX(IF(Combo_Species_Names=$N424,Combo_Gym_Offense))</f>
        <v>#VALUE!</v>
      </c>
      <c r="E424" s="23" t="e">
        <f t="array" ref="E424">RANK($Y424,IF(Combo_Species_Names=$N424,Combo_Gym_Defense),0)</f>
        <v>#VALUE!</v>
      </c>
      <c r="F424" s="25" t="e">
        <f t="array" ref="F424">$Y424/MAX(IF(Combo_Species_Names=$N424,Combo_Gym_Defense))</f>
        <v>#VALUE!</v>
      </c>
      <c r="G424" s="23" t="e">
        <f t="array" ref="G424">IF(OR(INDEX(Species_Availability,MATCH($N424,Species_Names,0))="No",INDEX(Species_Evo_Numbers,MATCH($N424,Species_Names,0))&lt;&gt;1),"N/A",RANK($R424,IF(NOT(ISNA(MATCH(Combo_Species_Names,IF(Species_Availability="Yes",IF(Species_Evo_Numbers=1,Species_Names)),0))),Combo_Duel_Ability),0))</f>
        <v>#VALUE!</v>
      </c>
      <c r="H424" s="24" t="e">
        <f t="array" ref="H424">IF(OR(INDEX(Species_Availability,MATCH($N424,Species_Names,0))="No",INDEX(Species_Evo_Numbers,MATCH($N424,Species_Names,0))&lt;&gt;1),"N/A",$R424/MAX(IF(NOT(ISNA(MATCH(Combo_Species_Names,IF(Species_Availability="Yes",IF(Species_Evo_Numbers=1,Species_Names)),0))),Combo_Duel_Ability)))</f>
        <v>#VALUE!</v>
      </c>
      <c r="I424" s="23" t="e">
        <f t="array" ref="I424">IF(OR(INDEX(Species_Availability,MATCH($N424,Species_Names,0))="No",INDEX(Species_Evo_Numbers,MATCH($N424,Species_Names,0))&lt;&gt;1),"N/A",RANK($S424,IF(NOT(ISNA(MATCH(Combo_Species_Names,IF(Species_Availability="Yes",IF(Species_Evo_Numbers=1,Species_Names)),0))),Combo_Gym_Offense),0))</f>
        <v>#VALUE!</v>
      </c>
      <c r="J424" s="24" t="e">
        <f t="array" ref="J424">IF(OR(INDEX(Species_Availability,MATCH($N424,Species_Names,0))="No",INDEX(Species_Evo_Numbers,MATCH($N424,Species_Names,0))&lt;&gt;1),"N/A",$S424/MAX(IF(NOT(ISNA(MATCH(Combo_Species_Names,IF(Species_Availability="Yes",IF(Species_Evo_Numbers=1,Species_Names)),0))),Combo_Gym_Offense)))</f>
        <v>#VALUE!</v>
      </c>
      <c r="K424" s="23" t="e">
        <f t="array" ref="K424">IF(OR(INDEX(Species_Availability,MATCH($N424,Species_Names,0))="No",INDEX(Species_Evo_Numbers,MATCH($N424,Species_Names,0))&lt;&gt;1),"N/A",RANK($Y424,IF(NOT(ISNA(MATCH(Combo_Species_Names,IF(Species_Availability="Yes",IF(Species_Evo_Numbers=1,Species_Names)),0))),Combo_Gym_Defense),0))</f>
        <v>#VALUE!</v>
      </c>
      <c r="L424" s="24" t="e">
        <f t="array" ref="L424">IF(OR(INDEX(Species_Availability,MATCH($N424,Species_Names,0))="No",INDEX(Species_Evo_Numbers,MATCH($N424,Species_Names,0))&lt;&gt;1),"N/A",$Y424/MAX(IF(NOT(ISNA(MATCH(Combo_Species_Names,IF(Species_Availability="Yes",IF(Species_Evo_Numbers=1,Species_Names)),0))),Combo_Gym_Defense)))</f>
        <v>#VALUE!</v>
      </c>
      <c r="M424" s="28">
        <f t="array" ref="M424">INDEX(Species_Pdex_Numbers,MATCH($N424,Species_Names,0))</f>
        <v>20</v>
      </c>
      <c r="N424" s="30" t="s">
        <v>129</v>
      </c>
      <c r="O424" s="31" t="s">
        <v>119</v>
      </c>
      <c r="P424" s="31" t="s">
        <v>264</v>
      </c>
      <c r="Q424" s="17" t="e">
        <f t="shared" si="12"/>
        <v>#VALUE!</v>
      </c>
      <c r="R424" s="32" t="e">
        <f t="array" ref="R424">IF(OR(AND(COUNTBLANK(Combo_Opponent_Type_1)=1,COUNTBLANK(Combo_Opponent_Type_2)=0),AND(AND(COUNTBLANK(Combo_Opponent_Type_1)=0,COUNTBLANK(Combo_Opponent_Type_2)=0),Combo_Opponent_Type_1=Combo_Opponent_Type_2)),
"Check Types",($S424*INDEX(Species_Tankiness,MATCH($N424,Species_Names,0)))/225)</f>
        <v>#VALUE!</v>
      </c>
      <c r="S424" s="32" t="e">
        <f t="array" ref="S424">IF(OR(AND(COUNTBLANK(Combo_Opponent_Type_1)=1,COUNTBLANK(Combo_Opponent_Type_2)=0),AND(AND(COUNTBLANK(Combo_Opponent_Type_1)=0,COUNTBLANK(Combo_Opponent_Type_2)=0),Combo_Opponent_Type_1=Combo_Opponent_Type_2)),
"Check Types",(
IF($W424&gt;=((1-Game_Weave_Human_Error)*$X424),$W424,$X424)*INDEX(Species_Attack,MATCH($N424,Species_Names,0)))/11)</f>
        <v>#VALUE!</v>
      </c>
      <c r="T424" s="33" t="e">
        <f t="shared" si="13"/>
        <v>#VALUE!</v>
      </c>
      <c r="U424" s="33">
        <f t="array" ref="U4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424,Quick_Names,0))),Type_Species)),0),1)*IF(COUNTBLANK(Combo_Opponent_Type_2)=0,INDEX(Type_Damage_Multipliers,MATCH(Combo_Opponent_Type_2,IF(Type_Move=(INDEX(Quick_Type,MATCH($O424,Quick_Names,0))),Type_Species)),0),1)*(IF(OR(INDEX(Quick_Type,MATCH($O424,Quick_Names,0))=INDEX(Species_Type_1,MATCH($N424,Species_Names,0)),INDEX(Quick_Type,MATCH($O424,Quick_Names,0))=INDEX(Species_Type_2,MATCH($N424,Species_Names,0))),Game_STAB_Multiplier,1)))</f>
        <v>1.25</v>
      </c>
      <c r="V424" s="33">
        <f t="array" ref="V4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424,Charge_Names,0))),Type_Species)),0),1)*IF(COUNTBLANK(Combo_Opponent_Type_2)=0,INDEX(Type_Damage_Multipliers,MATCH(Combo_Opponent_Type_2,IF(Type_Move=(INDEX(Charge_Type,MATCH($P424,Charge_Names,0))),Type_Species)),0),1)*
IF(OR(INDEX(Charge_Type,MATCH($P424,Charge_Names,0))=INDEX(Species_Type_1,MATCH($N424,Species_Names,0)),INDEX(Charge_Type,MATCH($P424,Charge_Names,0))=INDEX(Species_Type_2,MATCH($N424,Species_Names,0))),Game_STAB_Multiplier,1))</f>
        <v>1</v>
      </c>
      <c r="W424" s="33" t="s">
        <v>564</v>
      </c>
      <c r="X424" s="33" t="s">
        <v>921</v>
      </c>
      <c r="Y424" s="32" t="e">
        <f t="array" ref="Y424">((($Z424)*
INDEX(Species_Attack,MATCH($N424,Species_Names,0))*
INDEX(Species_Tankiness,MATCH($N424,Species_Names,0)))/1000)</f>
        <v>#VALUE!</v>
      </c>
      <c r="Z424" s="33" t="s">
        <v>693</v>
      </c>
    </row>
    <row r="425" spans="1:26" ht="14.25" customHeight="1" x14ac:dyDescent="0.2">
      <c r="A425" s="86"/>
      <c r="B425" s="22" t="str">
        <f t="array" ref="B425">CONCATENATE(TEXT($M425,"000"),".",TEXT(INDEX(Quick_Number,MATCH($O425,Quick_Names,0)),"000"),".",TEXT(INDEX(Charge_Number,MATCH($P425,Charge_Names,0)),"000"))</f>
        <v>083.223.121</v>
      </c>
      <c r="C425" s="23" t="e">
        <f t="array" ref="C425">RANK($S425,IF(Combo_Species_Names=$N425,Combo_Gym_Offense),0)</f>
        <v>#VALUE!</v>
      </c>
      <c r="D425" s="24" t="e">
        <f t="array" ref="D425">$S425/MAX(IF(Combo_Species_Names=$N425,Combo_Gym_Offense))</f>
        <v>#VALUE!</v>
      </c>
      <c r="E425" s="23" t="e">
        <f t="array" ref="E425">RANK($Y425,IF(Combo_Species_Names=$N425,Combo_Gym_Defense),0)</f>
        <v>#VALUE!</v>
      </c>
      <c r="F425" s="25" t="e">
        <f t="array" ref="F425">$Y425/MAX(IF(Combo_Species_Names=$N425,Combo_Gym_Defense))</f>
        <v>#VALUE!</v>
      </c>
      <c r="G425" s="23" t="e">
        <f t="array" ref="G425">IF(OR(INDEX(Species_Availability,MATCH($N425,Species_Names,0))="No",INDEX(Species_Evo_Numbers,MATCH($N425,Species_Names,0))&lt;&gt;1),"N/A",RANK($R425,IF(NOT(ISNA(MATCH(Combo_Species_Names,IF(Species_Availability="Yes",IF(Species_Evo_Numbers=1,Species_Names)),0))),Combo_Duel_Ability),0))</f>
        <v>#VALUE!</v>
      </c>
      <c r="H425" s="24" t="e">
        <f t="array" ref="H425">IF(OR(INDEX(Species_Availability,MATCH($N425,Species_Names,0))="No",INDEX(Species_Evo_Numbers,MATCH($N425,Species_Names,0))&lt;&gt;1),"N/A",$R425/MAX(IF(NOT(ISNA(MATCH(Combo_Species_Names,IF(Species_Availability="Yes",IF(Species_Evo_Numbers=1,Species_Names)),0))),Combo_Duel_Ability)))</f>
        <v>#VALUE!</v>
      </c>
      <c r="I425" s="23" t="e">
        <f t="array" ref="I425">IF(OR(INDEX(Species_Availability,MATCH($N425,Species_Names,0))="No",INDEX(Species_Evo_Numbers,MATCH($N425,Species_Names,0))&lt;&gt;1),"N/A",RANK($S425,IF(NOT(ISNA(MATCH(Combo_Species_Names,IF(Species_Availability="Yes",IF(Species_Evo_Numbers=1,Species_Names)),0))),Combo_Gym_Offense),0))</f>
        <v>#VALUE!</v>
      </c>
      <c r="J425" s="24" t="e">
        <f t="array" ref="J425">IF(OR(INDEX(Species_Availability,MATCH($N425,Species_Names,0))="No",INDEX(Species_Evo_Numbers,MATCH($N425,Species_Names,0))&lt;&gt;1),"N/A",$S425/MAX(IF(NOT(ISNA(MATCH(Combo_Species_Names,IF(Species_Availability="Yes",IF(Species_Evo_Numbers=1,Species_Names)),0))),Combo_Gym_Offense)))</f>
        <v>#VALUE!</v>
      </c>
      <c r="K425" s="23" t="e">
        <f t="array" ref="K425">IF(OR(INDEX(Species_Availability,MATCH($N425,Species_Names,0))="No",INDEX(Species_Evo_Numbers,MATCH($N425,Species_Names,0))&lt;&gt;1),"N/A",RANK($Y425,IF(NOT(ISNA(MATCH(Combo_Species_Names,IF(Species_Availability="Yes",IF(Species_Evo_Numbers=1,Species_Names)),0))),Combo_Gym_Defense),0))</f>
        <v>#VALUE!</v>
      </c>
      <c r="L425" s="24" t="e">
        <f t="array" ref="L425">IF(OR(INDEX(Species_Availability,MATCH($N425,Species_Names,0))="No",INDEX(Species_Evo_Numbers,MATCH($N425,Species_Names,0))&lt;&gt;1),"N/A",$Y425/MAX(IF(NOT(ISNA(MATCH(Combo_Species_Names,IF(Species_Availability="Yes",IF(Species_Evo_Numbers=1,Species_Names)),0))),Combo_Gym_Defense)))</f>
        <v>#VALUE!</v>
      </c>
      <c r="M425" s="28">
        <f t="array" ref="M425">INDEX(Species_Pdex_Numbers,MATCH($N425,Species_Names,0))</f>
        <v>83</v>
      </c>
      <c r="N425" s="30" t="s">
        <v>259</v>
      </c>
      <c r="O425" s="31" t="s">
        <v>100</v>
      </c>
      <c r="P425" s="31" t="s">
        <v>294</v>
      </c>
      <c r="Q425" s="17" t="e">
        <f t="shared" si="12"/>
        <v>#VALUE!</v>
      </c>
      <c r="R425" s="32" t="e">
        <f t="array" ref="R425">IF(OR(AND(COUNTBLANK(Combo_Opponent_Type_1)=1,COUNTBLANK(Combo_Opponent_Type_2)=0),AND(AND(COUNTBLANK(Combo_Opponent_Type_1)=0,COUNTBLANK(Combo_Opponent_Type_2)=0),Combo_Opponent_Type_1=Combo_Opponent_Type_2)),
"Check Types",($S425*INDEX(Species_Tankiness,MATCH($N425,Species_Names,0)))/225)</f>
        <v>#VALUE!</v>
      </c>
      <c r="S425" s="32" t="e">
        <f t="array" ref="S425">IF(OR(AND(COUNTBLANK(Combo_Opponent_Type_1)=1,COUNTBLANK(Combo_Opponent_Type_2)=0),AND(AND(COUNTBLANK(Combo_Opponent_Type_1)=0,COUNTBLANK(Combo_Opponent_Type_2)=0),Combo_Opponent_Type_1=Combo_Opponent_Type_2)),
"Check Types",(
IF($W425&gt;=((1-Game_Weave_Human_Error)*$X425),$W425,$X425)*INDEX(Species_Attack,MATCH($N425,Species_Names,0)))/11)</f>
        <v>#VALUE!</v>
      </c>
      <c r="T425" s="33" t="e">
        <f t="shared" si="13"/>
        <v>#VALUE!</v>
      </c>
      <c r="U425" s="33">
        <f t="array" ref="U4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425,Quick_Names,0))),Type_Species)),0),1)*IF(COUNTBLANK(Combo_Opponent_Type_2)=0,INDEX(Type_Damage_Multipliers,MATCH(Combo_Opponent_Type_2,IF(Type_Move=(INDEX(Quick_Type,MATCH($O425,Quick_Names,0))),Type_Species)),0),1)*(IF(OR(INDEX(Quick_Type,MATCH($O425,Quick_Names,0))=INDEX(Species_Type_1,MATCH($N425,Species_Names,0)),INDEX(Quick_Type,MATCH($O425,Quick_Names,0))=INDEX(Species_Type_2,MATCH($N425,Species_Names,0))),Game_STAB_Multiplier,1)))</f>
        <v>1.25</v>
      </c>
      <c r="V425" s="33">
        <f t="array" ref="V4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425,Charge_Names,0))),Type_Species)),0),1)*IF(COUNTBLANK(Combo_Opponent_Type_2)=0,INDEX(Type_Damage_Multipliers,MATCH(Combo_Opponent_Type_2,IF(Type_Move=(INDEX(Charge_Type,MATCH($P425,Charge_Names,0))),Type_Species)),0),1)*
IF(OR(INDEX(Charge_Type,MATCH($P425,Charge_Names,0))=INDEX(Species_Type_1,MATCH($N425,Species_Names,0)),INDEX(Charge_Type,MATCH($P425,Charge_Names,0))=INDEX(Species_Type_2,MATCH($N425,Species_Names,0))),Game_STAB_Multiplier,1))</f>
        <v>1.25</v>
      </c>
      <c r="W425" s="33" t="s">
        <v>628</v>
      </c>
      <c r="X425" s="33" t="s">
        <v>922</v>
      </c>
      <c r="Y425" s="32" t="e">
        <f t="array" ref="Y425">((($Z425)*
INDEX(Species_Attack,MATCH($N425,Species_Names,0))*
INDEX(Species_Tankiness,MATCH($N425,Species_Names,0)))/1000)</f>
        <v>#VALUE!</v>
      </c>
      <c r="Z425" s="33" t="s">
        <v>570</v>
      </c>
    </row>
    <row r="426" spans="1:26" ht="14.25" customHeight="1" x14ac:dyDescent="0.2">
      <c r="A426" s="86"/>
      <c r="B426" s="22" t="str">
        <f t="array" ref="B426">CONCATENATE(TEXT($M426,"000"),".",TEXT(INDEX(Quick_Number,MATCH($O426,Quick_Names,0)),"000"),".",TEXT(INDEX(Charge_Number,MATCH($P426,Charge_Names,0)),"000"))</f>
        <v>083.223.045</v>
      </c>
      <c r="C426" s="23" t="e">
        <f t="array" ref="C426">RANK($S426,IF(Combo_Species_Names=$N426,Combo_Gym_Offense),0)</f>
        <v>#VALUE!</v>
      </c>
      <c r="D426" s="24" t="e">
        <f t="array" ref="D426">$S426/MAX(IF(Combo_Species_Names=$N426,Combo_Gym_Offense))</f>
        <v>#VALUE!</v>
      </c>
      <c r="E426" s="23" t="e">
        <f t="array" ref="E426">RANK($Y426,IF(Combo_Species_Names=$N426,Combo_Gym_Defense),0)</f>
        <v>#VALUE!</v>
      </c>
      <c r="F426" s="25" t="e">
        <f t="array" ref="F426">$Y426/MAX(IF(Combo_Species_Names=$N426,Combo_Gym_Defense))</f>
        <v>#VALUE!</v>
      </c>
      <c r="G426" s="23" t="e">
        <f t="array" ref="G426">IF(OR(INDEX(Species_Availability,MATCH($N426,Species_Names,0))="No",INDEX(Species_Evo_Numbers,MATCH($N426,Species_Names,0))&lt;&gt;1),"N/A",RANK($R426,IF(NOT(ISNA(MATCH(Combo_Species_Names,IF(Species_Availability="Yes",IF(Species_Evo_Numbers=1,Species_Names)),0))),Combo_Duel_Ability),0))</f>
        <v>#VALUE!</v>
      </c>
      <c r="H426" s="24" t="e">
        <f t="array" ref="H426">IF(OR(INDEX(Species_Availability,MATCH($N426,Species_Names,0))="No",INDEX(Species_Evo_Numbers,MATCH($N426,Species_Names,0))&lt;&gt;1),"N/A",$R426/MAX(IF(NOT(ISNA(MATCH(Combo_Species_Names,IF(Species_Availability="Yes",IF(Species_Evo_Numbers=1,Species_Names)),0))),Combo_Duel_Ability)))</f>
        <v>#VALUE!</v>
      </c>
      <c r="I426" s="23" t="e">
        <f t="array" ref="I426">IF(OR(INDEX(Species_Availability,MATCH($N426,Species_Names,0))="No",INDEX(Species_Evo_Numbers,MATCH($N426,Species_Names,0))&lt;&gt;1),"N/A",RANK($S426,IF(NOT(ISNA(MATCH(Combo_Species_Names,IF(Species_Availability="Yes",IF(Species_Evo_Numbers=1,Species_Names)),0))),Combo_Gym_Offense),0))</f>
        <v>#VALUE!</v>
      </c>
      <c r="J426" s="24" t="e">
        <f t="array" ref="J426">IF(OR(INDEX(Species_Availability,MATCH($N426,Species_Names,0))="No",INDEX(Species_Evo_Numbers,MATCH($N426,Species_Names,0))&lt;&gt;1),"N/A",$S426/MAX(IF(NOT(ISNA(MATCH(Combo_Species_Names,IF(Species_Availability="Yes",IF(Species_Evo_Numbers=1,Species_Names)),0))),Combo_Gym_Offense)))</f>
        <v>#VALUE!</v>
      </c>
      <c r="K426" s="23" t="e">
        <f t="array" ref="K426">IF(OR(INDEX(Species_Availability,MATCH($N426,Species_Names,0))="No",INDEX(Species_Evo_Numbers,MATCH($N426,Species_Names,0))&lt;&gt;1),"N/A",RANK($Y426,IF(NOT(ISNA(MATCH(Combo_Species_Names,IF(Species_Availability="Yes",IF(Species_Evo_Numbers=1,Species_Names)),0))),Combo_Gym_Defense),0))</f>
        <v>#VALUE!</v>
      </c>
      <c r="L426" s="24" t="e">
        <f t="array" ref="L426">IF(OR(INDEX(Species_Availability,MATCH($N426,Species_Names,0))="No",INDEX(Species_Evo_Numbers,MATCH($N426,Species_Names,0))&lt;&gt;1),"N/A",$Y426/MAX(IF(NOT(ISNA(MATCH(Combo_Species_Names,IF(Species_Availability="Yes",IF(Species_Evo_Numbers=1,Species_Names)),0))),Combo_Gym_Defense)))</f>
        <v>#VALUE!</v>
      </c>
      <c r="M426" s="28">
        <f t="array" ref="M426">INDEX(Species_Pdex_Numbers,MATCH($N426,Species_Names,0))</f>
        <v>83</v>
      </c>
      <c r="N426" s="30" t="s">
        <v>259</v>
      </c>
      <c r="O426" s="31" t="s">
        <v>100</v>
      </c>
      <c r="P426" s="31" t="s">
        <v>287</v>
      </c>
      <c r="Q426" s="17" t="e">
        <f t="shared" si="12"/>
        <v>#VALUE!</v>
      </c>
      <c r="R426" s="32" t="e">
        <f t="array" ref="R426">IF(OR(AND(COUNTBLANK(Combo_Opponent_Type_1)=1,COUNTBLANK(Combo_Opponent_Type_2)=0),AND(AND(COUNTBLANK(Combo_Opponent_Type_1)=0,COUNTBLANK(Combo_Opponent_Type_2)=0),Combo_Opponent_Type_1=Combo_Opponent_Type_2)),
"Check Types",($S426*INDEX(Species_Tankiness,MATCH($N426,Species_Names,0)))/225)</f>
        <v>#VALUE!</v>
      </c>
      <c r="S426" s="32" t="e">
        <f t="array" ref="S426">IF(OR(AND(COUNTBLANK(Combo_Opponent_Type_1)=1,COUNTBLANK(Combo_Opponent_Type_2)=0),AND(AND(COUNTBLANK(Combo_Opponent_Type_1)=0,COUNTBLANK(Combo_Opponent_Type_2)=0),Combo_Opponent_Type_1=Combo_Opponent_Type_2)),
"Check Types",(
IF($W426&gt;=((1-Game_Weave_Human_Error)*$X426),$W426,$X426)*INDEX(Species_Attack,MATCH($N426,Species_Names,0)))/11)</f>
        <v>#VALUE!</v>
      </c>
      <c r="T426" s="33" t="e">
        <f t="shared" si="13"/>
        <v>#VALUE!</v>
      </c>
      <c r="U426" s="33">
        <f t="array" ref="U4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426,Quick_Names,0))),Type_Species)),0),1)*IF(COUNTBLANK(Combo_Opponent_Type_2)=0,INDEX(Type_Damage_Multipliers,MATCH(Combo_Opponent_Type_2,IF(Type_Move=(INDEX(Quick_Type,MATCH($O426,Quick_Names,0))),Type_Species)),0),1)*(IF(OR(INDEX(Quick_Type,MATCH($O426,Quick_Names,0))=INDEX(Species_Type_1,MATCH($N426,Species_Names,0)),INDEX(Quick_Type,MATCH($O426,Quick_Names,0))=INDEX(Species_Type_2,MATCH($N426,Species_Names,0))),Game_STAB_Multiplier,1)))</f>
        <v>1.25</v>
      </c>
      <c r="V426" s="33">
        <f t="array" ref="V4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426,Charge_Names,0))),Type_Species)),0),1)*IF(COUNTBLANK(Combo_Opponent_Type_2)=0,INDEX(Type_Damage_Multipliers,MATCH(Combo_Opponent_Type_2,IF(Type_Move=(INDEX(Charge_Type,MATCH($P426,Charge_Names,0))),Type_Species)),0),1)*
IF(OR(INDEX(Charge_Type,MATCH($P426,Charge_Names,0))=INDEX(Species_Type_1,MATCH($N426,Species_Names,0)),INDEX(Charge_Type,MATCH($P426,Charge_Names,0))=INDEX(Species_Type_2,MATCH($N426,Species_Names,0))),Game_STAB_Multiplier,1))</f>
        <v>1.25</v>
      </c>
      <c r="W426" s="33" t="s">
        <v>628</v>
      </c>
      <c r="X426" s="33" t="s">
        <v>640</v>
      </c>
      <c r="Y426" s="32" t="e">
        <f t="array" ref="Y426">((($Z426)*
INDEX(Species_Attack,MATCH($N426,Species_Names,0))*
INDEX(Species_Tankiness,MATCH($N426,Species_Names,0)))/1000)</f>
        <v>#VALUE!</v>
      </c>
      <c r="Z426" s="33" t="s">
        <v>480</v>
      </c>
    </row>
    <row r="427" spans="1:26" ht="14.25" customHeight="1" x14ac:dyDescent="0.2">
      <c r="A427" s="86"/>
      <c r="B427" s="22" t="str">
        <f t="array" ref="B427">CONCATENATE(TEXT($M427,"000"),".",TEXT(INDEX(Quick_Number,MATCH($O427,Quick_Names,0)),"000"),".",TEXT(INDEX(Charge_Number,MATCH($P427,Charge_Names,0)),"000"))</f>
        <v>083.200.117</v>
      </c>
      <c r="C427" s="23" t="e">
        <f t="array" ref="C427">RANK($S427,IF(Combo_Species_Names=$N427,Combo_Gym_Offense),0)</f>
        <v>#VALUE!</v>
      </c>
      <c r="D427" s="24" t="e">
        <f t="array" ref="D427">$S427/MAX(IF(Combo_Species_Names=$N427,Combo_Gym_Offense))</f>
        <v>#VALUE!</v>
      </c>
      <c r="E427" s="23" t="e">
        <f t="array" ref="E427">RANK($Y427,IF(Combo_Species_Names=$N427,Combo_Gym_Defense),0)</f>
        <v>#VALUE!</v>
      </c>
      <c r="F427" s="25" t="e">
        <f t="array" ref="F427">$Y427/MAX(IF(Combo_Species_Names=$N427,Combo_Gym_Defense))</f>
        <v>#VALUE!</v>
      </c>
      <c r="G427" s="23" t="e">
        <f t="array" ref="G427">IF(OR(INDEX(Species_Availability,MATCH($N427,Species_Names,0))="No",INDEX(Species_Evo_Numbers,MATCH($N427,Species_Names,0))&lt;&gt;1),"N/A",RANK($R427,IF(NOT(ISNA(MATCH(Combo_Species_Names,IF(Species_Availability="Yes",IF(Species_Evo_Numbers=1,Species_Names)),0))),Combo_Duel_Ability),0))</f>
        <v>#VALUE!</v>
      </c>
      <c r="H427" s="24" t="e">
        <f t="array" ref="H427">IF(OR(INDEX(Species_Availability,MATCH($N427,Species_Names,0))="No",INDEX(Species_Evo_Numbers,MATCH($N427,Species_Names,0))&lt;&gt;1),"N/A",$R427/MAX(IF(NOT(ISNA(MATCH(Combo_Species_Names,IF(Species_Availability="Yes",IF(Species_Evo_Numbers=1,Species_Names)),0))),Combo_Duel_Ability)))</f>
        <v>#VALUE!</v>
      </c>
      <c r="I427" s="23" t="e">
        <f t="array" ref="I427">IF(OR(INDEX(Species_Availability,MATCH($N427,Species_Names,0))="No",INDEX(Species_Evo_Numbers,MATCH($N427,Species_Names,0))&lt;&gt;1),"N/A",RANK($S427,IF(NOT(ISNA(MATCH(Combo_Species_Names,IF(Species_Availability="Yes",IF(Species_Evo_Numbers=1,Species_Names)),0))),Combo_Gym_Offense),0))</f>
        <v>#VALUE!</v>
      </c>
      <c r="J427" s="24" t="e">
        <f t="array" ref="J427">IF(OR(INDEX(Species_Availability,MATCH($N427,Species_Names,0))="No",INDEX(Species_Evo_Numbers,MATCH($N427,Species_Names,0))&lt;&gt;1),"N/A",$S427/MAX(IF(NOT(ISNA(MATCH(Combo_Species_Names,IF(Species_Availability="Yes",IF(Species_Evo_Numbers=1,Species_Names)),0))),Combo_Gym_Offense)))</f>
        <v>#VALUE!</v>
      </c>
      <c r="K427" s="23" t="e">
        <f t="array" ref="K427">IF(OR(INDEX(Species_Availability,MATCH($N427,Species_Names,0))="No",INDEX(Species_Evo_Numbers,MATCH($N427,Species_Names,0))&lt;&gt;1),"N/A",RANK($Y427,IF(NOT(ISNA(MATCH(Combo_Species_Names,IF(Species_Availability="Yes",IF(Species_Evo_Numbers=1,Species_Names)),0))),Combo_Gym_Defense),0))</f>
        <v>#VALUE!</v>
      </c>
      <c r="L427" s="24" t="e">
        <f t="array" ref="L427">IF(OR(INDEX(Species_Availability,MATCH($N427,Species_Names,0))="No",INDEX(Species_Evo_Numbers,MATCH($N427,Species_Names,0))&lt;&gt;1),"N/A",$Y427/MAX(IF(NOT(ISNA(MATCH(Combo_Species_Names,IF(Species_Availability="Yes",IF(Species_Evo_Numbers=1,Species_Names)),0))),Combo_Gym_Defense)))</f>
        <v>#VALUE!</v>
      </c>
      <c r="M427" s="28">
        <f t="array" ref="M427">INDEX(Species_Pdex_Numbers,MATCH($N427,Species_Names,0))</f>
        <v>83</v>
      </c>
      <c r="N427" s="30" t="s">
        <v>259</v>
      </c>
      <c r="O427" s="31" t="s">
        <v>121</v>
      </c>
      <c r="P427" s="31" t="s">
        <v>178</v>
      </c>
      <c r="Q427" s="17" t="e">
        <f t="shared" si="12"/>
        <v>#VALUE!</v>
      </c>
      <c r="R427" s="32" t="e">
        <f t="array" ref="R427">IF(OR(AND(COUNTBLANK(Combo_Opponent_Type_1)=1,COUNTBLANK(Combo_Opponent_Type_2)=0),AND(AND(COUNTBLANK(Combo_Opponent_Type_1)=0,COUNTBLANK(Combo_Opponent_Type_2)=0),Combo_Opponent_Type_1=Combo_Opponent_Type_2)),
"Check Types",($S427*INDEX(Species_Tankiness,MATCH($N427,Species_Names,0)))/225)</f>
        <v>#VALUE!</v>
      </c>
      <c r="S427" s="32" t="e">
        <f t="array" ref="S427">IF(OR(AND(COUNTBLANK(Combo_Opponent_Type_1)=1,COUNTBLANK(Combo_Opponent_Type_2)=0),AND(AND(COUNTBLANK(Combo_Opponent_Type_1)=0,COUNTBLANK(Combo_Opponent_Type_2)=0),Combo_Opponent_Type_1=Combo_Opponent_Type_2)),
"Check Types",(
IF($W427&gt;=((1-Game_Weave_Human_Error)*$X427),$W427,$X427)*INDEX(Species_Attack,MATCH($N427,Species_Names,0)))/11)</f>
        <v>#VALUE!</v>
      </c>
      <c r="T427" s="33" t="e">
        <f t="shared" si="13"/>
        <v>#VALUE!</v>
      </c>
      <c r="U427" s="33">
        <f t="array" ref="U4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427,Quick_Names,0))),Type_Species)),0),1)*IF(COUNTBLANK(Combo_Opponent_Type_2)=0,INDEX(Type_Damage_Multipliers,MATCH(Combo_Opponent_Type_2,IF(Type_Move=(INDEX(Quick_Type,MATCH($O427,Quick_Names,0))),Type_Species)),0),1)*(IF(OR(INDEX(Quick_Type,MATCH($O427,Quick_Names,0))=INDEX(Species_Type_1,MATCH($N427,Species_Names,0)),INDEX(Quick_Type,MATCH($O427,Quick_Names,0))=INDEX(Species_Type_2,MATCH($N427,Species_Names,0))),Game_STAB_Multiplier,1)))</f>
        <v>1</v>
      </c>
      <c r="V427" s="33">
        <f t="array" ref="V4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427,Charge_Names,0))),Type_Species)),0),1)*IF(COUNTBLANK(Combo_Opponent_Type_2)=0,INDEX(Type_Damage_Multipliers,MATCH(Combo_Opponent_Type_2,IF(Type_Move=(INDEX(Charge_Type,MATCH($P427,Charge_Names,0))),Type_Species)),0),1)*
IF(OR(INDEX(Charge_Type,MATCH($P427,Charge_Names,0))=INDEX(Species_Type_1,MATCH($N427,Species_Names,0)),INDEX(Charge_Type,MATCH($P427,Charge_Names,0))=INDEX(Species_Type_2,MATCH($N427,Species_Names,0))),Game_STAB_Multiplier,1))</f>
        <v>1</v>
      </c>
      <c r="W427" s="33" t="s">
        <v>600</v>
      </c>
      <c r="X427" s="33" t="s">
        <v>611</v>
      </c>
      <c r="Y427" s="32" t="e">
        <f t="array" ref="Y427">((($Z427)*
INDEX(Species_Attack,MATCH($N427,Species_Names,0))*
INDEX(Species_Tankiness,MATCH($N427,Species_Names,0)))/1000)</f>
        <v>#VALUE!</v>
      </c>
      <c r="Z427" s="33" t="s">
        <v>923</v>
      </c>
    </row>
    <row r="428" spans="1:26" ht="14.25" customHeight="1" x14ac:dyDescent="0.2">
      <c r="A428" s="86"/>
      <c r="B428" s="22" t="str">
        <f t="array" ref="B428">CONCATENATE(TEXT($M428,"000"),".",TEXT(INDEX(Quick_Number,MATCH($O428,Quick_Names,0)),"000"),".",TEXT(INDEX(Charge_Number,MATCH($P428,Charge_Names,0)),"000"))</f>
        <v>051.203.031</v>
      </c>
      <c r="C428" s="23" t="e">
        <f t="array" ref="C428">RANK($S428,IF(Combo_Species_Names=$N428,Combo_Gym_Offense),0)</f>
        <v>#VALUE!</v>
      </c>
      <c r="D428" s="24" t="e">
        <f t="array" ref="D428">$S428/MAX(IF(Combo_Species_Names=$N428,Combo_Gym_Offense))</f>
        <v>#VALUE!</v>
      </c>
      <c r="E428" s="23" t="e">
        <f t="array" ref="E428">RANK($Y428,IF(Combo_Species_Names=$N428,Combo_Gym_Defense),0)</f>
        <v>#VALUE!</v>
      </c>
      <c r="F428" s="25" t="e">
        <f t="array" ref="F428">$Y428/MAX(IF(Combo_Species_Names=$N428,Combo_Gym_Defense))</f>
        <v>#VALUE!</v>
      </c>
      <c r="G428" s="23" t="e">
        <f t="array" ref="G428">IF(OR(INDEX(Species_Availability,MATCH($N428,Species_Names,0))="No",INDEX(Species_Evo_Numbers,MATCH($N428,Species_Names,0))&lt;&gt;1),"N/A",RANK($R428,IF(NOT(ISNA(MATCH(Combo_Species_Names,IF(Species_Availability="Yes",IF(Species_Evo_Numbers=1,Species_Names)),0))),Combo_Duel_Ability),0))</f>
        <v>#VALUE!</v>
      </c>
      <c r="H428" s="24" t="e">
        <f t="array" ref="H428">IF(OR(INDEX(Species_Availability,MATCH($N428,Species_Names,0))="No",INDEX(Species_Evo_Numbers,MATCH($N428,Species_Names,0))&lt;&gt;1),"N/A",$R428/MAX(IF(NOT(ISNA(MATCH(Combo_Species_Names,IF(Species_Availability="Yes",IF(Species_Evo_Numbers=1,Species_Names)),0))),Combo_Duel_Ability)))</f>
        <v>#VALUE!</v>
      </c>
      <c r="I428" s="23" t="e">
        <f t="array" ref="I428">IF(OR(INDEX(Species_Availability,MATCH($N428,Species_Names,0))="No",INDEX(Species_Evo_Numbers,MATCH($N428,Species_Names,0))&lt;&gt;1),"N/A",RANK($S428,IF(NOT(ISNA(MATCH(Combo_Species_Names,IF(Species_Availability="Yes",IF(Species_Evo_Numbers=1,Species_Names)),0))),Combo_Gym_Offense),0))</f>
        <v>#VALUE!</v>
      </c>
      <c r="J428" s="24" t="e">
        <f t="array" ref="J428">IF(OR(INDEX(Species_Availability,MATCH($N428,Species_Names,0))="No",INDEX(Species_Evo_Numbers,MATCH($N428,Species_Names,0))&lt;&gt;1),"N/A",$S428/MAX(IF(NOT(ISNA(MATCH(Combo_Species_Names,IF(Species_Availability="Yes",IF(Species_Evo_Numbers=1,Species_Names)),0))),Combo_Gym_Offense)))</f>
        <v>#VALUE!</v>
      </c>
      <c r="K428" s="23" t="e">
        <f t="array" ref="K428">IF(OR(INDEX(Species_Availability,MATCH($N428,Species_Names,0))="No",INDEX(Species_Evo_Numbers,MATCH($N428,Species_Names,0))&lt;&gt;1),"N/A",RANK($Y428,IF(NOT(ISNA(MATCH(Combo_Species_Names,IF(Species_Availability="Yes",IF(Species_Evo_Numbers=1,Species_Names)),0))),Combo_Gym_Defense),0))</f>
        <v>#VALUE!</v>
      </c>
      <c r="L428" s="24" t="e">
        <f t="array" ref="L428">IF(OR(INDEX(Species_Availability,MATCH($N428,Species_Names,0))="No",INDEX(Species_Evo_Numbers,MATCH($N428,Species_Names,0))&lt;&gt;1),"N/A",$Y428/MAX(IF(NOT(ISNA(MATCH(Combo_Species_Names,IF(Species_Availability="Yes",IF(Species_Evo_Numbers=1,Species_Names)),0))),Combo_Gym_Defense)))</f>
        <v>#VALUE!</v>
      </c>
      <c r="M428" s="28">
        <f t="array" ref="M428">INDEX(Species_Pdex_Numbers,MATCH($N428,Species_Names,0))</f>
        <v>51</v>
      </c>
      <c r="N428" s="30" t="s">
        <v>193</v>
      </c>
      <c r="O428" s="31" t="s">
        <v>103</v>
      </c>
      <c r="P428" s="31" t="s">
        <v>169</v>
      </c>
      <c r="Q428" s="17" t="e">
        <f t="shared" si="12"/>
        <v>#VALUE!</v>
      </c>
      <c r="R428" s="32" t="e">
        <f t="array" ref="R428">IF(OR(AND(COUNTBLANK(Combo_Opponent_Type_1)=1,COUNTBLANK(Combo_Opponent_Type_2)=0),AND(AND(COUNTBLANK(Combo_Opponent_Type_1)=0,COUNTBLANK(Combo_Opponent_Type_2)=0),Combo_Opponent_Type_1=Combo_Opponent_Type_2)),
"Check Types",($S428*INDEX(Species_Tankiness,MATCH($N428,Species_Names,0)))/225)</f>
        <v>#VALUE!</v>
      </c>
      <c r="S428" s="32" t="e">
        <f t="array" ref="S428">IF(OR(AND(COUNTBLANK(Combo_Opponent_Type_1)=1,COUNTBLANK(Combo_Opponent_Type_2)=0),AND(AND(COUNTBLANK(Combo_Opponent_Type_1)=0,COUNTBLANK(Combo_Opponent_Type_2)=0),Combo_Opponent_Type_1=Combo_Opponent_Type_2)),
"Check Types",(
IF($W428&gt;=((1-Game_Weave_Human_Error)*$X428),$W428,$X428)*INDEX(Species_Attack,MATCH($N428,Species_Names,0)))/11)</f>
        <v>#VALUE!</v>
      </c>
      <c r="T428" s="33" t="e">
        <f t="shared" si="13"/>
        <v>#VALUE!</v>
      </c>
      <c r="U428" s="33">
        <f t="array" ref="U4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428,Quick_Names,0))),Type_Species)),0),1)*IF(COUNTBLANK(Combo_Opponent_Type_2)=0,INDEX(Type_Damage_Multipliers,MATCH(Combo_Opponent_Type_2,IF(Type_Move=(INDEX(Quick_Type,MATCH($O428,Quick_Names,0))),Type_Species)),0),1)*(IF(OR(INDEX(Quick_Type,MATCH($O428,Quick_Names,0))=INDEX(Species_Type_1,MATCH($N428,Species_Names,0)),INDEX(Quick_Type,MATCH($O428,Quick_Names,0))=INDEX(Species_Type_2,MATCH($N428,Species_Names,0))),Game_STAB_Multiplier,1)))</f>
        <v>1</v>
      </c>
      <c r="V428" s="33">
        <f t="array" ref="V4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428,Charge_Names,0))),Type_Species)),0),1)*IF(COUNTBLANK(Combo_Opponent_Type_2)=0,INDEX(Type_Damage_Multipliers,MATCH(Combo_Opponent_Type_2,IF(Type_Move=(INDEX(Charge_Type,MATCH($P428,Charge_Names,0))),Type_Species)),0),1)*
IF(OR(INDEX(Charge_Type,MATCH($P428,Charge_Names,0))=INDEX(Species_Type_1,MATCH($N428,Species_Names,0)),INDEX(Charge_Type,MATCH($P428,Charge_Names,0))=INDEX(Species_Type_2,MATCH($N428,Species_Names,0))),Game_STAB_Multiplier,1))</f>
        <v>1.25</v>
      </c>
      <c r="W428" s="33" t="s">
        <v>758</v>
      </c>
      <c r="X428" s="33" t="s">
        <v>924</v>
      </c>
      <c r="Y428" s="32" t="e">
        <f t="array" ref="Y428">((($Z428)*
INDEX(Species_Attack,MATCH($N428,Species_Names,0))*
INDEX(Species_Tankiness,MATCH($N428,Species_Names,0)))/1000)</f>
        <v>#VALUE!</v>
      </c>
      <c r="Z428" s="33" t="s">
        <v>697</v>
      </c>
    </row>
    <row r="429" spans="1:26" ht="14.25" customHeight="1" x14ac:dyDescent="0.2">
      <c r="A429" s="86"/>
      <c r="B429" s="22" t="str">
        <f t="array" ref="B429">CONCATENATE(TEXT($M429,"000"),".",TEXT(INDEX(Quick_Number,MATCH($O429,Quick_Names,0)),"000"),".",TEXT(INDEX(Charge_Number,MATCH($P429,Charge_Names,0)),"000"))</f>
        <v>051.203.032</v>
      </c>
      <c r="C429" s="23" t="e">
        <f t="array" ref="C429">RANK($S429,IF(Combo_Species_Names=$N429,Combo_Gym_Offense),0)</f>
        <v>#VALUE!</v>
      </c>
      <c r="D429" s="24" t="e">
        <f t="array" ref="D429">$S429/MAX(IF(Combo_Species_Names=$N429,Combo_Gym_Offense))</f>
        <v>#VALUE!</v>
      </c>
      <c r="E429" s="23" t="e">
        <f t="array" ref="E429">RANK($Y429,IF(Combo_Species_Names=$N429,Combo_Gym_Defense),0)</f>
        <v>#VALUE!</v>
      </c>
      <c r="F429" s="25" t="e">
        <f t="array" ref="F429">$Y429/MAX(IF(Combo_Species_Names=$N429,Combo_Gym_Defense))</f>
        <v>#VALUE!</v>
      </c>
      <c r="G429" s="23" t="e">
        <f t="array" ref="G429">IF(OR(INDEX(Species_Availability,MATCH($N429,Species_Names,0))="No",INDEX(Species_Evo_Numbers,MATCH($N429,Species_Names,0))&lt;&gt;1),"N/A",RANK($R429,IF(NOT(ISNA(MATCH(Combo_Species_Names,IF(Species_Availability="Yes",IF(Species_Evo_Numbers=1,Species_Names)),0))),Combo_Duel_Ability),0))</f>
        <v>#VALUE!</v>
      </c>
      <c r="H429" s="24" t="e">
        <f t="array" ref="H429">IF(OR(INDEX(Species_Availability,MATCH($N429,Species_Names,0))="No",INDEX(Species_Evo_Numbers,MATCH($N429,Species_Names,0))&lt;&gt;1),"N/A",$R429/MAX(IF(NOT(ISNA(MATCH(Combo_Species_Names,IF(Species_Availability="Yes",IF(Species_Evo_Numbers=1,Species_Names)),0))),Combo_Duel_Ability)))</f>
        <v>#VALUE!</v>
      </c>
      <c r="I429" s="23" t="e">
        <f t="array" ref="I429">IF(OR(INDEX(Species_Availability,MATCH($N429,Species_Names,0))="No",INDEX(Species_Evo_Numbers,MATCH($N429,Species_Names,0))&lt;&gt;1),"N/A",RANK($S429,IF(NOT(ISNA(MATCH(Combo_Species_Names,IF(Species_Availability="Yes",IF(Species_Evo_Numbers=1,Species_Names)),0))),Combo_Gym_Offense),0))</f>
        <v>#VALUE!</v>
      </c>
      <c r="J429" s="24" t="e">
        <f t="array" ref="J429">IF(OR(INDEX(Species_Availability,MATCH($N429,Species_Names,0))="No",INDEX(Species_Evo_Numbers,MATCH($N429,Species_Names,0))&lt;&gt;1),"N/A",$S429/MAX(IF(NOT(ISNA(MATCH(Combo_Species_Names,IF(Species_Availability="Yes",IF(Species_Evo_Numbers=1,Species_Names)),0))),Combo_Gym_Offense)))</f>
        <v>#VALUE!</v>
      </c>
      <c r="K429" s="23" t="e">
        <f t="array" ref="K429">IF(OR(INDEX(Species_Availability,MATCH($N429,Species_Names,0))="No",INDEX(Species_Evo_Numbers,MATCH($N429,Species_Names,0))&lt;&gt;1),"N/A",RANK($Y429,IF(NOT(ISNA(MATCH(Combo_Species_Names,IF(Species_Availability="Yes",IF(Species_Evo_Numbers=1,Species_Names)),0))),Combo_Gym_Defense),0))</f>
        <v>#VALUE!</v>
      </c>
      <c r="L429" s="24" t="e">
        <f t="array" ref="L429">IF(OR(INDEX(Species_Availability,MATCH($N429,Species_Names,0))="No",INDEX(Species_Evo_Numbers,MATCH($N429,Species_Names,0))&lt;&gt;1),"N/A",$Y429/MAX(IF(NOT(ISNA(MATCH(Combo_Species_Names,IF(Species_Availability="Yes",IF(Species_Evo_Numbers=1,Species_Names)),0))),Combo_Gym_Defense)))</f>
        <v>#VALUE!</v>
      </c>
      <c r="M429" s="28">
        <f t="array" ref="M429">INDEX(Species_Pdex_Numbers,MATCH($N429,Species_Names,0))</f>
        <v>51</v>
      </c>
      <c r="N429" s="30" t="s">
        <v>193</v>
      </c>
      <c r="O429" s="31" t="s">
        <v>103</v>
      </c>
      <c r="P429" s="31" t="s">
        <v>149</v>
      </c>
      <c r="Q429" s="17" t="e">
        <f t="shared" si="12"/>
        <v>#VALUE!</v>
      </c>
      <c r="R429" s="32" t="e">
        <f t="array" ref="R429">IF(OR(AND(COUNTBLANK(Combo_Opponent_Type_1)=1,COUNTBLANK(Combo_Opponent_Type_2)=0),AND(AND(COUNTBLANK(Combo_Opponent_Type_1)=0,COUNTBLANK(Combo_Opponent_Type_2)=0),Combo_Opponent_Type_1=Combo_Opponent_Type_2)),
"Check Types",($S429*INDEX(Species_Tankiness,MATCH($N429,Species_Names,0)))/225)</f>
        <v>#VALUE!</v>
      </c>
      <c r="S429" s="32" t="e">
        <f t="array" ref="S429">IF(OR(AND(COUNTBLANK(Combo_Opponent_Type_1)=1,COUNTBLANK(Combo_Opponent_Type_2)=0),AND(AND(COUNTBLANK(Combo_Opponent_Type_1)=0,COUNTBLANK(Combo_Opponent_Type_2)=0),Combo_Opponent_Type_1=Combo_Opponent_Type_2)),
"Check Types",(
IF($W429&gt;=((1-Game_Weave_Human_Error)*$X429),$W429,$X429)*INDEX(Species_Attack,MATCH($N429,Species_Names,0)))/11)</f>
        <v>#VALUE!</v>
      </c>
      <c r="T429" s="33" t="e">
        <f t="shared" si="13"/>
        <v>#VALUE!</v>
      </c>
      <c r="U429" s="33">
        <f t="array" ref="U4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429,Quick_Names,0))),Type_Species)),0),1)*IF(COUNTBLANK(Combo_Opponent_Type_2)=0,INDEX(Type_Damage_Multipliers,MATCH(Combo_Opponent_Type_2,IF(Type_Move=(INDEX(Quick_Type,MATCH($O429,Quick_Names,0))),Type_Species)),0),1)*(IF(OR(INDEX(Quick_Type,MATCH($O429,Quick_Names,0))=INDEX(Species_Type_1,MATCH($N429,Species_Names,0)),INDEX(Quick_Type,MATCH($O429,Quick_Names,0))=INDEX(Species_Type_2,MATCH($N429,Species_Names,0))),Game_STAB_Multiplier,1)))</f>
        <v>1</v>
      </c>
      <c r="V429" s="33">
        <f t="array" ref="V4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429,Charge_Names,0))),Type_Species)),0),1)*IF(COUNTBLANK(Combo_Opponent_Type_2)=0,INDEX(Type_Damage_Multipliers,MATCH(Combo_Opponent_Type_2,IF(Type_Move=(INDEX(Charge_Type,MATCH($P429,Charge_Names,0))),Type_Species)),0),1)*
IF(OR(INDEX(Charge_Type,MATCH($P429,Charge_Names,0))=INDEX(Species_Type_1,MATCH($N429,Species_Names,0)),INDEX(Charge_Type,MATCH($P429,Charge_Names,0))=INDEX(Species_Type_2,MATCH($N429,Species_Names,0))),Game_STAB_Multiplier,1))</f>
        <v>1</v>
      </c>
      <c r="W429" s="33" t="s">
        <v>758</v>
      </c>
      <c r="X429" s="33" t="s">
        <v>925</v>
      </c>
      <c r="Y429" s="32" t="e">
        <f t="array" ref="Y429">((($Z429)*
INDEX(Species_Attack,MATCH($N429,Species_Names,0))*
INDEX(Species_Tankiness,MATCH($N429,Species_Names,0)))/1000)</f>
        <v>#VALUE!</v>
      </c>
      <c r="Z429" s="33" t="s">
        <v>926</v>
      </c>
    </row>
    <row r="430" spans="1:26" ht="14.25" customHeight="1" x14ac:dyDescent="0.2">
      <c r="A430" s="86"/>
      <c r="B430" s="22" t="str">
        <f t="array" ref="B430">CONCATENATE(TEXT($M430,"000"),".",TEXT(INDEX(Quick_Number,MATCH($O430,Quick_Names,0)),"000"),".",TEXT(INDEX(Charge_Number,MATCH($P430,Charge_Names,0)),"000"))</f>
        <v>095.227.032</v>
      </c>
      <c r="C430" s="23" t="e">
        <f t="array" ref="C430">RANK($S430,IF(Combo_Species_Names=$N430,Combo_Gym_Offense),0)</f>
        <v>#VALUE!</v>
      </c>
      <c r="D430" s="24" t="e">
        <f t="array" ref="D430">$S430/MAX(IF(Combo_Species_Names=$N430,Combo_Gym_Offense))</f>
        <v>#VALUE!</v>
      </c>
      <c r="E430" s="23" t="e">
        <f t="array" ref="E430">RANK($Y430,IF(Combo_Species_Names=$N430,Combo_Gym_Defense),0)</f>
        <v>#VALUE!</v>
      </c>
      <c r="F430" s="25" t="e">
        <f t="array" ref="F430">$Y430/MAX(IF(Combo_Species_Names=$N430,Combo_Gym_Defense))</f>
        <v>#VALUE!</v>
      </c>
      <c r="G430" s="23" t="e">
        <f t="array" ref="G430">IF(OR(INDEX(Species_Availability,MATCH($N430,Species_Names,0))="No",INDEX(Species_Evo_Numbers,MATCH($N430,Species_Names,0))&lt;&gt;1),"N/A",RANK($R430,IF(NOT(ISNA(MATCH(Combo_Species_Names,IF(Species_Availability="Yes",IF(Species_Evo_Numbers=1,Species_Names)),0))),Combo_Duel_Ability),0))</f>
        <v>#VALUE!</v>
      </c>
      <c r="H430" s="24" t="e">
        <f t="array" ref="H430">IF(OR(INDEX(Species_Availability,MATCH($N430,Species_Names,0))="No",INDEX(Species_Evo_Numbers,MATCH($N430,Species_Names,0))&lt;&gt;1),"N/A",$R430/MAX(IF(NOT(ISNA(MATCH(Combo_Species_Names,IF(Species_Availability="Yes",IF(Species_Evo_Numbers=1,Species_Names)),0))),Combo_Duel_Ability)))</f>
        <v>#VALUE!</v>
      </c>
      <c r="I430" s="23" t="e">
        <f t="array" ref="I430">IF(OR(INDEX(Species_Availability,MATCH($N430,Species_Names,0))="No",INDEX(Species_Evo_Numbers,MATCH($N430,Species_Names,0))&lt;&gt;1),"N/A",RANK($S430,IF(NOT(ISNA(MATCH(Combo_Species_Names,IF(Species_Availability="Yes",IF(Species_Evo_Numbers=1,Species_Names)),0))),Combo_Gym_Offense),0))</f>
        <v>#VALUE!</v>
      </c>
      <c r="J430" s="24" t="e">
        <f t="array" ref="J430">IF(OR(INDEX(Species_Availability,MATCH($N430,Species_Names,0))="No",INDEX(Species_Evo_Numbers,MATCH($N430,Species_Names,0))&lt;&gt;1),"N/A",$S430/MAX(IF(NOT(ISNA(MATCH(Combo_Species_Names,IF(Species_Availability="Yes",IF(Species_Evo_Numbers=1,Species_Names)),0))),Combo_Gym_Offense)))</f>
        <v>#VALUE!</v>
      </c>
      <c r="K430" s="23" t="e">
        <f t="array" ref="K430">IF(OR(INDEX(Species_Availability,MATCH($N430,Species_Names,0))="No",INDEX(Species_Evo_Numbers,MATCH($N430,Species_Names,0))&lt;&gt;1),"N/A",RANK($Y430,IF(NOT(ISNA(MATCH(Combo_Species_Names,IF(Species_Availability="Yes",IF(Species_Evo_Numbers=1,Species_Names)),0))),Combo_Gym_Defense),0))</f>
        <v>#VALUE!</v>
      </c>
      <c r="L430" s="24" t="e">
        <f t="array" ref="L430">IF(OR(INDEX(Species_Availability,MATCH($N430,Species_Names,0))="No",INDEX(Species_Evo_Numbers,MATCH($N430,Species_Names,0))&lt;&gt;1),"N/A",$Y430/MAX(IF(NOT(ISNA(MATCH(Combo_Species_Names,IF(Species_Availability="Yes",IF(Species_Evo_Numbers=1,Species_Names)),0))),Combo_Gym_Defense)))</f>
        <v>#VALUE!</v>
      </c>
      <c r="M430" s="28">
        <f t="array" ref="M430">INDEX(Species_Pdex_Numbers,MATCH($N430,Species_Names,0))</f>
        <v>95</v>
      </c>
      <c r="N430" s="30" t="s">
        <v>288</v>
      </c>
      <c r="O430" s="31" t="s">
        <v>112</v>
      </c>
      <c r="P430" s="31" t="s">
        <v>149</v>
      </c>
      <c r="Q430" s="17" t="e">
        <f t="shared" si="12"/>
        <v>#VALUE!</v>
      </c>
      <c r="R430" s="32" t="e">
        <f t="array" ref="R430">IF(OR(AND(COUNTBLANK(Combo_Opponent_Type_1)=1,COUNTBLANK(Combo_Opponent_Type_2)=0),AND(AND(COUNTBLANK(Combo_Opponent_Type_1)=0,COUNTBLANK(Combo_Opponent_Type_2)=0),Combo_Opponent_Type_1=Combo_Opponent_Type_2)),
"Check Types",($S430*INDEX(Species_Tankiness,MATCH($N430,Species_Names,0)))/225)</f>
        <v>#VALUE!</v>
      </c>
      <c r="S430" s="32" t="e">
        <f t="array" ref="S430">IF(OR(AND(COUNTBLANK(Combo_Opponent_Type_1)=1,COUNTBLANK(Combo_Opponent_Type_2)=0),AND(AND(COUNTBLANK(Combo_Opponent_Type_1)=0,COUNTBLANK(Combo_Opponent_Type_2)=0),Combo_Opponent_Type_1=Combo_Opponent_Type_2)),
"Check Types",(
IF($W430&gt;=((1-Game_Weave_Human_Error)*$X430),$W430,$X430)*INDEX(Species_Attack,MATCH($N430,Species_Names,0)))/11)</f>
        <v>#VALUE!</v>
      </c>
      <c r="T430" s="33" t="e">
        <f t="shared" si="13"/>
        <v>#VALUE!</v>
      </c>
      <c r="U430" s="33">
        <f t="array" ref="U4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430,Quick_Names,0))),Type_Species)),0),1)*IF(COUNTBLANK(Combo_Opponent_Type_2)=0,INDEX(Type_Damage_Multipliers,MATCH(Combo_Opponent_Type_2,IF(Type_Move=(INDEX(Quick_Type,MATCH($O430,Quick_Names,0))),Type_Species)),0),1)*(IF(OR(INDEX(Quick_Type,MATCH($O430,Quick_Names,0))=INDEX(Species_Type_1,MATCH($N430,Species_Names,0)),INDEX(Quick_Type,MATCH($O430,Quick_Names,0))=INDEX(Species_Type_2,MATCH($N430,Species_Names,0))),Game_STAB_Multiplier,1)))</f>
        <v>1.25</v>
      </c>
      <c r="V430" s="33">
        <f t="array" ref="V4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430,Charge_Names,0))),Type_Species)),0),1)*IF(COUNTBLANK(Combo_Opponent_Type_2)=0,INDEX(Type_Damage_Multipliers,MATCH(Combo_Opponent_Type_2,IF(Type_Move=(INDEX(Charge_Type,MATCH($P430,Charge_Names,0))),Type_Species)),0),1)*
IF(OR(INDEX(Charge_Type,MATCH($P430,Charge_Names,0))=INDEX(Species_Type_1,MATCH($N430,Species_Names,0)),INDEX(Charge_Type,MATCH($P430,Charge_Names,0))=INDEX(Species_Type_2,MATCH($N430,Species_Names,0))),Game_STAB_Multiplier,1))</f>
        <v>1.25</v>
      </c>
      <c r="W430" s="33" t="s">
        <v>548</v>
      </c>
      <c r="X430" s="33" t="s">
        <v>549</v>
      </c>
      <c r="Y430" s="32" t="e">
        <f t="array" ref="Y430">((($Z430)*
INDEX(Species_Attack,MATCH($N430,Species_Names,0))*
INDEX(Species_Tankiness,MATCH($N430,Species_Names,0)))/1000)</f>
        <v>#VALUE!</v>
      </c>
      <c r="Z430" s="33" t="s">
        <v>550</v>
      </c>
    </row>
    <row r="431" spans="1:26" ht="14.25" customHeight="1" x14ac:dyDescent="0.2">
      <c r="A431" s="86"/>
      <c r="B431" s="22" t="str">
        <f t="array" ref="B431">CONCATENATE(TEXT($M431,"000"),".",TEXT(INDEX(Quick_Number,MATCH($O431,Quick_Names,0)),"000"),".",TEXT(INDEX(Charge_Number,MATCH($P431,Charge_Names,0)),"000"))</f>
        <v>051.216.096</v>
      </c>
      <c r="C431" s="23" t="e">
        <f t="array" ref="C431">RANK($S431,IF(Combo_Species_Names=$N431,Combo_Gym_Offense),0)</f>
        <v>#VALUE!</v>
      </c>
      <c r="D431" s="24" t="e">
        <f t="array" ref="D431">$S431/MAX(IF(Combo_Species_Names=$N431,Combo_Gym_Offense))</f>
        <v>#VALUE!</v>
      </c>
      <c r="E431" s="23" t="e">
        <f t="array" ref="E431">RANK($Y431,IF(Combo_Species_Names=$N431,Combo_Gym_Defense),0)</f>
        <v>#VALUE!</v>
      </c>
      <c r="F431" s="25" t="e">
        <f t="array" ref="F431">$Y431/MAX(IF(Combo_Species_Names=$N431,Combo_Gym_Defense))</f>
        <v>#VALUE!</v>
      </c>
      <c r="G431" s="23" t="e">
        <f t="array" ref="G431">IF(OR(INDEX(Species_Availability,MATCH($N431,Species_Names,0))="No",INDEX(Species_Evo_Numbers,MATCH($N431,Species_Names,0))&lt;&gt;1),"N/A",RANK($R431,IF(NOT(ISNA(MATCH(Combo_Species_Names,IF(Species_Availability="Yes",IF(Species_Evo_Numbers=1,Species_Names)),0))),Combo_Duel_Ability),0))</f>
        <v>#VALUE!</v>
      </c>
      <c r="H431" s="24" t="e">
        <f t="array" ref="H431">IF(OR(INDEX(Species_Availability,MATCH($N431,Species_Names,0))="No",INDEX(Species_Evo_Numbers,MATCH($N431,Species_Names,0))&lt;&gt;1),"N/A",$R431/MAX(IF(NOT(ISNA(MATCH(Combo_Species_Names,IF(Species_Availability="Yes",IF(Species_Evo_Numbers=1,Species_Names)),0))),Combo_Duel_Ability)))</f>
        <v>#VALUE!</v>
      </c>
      <c r="I431" s="23" t="e">
        <f t="array" ref="I431">IF(OR(INDEX(Species_Availability,MATCH($N431,Species_Names,0))="No",INDEX(Species_Evo_Numbers,MATCH($N431,Species_Names,0))&lt;&gt;1),"N/A",RANK($S431,IF(NOT(ISNA(MATCH(Combo_Species_Names,IF(Species_Availability="Yes",IF(Species_Evo_Numbers=1,Species_Names)),0))),Combo_Gym_Offense),0))</f>
        <v>#VALUE!</v>
      </c>
      <c r="J431" s="24" t="e">
        <f t="array" ref="J431">IF(OR(INDEX(Species_Availability,MATCH($N431,Species_Names,0))="No",INDEX(Species_Evo_Numbers,MATCH($N431,Species_Names,0))&lt;&gt;1),"N/A",$S431/MAX(IF(NOT(ISNA(MATCH(Combo_Species_Names,IF(Species_Availability="Yes",IF(Species_Evo_Numbers=1,Species_Names)),0))),Combo_Gym_Offense)))</f>
        <v>#VALUE!</v>
      </c>
      <c r="K431" s="23" t="e">
        <f t="array" ref="K431">IF(OR(INDEX(Species_Availability,MATCH($N431,Species_Names,0))="No",INDEX(Species_Evo_Numbers,MATCH($N431,Species_Names,0))&lt;&gt;1),"N/A",RANK($Y431,IF(NOT(ISNA(MATCH(Combo_Species_Names,IF(Species_Availability="Yes",IF(Species_Evo_Numbers=1,Species_Names)),0))),Combo_Gym_Defense),0))</f>
        <v>#VALUE!</v>
      </c>
      <c r="L431" s="24" t="e">
        <f t="array" ref="L431">IF(OR(INDEX(Species_Availability,MATCH($N431,Species_Names,0))="No",INDEX(Species_Evo_Numbers,MATCH($N431,Species_Names,0))&lt;&gt;1),"N/A",$Y431/MAX(IF(NOT(ISNA(MATCH(Combo_Species_Names,IF(Species_Availability="Yes",IF(Species_Evo_Numbers=1,Species_Names)),0))),Combo_Gym_Defense)))</f>
        <v>#VALUE!</v>
      </c>
      <c r="M431" s="28">
        <f t="array" ref="M431">INDEX(Species_Pdex_Numbers,MATCH($N431,Species_Names,0))</f>
        <v>51</v>
      </c>
      <c r="N431" s="30" t="s">
        <v>193</v>
      </c>
      <c r="O431" s="31" t="s">
        <v>89</v>
      </c>
      <c r="P431" s="31" t="s">
        <v>271</v>
      </c>
      <c r="Q431" s="17" t="e">
        <f t="shared" si="12"/>
        <v>#VALUE!</v>
      </c>
      <c r="R431" s="32" t="e">
        <f t="array" ref="R431">IF(OR(AND(COUNTBLANK(Combo_Opponent_Type_1)=1,COUNTBLANK(Combo_Opponent_Type_2)=0),AND(AND(COUNTBLANK(Combo_Opponent_Type_1)=0,COUNTBLANK(Combo_Opponent_Type_2)=0),Combo_Opponent_Type_1=Combo_Opponent_Type_2)),
"Check Types",($S431*INDEX(Species_Tankiness,MATCH($N431,Species_Names,0)))/225)</f>
        <v>#VALUE!</v>
      </c>
      <c r="S431" s="32" t="e">
        <f t="array" ref="S431">IF(OR(AND(COUNTBLANK(Combo_Opponent_Type_1)=1,COUNTBLANK(Combo_Opponent_Type_2)=0),AND(AND(COUNTBLANK(Combo_Opponent_Type_1)=0,COUNTBLANK(Combo_Opponent_Type_2)=0),Combo_Opponent_Type_1=Combo_Opponent_Type_2)),
"Check Types",(
IF($W431&gt;=((1-Game_Weave_Human_Error)*$X431),$W431,$X431)*INDEX(Species_Attack,MATCH($N431,Species_Names,0)))/11)</f>
        <v>#VALUE!</v>
      </c>
      <c r="T431" s="33" t="e">
        <f t="shared" si="13"/>
        <v>#VALUE!</v>
      </c>
      <c r="U431" s="33">
        <f t="array" ref="U4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431,Quick_Names,0))),Type_Species)),0),1)*IF(COUNTBLANK(Combo_Opponent_Type_2)=0,INDEX(Type_Damage_Multipliers,MATCH(Combo_Opponent_Type_2,IF(Type_Move=(INDEX(Quick_Type,MATCH($O431,Quick_Names,0))),Type_Species)),0),1)*(IF(OR(INDEX(Quick_Type,MATCH($O431,Quick_Names,0))=INDEX(Species_Type_1,MATCH($N431,Species_Names,0)),INDEX(Quick_Type,MATCH($O431,Quick_Names,0))=INDEX(Species_Type_2,MATCH($N431,Species_Names,0))),Game_STAB_Multiplier,1)))</f>
        <v>1.25</v>
      </c>
      <c r="V431" s="33">
        <f t="array" ref="V4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431,Charge_Names,0))),Type_Species)),0),1)*IF(COUNTBLANK(Combo_Opponent_Type_2)=0,INDEX(Type_Damage_Multipliers,MATCH(Combo_Opponent_Type_2,IF(Type_Move=(INDEX(Charge_Type,MATCH($P431,Charge_Names,0))),Type_Species)),0),1)*
IF(OR(INDEX(Charge_Type,MATCH($P431,Charge_Names,0))=INDEX(Species_Type_1,MATCH($N431,Species_Names,0)),INDEX(Charge_Type,MATCH($P431,Charge_Names,0))=INDEX(Species_Type_2,MATCH($N431,Species_Names,0))),Game_STAB_Multiplier,1))</f>
        <v>1.25</v>
      </c>
      <c r="W431" s="33" t="s">
        <v>496</v>
      </c>
      <c r="X431" s="33" t="s">
        <v>927</v>
      </c>
      <c r="Y431" s="32" t="e">
        <f t="array" ref="Y431">((($Z431)*
INDEX(Species_Attack,MATCH($N431,Species_Names,0))*
INDEX(Species_Tankiness,MATCH($N431,Species_Names,0)))/1000)</f>
        <v>#VALUE!</v>
      </c>
      <c r="Z431" s="33" t="s">
        <v>928</v>
      </c>
    </row>
    <row r="432" spans="1:26" ht="14.25" customHeight="1" x14ac:dyDescent="0.2">
      <c r="A432" s="86"/>
      <c r="B432" s="22" t="str">
        <f t="array" ref="B432">CONCATENATE(TEXT($M432,"000"),".",TEXT(INDEX(Quick_Number,MATCH($O432,Quick_Names,0)),"000"),".",TEXT(INDEX(Charge_Number,MATCH($P432,Charge_Names,0)),"000"))</f>
        <v>113.222.108</v>
      </c>
      <c r="C432" s="23" t="e">
        <f t="array" ref="C432">RANK($S432,IF(Combo_Species_Names=$N432,Combo_Gym_Offense),0)</f>
        <v>#VALUE!</v>
      </c>
      <c r="D432" s="24" t="e">
        <f t="array" ref="D432">$S432/MAX(IF(Combo_Species_Names=$N432,Combo_Gym_Offense))</f>
        <v>#VALUE!</v>
      </c>
      <c r="E432" s="23" t="e">
        <f t="array" ref="E432">RANK($Y432,IF(Combo_Species_Names=$N432,Combo_Gym_Defense),0)</f>
        <v>#VALUE!</v>
      </c>
      <c r="F432" s="25" t="e">
        <f t="array" ref="F432">$Y432/MAX(IF(Combo_Species_Names=$N432,Combo_Gym_Defense))</f>
        <v>#VALUE!</v>
      </c>
      <c r="G432" s="23" t="e">
        <f t="array" ref="G432">IF(OR(INDEX(Species_Availability,MATCH($N432,Species_Names,0))="No",INDEX(Species_Evo_Numbers,MATCH($N432,Species_Names,0))&lt;&gt;1),"N/A",RANK($R432,IF(NOT(ISNA(MATCH(Combo_Species_Names,IF(Species_Availability="Yes",IF(Species_Evo_Numbers=1,Species_Names)),0))),Combo_Duel_Ability),0))</f>
        <v>#VALUE!</v>
      </c>
      <c r="H432" s="24" t="e">
        <f t="array" ref="H432">IF(OR(INDEX(Species_Availability,MATCH($N432,Species_Names,0))="No",INDEX(Species_Evo_Numbers,MATCH($N432,Species_Names,0))&lt;&gt;1),"N/A",$R432/MAX(IF(NOT(ISNA(MATCH(Combo_Species_Names,IF(Species_Availability="Yes",IF(Species_Evo_Numbers=1,Species_Names)),0))),Combo_Duel_Ability)))</f>
        <v>#VALUE!</v>
      </c>
      <c r="I432" s="23" t="e">
        <f t="array" ref="I432">IF(OR(INDEX(Species_Availability,MATCH($N432,Species_Names,0))="No",INDEX(Species_Evo_Numbers,MATCH($N432,Species_Names,0))&lt;&gt;1),"N/A",RANK($S432,IF(NOT(ISNA(MATCH(Combo_Species_Names,IF(Species_Availability="Yes",IF(Species_Evo_Numbers=1,Species_Names)),0))),Combo_Gym_Offense),0))</f>
        <v>#VALUE!</v>
      </c>
      <c r="J432" s="24" t="e">
        <f t="array" ref="J432">IF(OR(INDEX(Species_Availability,MATCH($N432,Species_Names,0))="No",INDEX(Species_Evo_Numbers,MATCH($N432,Species_Names,0))&lt;&gt;1),"N/A",$S432/MAX(IF(NOT(ISNA(MATCH(Combo_Species_Names,IF(Species_Availability="Yes",IF(Species_Evo_Numbers=1,Species_Names)),0))),Combo_Gym_Offense)))</f>
        <v>#VALUE!</v>
      </c>
      <c r="K432" s="23" t="e">
        <f t="array" ref="K432">IF(OR(INDEX(Species_Availability,MATCH($N432,Species_Names,0))="No",INDEX(Species_Evo_Numbers,MATCH($N432,Species_Names,0))&lt;&gt;1),"N/A",RANK($Y432,IF(NOT(ISNA(MATCH(Combo_Species_Names,IF(Species_Availability="Yes",IF(Species_Evo_Numbers=1,Species_Names)),0))),Combo_Gym_Defense),0))</f>
        <v>#VALUE!</v>
      </c>
      <c r="L432" s="24" t="e">
        <f t="array" ref="L432">IF(OR(INDEX(Species_Availability,MATCH($N432,Species_Names,0))="No",INDEX(Species_Evo_Numbers,MATCH($N432,Species_Names,0))&lt;&gt;1),"N/A",$Y432/MAX(IF(NOT(ISNA(MATCH(Combo_Species_Names,IF(Species_Availability="Yes",IF(Species_Evo_Numbers=1,Species_Names)),0))),Combo_Gym_Defense)))</f>
        <v>#VALUE!</v>
      </c>
      <c r="M432" s="28">
        <f t="array" ref="M432">INDEX(Species_Pdex_Numbers,MATCH($N432,Species_Names,0))</f>
        <v>113</v>
      </c>
      <c r="N432" s="30" t="s">
        <v>326</v>
      </c>
      <c r="O432" s="31" t="s">
        <v>32</v>
      </c>
      <c r="P432" s="31" t="s">
        <v>58</v>
      </c>
      <c r="Q432" s="17" t="e">
        <f t="shared" si="12"/>
        <v>#VALUE!</v>
      </c>
      <c r="R432" s="32" t="e">
        <f t="array" ref="R432">IF(OR(AND(COUNTBLANK(Combo_Opponent_Type_1)=1,COUNTBLANK(Combo_Opponent_Type_2)=0),AND(AND(COUNTBLANK(Combo_Opponent_Type_1)=0,COUNTBLANK(Combo_Opponent_Type_2)=0),Combo_Opponent_Type_1=Combo_Opponent_Type_2)),
"Check Types",($S432*INDEX(Species_Tankiness,MATCH($N432,Species_Names,0)))/225)</f>
        <v>#VALUE!</v>
      </c>
      <c r="S432" s="32" t="e">
        <f t="array" ref="S432">IF(OR(AND(COUNTBLANK(Combo_Opponent_Type_1)=1,COUNTBLANK(Combo_Opponent_Type_2)=0),AND(AND(COUNTBLANK(Combo_Opponent_Type_1)=0,COUNTBLANK(Combo_Opponent_Type_2)=0),Combo_Opponent_Type_1=Combo_Opponent_Type_2)),
"Check Types",(
IF($W432&gt;=((1-Game_Weave_Human_Error)*$X432),$W432,$X432)*INDEX(Species_Attack,MATCH($N432,Species_Names,0)))/11)</f>
        <v>#VALUE!</v>
      </c>
      <c r="T432" s="33" t="e">
        <f t="shared" si="13"/>
        <v>#VALUE!</v>
      </c>
      <c r="U432" s="33">
        <f t="array" ref="U4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432,Quick_Names,0))),Type_Species)),0),1)*IF(COUNTBLANK(Combo_Opponent_Type_2)=0,INDEX(Type_Damage_Multipliers,MATCH(Combo_Opponent_Type_2,IF(Type_Move=(INDEX(Quick_Type,MATCH($O432,Quick_Names,0))),Type_Species)),0),1)*(IF(OR(INDEX(Quick_Type,MATCH($O432,Quick_Names,0))=INDEX(Species_Type_1,MATCH($N432,Species_Names,0)),INDEX(Quick_Type,MATCH($O432,Quick_Names,0))=INDEX(Species_Type_2,MATCH($N432,Species_Names,0))),Game_STAB_Multiplier,1)))</f>
        <v>1.25</v>
      </c>
      <c r="V432" s="33">
        <f t="array" ref="V4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432,Charge_Names,0))),Type_Species)),0),1)*IF(COUNTBLANK(Combo_Opponent_Type_2)=0,INDEX(Type_Damage_Multipliers,MATCH(Combo_Opponent_Type_2,IF(Type_Move=(INDEX(Charge_Type,MATCH($P432,Charge_Names,0))),Type_Species)),0),1)*
IF(OR(INDEX(Charge_Type,MATCH($P432,Charge_Names,0))=INDEX(Species_Type_1,MATCH($N432,Species_Names,0)),INDEX(Charge_Type,MATCH($P432,Charge_Names,0))=INDEX(Species_Type_2,MATCH($N432,Species_Names,0))),Game_STAB_Multiplier,1))</f>
        <v>1</v>
      </c>
      <c r="W432" s="33" t="s">
        <v>508</v>
      </c>
      <c r="X432" s="33" t="s">
        <v>929</v>
      </c>
      <c r="Y432" s="32" t="e">
        <f t="array" ref="Y432">((($Z432)*
INDEX(Species_Attack,MATCH($N432,Species_Names,0))*
INDEX(Species_Tankiness,MATCH($N432,Species_Names,0)))/1000)</f>
        <v>#VALUE!</v>
      </c>
      <c r="Z432" s="33" t="s">
        <v>857</v>
      </c>
    </row>
    <row r="433" spans="1:26" ht="14.25" customHeight="1" x14ac:dyDescent="0.2">
      <c r="A433" s="86"/>
      <c r="B433" s="22" t="str">
        <f t="array" ref="B433">CONCATENATE(TEXT($M433,"000"),".",TEXT(INDEX(Quick_Number,MATCH($O433,Quick_Names,0)),"000"),".",TEXT(INDEX(Charge_Number,MATCH($P433,Charge_Names,0)),"000"))</f>
        <v>113.222.086</v>
      </c>
      <c r="C433" s="23" t="e">
        <f t="array" ref="C433">RANK($S433,IF(Combo_Species_Names=$N433,Combo_Gym_Offense),0)</f>
        <v>#VALUE!</v>
      </c>
      <c r="D433" s="24" t="e">
        <f t="array" ref="D433">$S433/MAX(IF(Combo_Species_Names=$N433,Combo_Gym_Offense))</f>
        <v>#VALUE!</v>
      </c>
      <c r="E433" s="23" t="e">
        <f t="array" ref="E433">RANK($Y433,IF(Combo_Species_Names=$N433,Combo_Gym_Defense),0)</f>
        <v>#VALUE!</v>
      </c>
      <c r="F433" s="25" t="e">
        <f t="array" ref="F433">$Y433/MAX(IF(Combo_Species_Names=$N433,Combo_Gym_Defense))</f>
        <v>#VALUE!</v>
      </c>
      <c r="G433" s="23" t="e">
        <f t="array" ref="G433">IF(OR(INDEX(Species_Availability,MATCH($N433,Species_Names,0))="No",INDEX(Species_Evo_Numbers,MATCH($N433,Species_Names,0))&lt;&gt;1),"N/A",RANK($R433,IF(NOT(ISNA(MATCH(Combo_Species_Names,IF(Species_Availability="Yes",IF(Species_Evo_Numbers=1,Species_Names)),0))),Combo_Duel_Ability),0))</f>
        <v>#VALUE!</v>
      </c>
      <c r="H433" s="24" t="e">
        <f t="array" ref="H433">IF(OR(INDEX(Species_Availability,MATCH($N433,Species_Names,0))="No",INDEX(Species_Evo_Numbers,MATCH($N433,Species_Names,0))&lt;&gt;1),"N/A",$R433/MAX(IF(NOT(ISNA(MATCH(Combo_Species_Names,IF(Species_Availability="Yes",IF(Species_Evo_Numbers=1,Species_Names)),0))),Combo_Duel_Ability)))</f>
        <v>#VALUE!</v>
      </c>
      <c r="I433" s="23" t="e">
        <f t="array" ref="I433">IF(OR(INDEX(Species_Availability,MATCH($N433,Species_Names,0))="No",INDEX(Species_Evo_Numbers,MATCH($N433,Species_Names,0))&lt;&gt;1),"N/A",RANK($S433,IF(NOT(ISNA(MATCH(Combo_Species_Names,IF(Species_Availability="Yes",IF(Species_Evo_Numbers=1,Species_Names)),0))),Combo_Gym_Offense),0))</f>
        <v>#VALUE!</v>
      </c>
      <c r="J433" s="24" t="e">
        <f t="array" ref="J433">IF(OR(INDEX(Species_Availability,MATCH($N433,Species_Names,0))="No",INDEX(Species_Evo_Numbers,MATCH($N433,Species_Names,0))&lt;&gt;1),"N/A",$S433/MAX(IF(NOT(ISNA(MATCH(Combo_Species_Names,IF(Species_Availability="Yes",IF(Species_Evo_Numbers=1,Species_Names)),0))),Combo_Gym_Offense)))</f>
        <v>#VALUE!</v>
      </c>
      <c r="K433" s="23" t="e">
        <f t="array" ref="K433">IF(OR(INDEX(Species_Availability,MATCH($N433,Species_Names,0))="No",INDEX(Species_Evo_Numbers,MATCH($N433,Species_Names,0))&lt;&gt;1),"N/A",RANK($Y433,IF(NOT(ISNA(MATCH(Combo_Species_Names,IF(Species_Availability="Yes",IF(Species_Evo_Numbers=1,Species_Names)),0))),Combo_Gym_Defense),0))</f>
        <v>#VALUE!</v>
      </c>
      <c r="L433" s="24" t="e">
        <f t="array" ref="L433">IF(OR(INDEX(Species_Availability,MATCH($N433,Species_Names,0))="No",INDEX(Species_Evo_Numbers,MATCH($N433,Species_Names,0))&lt;&gt;1),"N/A",$Y433/MAX(IF(NOT(ISNA(MATCH(Combo_Species_Names,IF(Species_Availability="Yes",IF(Species_Evo_Numbers=1,Species_Names)),0))),Combo_Gym_Defense)))</f>
        <v>#VALUE!</v>
      </c>
      <c r="M433" s="28">
        <f t="array" ref="M433">INDEX(Species_Pdex_Numbers,MATCH($N433,Species_Names,0))</f>
        <v>113</v>
      </c>
      <c r="N433" s="30" t="s">
        <v>326</v>
      </c>
      <c r="O433" s="31" t="s">
        <v>32</v>
      </c>
      <c r="P433" s="31" t="s">
        <v>257</v>
      </c>
      <c r="Q433" s="17" t="e">
        <f t="shared" si="12"/>
        <v>#VALUE!</v>
      </c>
      <c r="R433" s="32" t="e">
        <f t="array" ref="R433">IF(OR(AND(COUNTBLANK(Combo_Opponent_Type_1)=1,COUNTBLANK(Combo_Opponent_Type_2)=0),AND(AND(COUNTBLANK(Combo_Opponent_Type_1)=0,COUNTBLANK(Combo_Opponent_Type_2)=0),Combo_Opponent_Type_1=Combo_Opponent_Type_2)),
"Check Types",($S433*INDEX(Species_Tankiness,MATCH($N433,Species_Names,0)))/225)</f>
        <v>#VALUE!</v>
      </c>
      <c r="S433" s="32" t="e">
        <f t="array" ref="S433">IF(OR(AND(COUNTBLANK(Combo_Opponent_Type_1)=1,COUNTBLANK(Combo_Opponent_Type_2)=0),AND(AND(COUNTBLANK(Combo_Opponent_Type_1)=0,COUNTBLANK(Combo_Opponent_Type_2)=0),Combo_Opponent_Type_1=Combo_Opponent_Type_2)),
"Check Types",(
IF($W433&gt;=((1-Game_Weave_Human_Error)*$X433),$W433,$X433)*INDEX(Species_Attack,MATCH($N433,Species_Names,0)))/11)</f>
        <v>#VALUE!</v>
      </c>
      <c r="T433" s="33" t="e">
        <f t="shared" si="13"/>
        <v>#VALUE!</v>
      </c>
      <c r="U433" s="33">
        <f t="array" ref="U4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433,Quick_Names,0))),Type_Species)),0),1)*IF(COUNTBLANK(Combo_Opponent_Type_2)=0,INDEX(Type_Damage_Multipliers,MATCH(Combo_Opponent_Type_2,IF(Type_Move=(INDEX(Quick_Type,MATCH($O433,Quick_Names,0))),Type_Species)),0),1)*(IF(OR(INDEX(Quick_Type,MATCH($O433,Quick_Names,0))=INDEX(Species_Type_1,MATCH($N433,Species_Names,0)),INDEX(Quick_Type,MATCH($O433,Quick_Names,0))=INDEX(Species_Type_2,MATCH($N433,Species_Names,0))),Game_STAB_Multiplier,1)))</f>
        <v>1.25</v>
      </c>
      <c r="V433" s="33">
        <f t="array" ref="V4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433,Charge_Names,0))),Type_Species)),0),1)*IF(COUNTBLANK(Combo_Opponent_Type_2)=0,INDEX(Type_Damage_Multipliers,MATCH(Combo_Opponent_Type_2,IF(Type_Move=(INDEX(Charge_Type,MATCH($P433,Charge_Names,0))),Type_Species)),0),1)*
IF(OR(INDEX(Charge_Type,MATCH($P433,Charge_Names,0))=INDEX(Species_Type_1,MATCH($N433,Species_Names,0)),INDEX(Charge_Type,MATCH($P433,Charge_Names,0))=INDEX(Species_Type_2,MATCH($N433,Species_Names,0))),Game_STAB_Multiplier,1))</f>
        <v>1</v>
      </c>
      <c r="W433" s="33" t="s">
        <v>508</v>
      </c>
      <c r="X433" s="33" t="s">
        <v>579</v>
      </c>
      <c r="Y433" s="32" t="e">
        <f t="array" ref="Y433">((($Z433)*
INDEX(Species_Attack,MATCH($N433,Species_Names,0))*
INDEX(Species_Tankiness,MATCH($N433,Species_Names,0)))/1000)</f>
        <v>#VALUE!</v>
      </c>
      <c r="Z433" s="33" t="s">
        <v>462</v>
      </c>
    </row>
    <row r="434" spans="1:26" ht="14.25" customHeight="1" x14ac:dyDescent="0.2">
      <c r="A434" s="86"/>
      <c r="B434" s="22" t="str">
        <f t="array" ref="B434">CONCATENATE(TEXT($M434,"000"),".",TEXT(INDEX(Quick_Number,MATCH($O434,Quick_Names,0)),"000"),".",TEXT(INDEX(Charge_Number,MATCH($P434,Charge_Names,0)),"000"))</f>
        <v>113.222.030</v>
      </c>
      <c r="C434" s="23" t="e">
        <f t="array" ref="C434">RANK($S434,IF(Combo_Species_Names=$N434,Combo_Gym_Offense),0)</f>
        <v>#VALUE!</v>
      </c>
      <c r="D434" s="24" t="e">
        <f t="array" ref="D434">$S434/MAX(IF(Combo_Species_Names=$N434,Combo_Gym_Offense))</f>
        <v>#VALUE!</v>
      </c>
      <c r="E434" s="23" t="e">
        <f t="array" ref="E434">RANK($Y434,IF(Combo_Species_Names=$N434,Combo_Gym_Defense),0)</f>
        <v>#VALUE!</v>
      </c>
      <c r="F434" s="25" t="e">
        <f t="array" ref="F434">$Y434/MAX(IF(Combo_Species_Names=$N434,Combo_Gym_Defense))</f>
        <v>#VALUE!</v>
      </c>
      <c r="G434" s="23" t="e">
        <f t="array" ref="G434">IF(OR(INDEX(Species_Availability,MATCH($N434,Species_Names,0))="No",INDEX(Species_Evo_Numbers,MATCH($N434,Species_Names,0))&lt;&gt;1),"N/A",RANK($R434,IF(NOT(ISNA(MATCH(Combo_Species_Names,IF(Species_Availability="Yes",IF(Species_Evo_Numbers=1,Species_Names)),0))),Combo_Duel_Ability),0))</f>
        <v>#VALUE!</v>
      </c>
      <c r="H434" s="24" t="e">
        <f t="array" ref="H434">IF(OR(INDEX(Species_Availability,MATCH($N434,Species_Names,0))="No",INDEX(Species_Evo_Numbers,MATCH($N434,Species_Names,0))&lt;&gt;1),"N/A",$R434/MAX(IF(NOT(ISNA(MATCH(Combo_Species_Names,IF(Species_Availability="Yes",IF(Species_Evo_Numbers=1,Species_Names)),0))),Combo_Duel_Ability)))</f>
        <v>#VALUE!</v>
      </c>
      <c r="I434" s="23" t="e">
        <f t="array" ref="I434">IF(OR(INDEX(Species_Availability,MATCH($N434,Species_Names,0))="No",INDEX(Species_Evo_Numbers,MATCH($N434,Species_Names,0))&lt;&gt;1),"N/A",RANK($S434,IF(NOT(ISNA(MATCH(Combo_Species_Names,IF(Species_Availability="Yes",IF(Species_Evo_Numbers=1,Species_Names)),0))),Combo_Gym_Offense),0))</f>
        <v>#VALUE!</v>
      </c>
      <c r="J434" s="24" t="e">
        <f t="array" ref="J434">IF(OR(INDEX(Species_Availability,MATCH($N434,Species_Names,0))="No",INDEX(Species_Evo_Numbers,MATCH($N434,Species_Names,0))&lt;&gt;1),"N/A",$S434/MAX(IF(NOT(ISNA(MATCH(Combo_Species_Names,IF(Species_Availability="Yes",IF(Species_Evo_Numbers=1,Species_Names)),0))),Combo_Gym_Offense)))</f>
        <v>#VALUE!</v>
      </c>
      <c r="K434" s="23" t="e">
        <f t="array" ref="K434">IF(OR(INDEX(Species_Availability,MATCH($N434,Species_Names,0))="No",INDEX(Species_Evo_Numbers,MATCH($N434,Species_Names,0))&lt;&gt;1),"N/A",RANK($Y434,IF(NOT(ISNA(MATCH(Combo_Species_Names,IF(Species_Availability="Yes",IF(Species_Evo_Numbers=1,Species_Names)),0))),Combo_Gym_Defense),0))</f>
        <v>#VALUE!</v>
      </c>
      <c r="L434" s="24" t="e">
        <f t="array" ref="L434">IF(OR(INDEX(Species_Availability,MATCH($N434,Species_Names,0))="No",INDEX(Species_Evo_Numbers,MATCH($N434,Species_Names,0))&lt;&gt;1),"N/A",$Y434/MAX(IF(NOT(ISNA(MATCH(Combo_Species_Names,IF(Species_Availability="Yes",IF(Species_Evo_Numbers=1,Species_Names)),0))),Combo_Gym_Defense)))</f>
        <v>#VALUE!</v>
      </c>
      <c r="M434" s="28">
        <f t="array" ref="M434">INDEX(Species_Pdex_Numbers,MATCH($N434,Species_Names,0))</f>
        <v>113</v>
      </c>
      <c r="N434" s="30" t="s">
        <v>326</v>
      </c>
      <c r="O434" s="31" t="s">
        <v>32</v>
      </c>
      <c r="P434" s="31" t="s">
        <v>283</v>
      </c>
      <c r="Q434" s="17" t="e">
        <f t="shared" si="12"/>
        <v>#VALUE!</v>
      </c>
      <c r="R434" s="32" t="e">
        <f t="array" ref="R434">IF(OR(AND(COUNTBLANK(Combo_Opponent_Type_1)=1,COUNTBLANK(Combo_Opponent_Type_2)=0),AND(AND(COUNTBLANK(Combo_Opponent_Type_1)=0,COUNTBLANK(Combo_Opponent_Type_2)=0),Combo_Opponent_Type_1=Combo_Opponent_Type_2)),
"Check Types",($S434*INDEX(Species_Tankiness,MATCH($N434,Species_Names,0)))/225)</f>
        <v>#VALUE!</v>
      </c>
      <c r="S434" s="32" t="e">
        <f t="array" ref="S434">IF(OR(AND(COUNTBLANK(Combo_Opponent_Type_1)=1,COUNTBLANK(Combo_Opponent_Type_2)=0),AND(AND(COUNTBLANK(Combo_Opponent_Type_1)=0,COUNTBLANK(Combo_Opponent_Type_2)=0),Combo_Opponent_Type_1=Combo_Opponent_Type_2)),
"Check Types",(
IF($W434&gt;=((1-Game_Weave_Human_Error)*$X434),$W434,$X434)*INDEX(Species_Attack,MATCH($N434,Species_Names,0)))/11)</f>
        <v>#VALUE!</v>
      </c>
      <c r="T434" s="33" t="e">
        <f t="shared" si="13"/>
        <v>#VALUE!</v>
      </c>
      <c r="U434" s="33">
        <f t="array" ref="U4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434,Quick_Names,0))),Type_Species)),0),1)*IF(COUNTBLANK(Combo_Opponent_Type_2)=0,INDEX(Type_Damage_Multipliers,MATCH(Combo_Opponent_Type_2,IF(Type_Move=(INDEX(Quick_Type,MATCH($O434,Quick_Names,0))),Type_Species)),0),1)*(IF(OR(INDEX(Quick_Type,MATCH($O434,Quick_Names,0))=INDEX(Species_Type_1,MATCH($N434,Species_Names,0)),INDEX(Quick_Type,MATCH($O434,Quick_Names,0))=INDEX(Species_Type_2,MATCH($N434,Species_Names,0))),Game_STAB_Multiplier,1)))</f>
        <v>1.25</v>
      </c>
      <c r="V434" s="33">
        <f t="array" ref="V4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434,Charge_Names,0))),Type_Species)),0),1)*IF(COUNTBLANK(Combo_Opponent_Type_2)=0,INDEX(Type_Damage_Multipliers,MATCH(Combo_Opponent_Type_2,IF(Type_Move=(INDEX(Charge_Type,MATCH($P434,Charge_Names,0))),Type_Species)),0),1)*
IF(OR(INDEX(Charge_Type,MATCH($P434,Charge_Names,0))=INDEX(Species_Type_1,MATCH($N434,Species_Names,0)),INDEX(Charge_Type,MATCH($P434,Charge_Names,0))=INDEX(Species_Type_2,MATCH($N434,Species_Names,0))),Game_STAB_Multiplier,1))</f>
        <v>1</v>
      </c>
      <c r="W434" s="33" t="s">
        <v>508</v>
      </c>
      <c r="X434" s="33" t="s">
        <v>930</v>
      </c>
      <c r="Y434" s="32" t="e">
        <f t="array" ref="Y434">((($Z434)*
INDEX(Species_Attack,MATCH($N434,Species_Names,0))*
INDEX(Species_Tankiness,MATCH($N434,Species_Names,0)))/1000)</f>
        <v>#VALUE!</v>
      </c>
      <c r="Z434" s="33" t="s">
        <v>838</v>
      </c>
    </row>
    <row r="435" spans="1:26" ht="14.25" customHeight="1" x14ac:dyDescent="0.2">
      <c r="A435" s="86"/>
      <c r="B435" s="22" t="str">
        <f t="array" ref="B435">CONCATENATE(TEXT($M435,"000"),".",TEXT(INDEX(Quick_Number,MATCH($O435,Quick_Names,0)),"000"),".",TEXT(INDEX(Charge_Number,MATCH($P435,Charge_Names,0)),"000"))</f>
        <v>095.221.032</v>
      </c>
      <c r="C435" s="23" t="e">
        <f t="array" ref="C435">RANK($S435,IF(Combo_Species_Names=$N435,Combo_Gym_Offense),0)</f>
        <v>#VALUE!</v>
      </c>
      <c r="D435" s="24" t="e">
        <f t="array" ref="D435">$S435/MAX(IF(Combo_Species_Names=$N435,Combo_Gym_Offense))</f>
        <v>#VALUE!</v>
      </c>
      <c r="E435" s="23" t="e">
        <f t="array" ref="E435">RANK($Y435,IF(Combo_Species_Names=$N435,Combo_Gym_Defense),0)</f>
        <v>#VALUE!</v>
      </c>
      <c r="F435" s="25" t="e">
        <f t="array" ref="F435">$Y435/MAX(IF(Combo_Species_Names=$N435,Combo_Gym_Defense))</f>
        <v>#VALUE!</v>
      </c>
      <c r="G435" s="23" t="e">
        <f t="array" ref="G435">IF(OR(INDEX(Species_Availability,MATCH($N435,Species_Names,0))="No",INDEX(Species_Evo_Numbers,MATCH($N435,Species_Names,0))&lt;&gt;1),"N/A",RANK($R435,IF(NOT(ISNA(MATCH(Combo_Species_Names,IF(Species_Availability="Yes",IF(Species_Evo_Numbers=1,Species_Names)),0))),Combo_Duel_Ability),0))</f>
        <v>#VALUE!</v>
      </c>
      <c r="H435" s="24" t="e">
        <f t="array" ref="H435">IF(OR(INDEX(Species_Availability,MATCH($N435,Species_Names,0))="No",INDEX(Species_Evo_Numbers,MATCH($N435,Species_Names,0))&lt;&gt;1),"N/A",$R435/MAX(IF(NOT(ISNA(MATCH(Combo_Species_Names,IF(Species_Availability="Yes",IF(Species_Evo_Numbers=1,Species_Names)),0))),Combo_Duel_Ability)))</f>
        <v>#VALUE!</v>
      </c>
      <c r="I435" s="23" t="e">
        <f t="array" ref="I435">IF(OR(INDEX(Species_Availability,MATCH($N435,Species_Names,0))="No",INDEX(Species_Evo_Numbers,MATCH($N435,Species_Names,0))&lt;&gt;1),"N/A",RANK($S435,IF(NOT(ISNA(MATCH(Combo_Species_Names,IF(Species_Availability="Yes",IF(Species_Evo_Numbers=1,Species_Names)),0))),Combo_Gym_Offense),0))</f>
        <v>#VALUE!</v>
      </c>
      <c r="J435" s="24" t="e">
        <f t="array" ref="J435">IF(OR(INDEX(Species_Availability,MATCH($N435,Species_Names,0))="No",INDEX(Species_Evo_Numbers,MATCH($N435,Species_Names,0))&lt;&gt;1),"N/A",$S435/MAX(IF(NOT(ISNA(MATCH(Combo_Species_Names,IF(Species_Availability="Yes",IF(Species_Evo_Numbers=1,Species_Names)),0))),Combo_Gym_Offense)))</f>
        <v>#VALUE!</v>
      </c>
      <c r="K435" s="23" t="e">
        <f t="array" ref="K435">IF(OR(INDEX(Species_Availability,MATCH($N435,Species_Names,0))="No",INDEX(Species_Evo_Numbers,MATCH($N435,Species_Names,0))&lt;&gt;1),"N/A",RANK($Y435,IF(NOT(ISNA(MATCH(Combo_Species_Names,IF(Species_Availability="Yes",IF(Species_Evo_Numbers=1,Species_Names)),0))),Combo_Gym_Defense),0))</f>
        <v>#VALUE!</v>
      </c>
      <c r="L435" s="24" t="e">
        <f t="array" ref="L435">IF(OR(INDEX(Species_Availability,MATCH($N435,Species_Names,0))="No",INDEX(Species_Evo_Numbers,MATCH($N435,Species_Names,0))&lt;&gt;1),"N/A",$Y435/MAX(IF(NOT(ISNA(MATCH(Combo_Species_Names,IF(Species_Availability="Yes",IF(Species_Evo_Numbers=1,Species_Names)),0))),Combo_Gym_Defense)))</f>
        <v>#VALUE!</v>
      </c>
      <c r="M435" s="28">
        <f t="array" ref="M435">INDEX(Species_Pdex_Numbers,MATCH($N435,Species_Names,0))</f>
        <v>95</v>
      </c>
      <c r="N435" s="30" t="s">
        <v>288</v>
      </c>
      <c r="O435" s="31" t="s">
        <v>91</v>
      </c>
      <c r="P435" s="31" t="s">
        <v>149</v>
      </c>
      <c r="Q435" s="17" t="e">
        <f t="shared" si="12"/>
        <v>#VALUE!</v>
      </c>
      <c r="R435" s="32" t="e">
        <f t="array" ref="R435">IF(OR(AND(COUNTBLANK(Combo_Opponent_Type_1)=1,COUNTBLANK(Combo_Opponent_Type_2)=0),AND(AND(COUNTBLANK(Combo_Opponent_Type_1)=0,COUNTBLANK(Combo_Opponent_Type_2)=0),Combo_Opponent_Type_1=Combo_Opponent_Type_2)),
"Check Types",($S435*INDEX(Species_Tankiness,MATCH($N435,Species_Names,0)))/225)</f>
        <v>#VALUE!</v>
      </c>
      <c r="S435" s="32" t="e">
        <f t="array" ref="S435">IF(OR(AND(COUNTBLANK(Combo_Opponent_Type_1)=1,COUNTBLANK(Combo_Opponent_Type_2)=0),AND(AND(COUNTBLANK(Combo_Opponent_Type_1)=0,COUNTBLANK(Combo_Opponent_Type_2)=0),Combo_Opponent_Type_1=Combo_Opponent_Type_2)),
"Check Types",(
IF($W435&gt;=((1-Game_Weave_Human_Error)*$X435),$W435,$X435)*INDEX(Species_Attack,MATCH($N435,Species_Names,0)))/11)</f>
        <v>#VALUE!</v>
      </c>
      <c r="T435" s="33" t="e">
        <f t="shared" si="13"/>
        <v>#VALUE!</v>
      </c>
      <c r="U435" s="33">
        <f t="array" ref="U4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435,Quick_Names,0))),Type_Species)),0),1)*IF(COUNTBLANK(Combo_Opponent_Type_2)=0,INDEX(Type_Damage_Multipliers,MATCH(Combo_Opponent_Type_2,IF(Type_Move=(INDEX(Quick_Type,MATCH($O435,Quick_Names,0))),Type_Species)),0),1)*(IF(OR(INDEX(Quick_Type,MATCH($O435,Quick_Names,0))=INDEX(Species_Type_1,MATCH($N435,Species_Names,0)),INDEX(Quick_Type,MATCH($O435,Quick_Names,0))=INDEX(Species_Type_2,MATCH($N435,Species_Names,0))),Game_STAB_Multiplier,1)))</f>
        <v>1</v>
      </c>
      <c r="V435" s="33">
        <f t="array" ref="V4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435,Charge_Names,0))),Type_Species)),0),1)*IF(COUNTBLANK(Combo_Opponent_Type_2)=0,INDEX(Type_Damage_Multipliers,MATCH(Combo_Opponent_Type_2,IF(Type_Move=(INDEX(Charge_Type,MATCH($P435,Charge_Names,0))),Type_Species)),0),1)*
IF(OR(INDEX(Charge_Type,MATCH($P435,Charge_Names,0))=INDEX(Species_Type_1,MATCH($N435,Species_Names,0)),INDEX(Charge_Type,MATCH($P435,Charge_Names,0))=INDEX(Species_Type_2,MATCH($N435,Species_Names,0))),Game_STAB_Multiplier,1))</f>
        <v>1.25</v>
      </c>
      <c r="W435" s="33" t="s">
        <v>658</v>
      </c>
      <c r="X435" s="33" t="s">
        <v>931</v>
      </c>
      <c r="Y435" s="32" t="e">
        <f t="array" ref="Y435">((($Z435)*
INDEX(Species_Attack,MATCH($N435,Species_Names,0))*
INDEX(Species_Tankiness,MATCH($N435,Species_Names,0)))/1000)</f>
        <v>#VALUE!</v>
      </c>
      <c r="Z435" s="33" t="s">
        <v>662</v>
      </c>
    </row>
    <row r="436" spans="1:26" ht="14.25" customHeight="1" x14ac:dyDescent="0.2">
      <c r="A436" s="86"/>
      <c r="B436" s="22" t="str">
        <f t="array" ref="B436">CONCATENATE(TEXT($M436,"000"),".",TEXT(INDEX(Quick_Number,MATCH($O436,Quick_Names,0)),"000"),".",TEXT(INDEX(Charge_Number,MATCH($P436,Charge_Names,0)),"000"))</f>
        <v>083.200.045</v>
      </c>
      <c r="C436" s="23" t="e">
        <f t="array" ref="C436">RANK($S436,IF(Combo_Species_Names=$N436,Combo_Gym_Offense),0)</f>
        <v>#VALUE!</v>
      </c>
      <c r="D436" s="24" t="e">
        <f t="array" ref="D436">$S436/MAX(IF(Combo_Species_Names=$N436,Combo_Gym_Offense))</f>
        <v>#VALUE!</v>
      </c>
      <c r="E436" s="23" t="e">
        <f t="array" ref="E436">RANK($Y436,IF(Combo_Species_Names=$N436,Combo_Gym_Defense),0)</f>
        <v>#VALUE!</v>
      </c>
      <c r="F436" s="25" t="e">
        <f t="array" ref="F436">$Y436/MAX(IF(Combo_Species_Names=$N436,Combo_Gym_Defense))</f>
        <v>#VALUE!</v>
      </c>
      <c r="G436" s="23" t="e">
        <f t="array" ref="G436">IF(OR(INDEX(Species_Availability,MATCH($N436,Species_Names,0))="No",INDEX(Species_Evo_Numbers,MATCH($N436,Species_Names,0))&lt;&gt;1),"N/A",RANK($R436,IF(NOT(ISNA(MATCH(Combo_Species_Names,IF(Species_Availability="Yes",IF(Species_Evo_Numbers=1,Species_Names)),0))),Combo_Duel_Ability),0))</f>
        <v>#VALUE!</v>
      </c>
      <c r="H436" s="24" t="e">
        <f t="array" ref="H436">IF(OR(INDEX(Species_Availability,MATCH($N436,Species_Names,0))="No",INDEX(Species_Evo_Numbers,MATCH($N436,Species_Names,0))&lt;&gt;1),"N/A",$R436/MAX(IF(NOT(ISNA(MATCH(Combo_Species_Names,IF(Species_Availability="Yes",IF(Species_Evo_Numbers=1,Species_Names)),0))),Combo_Duel_Ability)))</f>
        <v>#VALUE!</v>
      </c>
      <c r="I436" s="23" t="e">
        <f t="array" ref="I436">IF(OR(INDEX(Species_Availability,MATCH($N436,Species_Names,0))="No",INDEX(Species_Evo_Numbers,MATCH($N436,Species_Names,0))&lt;&gt;1),"N/A",RANK($S436,IF(NOT(ISNA(MATCH(Combo_Species_Names,IF(Species_Availability="Yes",IF(Species_Evo_Numbers=1,Species_Names)),0))),Combo_Gym_Offense),0))</f>
        <v>#VALUE!</v>
      </c>
      <c r="J436" s="24" t="e">
        <f t="array" ref="J436">IF(OR(INDEX(Species_Availability,MATCH($N436,Species_Names,0))="No",INDEX(Species_Evo_Numbers,MATCH($N436,Species_Names,0))&lt;&gt;1),"N/A",$S436/MAX(IF(NOT(ISNA(MATCH(Combo_Species_Names,IF(Species_Availability="Yes",IF(Species_Evo_Numbers=1,Species_Names)),0))),Combo_Gym_Offense)))</f>
        <v>#VALUE!</v>
      </c>
      <c r="K436" s="23" t="e">
        <f t="array" ref="K436">IF(OR(INDEX(Species_Availability,MATCH($N436,Species_Names,0))="No",INDEX(Species_Evo_Numbers,MATCH($N436,Species_Names,0))&lt;&gt;1),"N/A",RANK($Y436,IF(NOT(ISNA(MATCH(Combo_Species_Names,IF(Species_Availability="Yes",IF(Species_Evo_Numbers=1,Species_Names)),0))),Combo_Gym_Defense),0))</f>
        <v>#VALUE!</v>
      </c>
      <c r="L436" s="24" t="e">
        <f t="array" ref="L436">IF(OR(INDEX(Species_Availability,MATCH($N436,Species_Names,0))="No",INDEX(Species_Evo_Numbers,MATCH($N436,Species_Names,0))&lt;&gt;1),"N/A",$Y436/MAX(IF(NOT(ISNA(MATCH(Combo_Species_Names,IF(Species_Availability="Yes",IF(Species_Evo_Numbers=1,Species_Names)),0))),Combo_Gym_Defense)))</f>
        <v>#VALUE!</v>
      </c>
      <c r="M436" s="28">
        <f t="array" ref="M436">INDEX(Species_Pdex_Numbers,MATCH($N436,Species_Names,0))</f>
        <v>83</v>
      </c>
      <c r="N436" s="30" t="s">
        <v>259</v>
      </c>
      <c r="O436" s="31" t="s">
        <v>121</v>
      </c>
      <c r="P436" s="31" t="s">
        <v>287</v>
      </c>
      <c r="Q436" s="17" t="e">
        <f t="shared" si="12"/>
        <v>#VALUE!</v>
      </c>
      <c r="R436" s="32" t="e">
        <f t="array" ref="R436">IF(OR(AND(COUNTBLANK(Combo_Opponent_Type_1)=1,COUNTBLANK(Combo_Opponent_Type_2)=0),AND(AND(COUNTBLANK(Combo_Opponent_Type_1)=0,COUNTBLANK(Combo_Opponent_Type_2)=0),Combo_Opponent_Type_1=Combo_Opponent_Type_2)),
"Check Types",($S436*INDEX(Species_Tankiness,MATCH($N436,Species_Names,0)))/225)</f>
        <v>#VALUE!</v>
      </c>
      <c r="S436" s="32" t="e">
        <f t="array" ref="S436">IF(OR(AND(COUNTBLANK(Combo_Opponent_Type_1)=1,COUNTBLANK(Combo_Opponent_Type_2)=0),AND(AND(COUNTBLANK(Combo_Opponent_Type_1)=0,COUNTBLANK(Combo_Opponent_Type_2)=0),Combo_Opponent_Type_1=Combo_Opponent_Type_2)),
"Check Types",(
IF($W436&gt;=((1-Game_Weave_Human_Error)*$X436),$W436,$X436)*INDEX(Species_Attack,MATCH($N436,Species_Names,0)))/11)</f>
        <v>#VALUE!</v>
      </c>
      <c r="T436" s="33" t="e">
        <f t="shared" si="13"/>
        <v>#VALUE!</v>
      </c>
      <c r="U436" s="33">
        <f t="array" ref="U4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436,Quick_Names,0))),Type_Species)),0),1)*IF(COUNTBLANK(Combo_Opponent_Type_2)=0,INDEX(Type_Damage_Multipliers,MATCH(Combo_Opponent_Type_2,IF(Type_Move=(INDEX(Quick_Type,MATCH($O436,Quick_Names,0))),Type_Species)),0),1)*(IF(OR(INDEX(Quick_Type,MATCH($O436,Quick_Names,0))=INDEX(Species_Type_1,MATCH($N436,Species_Names,0)),INDEX(Quick_Type,MATCH($O436,Quick_Names,0))=INDEX(Species_Type_2,MATCH($N436,Species_Names,0))),Game_STAB_Multiplier,1)))</f>
        <v>1</v>
      </c>
      <c r="V436" s="33">
        <f t="array" ref="V4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436,Charge_Names,0))),Type_Species)),0),1)*IF(COUNTBLANK(Combo_Opponent_Type_2)=0,INDEX(Type_Damage_Multipliers,MATCH(Combo_Opponent_Type_2,IF(Type_Move=(INDEX(Charge_Type,MATCH($P436,Charge_Names,0))),Type_Species)),0),1)*
IF(OR(INDEX(Charge_Type,MATCH($P436,Charge_Names,0))=INDEX(Species_Type_1,MATCH($N436,Species_Names,0)),INDEX(Charge_Type,MATCH($P436,Charge_Names,0))=INDEX(Species_Type_2,MATCH($N436,Species_Names,0))),Game_STAB_Multiplier,1))</f>
        <v>1.25</v>
      </c>
      <c r="W436" s="33" t="s">
        <v>600</v>
      </c>
      <c r="X436" s="33" t="s">
        <v>932</v>
      </c>
      <c r="Y436" s="32" t="e">
        <f t="array" ref="Y436">((($Z436)*
INDEX(Species_Attack,MATCH($N436,Species_Names,0))*
INDEX(Species_Tankiness,MATCH($N436,Species_Names,0)))/1000)</f>
        <v>#VALUE!</v>
      </c>
      <c r="Z436" s="33" t="s">
        <v>933</v>
      </c>
    </row>
    <row r="437" spans="1:26" ht="14.25" customHeight="1" x14ac:dyDescent="0.2">
      <c r="A437" s="86"/>
      <c r="B437" s="22" t="str">
        <f t="array" ref="B437">CONCATENATE(TEXT($M437,"000"),".",TEXT(INDEX(Quick_Number,MATCH($O437,Quick_Names,0)),"000"),".",TEXT(INDEX(Charge_Number,MATCH($P437,Charge_Names,0)),"000"))</f>
        <v>083.200.121</v>
      </c>
      <c r="C437" s="23" t="e">
        <f t="array" ref="C437">RANK($S437,IF(Combo_Species_Names=$N437,Combo_Gym_Offense),0)</f>
        <v>#VALUE!</v>
      </c>
      <c r="D437" s="24" t="e">
        <f t="array" ref="D437">$S437/MAX(IF(Combo_Species_Names=$N437,Combo_Gym_Offense))</f>
        <v>#VALUE!</v>
      </c>
      <c r="E437" s="23" t="e">
        <f t="array" ref="E437">RANK($Y437,IF(Combo_Species_Names=$N437,Combo_Gym_Defense),0)</f>
        <v>#VALUE!</v>
      </c>
      <c r="F437" s="25" t="e">
        <f t="array" ref="F437">$Y437/MAX(IF(Combo_Species_Names=$N437,Combo_Gym_Defense))</f>
        <v>#VALUE!</v>
      </c>
      <c r="G437" s="23" t="e">
        <f t="array" ref="G437">IF(OR(INDEX(Species_Availability,MATCH($N437,Species_Names,0))="No",INDEX(Species_Evo_Numbers,MATCH($N437,Species_Names,0))&lt;&gt;1),"N/A",RANK($R437,IF(NOT(ISNA(MATCH(Combo_Species_Names,IF(Species_Availability="Yes",IF(Species_Evo_Numbers=1,Species_Names)),0))),Combo_Duel_Ability),0))</f>
        <v>#VALUE!</v>
      </c>
      <c r="H437" s="24" t="e">
        <f t="array" ref="H437">IF(OR(INDEX(Species_Availability,MATCH($N437,Species_Names,0))="No",INDEX(Species_Evo_Numbers,MATCH($N437,Species_Names,0))&lt;&gt;1),"N/A",$R437/MAX(IF(NOT(ISNA(MATCH(Combo_Species_Names,IF(Species_Availability="Yes",IF(Species_Evo_Numbers=1,Species_Names)),0))),Combo_Duel_Ability)))</f>
        <v>#VALUE!</v>
      </c>
      <c r="I437" s="23" t="e">
        <f t="array" ref="I437">IF(OR(INDEX(Species_Availability,MATCH($N437,Species_Names,0))="No",INDEX(Species_Evo_Numbers,MATCH($N437,Species_Names,0))&lt;&gt;1),"N/A",RANK($S437,IF(NOT(ISNA(MATCH(Combo_Species_Names,IF(Species_Availability="Yes",IF(Species_Evo_Numbers=1,Species_Names)),0))),Combo_Gym_Offense),0))</f>
        <v>#VALUE!</v>
      </c>
      <c r="J437" s="24" t="e">
        <f t="array" ref="J437">IF(OR(INDEX(Species_Availability,MATCH($N437,Species_Names,0))="No",INDEX(Species_Evo_Numbers,MATCH($N437,Species_Names,0))&lt;&gt;1),"N/A",$S437/MAX(IF(NOT(ISNA(MATCH(Combo_Species_Names,IF(Species_Availability="Yes",IF(Species_Evo_Numbers=1,Species_Names)),0))),Combo_Gym_Offense)))</f>
        <v>#VALUE!</v>
      </c>
      <c r="K437" s="23" t="e">
        <f t="array" ref="K437">IF(OR(INDEX(Species_Availability,MATCH($N437,Species_Names,0))="No",INDEX(Species_Evo_Numbers,MATCH($N437,Species_Names,0))&lt;&gt;1),"N/A",RANK($Y437,IF(NOT(ISNA(MATCH(Combo_Species_Names,IF(Species_Availability="Yes",IF(Species_Evo_Numbers=1,Species_Names)),0))),Combo_Gym_Defense),0))</f>
        <v>#VALUE!</v>
      </c>
      <c r="L437" s="24" t="e">
        <f t="array" ref="L437">IF(OR(INDEX(Species_Availability,MATCH($N437,Species_Names,0))="No",INDEX(Species_Evo_Numbers,MATCH($N437,Species_Names,0))&lt;&gt;1),"N/A",$Y437/MAX(IF(NOT(ISNA(MATCH(Combo_Species_Names,IF(Species_Availability="Yes",IF(Species_Evo_Numbers=1,Species_Names)),0))),Combo_Gym_Defense)))</f>
        <v>#VALUE!</v>
      </c>
      <c r="M437" s="28">
        <f t="array" ref="M437">INDEX(Species_Pdex_Numbers,MATCH($N437,Species_Names,0))</f>
        <v>83</v>
      </c>
      <c r="N437" s="30" t="s">
        <v>259</v>
      </c>
      <c r="O437" s="31" t="s">
        <v>121</v>
      </c>
      <c r="P437" s="31" t="s">
        <v>294</v>
      </c>
      <c r="Q437" s="17" t="e">
        <f t="shared" si="12"/>
        <v>#VALUE!</v>
      </c>
      <c r="R437" s="32" t="e">
        <f t="array" ref="R437">IF(OR(AND(COUNTBLANK(Combo_Opponent_Type_1)=1,COUNTBLANK(Combo_Opponent_Type_2)=0),AND(AND(COUNTBLANK(Combo_Opponent_Type_1)=0,COUNTBLANK(Combo_Opponent_Type_2)=0),Combo_Opponent_Type_1=Combo_Opponent_Type_2)),
"Check Types",($S437*INDEX(Species_Tankiness,MATCH($N437,Species_Names,0)))/225)</f>
        <v>#VALUE!</v>
      </c>
      <c r="S437" s="32" t="e">
        <f t="array" ref="S437">IF(OR(AND(COUNTBLANK(Combo_Opponent_Type_1)=1,COUNTBLANK(Combo_Opponent_Type_2)=0),AND(AND(COUNTBLANK(Combo_Opponent_Type_1)=0,COUNTBLANK(Combo_Opponent_Type_2)=0),Combo_Opponent_Type_1=Combo_Opponent_Type_2)),
"Check Types",(
IF($W437&gt;=((1-Game_Weave_Human_Error)*$X437),$W437,$X437)*INDEX(Species_Attack,MATCH($N437,Species_Names,0)))/11)</f>
        <v>#VALUE!</v>
      </c>
      <c r="T437" s="33" t="e">
        <f t="shared" si="13"/>
        <v>#VALUE!</v>
      </c>
      <c r="U437" s="33">
        <f t="array" ref="U4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437,Quick_Names,0))),Type_Species)),0),1)*IF(COUNTBLANK(Combo_Opponent_Type_2)=0,INDEX(Type_Damage_Multipliers,MATCH(Combo_Opponent_Type_2,IF(Type_Move=(INDEX(Quick_Type,MATCH($O437,Quick_Names,0))),Type_Species)),0),1)*(IF(OR(INDEX(Quick_Type,MATCH($O437,Quick_Names,0))=INDEX(Species_Type_1,MATCH($N437,Species_Names,0)),INDEX(Quick_Type,MATCH($O437,Quick_Names,0))=INDEX(Species_Type_2,MATCH($N437,Species_Names,0))),Game_STAB_Multiplier,1)))</f>
        <v>1</v>
      </c>
      <c r="V437" s="33">
        <f t="array" ref="V4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437,Charge_Names,0))),Type_Species)),0),1)*IF(COUNTBLANK(Combo_Opponent_Type_2)=0,INDEX(Type_Damage_Multipliers,MATCH(Combo_Opponent_Type_2,IF(Type_Move=(INDEX(Charge_Type,MATCH($P437,Charge_Names,0))),Type_Species)),0),1)*
IF(OR(INDEX(Charge_Type,MATCH($P437,Charge_Names,0))=INDEX(Species_Type_1,MATCH($N437,Species_Names,0)),INDEX(Charge_Type,MATCH($P437,Charge_Names,0))=INDEX(Species_Type_2,MATCH($N437,Species_Names,0))),Game_STAB_Multiplier,1))</f>
        <v>1.25</v>
      </c>
      <c r="W437" s="33" t="s">
        <v>600</v>
      </c>
      <c r="X437" s="33" t="s">
        <v>934</v>
      </c>
      <c r="Y437" s="32" t="e">
        <f t="array" ref="Y437">((($Z437)*
INDEX(Species_Attack,MATCH($N437,Species_Names,0))*
INDEX(Species_Tankiness,MATCH($N437,Species_Names,0)))/1000)</f>
        <v>#VALUE!</v>
      </c>
      <c r="Z437" s="33" t="s">
        <v>935</v>
      </c>
    </row>
    <row r="438" spans="1:26" ht="14.25" customHeight="1" x14ac:dyDescent="0.2">
      <c r="A438" s="86"/>
      <c r="B438" s="22" t="str">
        <f t="array" ref="B438">CONCATENATE(TEXT($M438,"000"),".",TEXT(INDEX(Quick_Number,MATCH($O438,Quick_Names,0)),"000"),".",TEXT(INDEX(Charge_Number,MATCH($P438,Charge_Names,0)),"000"))</f>
        <v>051.203.096</v>
      </c>
      <c r="C438" s="23" t="e">
        <f t="array" ref="C438">RANK($S438,IF(Combo_Species_Names=$N438,Combo_Gym_Offense),0)</f>
        <v>#VALUE!</v>
      </c>
      <c r="D438" s="24" t="e">
        <f t="array" ref="D438">$S438/MAX(IF(Combo_Species_Names=$N438,Combo_Gym_Offense))</f>
        <v>#VALUE!</v>
      </c>
      <c r="E438" s="23" t="e">
        <f t="array" ref="E438">RANK($Y438,IF(Combo_Species_Names=$N438,Combo_Gym_Defense),0)</f>
        <v>#VALUE!</v>
      </c>
      <c r="F438" s="25" t="e">
        <f t="array" ref="F438">$Y438/MAX(IF(Combo_Species_Names=$N438,Combo_Gym_Defense))</f>
        <v>#VALUE!</v>
      </c>
      <c r="G438" s="23" t="e">
        <f t="array" ref="G438">IF(OR(INDEX(Species_Availability,MATCH($N438,Species_Names,0))="No",INDEX(Species_Evo_Numbers,MATCH($N438,Species_Names,0))&lt;&gt;1),"N/A",RANK($R438,IF(NOT(ISNA(MATCH(Combo_Species_Names,IF(Species_Availability="Yes",IF(Species_Evo_Numbers=1,Species_Names)),0))),Combo_Duel_Ability),0))</f>
        <v>#VALUE!</v>
      </c>
      <c r="H438" s="24" t="e">
        <f t="array" ref="H438">IF(OR(INDEX(Species_Availability,MATCH($N438,Species_Names,0))="No",INDEX(Species_Evo_Numbers,MATCH($N438,Species_Names,0))&lt;&gt;1),"N/A",$R438/MAX(IF(NOT(ISNA(MATCH(Combo_Species_Names,IF(Species_Availability="Yes",IF(Species_Evo_Numbers=1,Species_Names)),0))),Combo_Duel_Ability)))</f>
        <v>#VALUE!</v>
      </c>
      <c r="I438" s="23" t="e">
        <f t="array" ref="I438">IF(OR(INDEX(Species_Availability,MATCH($N438,Species_Names,0))="No",INDEX(Species_Evo_Numbers,MATCH($N438,Species_Names,0))&lt;&gt;1),"N/A",RANK($S438,IF(NOT(ISNA(MATCH(Combo_Species_Names,IF(Species_Availability="Yes",IF(Species_Evo_Numbers=1,Species_Names)),0))),Combo_Gym_Offense),0))</f>
        <v>#VALUE!</v>
      </c>
      <c r="J438" s="24" t="e">
        <f t="array" ref="J438">IF(OR(INDEX(Species_Availability,MATCH($N438,Species_Names,0))="No",INDEX(Species_Evo_Numbers,MATCH($N438,Species_Names,0))&lt;&gt;1),"N/A",$S438/MAX(IF(NOT(ISNA(MATCH(Combo_Species_Names,IF(Species_Availability="Yes",IF(Species_Evo_Numbers=1,Species_Names)),0))),Combo_Gym_Offense)))</f>
        <v>#VALUE!</v>
      </c>
      <c r="K438" s="23" t="e">
        <f t="array" ref="K438">IF(OR(INDEX(Species_Availability,MATCH($N438,Species_Names,0))="No",INDEX(Species_Evo_Numbers,MATCH($N438,Species_Names,0))&lt;&gt;1),"N/A",RANK($Y438,IF(NOT(ISNA(MATCH(Combo_Species_Names,IF(Species_Availability="Yes",IF(Species_Evo_Numbers=1,Species_Names)),0))),Combo_Gym_Defense),0))</f>
        <v>#VALUE!</v>
      </c>
      <c r="L438" s="24" t="e">
        <f t="array" ref="L438">IF(OR(INDEX(Species_Availability,MATCH($N438,Species_Names,0))="No",INDEX(Species_Evo_Numbers,MATCH($N438,Species_Names,0))&lt;&gt;1),"N/A",$Y438/MAX(IF(NOT(ISNA(MATCH(Combo_Species_Names,IF(Species_Availability="Yes",IF(Species_Evo_Numbers=1,Species_Names)),0))),Combo_Gym_Defense)))</f>
        <v>#VALUE!</v>
      </c>
      <c r="M438" s="28">
        <f t="array" ref="M438">INDEX(Species_Pdex_Numbers,MATCH($N438,Species_Names,0))</f>
        <v>51</v>
      </c>
      <c r="N438" s="30" t="s">
        <v>193</v>
      </c>
      <c r="O438" s="31" t="s">
        <v>103</v>
      </c>
      <c r="P438" s="31" t="s">
        <v>271</v>
      </c>
      <c r="Q438" s="17" t="e">
        <f t="shared" si="12"/>
        <v>#VALUE!</v>
      </c>
      <c r="R438" s="32" t="e">
        <f t="array" ref="R438">IF(OR(AND(COUNTBLANK(Combo_Opponent_Type_1)=1,COUNTBLANK(Combo_Opponent_Type_2)=0),AND(AND(COUNTBLANK(Combo_Opponent_Type_1)=0,COUNTBLANK(Combo_Opponent_Type_2)=0),Combo_Opponent_Type_1=Combo_Opponent_Type_2)),
"Check Types",($S438*INDEX(Species_Tankiness,MATCH($N438,Species_Names,0)))/225)</f>
        <v>#VALUE!</v>
      </c>
      <c r="S438" s="32" t="e">
        <f t="array" ref="S438">IF(OR(AND(COUNTBLANK(Combo_Opponent_Type_1)=1,COUNTBLANK(Combo_Opponent_Type_2)=0),AND(AND(COUNTBLANK(Combo_Opponent_Type_1)=0,COUNTBLANK(Combo_Opponent_Type_2)=0),Combo_Opponent_Type_1=Combo_Opponent_Type_2)),
"Check Types",(
IF($W438&gt;=((1-Game_Weave_Human_Error)*$X438),$W438,$X438)*INDEX(Species_Attack,MATCH($N438,Species_Names,0)))/11)</f>
        <v>#VALUE!</v>
      </c>
      <c r="T438" s="33" t="e">
        <f t="shared" si="13"/>
        <v>#VALUE!</v>
      </c>
      <c r="U438" s="33">
        <f t="array" ref="U4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438,Quick_Names,0))),Type_Species)),0),1)*IF(COUNTBLANK(Combo_Opponent_Type_2)=0,INDEX(Type_Damage_Multipliers,MATCH(Combo_Opponent_Type_2,IF(Type_Move=(INDEX(Quick_Type,MATCH($O438,Quick_Names,0))),Type_Species)),0),1)*(IF(OR(INDEX(Quick_Type,MATCH($O438,Quick_Names,0))=INDEX(Species_Type_1,MATCH($N438,Species_Names,0)),INDEX(Quick_Type,MATCH($O438,Quick_Names,0))=INDEX(Species_Type_2,MATCH($N438,Species_Names,0))),Game_STAB_Multiplier,1)))</f>
        <v>1</v>
      </c>
      <c r="V438" s="33">
        <f t="array" ref="V4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438,Charge_Names,0))),Type_Species)),0),1)*IF(COUNTBLANK(Combo_Opponent_Type_2)=0,INDEX(Type_Damage_Multipliers,MATCH(Combo_Opponent_Type_2,IF(Type_Move=(INDEX(Charge_Type,MATCH($P438,Charge_Names,0))),Type_Species)),0),1)*
IF(OR(INDEX(Charge_Type,MATCH($P438,Charge_Names,0))=INDEX(Species_Type_1,MATCH($N438,Species_Names,0)),INDEX(Charge_Type,MATCH($P438,Charge_Names,0))=INDEX(Species_Type_2,MATCH($N438,Species_Names,0))),Game_STAB_Multiplier,1))</f>
        <v>1.25</v>
      </c>
      <c r="W438" s="33" t="s">
        <v>758</v>
      </c>
      <c r="X438" s="33" t="s">
        <v>936</v>
      </c>
      <c r="Y438" s="32" t="e">
        <f t="array" ref="Y438">((($Z438)*
INDEX(Species_Attack,MATCH($N438,Species_Names,0))*
INDEX(Species_Tankiness,MATCH($N438,Species_Names,0)))/1000)</f>
        <v>#VALUE!</v>
      </c>
      <c r="Z438" s="33" t="s">
        <v>789</v>
      </c>
    </row>
    <row r="439" spans="1:26" ht="14.25" customHeight="1" x14ac:dyDescent="0.2">
      <c r="A439" s="86"/>
      <c r="B439" s="22" t="str">
        <f t="array" ref="B439">CONCATENATE(TEXT($M439,"000"),".",TEXT(INDEX(Quick_Number,MATCH($O439,Quick_Names,0)),"000"),".",TEXT(INDEX(Charge_Number,MATCH($P439,Charge_Names,0)),"000"))</f>
        <v>095.227.064</v>
      </c>
      <c r="C439" s="23" t="e">
        <f t="array" ref="C439">RANK($S439,IF(Combo_Species_Names=$N439,Combo_Gym_Offense),0)</f>
        <v>#VALUE!</v>
      </c>
      <c r="D439" s="24" t="e">
        <f t="array" ref="D439">$S439/MAX(IF(Combo_Species_Names=$N439,Combo_Gym_Offense))</f>
        <v>#VALUE!</v>
      </c>
      <c r="E439" s="23" t="e">
        <f t="array" ref="E439">RANK($Y439,IF(Combo_Species_Names=$N439,Combo_Gym_Defense),0)</f>
        <v>#VALUE!</v>
      </c>
      <c r="F439" s="25" t="e">
        <f t="array" ref="F439">$Y439/MAX(IF(Combo_Species_Names=$N439,Combo_Gym_Defense))</f>
        <v>#VALUE!</v>
      </c>
      <c r="G439" s="23" t="e">
        <f t="array" ref="G439">IF(OR(INDEX(Species_Availability,MATCH($N439,Species_Names,0))="No",INDEX(Species_Evo_Numbers,MATCH($N439,Species_Names,0))&lt;&gt;1),"N/A",RANK($R439,IF(NOT(ISNA(MATCH(Combo_Species_Names,IF(Species_Availability="Yes",IF(Species_Evo_Numbers=1,Species_Names)),0))),Combo_Duel_Ability),0))</f>
        <v>#VALUE!</v>
      </c>
      <c r="H439" s="24" t="e">
        <f t="array" ref="H439">IF(OR(INDEX(Species_Availability,MATCH($N439,Species_Names,0))="No",INDEX(Species_Evo_Numbers,MATCH($N439,Species_Names,0))&lt;&gt;1),"N/A",$R439/MAX(IF(NOT(ISNA(MATCH(Combo_Species_Names,IF(Species_Availability="Yes",IF(Species_Evo_Numbers=1,Species_Names)),0))),Combo_Duel_Ability)))</f>
        <v>#VALUE!</v>
      </c>
      <c r="I439" s="23" t="e">
        <f t="array" ref="I439">IF(OR(INDEX(Species_Availability,MATCH($N439,Species_Names,0))="No",INDEX(Species_Evo_Numbers,MATCH($N439,Species_Names,0))&lt;&gt;1),"N/A",RANK($S439,IF(NOT(ISNA(MATCH(Combo_Species_Names,IF(Species_Availability="Yes",IF(Species_Evo_Numbers=1,Species_Names)),0))),Combo_Gym_Offense),0))</f>
        <v>#VALUE!</v>
      </c>
      <c r="J439" s="24" t="e">
        <f t="array" ref="J439">IF(OR(INDEX(Species_Availability,MATCH($N439,Species_Names,0))="No",INDEX(Species_Evo_Numbers,MATCH($N439,Species_Names,0))&lt;&gt;1),"N/A",$S439/MAX(IF(NOT(ISNA(MATCH(Combo_Species_Names,IF(Species_Availability="Yes",IF(Species_Evo_Numbers=1,Species_Names)),0))),Combo_Gym_Offense)))</f>
        <v>#VALUE!</v>
      </c>
      <c r="K439" s="23" t="e">
        <f t="array" ref="K439">IF(OR(INDEX(Species_Availability,MATCH($N439,Species_Names,0))="No",INDEX(Species_Evo_Numbers,MATCH($N439,Species_Names,0))&lt;&gt;1),"N/A",RANK($Y439,IF(NOT(ISNA(MATCH(Combo_Species_Names,IF(Species_Availability="Yes",IF(Species_Evo_Numbers=1,Species_Names)),0))),Combo_Gym_Defense),0))</f>
        <v>#VALUE!</v>
      </c>
      <c r="L439" s="24" t="e">
        <f t="array" ref="L439">IF(OR(INDEX(Species_Availability,MATCH($N439,Species_Names,0))="No",INDEX(Species_Evo_Numbers,MATCH($N439,Species_Names,0))&lt;&gt;1),"N/A",$Y439/MAX(IF(NOT(ISNA(MATCH(Combo_Species_Names,IF(Species_Availability="Yes",IF(Species_Evo_Numbers=1,Species_Names)),0))),Combo_Gym_Defense)))</f>
        <v>#VALUE!</v>
      </c>
      <c r="M439" s="28">
        <f t="array" ref="M439">INDEX(Species_Pdex_Numbers,MATCH($N439,Species_Names,0))</f>
        <v>95</v>
      </c>
      <c r="N439" s="30" t="s">
        <v>288</v>
      </c>
      <c r="O439" s="31" t="s">
        <v>112</v>
      </c>
      <c r="P439" s="31" t="s">
        <v>222</v>
      </c>
      <c r="Q439" s="17" t="e">
        <f t="shared" si="12"/>
        <v>#VALUE!</v>
      </c>
      <c r="R439" s="32" t="e">
        <f t="array" ref="R439">IF(OR(AND(COUNTBLANK(Combo_Opponent_Type_1)=1,COUNTBLANK(Combo_Opponent_Type_2)=0),AND(AND(COUNTBLANK(Combo_Opponent_Type_1)=0,COUNTBLANK(Combo_Opponent_Type_2)=0),Combo_Opponent_Type_1=Combo_Opponent_Type_2)),
"Check Types",($S439*INDEX(Species_Tankiness,MATCH($N439,Species_Names,0)))/225)</f>
        <v>#VALUE!</v>
      </c>
      <c r="S439" s="32" t="e">
        <f t="array" ref="S439">IF(OR(AND(COUNTBLANK(Combo_Opponent_Type_1)=1,COUNTBLANK(Combo_Opponent_Type_2)=0),AND(AND(COUNTBLANK(Combo_Opponent_Type_1)=0,COUNTBLANK(Combo_Opponent_Type_2)=0),Combo_Opponent_Type_1=Combo_Opponent_Type_2)),
"Check Types",(
IF($W439&gt;=((1-Game_Weave_Human_Error)*$X439),$W439,$X439)*INDEX(Species_Attack,MATCH($N439,Species_Names,0)))/11)</f>
        <v>#VALUE!</v>
      </c>
      <c r="T439" s="33" t="e">
        <f t="shared" si="13"/>
        <v>#VALUE!</v>
      </c>
      <c r="U439" s="33">
        <f t="array" ref="U4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439,Quick_Names,0))),Type_Species)),0),1)*IF(COUNTBLANK(Combo_Opponent_Type_2)=0,INDEX(Type_Damage_Multipliers,MATCH(Combo_Opponent_Type_2,IF(Type_Move=(INDEX(Quick_Type,MATCH($O439,Quick_Names,0))),Type_Species)),0),1)*(IF(OR(INDEX(Quick_Type,MATCH($O439,Quick_Names,0))=INDEX(Species_Type_1,MATCH($N439,Species_Names,0)),INDEX(Quick_Type,MATCH($O439,Quick_Names,0))=INDEX(Species_Type_2,MATCH($N439,Species_Names,0))),Game_STAB_Multiplier,1)))</f>
        <v>1.25</v>
      </c>
      <c r="V439" s="33">
        <f t="array" ref="V4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439,Charge_Names,0))),Type_Species)),0),1)*IF(COUNTBLANK(Combo_Opponent_Type_2)=0,INDEX(Type_Damage_Multipliers,MATCH(Combo_Opponent_Type_2,IF(Type_Move=(INDEX(Charge_Type,MATCH($P439,Charge_Names,0))),Type_Species)),0),1)*
IF(OR(INDEX(Charge_Type,MATCH($P439,Charge_Names,0))=INDEX(Species_Type_1,MATCH($N439,Species_Names,0)),INDEX(Charge_Type,MATCH($P439,Charge_Names,0))=INDEX(Species_Type_2,MATCH($N439,Species_Names,0))),Game_STAB_Multiplier,1))</f>
        <v>1.25</v>
      </c>
      <c r="W439" s="33" t="s">
        <v>548</v>
      </c>
      <c r="X439" s="33" t="s">
        <v>674</v>
      </c>
      <c r="Y439" s="32" t="e">
        <f t="array" ref="Y439">((($Z439)*
INDEX(Species_Attack,MATCH($N439,Species_Names,0))*
INDEX(Species_Tankiness,MATCH($N439,Species_Names,0)))/1000)</f>
        <v>#VALUE!</v>
      </c>
      <c r="Z439" s="33" t="s">
        <v>587</v>
      </c>
    </row>
    <row r="440" spans="1:26" ht="14.25" customHeight="1" x14ac:dyDescent="0.2">
      <c r="A440" s="86"/>
      <c r="B440" s="22" t="str">
        <f t="array" ref="B440">CONCATENATE(TEXT($M440,"000"),".",TEXT(INDEX(Quick_Number,MATCH($O440,Quick_Names,0)),"000"),".",TEXT(INDEX(Charge_Number,MATCH($P440,Charge_Names,0)),"000"))</f>
        <v>095.221.064</v>
      </c>
      <c r="C440" s="23" t="e">
        <f t="array" ref="C440">RANK($S440,IF(Combo_Species_Names=$N440,Combo_Gym_Offense),0)</f>
        <v>#VALUE!</v>
      </c>
      <c r="D440" s="24" t="e">
        <f t="array" ref="D440">$S440/MAX(IF(Combo_Species_Names=$N440,Combo_Gym_Offense))</f>
        <v>#VALUE!</v>
      </c>
      <c r="E440" s="23" t="e">
        <f t="array" ref="E440">RANK($Y440,IF(Combo_Species_Names=$N440,Combo_Gym_Defense),0)</f>
        <v>#VALUE!</v>
      </c>
      <c r="F440" s="25" t="e">
        <f t="array" ref="F440">$Y440/MAX(IF(Combo_Species_Names=$N440,Combo_Gym_Defense))</f>
        <v>#VALUE!</v>
      </c>
      <c r="G440" s="23" t="e">
        <f t="array" ref="G440">IF(OR(INDEX(Species_Availability,MATCH($N440,Species_Names,0))="No",INDEX(Species_Evo_Numbers,MATCH($N440,Species_Names,0))&lt;&gt;1),"N/A",RANK($R440,IF(NOT(ISNA(MATCH(Combo_Species_Names,IF(Species_Availability="Yes",IF(Species_Evo_Numbers=1,Species_Names)),0))),Combo_Duel_Ability),0))</f>
        <v>#VALUE!</v>
      </c>
      <c r="H440" s="24" t="e">
        <f t="array" ref="H440">IF(OR(INDEX(Species_Availability,MATCH($N440,Species_Names,0))="No",INDEX(Species_Evo_Numbers,MATCH($N440,Species_Names,0))&lt;&gt;1),"N/A",$R440/MAX(IF(NOT(ISNA(MATCH(Combo_Species_Names,IF(Species_Availability="Yes",IF(Species_Evo_Numbers=1,Species_Names)),0))),Combo_Duel_Ability)))</f>
        <v>#VALUE!</v>
      </c>
      <c r="I440" s="23" t="e">
        <f t="array" ref="I440">IF(OR(INDEX(Species_Availability,MATCH($N440,Species_Names,0))="No",INDEX(Species_Evo_Numbers,MATCH($N440,Species_Names,0))&lt;&gt;1),"N/A",RANK($S440,IF(NOT(ISNA(MATCH(Combo_Species_Names,IF(Species_Availability="Yes",IF(Species_Evo_Numbers=1,Species_Names)),0))),Combo_Gym_Offense),0))</f>
        <v>#VALUE!</v>
      </c>
      <c r="J440" s="24" t="e">
        <f t="array" ref="J440">IF(OR(INDEX(Species_Availability,MATCH($N440,Species_Names,0))="No",INDEX(Species_Evo_Numbers,MATCH($N440,Species_Names,0))&lt;&gt;1),"N/A",$S440/MAX(IF(NOT(ISNA(MATCH(Combo_Species_Names,IF(Species_Availability="Yes",IF(Species_Evo_Numbers=1,Species_Names)),0))),Combo_Gym_Offense)))</f>
        <v>#VALUE!</v>
      </c>
      <c r="K440" s="23" t="e">
        <f t="array" ref="K440">IF(OR(INDEX(Species_Availability,MATCH($N440,Species_Names,0))="No",INDEX(Species_Evo_Numbers,MATCH($N440,Species_Names,0))&lt;&gt;1),"N/A",RANK($Y440,IF(NOT(ISNA(MATCH(Combo_Species_Names,IF(Species_Availability="Yes",IF(Species_Evo_Numbers=1,Species_Names)),0))),Combo_Gym_Defense),0))</f>
        <v>#VALUE!</v>
      </c>
      <c r="L440" s="24" t="e">
        <f t="array" ref="L440">IF(OR(INDEX(Species_Availability,MATCH($N440,Species_Names,0))="No",INDEX(Species_Evo_Numbers,MATCH($N440,Species_Names,0))&lt;&gt;1),"N/A",$Y440/MAX(IF(NOT(ISNA(MATCH(Combo_Species_Names,IF(Species_Availability="Yes",IF(Species_Evo_Numbers=1,Species_Names)),0))),Combo_Gym_Defense)))</f>
        <v>#VALUE!</v>
      </c>
      <c r="M440" s="28">
        <f t="array" ref="M440">INDEX(Species_Pdex_Numbers,MATCH($N440,Species_Names,0))</f>
        <v>95</v>
      </c>
      <c r="N440" s="30" t="s">
        <v>288</v>
      </c>
      <c r="O440" s="31" t="s">
        <v>91</v>
      </c>
      <c r="P440" s="31" t="s">
        <v>222</v>
      </c>
      <c r="Q440" s="17" t="e">
        <f t="shared" si="12"/>
        <v>#VALUE!</v>
      </c>
      <c r="R440" s="32" t="e">
        <f t="array" ref="R440">IF(OR(AND(COUNTBLANK(Combo_Opponent_Type_1)=1,COUNTBLANK(Combo_Opponent_Type_2)=0),AND(AND(COUNTBLANK(Combo_Opponent_Type_1)=0,COUNTBLANK(Combo_Opponent_Type_2)=0),Combo_Opponent_Type_1=Combo_Opponent_Type_2)),
"Check Types",($S440*INDEX(Species_Tankiness,MATCH($N440,Species_Names,0)))/225)</f>
        <v>#VALUE!</v>
      </c>
      <c r="S440" s="32" t="e">
        <f t="array" ref="S440">IF(OR(AND(COUNTBLANK(Combo_Opponent_Type_1)=1,COUNTBLANK(Combo_Opponent_Type_2)=0),AND(AND(COUNTBLANK(Combo_Opponent_Type_1)=0,COUNTBLANK(Combo_Opponent_Type_2)=0),Combo_Opponent_Type_1=Combo_Opponent_Type_2)),
"Check Types",(
IF($W440&gt;=((1-Game_Weave_Human_Error)*$X440),$W440,$X440)*INDEX(Species_Attack,MATCH($N440,Species_Names,0)))/11)</f>
        <v>#VALUE!</v>
      </c>
      <c r="T440" s="33" t="e">
        <f t="shared" si="13"/>
        <v>#VALUE!</v>
      </c>
      <c r="U440" s="33">
        <f t="array" ref="U4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440,Quick_Names,0))),Type_Species)),0),1)*IF(COUNTBLANK(Combo_Opponent_Type_2)=0,INDEX(Type_Damage_Multipliers,MATCH(Combo_Opponent_Type_2,IF(Type_Move=(INDEX(Quick_Type,MATCH($O440,Quick_Names,0))),Type_Species)),0),1)*(IF(OR(INDEX(Quick_Type,MATCH($O440,Quick_Names,0))=INDEX(Species_Type_1,MATCH($N440,Species_Names,0)),INDEX(Quick_Type,MATCH($O440,Quick_Names,0))=INDEX(Species_Type_2,MATCH($N440,Species_Names,0))),Game_STAB_Multiplier,1)))</f>
        <v>1</v>
      </c>
      <c r="V440" s="33">
        <f t="array" ref="V4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440,Charge_Names,0))),Type_Species)),0),1)*IF(COUNTBLANK(Combo_Opponent_Type_2)=0,INDEX(Type_Damage_Multipliers,MATCH(Combo_Opponent_Type_2,IF(Type_Move=(INDEX(Charge_Type,MATCH($P440,Charge_Names,0))),Type_Species)),0),1)*
IF(OR(INDEX(Charge_Type,MATCH($P440,Charge_Names,0))=INDEX(Species_Type_1,MATCH($N440,Species_Names,0)),INDEX(Charge_Type,MATCH($P440,Charge_Names,0))=INDEX(Species_Type_2,MATCH($N440,Species_Names,0))),Game_STAB_Multiplier,1))</f>
        <v>1.25</v>
      </c>
      <c r="W440" s="33" t="s">
        <v>658</v>
      </c>
      <c r="X440" s="33" t="s">
        <v>674</v>
      </c>
      <c r="Y440" s="32" t="e">
        <f t="array" ref="Y440">((($Z440)*
INDEX(Species_Attack,MATCH($N440,Species_Names,0))*
INDEX(Species_Tankiness,MATCH($N440,Species_Names,0)))/1000)</f>
        <v>#VALUE!</v>
      </c>
      <c r="Z440" s="33" t="s">
        <v>882</v>
      </c>
    </row>
    <row r="441" spans="1:26" ht="14.25" customHeight="1" x14ac:dyDescent="0.2">
      <c r="A441" s="86"/>
      <c r="B441" s="22" t="str">
        <f t="array" ref="B441">CONCATENATE(TEXT($M441,"000"),".",TEXT(INDEX(Quick_Number,MATCH($O441,Quick_Names,0)),"000"),".",TEXT(INDEX(Charge_Number,MATCH($P441,Charge_Names,0)),"000"))</f>
        <v>113.234.108</v>
      </c>
      <c r="C441" s="23" t="e">
        <f t="array" ref="C441">RANK($S441,IF(Combo_Species_Names=$N441,Combo_Gym_Offense),0)</f>
        <v>#VALUE!</v>
      </c>
      <c r="D441" s="24" t="e">
        <f t="array" ref="D441">$S441/MAX(IF(Combo_Species_Names=$N441,Combo_Gym_Offense))</f>
        <v>#VALUE!</v>
      </c>
      <c r="E441" s="23" t="e">
        <f t="array" ref="E441">RANK($Y441,IF(Combo_Species_Names=$N441,Combo_Gym_Defense),0)</f>
        <v>#VALUE!</v>
      </c>
      <c r="F441" s="25" t="e">
        <f t="array" ref="F441">$Y441/MAX(IF(Combo_Species_Names=$N441,Combo_Gym_Defense))</f>
        <v>#VALUE!</v>
      </c>
      <c r="G441" s="23" t="e">
        <f t="array" ref="G441">IF(OR(INDEX(Species_Availability,MATCH($N441,Species_Names,0))="No",INDEX(Species_Evo_Numbers,MATCH($N441,Species_Names,0))&lt;&gt;1),"N/A",RANK($R441,IF(NOT(ISNA(MATCH(Combo_Species_Names,IF(Species_Availability="Yes",IF(Species_Evo_Numbers=1,Species_Names)),0))),Combo_Duel_Ability),0))</f>
        <v>#VALUE!</v>
      </c>
      <c r="H441" s="24" t="e">
        <f t="array" ref="H441">IF(OR(INDEX(Species_Availability,MATCH($N441,Species_Names,0))="No",INDEX(Species_Evo_Numbers,MATCH($N441,Species_Names,0))&lt;&gt;1),"N/A",$R441/MAX(IF(NOT(ISNA(MATCH(Combo_Species_Names,IF(Species_Availability="Yes",IF(Species_Evo_Numbers=1,Species_Names)),0))),Combo_Duel_Ability)))</f>
        <v>#VALUE!</v>
      </c>
      <c r="I441" s="23" t="e">
        <f t="array" ref="I441">IF(OR(INDEX(Species_Availability,MATCH($N441,Species_Names,0))="No",INDEX(Species_Evo_Numbers,MATCH($N441,Species_Names,0))&lt;&gt;1),"N/A",RANK($S441,IF(NOT(ISNA(MATCH(Combo_Species_Names,IF(Species_Availability="Yes",IF(Species_Evo_Numbers=1,Species_Names)),0))),Combo_Gym_Offense),0))</f>
        <v>#VALUE!</v>
      </c>
      <c r="J441" s="24" t="e">
        <f t="array" ref="J441">IF(OR(INDEX(Species_Availability,MATCH($N441,Species_Names,0))="No",INDEX(Species_Evo_Numbers,MATCH($N441,Species_Names,0))&lt;&gt;1),"N/A",$S441/MAX(IF(NOT(ISNA(MATCH(Combo_Species_Names,IF(Species_Availability="Yes",IF(Species_Evo_Numbers=1,Species_Names)),0))),Combo_Gym_Offense)))</f>
        <v>#VALUE!</v>
      </c>
      <c r="K441" s="23" t="e">
        <f t="array" ref="K441">IF(OR(INDEX(Species_Availability,MATCH($N441,Species_Names,0))="No",INDEX(Species_Evo_Numbers,MATCH($N441,Species_Names,0))&lt;&gt;1),"N/A",RANK($Y441,IF(NOT(ISNA(MATCH(Combo_Species_Names,IF(Species_Availability="Yes",IF(Species_Evo_Numbers=1,Species_Names)),0))),Combo_Gym_Defense),0))</f>
        <v>#VALUE!</v>
      </c>
      <c r="L441" s="24" t="e">
        <f t="array" ref="L441">IF(OR(INDEX(Species_Availability,MATCH($N441,Species_Names,0))="No",INDEX(Species_Evo_Numbers,MATCH($N441,Species_Names,0))&lt;&gt;1),"N/A",$Y441/MAX(IF(NOT(ISNA(MATCH(Combo_Species_Names,IF(Species_Availability="Yes",IF(Species_Evo_Numbers=1,Species_Names)),0))),Combo_Gym_Defense)))</f>
        <v>#VALUE!</v>
      </c>
      <c r="M441" s="28">
        <f t="array" ref="M441">INDEX(Species_Pdex_Numbers,MATCH($N441,Species_Names,0))</f>
        <v>113</v>
      </c>
      <c r="N441" s="30" t="s">
        <v>326</v>
      </c>
      <c r="O441" s="31" t="s">
        <v>79</v>
      </c>
      <c r="P441" s="31" t="s">
        <v>58</v>
      </c>
      <c r="Q441" s="17" t="e">
        <f t="shared" si="12"/>
        <v>#VALUE!</v>
      </c>
      <c r="R441" s="32" t="e">
        <f t="array" ref="R441">IF(OR(AND(COUNTBLANK(Combo_Opponent_Type_1)=1,COUNTBLANK(Combo_Opponent_Type_2)=0),AND(AND(COUNTBLANK(Combo_Opponent_Type_1)=0,COUNTBLANK(Combo_Opponent_Type_2)=0),Combo_Opponent_Type_1=Combo_Opponent_Type_2)),
"Check Types",($S441*INDEX(Species_Tankiness,MATCH($N441,Species_Names,0)))/225)</f>
        <v>#VALUE!</v>
      </c>
      <c r="S441" s="32" t="e">
        <f t="array" ref="S441">IF(OR(AND(COUNTBLANK(Combo_Opponent_Type_1)=1,COUNTBLANK(Combo_Opponent_Type_2)=0),AND(AND(COUNTBLANK(Combo_Opponent_Type_1)=0,COUNTBLANK(Combo_Opponent_Type_2)=0),Combo_Opponent_Type_1=Combo_Opponent_Type_2)),
"Check Types",(
IF($W441&gt;=((1-Game_Weave_Human_Error)*$X441),$W441,$X441)*INDEX(Species_Attack,MATCH($N441,Species_Names,0)))/11)</f>
        <v>#VALUE!</v>
      </c>
      <c r="T441" s="33" t="e">
        <f t="shared" si="13"/>
        <v>#VALUE!</v>
      </c>
      <c r="U441" s="33">
        <f t="array" ref="U4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441,Quick_Names,0))),Type_Species)),0),1)*IF(COUNTBLANK(Combo_Opponent_Type_2)=0,INDEX(Type_Damage_Multipliers,MATCH(Combo_Opponent_Type_2,IF(Type_Move=(INDEX(Quick_Type,MATCH($O441,Quick_Names,0))),Type_Species)),0),1)*(IF(OR(INDEX(Quick_Type,MATCH($O441,Quick_Names,0))=INDEX(Species_Type_1,MATCH($N441,Species_Names,0)),INDEX(Quick_Type,MATCH($O441,Quick_Names,0))=INDEX(Species_Type_2,MATCH($N441,Species_Names,0))),Game_STAB_Multiplier,1)))</f>
        <v>1</v>
      </c>
      <c r="V441" s="33">
        <f t="array" ref="V4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441,Charge_Names,0))),Type_Species)),0),1)*IF(COUNTBLANK(Combo_Opponent_Type_2)=0,INDEX(Type_Damage_Multipliers,MATCH(Combo_Opponent_Type_2,IF(Type_Move=(INDEX(Charge_Type,MATCH($P441,Charge_Names,0))),Type_Species)),0),1)*
IF(OR(INDEX(Charge_Type,MATCH($P441,Charge_Names,0))=INDEX(Species_Type_1,MATCH($N441,Species_Names,0)),INDEX(Charge_Type,MATCH($P441,Charge_Names,0))=INDEX(Species_Type_2,MATCH($N441,Species_Names,0))),Game_STAB_Multiplier,1))</f>
        <v>1</v>
      </c>
      <c r="W441" s="33" t="s">
        <v>419</v>
      </c>
      <c r="X441" s="33" t="s">
        <v>628</v>
      </c>
      <c r="Y441" s="32" t="e">
        <f t="array" ref="Y441">((($Z441)*
INDEX(Species_Attack,MATCH($N441,Species_Names,0))*
INDEX(Species_Tankiness,MATCH($N441,Species_Names,0)))/1000)</f>
        <v>#VALUE!</v>
      </c>
      <c r="Z441" s="33" t="s">
        <v>629</v>
      </c>
    </row>
    <row r="442" spans="1:26" ht="14.25" customHeight="1" x14ac:dyDescent="0.2">
      <c r="A442" s="86"/>
      <c r="B442" s="22" t="str">
        <f t="array" ref="B442">CONCATENATE(TEXT($M442,"000"),".",TEXT(INDEX(Quick_Number,MATCH($O442,Quick_Names,0)),"000"),".",TEXT(INDEX(Charge_Number,MATCH($P442,Charge_Names,0)),"000"))</f>
        <v>113.234.086</v>
      </c>
      <c r="C442" s="23" t="e">
        <f t="array" ref="C442">RANK($S442,IF(Combo_Species_Names=$N442,Combo_Gym_Offense),0)</f>
        <v>#VALUE!</v>
      </c>
      <c r="D442" s="24" t="e">
        <f t="array" ref="D442">$S442/MAX(IF(Combo_Species_Names=$N442,Combo_Gym_Offense))</f>
        <v>#VALUE!</v>
      </c>
      <c r="E442" s="23" t="e">
        <f t="array" ref="E442">RANK($Y442,IF(Combo_Species_Names=$N442,Combo_Gym_Defense),0)</f>
        <v>#VALUE!</v>
      </c>
      <c r="F442" s="25" t="e">
        <f t="array" ref="F442">$Y442/MAX(IF(Combo_Species_Names=$N442,Combo_Gym_Defense))</f>
        <v>#VALUE!</v>
      </c>
      <c r="G442" s="23" t="e">
        <f t="array" ref="G442">IF(OR(INDEX(Species_Availability,MATCH($N442,Species_Names,0))="No",INDEX(Species_Evo_Numbers,MATCH($N442,Species_Names,0))&lt;&gt;1),"N/A",RANK($R442,IF(NOT(ISNA(MATCH(Combo_Species_Names,IF(Species_Availability="Yes",IF(Species_Evo_Numbers=1,Species_Names)),0))),Combo_Duel_Ability),0))</f>
        <v>#VALUE!</v>
      </c>
      <c r="H442" s="24" t="e">
        <f t="array" ref="H442">IF(OR(INDEX(Species_Availability,MATCH($N442,Species_Names,0))="No",INDEX(Species_Evo_Numbers,MATCH($N442,Species_Names,0))&lt;&gt;1),"N/A",$R442/MAX(IF(NOT(ISNA(MATCH(Combo_Species_Names,IF(Species_Availability="Yes",IF(Species_Evo_Numbers=1,Species_Names)),0))),Combo_Duel_Ability)))</f>
        <v>#VALUE!</v>
      </c>
      <c r="I442" s="23" t="e">
        <f t="array" ref="I442">IF(OR(INDEX(Species_Availability,MATCH($N442,Species_Names,0))="No",INDEX(Species_Evo_Numbers,MATCH($N442,Species_Names,0))&lt;&gt;1),"N/A",RANK($S442,IF(NOT(ISNA(MATCH(Combo_Species_Names,IF(Species_Availability="Yes",IF(Species_Evo_Numbers=1,Species_Names)),0))),Combo_Gym_Offense),0))</f>
        <v>#VALUE!</v>
      </c>
      <c r="J442" s="24" t="e">
        <f t="array" ref="J442">IF(OR(INDEX(Species_Availability,MATCH($N442,Species_Names,0))="No",INDEX(Species_Evo_Numbers,MATCH($N442,Species_Names,0))&lt;&gt;1),"N/A",$S442/MAX(IF(NOT(ISNA(MATCH(Combo_Species_Names,IF(Species_Availability="Yes",IF(Species_Evo_Numbers=1,Species_Names)),0))),Combo_Gym_Offense)))</f>
        <v>#VALUE!</v>
      </c>
      <c r="K442" s="23" t="e">
        <f t="array" ref="K442">IF(OR(INDEX(Species_Availability,MATCH($N442,Species_Names,0))="No",INDEX(Species_Evo_Numbers,MATCH($N442,Species_Names,0))&lt;&gt;1),"N/A",RANK($Y442,IF(NOT(ISNA(MATCH(Combo_Species_Names,IF(Species_Availability="Yes",IF(Species_Evo_Numbers=1,Species_Names)),0))),Combo_Gym_Defense),0))</f>
        <v>#VALUE!</v>
      </c>
      <c r="L442" s="24" t="e">
        <f t="array" ref="L442">IF(OR(INDEX(Species_Availability,MATCH($N442,Species_Names,0))="No",INDEX(Species_Evo_Numbers,MATCH($N442,Species_Names,0))&lt;&gt;1),"N/A",$Y442/MAX(IF(NOT(ISNA(MATCH(Combo_Species_Names,IF(Species_Availability="Yes",IF(Species_Evo_Numbers=1,Species_Names)),0))),Combo_Gym_Defense)))</f>
        <v>#VALUE!</v>
      </c>
      <c r="M442" s="28">
        <f t="array" ref="M442">INDEX(Species_Pdex_Numbers,MATCH($N442,Species_Names,0))</f>
        <v>113</v>
      </c>
      <c r="N442" s="30" t="s">
        <v>326</v>
      </c>
      <c r="O442" s="31" t="s">
        <v>79</v>
      </c>
      <c r="P442" s="31" t="s">
        <v>257</v>
      </c>
      <c r="Q442" s="17" t="e">
        <f t="shared" si="12"/>
        <v>#VALUE!</v>
      </c>
      <c r="R442" s="32" t="e">
        <f t="array" ref="R442">IF(OR(AND(COUNTBLANK(Combo_Opponent_Type_1)=1,COUNTBLANK(Combo_Opponent_Type_2)=0),AND(AND(COUNTBLANK(Combo_Opponent_Type_1)=0,COUNTBLANK(Combo_Opponent_Type_2)=0),Combo_Opponent_Type_1=Combo_Opponent_Type_2)),
"Check Types",($S442*INDEX(Species_Tankiness,MATCH($N442,Species_Names,0)))/225)</f>
        <v>#VALUE!</v>
      </c>
      <c r="S442" s="32" t="e">
        <f t="array" ref="S442">IF(OR(AND(COUNTBLANK(Combo_Opponent_Type_1)=1,COUNTBLANK(Combo_Opponent_Type_2)=0),AND(AND(COUNTBLANK(Combo_Opponent_Type_1)=0,COUNTBLANK(Combo_Opponent_Type_2)=0),Combo_Opponent_Type_1=Combo_Opponent_Type_2)),
"Check Types",(
IF($W442&gt;=((1-Game_Weave_Human_Error)*$X442),$W442,$X442)*INDEX(Species_Attack,MATCH($N442,Species_Names,0)))/11)</f>
        <v>#VALUE!</v>
      </c>
      <c r="T442" s="33" t="e">
        <f t="shared" si="13"/>
        <v>#VALUE!</v>
      </c>
      <c r="U442" s="33">
        <f t="array" ref="U4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442,Quick_Names,0))),Type_Species)),0),1)*IF(COUNTBLANK(Combo_Opponent_Type_2)=0,INDEX(Type_Damage_Multipliers,MATCH(Combo_Opponent_Type_2,IF(Type_Move=(INDEX(Quick_Type,MATCH($O442,Quick_Names,0))),Type_Species)),0),1)*(IF(OR(INDEX(Quick_Type,MATCH($O442,Quick_Names,0))=INDEX(Species_Type_1,MATCH($N442,Species_Names,0)),INDEX(Quick_Type,MATCH($O442,Quick_Names,0))=INDEX(Species_Type_2,MATCH($N442,Species_Names,0))),Game_STAB_Multiplier,1)))</f>
        <v>1</v>
      </c>
      <c r="V442" s="33">
        <f t="array" ref="V4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442,Charge_Names,0))),Type_Species)),0),1)*IF(COUNTBLANK(Combo_Opponent_Type_2)=0,INDEX(Type_Damage_Multipliers,MATCH(Combo_Opponent_Type_2,IF(Type_Move=(INDEX(Charge_Type,MATCH($P442,Charge_Names,0))),Type_Species)),0),1)*
IF(OR(INDEX(Charge_Type,MATCH($P442,Charge_Names,0))=INDEX(Species_Type_1,MATCH($N442,Species_Names,0)),INDEX(Charge_Type,MATCH($P442,Charge_Names,0))=INDEX(Species_Type_2,MATCH($N442,Species_Names,0))),Game_STAB_Multiplier,1))</f>
        <v>1</v>
      </c>
      <c r="W442" s="33" t="s">
        <v>419</v>
      </c>
      <c r="X442" s="33" t="s">
        <v>873</v>
      </c>
      <c r="Y442" s="32" t="e">
        <f t="array" ref="Y442">((($Z442)*
INDEX(Species_Attack,MATCH($N442,Species_Names,0))*
INDEX(Species_Tankiness,MATCH($N442,Species_Names,0)))/1000)</f>
        <v>#VALUE!</v>
      </c>
      <c r="Z442" s="33" t="s">
        <v>666</v>
      </c>
    </row>
    <row r="443" spans="1:26" ht="14.25" customHeight="1" x14ac:dyDescent="0.2">
      <c r="A443" s="86"/>
      <c r="B443" s="22" t="str">
        <f t="array" ref="B443">CONCATENATE(TEXT($M443,"000"),".",TEXT(INDEX(Quick_Number,MATCH($O443,Quick_Names,0)),"000"),".",TEXT(INDEX(Charge_Number,MATCH($P443,Charge_Names,0)),"000"))</f>
        <v>113.234.030</v>
      </c>
      <c r="C443" s="23" t="e">
        <f t="array" ref="C443">RANK($S443,IF(Combo_Species_Names=$N443,Combo_Gym_Offense),0)</f>
        <v>#VALUE!</v>
      </c>
      <c r="D443" s="24" t="e">
        <f t="array" ref="D443">$S443/MAX(IF(Combo_Species_Names=$N443,Combo_Gym_Offense))</f>
        <v>#VALUE!</v>
      </c>
      <c r="E443" s="23" t="e">
        <f t="array" ref="E443">RANK($Y443,IF(Combo_Species_Names=$N443,Combo_Gym_Defense),0)</f>
        <v>#VALUE!</v>
      </c>
      <c r="F443" s="25" t="e">
        <f t="array" ref="F443">$Y443/MAX(IF(Combo_Species_Names=$N443,Combo_Gym_Defense))</f>
        <v>#VALUE!</v>
      </c>
      <c r="G443" s="23" t="e">
        <f t="array" ref="G443">IF(OR(INDEX(Species_Availability,MATCH($N443,Species_Names,0))="No",INDEX(Species_Evo_Numbers,MATCH($N443,Species_Names,0))&lt;&gt;1),"N/A",RANK($R443,IF(NOT(ISNA(MATCH(Combo_Species_Names,IF(Species_Availability="Yes",IF(Species_Evo_Numbers=1,Species_Names)),0))),Combo_Duel_Ability),0))</f>
        <v>#VALUE!</v>
      </c>
      <c r="H443" s="24" t="e">
        <f t="array" ref="H443">IF(OR(INDEX(Species_Availability,MATCH($N443,Species_Names,0))="No",INDEX(Species_Evo_Numbers,MATCH($N443,Species_Names,0))&lt;&gt;1),"N/A",$R443/MAX(IF(NOT(ISNA(MATCH(Combo_Species_Names,IF(Species_Availability="Yes",IF(Species_Evo_Numbers=1,Species_Names)),0))),Combo_Duel_Ability)))</f>
        <v>#VALUE!</v>
      </c>
      <c r="I443" s="23" t="e">
        <f t="array" ref="I443">IF(OR(INDEX(Species_Availability,MATCH($N443,Species_Names,0))="No",INDEX(Species_Evo_Numbers,MATCH($N443,Species_Names,0))&lt;&gt;1),"N/A",RANK($S443,IF(NOT(ISNA(MATCH(Combo_Species_Names,IF(Species_Availability="Yes",IF(Species_Evo_Numbers=1,Species_Names)),0))),Combo_Gym_Offense),0))</f>
        <v>#VALUE!</v>
      </c>
      <c r="J443" s="24" t="e">
        <f t="array" ref="J443">IF(OR(INDEX(Species_Availability,MATCH($N443,Species_Names,0))="No",INDEX(Species_Evo_Numbers,MATCH($N443,Species_Names,0))&lt;&gt;1),"N/A",$S443/MAX(IF(NOT(ISNA(MATCH(Combo_Species_Names,IF(Species_Availability="Yes",IF(Species_Evo_Numbers=1,Species_Names)),0))),Combo_Gym_Offense)))</f>
        <v>#VALUE!</v>
      </c>
      <c r="K443" s="23" t="e">
        <f t="array" ref="K443">IF(OR(INDEX(Species_Availability,MATCH($N443,Species_Names,0))="No",INDEX(Species_Evo_Numbers,MATCH($N443,Species_Names,0))&lt;&gt;1),"N/A",RANK($Y443,IF(NOT(ISNA(MATCH(Combo_Species_Names,IF(Species_Availability="Yes",IF(Species_Evo_Numbers=1,Species_Names)),0))),Combo_Gym_Defense),0))</f>
        <v>#VALUE!</v>
      </c>
      <c r="L443" s="24" t="e">
        <f t="array" ref="L443">IF(OR(INDEX(Species_Availability,MATCH($N443,Species_Names,0))="No",INDEX(Species_Evo_Numbers,MATCH($N443,Species_Names,0))&lt;&gt;1),"N/A",$Y443/MAX(IF(NOT(ISNA(MATCH(Combo_Species_Names,IF(Species_Availability="Yes",IF(Species_Evo_Numbers=1,Species_Names)),0))),Combo_Gym_Defense)))</f>
        <v>#VALUE!</v>
      </c>
      <c r="M443" s="28">
        <f t="array" ref="M443">INDEX(Species_Pdex_Numbers,MATCH($N443,Species_Names,0))</f>
        <v>113</v>
      </c>
      <c r="N443" s="30" t="s">
        <v>326</v>
      </c>
      <c r="O443" s="31" t="s">
        <v>79</v>
      </c>
      <c r="P443" s="31" t="s">
        <v>283</v>
      </c>
      <c r="Q443" s="17" t="e">
        <f t="shared" si="12"/>
        <v>#VALUE!</v>
      </c>
      <c r="R443" s="32" t="e">
        <f t="array" ref="R443">IF(OR(AND(COUNTBLANK(Combo_Opponent_Type_1)=1,COUNTBLANK(Combo_Opponent_Type_2)=0),AND(AND(COUNTBLANK(Combo_Opponent_Type_1)=0,COUNTBLANK(Combo_Opponent_Type_2)=0),Combo_Opponent_Type_1=Combo_Opponent_Type_2)),
"Check Types",($S443*INDEX(Species_Tankiness,MATCH($N443,Species_Names,0)))/225)</f>
        <v>#VALUE!</v>
      </c>
      <c r="S443" s="32" t="e">
        <f t="array" ref="S443">IF(OR(AND(COUNTBLANK(Combo_Opponent_Type_1)=1,COUNTBLANK(Combo_Opponent_Type_2)=0),AND(AND(COUNTBLANK(Combo_Opponent_Type_1)=0,COUNTBLANK(Combo_Opponent_Type_2)=0),Combo_Opponent_Type_1=Combo_Opponent_Type_2)),
"Check Types",(
IF($W443&gt;=((1-Game_Weave_Human_Error)*$X443),$W443,$X443)*INDEX(Species_Attack,MATCH($N443,Species_Names,0)))/11)</f>
        <v>#VALUE!</v>
      </c>
      <c r="T443" s="33" t="e">
        <f t="shared" si="13"/>
        <v>#VALUE!</v>
      </c>
      <c r="U443" s="33">
        <f t="array" ref="U4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443,Quick_Names,0))),Type_Species)),0),1)*IF(COUNTBLANK(Combo_Opponent_Type_2)=0,INDEX(Type_Damage_Multipliers,MATCH(Combo_Opponent_Type_2,IF(Type_Move=(INDEX(Quick_Type,MATCH($O443,Quick_Names,0))),Type_Species)),0),1)*(IF(OR(INDEX(Quick_Type,MATCH($O443,Quick_Names,0))=INDEX(Species_Type_1,MATCH($N443,Species_Names,0)),INDEX(Quick_Type,MATCH($O443,Quick_Names,0))=INDEX(Species_Type_2,MATCH($N443,Species_Names,0))),Game_STAB_Multiplier,1)))</f>
        <v>1</v>
      </c>
      <c r="V443" s="33">
        <f t="array" ref="V4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443,Charge_Names,0))),Type_Species)),0),1)*IF(COUNTBLANK(Combo_Opponent_Type_2)=0,INDEX(Type_Damage_Multipliers,MATCH(Combo_Opponent_Type_2,IF(Type_Move=(INDEX(Charge_Type,MATCH($P443,Charge_Names,0))),Type_Species)),0),1)*
IF(OR(INDEX(Charge_Type,MATCH($P443,Charge_Names,0))=INDEX(Species_Type_1,MATCH($N443,Species_Names,0)),INDEX(Charge_Type,MATCH($P443,Charge_Names,0))=INDEX(Species_Type_2,MATCH($N443,Species_Names,0))),Game_STAB_Multiplier,1))</f>
        <v>1</v>
      </c>
      <c r="W443" s="33" t="s">
        <v>419</v>
      </c>
      <c r="X443" s="33" t="s">
        <v>937</v>
      </c>
      <c r="Y443" s="32" t="e">
        <f t="array" ref="Y443">((($Z443)*
INDEX(Species_Attack,MATCH($N443,Species_Names,0))*
INDEX(Species_Tankiness,MATCH($N443,Species_Names,0)))/1000)</f>
        <v>#VALUE!</v>
      </c>
      <c r="Z443" s="33" t="s">
        <v>938</v>
      </c>
    </row>
    <row r="444" spans="1:26" ht="14.25" customHeight="1" x14ac:dyDescent="0.2">
      <c r="A444" s="86"/>
      <c r="B444" s="22" t="str">
        <f t="array" ref="B444">CONCATENATE(TEXT($M444,"000"),".",TEXT(INDEX(Quick_Number,MATCH($O444,Quick_Names,0)),"000"),".",TEXT(INDEX(Charge_Number,MATCH($P444,Charge_Names,0)),"000"))</f>
        <v>095.221.074</v>
      </c>
      <c r="C444" s="23" t="e">
        <f t="array" ref="C444">RANK($S444,IF(Combo_Species_Names=$N444,Combo_Gym_Offense),0)</f>
        <v>#VALUE!</v>
      </c>
      <c r="D444" s="24" t="e">
        <f t="array" ref="D444">$S444/MAX(IF(Combo_Species_Names=$N444,Combo_Gym_Offense))</f>
        <v>#VALUE!</v>
      </c>
      <c r="E444" s="23" t="e">
        <f t="array" ref="E444">RANK($Y444,IF(Combo_Species_Names=$N444,Combo_Gym_Defense),0)</f>
        <v>#VALUE!</v>
      </c>
      <c r="F444" s="25" t="e">
        <f t="array" ref="F444">$Y444/MAX(IF(Combo_Species_Names=$N444,Combo_Gym_Defense))</f>
        <v>#VALUE!</v>
      </c>
      <c r="G444" s="23" t="e">
        <f t="array" ref="G444">IF(OR(INDEX(Species_Availability,MATCH($N444,Species_Names,0))="No",INDEX(Species_Evo_Numbers,MATCH($N444,Species_Names,0))&lt;&gt;1),"N/A",RANK($R444,IF(NOT(ISNA(MATCH(Combo_Species_Names,IF(Species_Availability="Yes",IF(Species_Evo_Numbers=1,Species_Names)),0))),Combo_Duel_Ability),0))</f>
        <v>#VALUE!</v>
      </c>
      <c r="H444" s="24" t="e">
        <f t="array" ref="H444">IF(OR(INDEX(Species_Availability,MATCH($N444,Species_Names,0))="No",INDEX(Species_Evo_Numbers,MATCH($N444,Species_Names,0))&lt;&gt;1),"N/A",$R444/MAX(IF(NOT(ISNA(MATCH(Combo_Species_Names,IF(Species_Availability="Yes",IF(Species_Evo_Numbers=1,Species_Names)),0))),Combo_Duel_Ability)))</f>
        <v>#VALUE!</v>
      </c>
      <c r="I444" s="23" t="e">
        <f t="array" ref="I444">IF(OR(INDEX(Species_Availability,MATCH($N444,Species_Names,0))="No",INDEX(Species_Evo_Numbers,MATCH($N444,Species_Names,0))&lt;&gt;1),"N/A",RANK($S444,IF(NOT(ISNA(MATCH(Combo_Species_Names,IF(Species_Availability="Yes",IF(Species_Evo_Numbers=1,Species_Names)),0))),Combo_Gym_Offense),0))</f>
        <v>#VALUE!</v>
      </c>
      <c r="J444" s="24" t="e">
        <f t="array" ref="J444">IF(OR(INDEX(Species_Availability,MATCH($N444,Species_Names,0))="No",INDEX(Species_Evo_Numbers,MATCH($N444,Species_Names,0))&lt;&gt;1),"N/A",$S444/MAX(IF(NOT(ISNA(MATCH(Combo_Species_Names,IF(Species_Availability="Yes",IF(Species_Evo_Numbers=1,Species_Names)),0))),Combo_Gym_Offense)))</f>
        <v>#VALUE!</v>
      </c>
      <c r="K444" s="23" t="e">
        <f t="array" ref="K444">IF(OR(INDEX(Species_Availability,MATCH($N444,Species_Names,0))="No",INDEX(Species_Evo_Numbers,MATCH($N444,Species_Names,0))&lt;&gt;1),"N/A",RANK($Y444,IF(NOT(ISNA(MATCH(Combo_Species_Names,IF(Species_Availability="Yes",IF(Species_Evo_Numbers=1,Species_Names)),0))),Combo_Gym_Defense),0))</f>
        <v>#VALUE!</v>
      </c>
      <c r="L444" s="24" t="e">
        <f t="array" ref="L444">IF(OR(INDEX(Species_Availability,MATCH($N444,Species_Names,0))="No",INDEX(Species_Evo_Numbers,MATCH($N444,Species_Names,0))&lt;&gt;1),"N/A",$Y444/MAX(IF(NOT(ISNA(MATCH(Combo_Species_Names,IF(Species_Availability="Yes",IF(Species_Evo_Numbers=1,Species_Names)),0))),Combo_Gym_Defense)))</f>
        <v>#VALUE!</v>
      </c>
      <c r="M444" s="28">
        <f t="array" ref="M444">INDEX(Species_Pdex_Numbers,MATCH($N444,Species_Names,0))</f>
        <v>95</v>
      </c>
      <c r="N444" s="30" t="s">
        <v>288</v>
      </c>
      <c r="O444" s="31" t="s">
        <v>91</v>
      </c>
      <c r="P444" s="31" t="s">
        <v>228</v>
      </c>
      <c r="Q444" s="17" t="e">
        <f t="shared" si="12"/>
        <v>#VALUE!</v>
      </c>
      <c r="R444" s="32" t="e">
        <f t="array" ref="R444">IF(OR(AND(COUNTBLANK(Combo_Opponent_Type_1)=1,COUNTBLANK(Combo_Opponent_Type_2)=0),AND(AND(COUNTBLANK(Combo_Opponent_Type_1)=0,COUNTBLANK(Combo_Opponent_Type_2)=0),Combo_Opponent_Type_1=Combo_Opponent_Type_2)),
"Check Types",($S444*INDEX(Species_Tankiness,MATCH($N444,Species_Names,0)))/225)</f>
        <v>#VALUE!</v>
      </c>
      <c r="S444" s="32" t="e">
        <f t="array" ref="S444">IF(OR(AND(COUNTBLANK(Combo_Opponent_Type_1)=1,COUNTBLANK(Combo_Opponent_Type_2)=0),AND(AND(COUNTBLANK(Combo_Opponent_Type_1)=0,COUNTBLANK(Combo_Opponent_Type_2)=0),Combo_Opponent_Type_1=Combo_Opponent_Type_2)),
"Check Types",(
IF($W444&gt;=((1-Game_Weave_Human_Error)*$X444),$W444,$X444)*INDEX(Species_Attack,MATCH($N444,Species_Names,0)))/11)</f>
        <v>#VALUE!</v>
      </c>
      <c r="T444" s="33" t="e">
        <f t="shared" si="13"/>
        <v>#VALUE!</v>
      </c>
      <c r="U444" s="33">
        <f t="array" ref="U4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444,Quick_Names,0))),Type_Species)),0),1)*IF(COUNTBLANK(Combo_Opponent_Type_2)=0,INDEX(Type_Damage_Multipliers,MATCH(Combo_Opponent_Type_2,IF(Type_Move=(INDEX(Quick_Type,MATCH($O444,Quick_Names,0))),Type_Species)),0),1)*(IF(OR(INDEX(Quick_Type,MATCH($O444,Quick_Names,0))=INDEX(Species_Type_1,MATCH($N444,Species_Names,0)),INDEX(Quick_Type,MATCH($O444,Quick_Names,0))=INDEX(Species_Type_2,MATCH($N444,Species_Names,0))),Game_STAB_Multiplier,1)))</f>
        <v>1</v>
      </c>
      <c r="V444" s="33">
        <f t="array" ref="V4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444,Charge_Names,0))),Type_Species)),0),1)*IF(COUNTBLANK(Combo_Opponent_Type_2)=0,INDEX(Type_Damage_Multipliers,MATCH(Combo_Opponent_Type_2,IF(Type_Move=(INDEX(Charge_Type,MATCH($P444,Charge_Names,0))),Type_Species)),0),1)*
IF(OR(INDEX(Charge_Type,MATCH($P444,Charge_Names,0))=INDEX(Species_Type_1,MATCH($N444,Species_Names,0)),INDEX(Charge_Type,MATCH($P444,Charge_Names,0))=INDEX(Species_Type_2,MATCH($N444,Species_Names,0))),Game_STAB_Multiplier,1))</f>
        <v>1</v>
      </c>
      <c r="W444" s="33" t="s">
        <v>658</v>
      </c>
      <c r="X444" s="33" t="s">
        <v>939</v>
      </c>
      <c r="Y444" s="32" t="e">
        <f t="array" ref="Y444">((($Z444)*
INDEX(Species_Attack,MATCH($N444,Species_Names,0))*
INDEX(Species_Tankiness,MATCH($N444,Species_Names,0)))/1000)</f>
        <v>#VALUE!</v>
      </c>
      <c r="Z444" s="33" t="s">
        <v>817</v>
      </c>
    </row>
    <row r="445" spans="1:26" ht="14.25" customHeight="1" x14ac:dyDescent="0.2">
      <c r="A445" s="86"/>
      <c r="B445" s="22" t="str">
        <f t="array" ref="B445">CONCATENATE(TEXT($M445,"000"),".",TEXT(INDEX(Quick_Number,MATCH($O445,Quick_Names,0)),"000"),".",TEXT(INDEX(Charge_Number,MATCH($P445,Charge_Names,0)),"000"))</f>
        <v>095.227.074</v>
      </c>
      <c r="C445" s="23" t="e">
        <f t="array" ref="C445">RANK($S445,IF(Combo_Species_Names=$N445,Combo_Gym_Offense),0)</f>
        <v>#VALUE!</v>
      </c>
      <c r="D445" s="24" t="e">
        <f t="array" ref="D445">$S445/MAX(IF(Combo_Species_Names=$N445,Combo_Gym_Offense))</f>
        <v>#VALUE!</v>
      </c>
      <c r="E445" s="23" t="e">
        <f t="array" ref="E445">RANK($Y445,IF(Combo_Species_Names=$N445,Combo_Gym_Defense),0)</f>
        <v>#VALUE!</v>
      </c>
      <c r="F445" s="25" t="e">
        <f t="array" ref="F445">$Y445/MAX(IF(Combo_Species_Names=$N445,Combo_Gym_Defense))</f>
        <v>#VALUE!</v>
      </c>
      <c r="G445" s="23" t="e">
        <f t="array" ref="G445">IF(OR(INDEX(Species_Availability,MATCH($N445,Species_Names,0))="No",INDEX(Species_Evo_Numbers,MATCH($N445,Species_Names,0))&lt;&gt;1),"N/A",RANK($R445,IF(NOT(ISNA(MATCH(Combo_Species_Names,IF(Species_Availability="Yes",IF(Species_Evo_Numbers=1,Species_Names)),0))),Combo_Duel_Ability),0))</f>
        <v>#VALUE!</v>
      </c>
      <c r="H445" s="24" t="e">
        <f t="array" ref="H445">IF(OR(INDEX(Species_Availability,MATCH($N445,Species_Names,0))="No",INDEX(Species_Evo_Numbers,MATCH($N445,Species_Names,0))&lt;&gt;1),"N/A",$R445/MAX(IF(NOT(ISNA(MATCH(Combo_Species_Names,IF(Species_Availability="Yes",IF(Species_Evo_Numbers=1,Species_Names)),0))),Combo_Duel_Ability)))</f>
        <v>#VALUE!</v>
      </c>
      <c r="I445" s="23" t="e">
        <f t="array" ref="I445">IF(OR(INDEX(Species_Availability,MATCH($N445,Species_Names,0))="No",INDEX(Species_Evo_Numbers,MATCH($N445,Species_Names,0))&lt;&gt;1),"N/A",RANK($S445,IF(NOT(ISNA(MATCH(Combo_Species_Names,IF(Species_Availability="Yes",IF(Species_Evo_Numbers=1,Species_Names)),0))),Combo_Gym_Offense),0))</f>
        <v>#VALUE!</v>
      </c>
      <c r="J445" s="24" t="e">
        <f t="array" ref="J445">IF(OR(INDEX(Species_Availability,MATCH($N445,Species_Names,0))="No",INDEX(Species_Evo_Numbers,MATCH($N445,Species_Names,0))&lt;&gt;1),"N/A",$S445/MAX(IF(NOT(ISNA(MATCH(Combo_Species_Names,IF(Species_Availability="Yes",IF(Species_Evo_Numbers=1,Species_Names)),0))),Combo_Gym_Offense)))</f>
        <v>#VALUE!</v>
      </c>
      <c r="K445" s="23" t="e">
        <f t="array" ref="K445">IF(OR(INDEX(Species_Availability,MATCH($N445,Species_Names,0))="No",INDEX(Species_Evo_Numbers,MATCH($N445,Species_Names,0))&lt;&gt;1),"N/A",RANK($Y445,IF(NOT(ISNA(MATCH(Combo_Species_Names,IF(Species_Availability="Yes",IF(Species_Evo_Numbers=1,Species_Names)),0))),Combo_Gym_Defense),0))</f>
        <v>#VALUE!</v>
      </c>
      <c r="L445" s="24" t="e">
        <f t="array" ref="L445">IF(OR(INDEX(Species_Availability,MATCH($N445,Species_Names,0))="No",INDEX(Species_Evo_Numbers,MATCH($N445,Species_Names,0))&lt;&gt;1),"N/A",$Y445/MAX(IF(NOT(ISNA(MATCH(Combo_Species_Names,IF(Species_Availability="Yes",IF(Species_Evo_Numbers=1,Species_Names)),0))),Combo_Gym_Defense)))</f>
        <v>#VALUE!</v>
      </c>
      <c r="M445" s="28">
        <f t="array" ref="M445">INDEX(Species_Pdex_Numbers,MATCH($N445,Species_Names,0))</f>
        <v>95</v>
      </c>
      <c r="N445" s="30" t="s">
        <v>288</v>
      </c>
      <c r="O445" s="31" t="s">
        <v>112</v>
      </c>
      <c r="P445" s="31" t="s">
        <v>228</v>
      </c>
      <c r="Q445" s="17" t="e">
        <f t="shared" si="12"/>
        <v>#VALUE!</v>
      </c>
      <c r="R445" s="32" t="e">
        <f t="array" ref="R445">IF(OR(AND(COUNTBLANK(Combo_Opponent_Type_1)=1,COUNTBLANK(Combo_Opponent_Type_2)=0),AND(AND(COUNTBLANK(Combo_Opponent_Type_1)=0,COUNTBLANK(Combo_Opponent_Type_2)=0),Combo_Opponent_Type_1=Combo_Opponent_Type_2)),
"Check Types",($S445*INDEX(Species_Tankiness,MATCH($N445,Species_Names,0)))/225)</f>
        <v>#VALUE!</v>
      </c>
      <c r="S445" s="32" t="e">
        <f t="array" ref="S445">IF(OR(AND(COUNTBLANK(Combo_Opponent_Type_1)=1,COUNTBLANK(Combo_Opponent_Type_2)=0),AND(AND(COUNTBLANK(Combo_Opponent_Type_1)=0,COUNTBLANK(Combo_Opponent_Type_2)=0),Combo_Opponent_Type_1=Combo_Opponent_Type_2)),
"Check Types",(
IF($W445&gt;=((1-Game_Weave_Human_Error)*$X445),$W445,$X445)*INDEX(Species_Attack,MATCH($N445,Species_Names,0)))/11)</f>
        <v>#VALUE!</v>
      </c>
      <c r="T445" s="33" t="e">
        <f t="shared" si="13"/>
        <v>#VALUE!</v>
      </c>
      <c r="U445" s="33">
        <f t="array" ref="U4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445,Quick_Names,0))),Type_Species)),0),1)*IF(COUNTBLANK(Combo_Opponent_Type_2)=0,INDEX(Type_Damage_Multipliers,MATCH(Combo_Opponent_Type_2,IF(Type_Move=(INDEX(Quick_Type,MATCH($O445,Quick_Names,0))),Type_Species)),0),1)*(IF(OR(INDEX(Quick_Type,MATCH($O445,Quick_Names,0))=INDEX(Species_Type_1,MATCH($N445,Species_Names,0)),INDEX(Quick_Type,MATCH($O445,Quick_Names,0))=INDEX(Species_Type_2,MATCH($N445,Species_Names,0))),Game_STAB_Multiplier,1)))</f>
        <v>1.25</v>
      </c>
      <c r="V445" s="33">
        <f t="array" ref="V4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445,Charge_Names,0))),Type_Species)),0),1)*IF(COUNTBLANK(Combo_Opponent_Type_2)=0,INDEX(Type_Damage_Multipliers,MATCH(Combo_Opponent_Type_2,IF(Type_Move=(INDEX(Charge_Type,MATCH($P445,Charge_Names,0))),Type_Species)),0),1)*
IF(OR(INDEX(Charge_Type,MATCH($P445,Charge_Names,0))=INDEX(Species_Type_1,MATCH($N445,Species_Names,0)),INDEX(Charge_Type,MATCH($P445,Charge_Names,0))=INDEX(Species_Type_2,MATCH($N445,Species_Names,0))),Game_STAB_Multiplier,1))</f>
        <v>1</v>
      </c>
      <c r="W445" s="33" t="s">
        <v>548</v>
      </c>
      <c r="X445" s="33" t="s">
        <v>936</v>
      </c>
      <c r="Y445" s="32" t="e">
        <f t="array" ref="Y445">((($Z445)*
INDEX(Species_Attack,MATCH($N445,Species_Names,0))*
INDEX(Species_Tankiness,MATCH($N445,Species_Names,0)))/1000)</f>
        <v>#VALUE!</v>
      </c>
      <c r="Z445" s="33" t="s">
        <v>605</v>
      </c>
    </row>
    <row r="446" spans="1:26" ht="14.25" customHeight="1" x14ac:dyDescent="0.2">
      <c r="A446" s="86"/>
      <c r="B446" s="22" t="str">
        <f t="array" ref="B446">CONCATENATE(TEXT($M446,"000"),".",TEXT(INDEX(Quick_Number,MATCH($O446,Quick_Names,0)),"000"),".",TEXT(INDEX(Charge_Number,MATCH($P446,Charge_Names,0)),"000"))</f>
        <v>150.226.014</v>
      </c>
      <c r="C446" s="23" t="e">
        <f t="array" ref="C446">RANK($S446,IF(Combo_Species_Names=$N446,Combo_Gym_Offense),0)</f>
        <v>#VALUE!</v>
      </c>
      <c r="D446" s="24" t="e">
        <f t="array" ref="D446">$S446/MAX(IF(Combo_Species_Names=$N446,Combo_Gym_Offense))</f>
        <v>#VALUE!</v>
      </c>
      <c r="E446" s="23" t="e">
        <f t="array" ref="E446">RANK($Y446,IF(Combo_Species_Names=$N446,Combo_Gym_Defense),0)</f>
        <v>#VALUE!</v>
      </c>
      <c r="F446" s="25" t="e">
        <f t="array" ref="F446">$Y446/MAX(IF(Combo_Species_Names=$N446,Combo_Gym_Defense))</f>
        <v>#VALUE!</v>
      </c>
      <c r="G446" s="23" t="str">
        <f t="array" ref="G446">IF(OR(INDEX(Species_Availability,MATCH($N446,Species_Names,0))="No",INDEX(Species_Evo_Numbers,MATCH($N446,Species_Names,0))&lt;&gt;1),"N/A",RANK($R446,IF(NOT(ISNA(MATCH(Combo_Species_Names,IF(Species_Availability="Yes",IF(Species_Evo_Numbers=1,Species_Names)),0))),Combo_Duel_Ability),0))</f>
        <v>N/A</v>
      </c>
      <c r="H446" s="24" t="str">
        <f t="array" ref="H446">IF(OR(INDEX(Species_Availability,MATCH($N446,Species_Names,0))="No",INDEX(Species_Evo_Numbers,MATCH($N446,Species_Names,0))&lt;&gt;1),"N/A",$R446/MAX(IF(NOT(ISNA(MATCH(Combo_Species_Names,IF(Species_Availability="Yes",IF(Species_Evo_Numbers=1,Species_Names)),0))),Combo_Duel_Ability)))</f>
        <v>N/A</v>
      </c>
      <c r="I446" s="23" t="str">
        <f t="array" ref="I446">IF(OR(INDEX(Species_Availability,MATCH($N446,Species_Names,0))="No",INDEX(Species_Evo_Numbers,MATCH($N446,Species_Names,0))&lt;&gt;1),"N/A",RANK($S446,IF(NOT(ISNA(MATCH(Combo_Species_Names,IF(Species_Availability="Yes",IF(Species_Evo_Numbers=1,Species_Names)),0))),Combo_Gym_Offense),0))</f>
        <v>N/A</v>
      </c>
      <c r="J446" s="24" t="str">
        <f t="array" ref="J446">IF(OR(INDEX(Species_Availability,MATCH($N446,Species_Names,0))="No",INDEX(Species_Evo_Numbers,MATCH($N446,Species_Names,0))&lt;&gt;1),"N/A",$S446/MAX(IF(NOT(ISNA(MATCH(Combo_Species_Names,IF(Species_Availability="Yes",IF(Species_Evo_Numbers=1,Species_Names)),0))),Combo_Gym_Offense)))</f>
        <v>N/A</v>
      </c>
      <c r="K446" s="23" t="str">
        <f t="array" ref="K446">IF(OR(INDEX(Species_Availability,MATCH($N446,Species_Names,0))="No",INDEX(Species_Evo_Numbers,MATCH($N446,Species_Names,0))&lt;&gt;1),"N/A",RANK($Y446,IF(NOT(ISNA(MATCH(Combo_Species_Names,IF(Species_Availability="Yes",IF(Species_Evo_Numbers=1,Species_Names)),0))),Combo_Gym_Defense),0))</f>
        <v>N/A</v>
      </c>
      <c r="L446" s="24" t="str">
        <f t="array" ref="L446">IF(OR(INDEX(Species_Availability,MATCH($N446,Species_Names,0))="No",INDEX(Species_Evo_Numbers,MATCH($N446,Species_Names,0))&lt;&gt;1),"N/A",$Y446/MAX(IF(NOT(ISNA(MATCH(Combo_Species_Names,IF(Species_Availability="Yes",IF(Species_Evo_Numbers=1,Species_Names)),0))),Combo_Gym_Defense)))</f>
        <v>N/A</v>
      </c>
      <c r="M446" s="28">
        <f t="array" ref="M446">INDEX(Species_Pdex_Numbers,MATCH($N446,Species_Names,0))</f>
        <v>150</v>
      </c>
      <c r="N446" s="30" t="s">
        <v>366</v>
      </c>
      <c r="O446" s="31" t="s">
        <v>57</v>
      </c>
      <c r="P446" s="31" t="s">
        <v>130</v>
      </c>
      <c r="Q446" s="17" t="e">
        <f t="shared" si="12"/>
        <v>#VALUE!</v>
      </c>
      <c r="R446" s="32" t="e">
        <f t="array" ref="R446">IF(OR(AND(COUNTBLANK(Combo_Opponent_Type_1)=1,COUNTBLANK(Combo_Opponent_Type_2)=0),AND(AND(COUNTBLANK(Combo_Opponent_Type_1)=0,COUNTBLANK(Combo_Opponent_Type_2)=0),Combo_Opponent_Type_1=Combo_Opponent_Type_2)),
"Check Types",($S446*INDEX(Species_Tankiness,MATCH($N446,Species_Names,0)))/225)</f>
        <v>#VALUE!</v>
      </c>
      <c r="S446" s="32" t="e">
        <f t="array" ref="S446">IF(OR(AND(COUNTBLANK(Combo_Opponent_Type_1)=1,COUNTBLANK(Combo_Opponent_Type_2)=0),AND(AND(COUNTBLANK(Combo_Opponent_Type_1)=0,COUNTBLANK(Combo_Opponent_Type_2)=0),Combo_Opponent_Type_1=Combo_Opponent_Type_2)),
"Check Types",(
IF($W446&gt;=((1-Game_Weave_Human_Error)*$X446),$W446,$X446)*INDEX(Species_Attack,MATCH($N446,Species_Names,0)))/11)</f>
        <v>#VALUE!</v>
      </c>
      <c r="T446" s="33" t="e">
        <f t="shared" si="13"/>
        <v>#VALUE!</v>
      </c>
      <c r="U446" s="33">
        <f t="array" ref="U4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446,Quick_Names,0))),Type_Species)),0),1)*IF(COUNTBLANK(Combo_Opponent_Type_2)=0,INDEX(Type_Damage_Multipliers,MATCH(Combo_Opponent_Type_2,IF(Type_Move=(INDEX(Quick_Type,MATCH($O446,Quick_Names,0))),Type_Species)),0),1)*(IF(OR(INDEX(Quick_Type,MATCH($O446,Quick_Names,0))=INDEX(Species_Type_1,MATCH($N446,Species_Names,0)),INDEX(Quick_Type,MATCH($O446,Quick_Names,0))=INDEX(Species_Type_2,MATCH($N446,Species_Names,0))),Game_STAB_Multiplier,1)))</f>
        <v>1.25</v>
      </c>
      <c r="V446" s="33">
        <f t="array" ref="V4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446,Charge_Names,0))),Type_Species)),0),1)*IF(COUNTBLANK(Combo_Opponent_Type_2)=0,INDEX(Type_Damage_Multipliers,MATCH(Combo_Opponent_Type_2,IF(Type_Move=(INDEX(Charge_Type,MATCH($P446,Charge_Names,0))),Type_Species)),0),1)*
IF(OR(INDEX(Charge_Type,MATCH($P446,Charge_Names,0))=INDEX(Species_Type_1,MATCH($N446,Species_Names,0)),INDEX(Charge_Type,MATCH($P446,Charge_Names,0))=INDEX(Species_Type_2,MATCH($N446,Species_Names,0))),Game_STAB_Multiplier,1))</f>
        <v>1</v>
      </c>
      <c r="W446" s="33" t="s">
        <v>753</v>
      </c>
      <c r="X446" s="33" t="s">
        <v>940</v>
      </c>
      <c r="Y446" s="32" t="e">
        <f t="array" ref="Y446">((($Z446)*
INDEX(Species_Attack,MATCH($N446,Species_Names,0))*
INDEX(Species_Tankiness,MATCH($N446,Species_Names,0)))/1000)</f>
        <v>#VALUE!</v>
      </c>
      <c r="Z446" s="33" t="s">
        <v>941</v>
      </c>
    </row>
    <row r="447" spans="1:26" ht="14.25" customHeight="1" x14ac:dyDescent="0.2">
      <c r="A447" s="86"/>
      <c r="B447" s="22" t="str">
        <f t="array" ref="B447">CONCATENATE(TEXT($M447,"000"),".",TEXT(INDEX(Quick_Number,MATCH($O447,Quick_Names,0)),"000"),".",TEXT(INDEX(Charge_Number,MATCH($P447,Charge_Names,0)),"000"))</f>
        <v>150.226.108</v>
      </c>
      <c r="C447" s="23" t="e">
        <f t="array" ref="C447">RANK($S447,IF(Combo_Species_Names=$N447,Combo_Gym_Offense),0)</f>
        <v>#VALUE!</v>
      </c>
      <c r="D447" s="24" t="e">
        <f t="array" ref="D447">$S447/MAX(IF(Combo_Species_Names=$N447,Combo_Gym_Offense))</f>
        <v>#VALUE!</v>
      </c>
      <c r="E447" s="23" t="e">
        <f t="array" ref="E447">RANK($Y447,IF(Combo_Species_Names=$N447,Combo_Gym_Defense),0)</f>
        <v>#VALUE!</v>
      </c>
      <c r="F447" s="25" t="e">
        <f t="array" ref="F447">$Y447/MAX(IF(Combo_Species_Names=$N447,Combo_Gym_Defense))</f>
        <v>#VALUE!</v>
      </c>
      <c r="G447" s="23" t="str">
        <f t="array" ref="G447">IF(OR(INDEX(Species_Availability,MATCH($N447,Species_Names,0))="No",INDEX(Species_Evo_Numbers,MATCH($N447,Species_Names,0))&lt;&gt;1),"N/A",RANK($R447,IF(NOT(ISNA(MATCH(Combo_Species_Names,IF(Species_Availability="Yes",IF(Species_Evo_Numbers=1,Species_Names)),0))),Combo_Duel_Ability),0))</f>
        <v>N/A</v>
      </c>
      <c r="H447" s="24" t="str">
        <f t="array" ref="H447">IF(OR(INDEX(Species_Availability,MATCH($N447,Species_Names,0))="No",INDEX(Species_Evo_Numbers,MATCH($N447,Species_Names,0))&lt;&gt;1),"N/A",$R447/MAX(IF(NOT(ISNA(MATCH(Combo_Species_Names,IF(Species_Availability="Yes",IF(Species_Evo_Numbers=1,Species_Names)),0))),Combo_Duel_Ability)))</f>
        <v>N/A</v>
      </c>
      <c r="I447" s="23" t="str">
        <f t="array" ref="I447">IF(OR(INDEX(Species_Availability,MATCH($N447,Species_Names,0))="No",INDEX(Species_Evo_Numbers,MATCH($N447,Species_Names,0))&lt;&gt;1),"N/A",RANK($S447,IF(NOT(ISNA(MATCH(Combo_Species_Names,IF(Species_Availability="Yes",IF(Species_Evo_Numbers=1,Species_Names)),0))),Combo_Gym_Offense),0))</f>
        <v>N/A</v>
      </c>
      <c r="J447" s="24" t="str">
        <f t="array" ref="J447">IF(OR(INDEX(Species_Availability,MATCH($N447,Species_Names,0))="No",INDEX(Species_Evo_Numbers,MATCH($N447,Species_Names,0))&lt;&gt;1),"N/A",$S447/MAX(IF(NOT(ISNA(MATCH(Combo_Species_Names,IF(Species_Availability="Yes",IF(Species_Evo_Numbers=1,Species_Names)),0))),Combo_Gym_Offense)))</f>
        <v>N/A</v>
      </c>
      <c r="K447" s="23" t="str">
        <f t="array" ref="K447">IF(OR(INDEX(Species_Availability,MATCH($N447,Species_Names,0))="No",INDEX(Species_Evo_Numbers,MATCH($N447,Species_Names,0))&lt;&gt;1),"N/A",RANK($Y447,IF(NOT(ISNA(MATCH(Combo_Species_Names,IF(Species_Availability="Yes",IF(Species_Evo_Numbers=1,Species_Names)),0))),Combo_Gym_Defense),0))</f>
        <v>N/A</v>
      </c>
      <c r="L447" s="24" t="str">
        <f t="array" ref="L447">IF(OR(INDEX(Species_Availability,MATCH($N447,Species_Names,0))="No",INDEX(Species_Evo_Numbers,MATCH($N447,Species_Names,0))&lt;&gt;1),"N/A",$Y447/MAX(IF(NOT(ISNA(MATCH(Combo_Species_Names,IF(Species_Availability="Yes",IF(Species_Evo_Numbers=1,Species_Names)),0))),Combo_Gym_Defense)))</f>
        <v>N/A</v>
      </c>
      <c r="M447" s="28">
        <f t="array" ref="M447">INDEX(Species_Pdex_Numbers,MATCH($N447,Species_Names,0))</f>
        <v>150</v>
      </c>
      <c r="N447" s="30" t="s">
        <v>366</v>
      </c>
      <c r="O447" s="31" t="s">
        <v>57</v>
      </c>
      <c r="P447" s="31" t="s">
        <v>58</v>
      </c>
      <c r="Q447" s="17" t="e">
        <f t="shared" si="12"/>
        <v>#VALUE!</v>
      </c>
      <c r="R447" s="32" t="e">
        <f t="array" ref="R447">IF(OR(AND(COUNTBLANK(Combo_Opponent_Type_1)=1,COUNTBLANK(Combo_Opponent_Type_2)=0),AND(AND(COUNTBLANK(Combo_Opponent_Type_1)=0,COUNTBLANK(Combo_Opponent_Type_2)=0),Combo_Opponent_Type_1=Combo_Opponent_Type_2)),
"Check Types",($S447*INDEX(Species_Tankiness,MATCH($N447,Species_Names,0)))/225)</f>
        <v>#VALUE!</v>
      </c>
      <c r="S447" s="32" t="e">
        <f t="array" ref="S447">IF(OR(AND(COUNTBLANK(Combo_Opponent_Type_1)=1,COUNTBLANK(Combo_Opponent_Type_2)=0),AND(AND(COUNTBLANK(Combo_Opponent_Type_1)=0,COUNTBLANK(Combo_Opponent_Type_2)=0),Combo_Opponent_Type_1=Combo_Opponent_Type_2)),
"Check Types",(
IF($W447&gt;=((1-Game_Weave_Human_Error)*$X447),$W447,$X447)*INDEX(Species_Attack,MATCH($N447,Species_Names,0)))/11)</f>
        <v>#VALUE!</v>
      </c>
      <c r="T447" s="33" t="e">
        <f t="shared" si="13"/>
        <v>#VALUE!</v>
      </c>
      <c r="U447" s="33">
        <f t="array" ref="U4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447,Quick_Names,0))),Type_Species)),0),1)*IF(COUNTBLANK(Combo_Opponent_Type_2)=0,INDEX(Type_Damage_Multipliers,MATCH(Combo_Opponent_Type_2,IF(Type_Move=(INDEX(Quick_Type,MATCH($O447,Quick_Names,0))),Type_Species)),0),1)*(IF(OR(INDEX(Quick_Type,MATCH($O447,Quick_Names,0))=INDEX(Species_Type_1,MATCH($N447,Species_Names,0)),INDEX(Quick_Type,MATCH($O447,Quick_Names,0))=INDEX(Species_Type_2,MATCH($N447,Species_Names,0))),Game_STAB_Multiplier,1)))</f>
        <v>1.25</v>
      </c>
      <c r="V447" s="33">
        <f t="array" ref="V4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447,Charge_Names,0))),Type_Species)),0),1)*IF(COUNTBLANK(Combo_Opponent_Type_2)=0,INDEX(Type_Damage_Multipliers,MATCH(Combo_Opponent_Type_2,IF(Type_Move=(INDEX(Charge_Type,MATCH($P447,Charge_Names,0))),Type_Species)),0),1)*
IF(OR(INDEX(Charge_Type,MATCH($P447,Charge_Names,0))=INDEX(Species_Type_1,MATCH($N447,Species_Names,0)),INDEX(Charge_Type,MATCH($P447,Charge_Names,0))=INDEX(Species_Type_2,MATCH($N447,Species_Names,0))),Game_STAB_Multiplier,1))</f>
        <v>1.25</v>
      </c>
      <c r="W447" s="33" t="s">
        <v>753</v>
      </c>
      <c r="X447" s="33" t="s">
        <v>754</v>
      </c>
      <c r="Y447" s="32" t="e">
        <f t="array" ref="Y447">((($Z447)*
INDEX(Species_Attack,MATCH($N447,Species_Names,0))*
INDEX(Species_Tankiness,MATCH($N447,Species_Names,0)))/1000)</f>
        <v>#VALUE!</v>
      </c>
      <c r="Z447" s="33" t="s">
        <v>557</v>
      </c>
    </row>
    <row r="448" spans="1:26" ht="14.25" customHeight="1" x14ac:dyDescent="0.2">
      <c r="A448" s="86"/>
      <c r="B448" s="22" t="str">
        <f t="array" ref="B448">CONCATENATE(TEXT($M448,"000"),".",TEXT(INDEX(Quick_Number,MATCH($O448,Quick_Names,0)),"000"),".",TEXT(INDEX(Charge_Number,MATCH($P448,Charge_Names,0)),"000"))</f>
        <v>150.226.070</v>
      </c>
      <c r="C448" s="23" t="e">
        <f t="array" ref="C448">RANK($S448,IF(Combo_Species_Names=$N448,Combo_Gym_Offense),0)</f>
        <v>#VALUE!</v>
      </c>
      <c r="D448" s="24" t="e">
        <f t="array" ref="D448">$S448/MAX(IF(Combo_Species_Names=$N448,Combo_Gym_Offense))</f>
        <v>#VALUE!</v>
      </c>
      <c r="E448" s="23" t="e">
        <f t="array" ref="E448">RANK($Y448,IF(Combo_Species_Names=$N448,Combo_Gym_Defense),0)</f>
        <v>#VALUE!</v>
      </c>
      <c r="F448" s="25" t="e">
        <f t="array" ref="F448">$Y448/MAX(IF(Combo_Species_Names=$N448,Combo_Gym_Defense))</f>
        <v>#VALUE!</v>
      </c>
      <c r="G448" s="23" t="str">
        <f t="array" ref="G448">IF(OR(INDEX(Species_Availability,MATCH($N448,Species_Names,0))="No",INDEX(Species_Evo_Numbers,MATCH($N448,Species_Names,0))&lt;&gt;1),"N/A",RANK($R448,IF(NOT(ISNA(MATCH(Combo_Species_Names,IF(Species_Availability="Yes",IF(Species_Evo_Numbers=1,Species_Names)),0))),Combo_Duel_Ability),0))</f>
        <v>N/A</v>
      </c>
      <c r="H448" s="24" t="str">
        <f t="array" ref="H448">IF(OR(INDEX(Species_Availability,MATCH($N448,Species_Names,0))="No",INDEX(Species_Evo_Numbers,MATCH($N448,Species_Names,0))&lt;&gt;1),"N/A",$R448/MAX(IF(NOT(ISNA(MATCH(Combo_Species_Names,IF(Species_Availability="Yes",IF(Species_Evo_Numbers=1,Species_Names)),0))),Combo_Duel_Ability)))</f>
        <v>N/A</v>
      </c>
      <c r="I448" s="23" t="str">
        <f t="array" ref="I448">IF(OR(INDEX(Species_Availability,MATCH($N448,Species_Names,0))="No",INDEX(Species_Evo_Numbers,MATCH($N448,Species_Names,0))&lt;&gt;1),"N/A",RANK($S448,IF(NOT(ISNA(MATCH(Combo_Species_Names,IF(Species_Availability="Yes",IF(Species_Evo_Numbers=1,Species_Names)),0))),Combo_Gym_Offense),0))</f>
        <v>N/A</v>
      </c>
      <c r="J448" s="24" t="str">
        <f t="array" ref="J448">IF(OR(INDEX(Species_Availability,MATCH($N448,Species_Names,0))="No",INDEX(Species_Evo_Numbers,MATCH($N448,Species_Names,0))&lt;&gt;1),"N/A",$S448/MAX(IF(NOT(ISNA(MATCH(Combo_Species_Names,IF(Species_Availability="Yes",IF(Species_Evo_Numbers=1,Species_Names)),0))),Combo_Gym_Offense)))</f>
        <v>N/A</v>
      </c>
      <c r="K448" s="23" t="str">
        <f t="array" ref="K448">IF(OR(INDEX(Species_Availability,MATCH($N448,Species_Names,0))="No",INDEX(Species_Evo_Numbers,MATCH($N448,Species_Names,0))&lt;&gt;1),"N/A",RANK($Y448,IF(NOT(ISNA(MATCH(Combo_Species_Names,IF(Species_Availability="Yes",IF(Species_Evo_Numbers=1,Species_Names)),0))),Combo_Gym_Defense),0))</f>
        <v>N/A</v>
      </c>
      <c r="L448" s="24" t="str">
        <f t="array" ref="L448">IF(OR(INDEX(Species_Availability,MATCH($N448,Species_Names,0))="No",INDEX(Species_Evo_Numbers,MATCH($N448,Species_Names,0))&lt;&gt;1),"N/A",$Y448/MAX(IF(NOT(ISNA(MATCH(Combo_Species_Names,IF(Species_Availability="Yes",IF(Species_Evo_Numbers=1,Species_Names)),0))),Combo_Gym_Defense)))</f>
        <v>N/A</v>
      </c>
      <c r="M448" s="28">
        <f t="array" ref="M448">INDEX(Species_Pdex_Numbers,MATCH($N448,Species_Names,0))</f>
        <v>150</v>
      </c>
      <c r="N448" s="30" t="s">
        <v>366</v>
      </c>
      <c r="O448" s="31" t="s">
        <v>57</v>
      </c>
      <c r="P448" s="31" t="s">
        <v>234</v>
      </c>
      <c r="Q448" s="17" t="e">
        <f t="shared" si="12"/>
        <v>#VALUE!</v>
      </c>
      <c r="R448" s="32" t="e">
        <f t="array" ref="R448">IF(OR(AND(COUNTBLANK(Combo_Opponent_Type_1)=1,COUNTBLANK(Combo_Opponent_Type_2)=0),AND(AND(COUNTBLANK(Combo_Opponent_Type_1)=0,COUNTBLANK(Combo_Opponent_Type_2)=0),Combo_Opponent_Type_1=Combo_Opponent_Type_2)),
"Check Types",($S448*INDEX(Species_Tankiness,MATCH($N448,Species_Names,0)))/225)</f>
        <v>#VALUE!</v>
      </c>
      <c r="S448" s="32" t="e">
        <f t="array" ref="S448">IF(OR(AND(COUNTBLANK(Combo_Opponent_Type_1)=1,COUNTBLANK(Combo_Opponent_Type_2)=0),AND(AND(COUNTBLANK(Combo_Opponent_Type_1)=0,COUNTBLANK(Combo_Opponent_Type_2)=0),Combo_Opponent_Type_1=Combo_Opponent_Type_2)),
"Check Types",(
IF($W448&gt;=((1-Game_Weave_Human_Error)*$X448),$W448,$X448)*INDEX(Species_Attack,MATCH($N448,Species_Names,0)))/11)</f>
        <v>#VALUE!</v>
      </c>
      <c r="T448" s="33" t="e">
        <f t="shared" si="13"/>
        <v>#VALUE!</v>
      </c>
      <c r="U448" s="33">
        <f t="array" ref="U4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448,Quick_Names,0))),Type_Species)),0),1)*IF(COUNTBLANK(Combo_Opponent_Type_2)=0,INDEX(Type_Damage_Multipliers,MATCH(Combo_Opponent_Type_2,IF(Type_Move=(INDEX(Quick_Type,MATCH($O448,Quick_Names,0))),Type_Species)),0),1)*(IF(OR(INDEX(Quick_Type,MATCH($O448,Quick_Names,0))=INDEX(Species_Type_1,MATCH($N448,Species_Names,0)),INDEX(Quick_Type,MATCH($O448,Quick_Names,0))=INDEX(Species_Type_2,MATCH($N448,Species_Names,0))),Game_STAB_Multiplier,1)))</f>
        <v>1.25</v>
      </c>
      <c r="V448" s="33">
        <f t="array" ref="V4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448,Charge_Names,0))),Type_Species)),0),1)*IF(COUNTBLANK(Combo_Opponent_Type_2)=0,INDEX(Type_Damage_Multipliers,MATCH(Combo_Opponent_Type_2,IF(Type_Move=(INDEX(Charge_Type,MATCH($P448,Charge_Names,0))),Type_Species)),0),1)*
IF(OR(INDEX(Charge_Type,MATCH($P448,Charge_Names,0))=INDEX(Species_Type_1,MATCH($N448,Species_Names,0)),INDEX(Charge_Type,MATCH($P448,Charge_Names,0))=INDEX(Species_Type_2,MATCH($N448,Species_Names,0))),Game_STAB_Multiplier,1))</f>
        <v>1</v>
      </c>
      <c r="W448" s="33" t="s">
        <v>753</v>
      </c>
      <c r="X448" s="33" t="s">
        <v>802</v>
      </c>
      <c r="Y448" s="32" t="e">
        <f t="array" ref="Y448">((($Z448)*
INDEX(Species_Attack,MATCH($N448,Species_Names,0))*
INDEX(Species_Tankiness,MATCH($N448,Species_Names,0)))/1000)</f>
        <v>#VALUE!</v>
      </c>
      <c r="Z448" s="33" t="s">
        <v>803</v>
      </c>
    </row>
    <row r="449" spans="1:26" ht="14.25" customHeight="1" x14ac:dyDescent="0.2">
      <c r="A449" s="86"/>
      <c r="B449" s="22" t="str">
        <f t="array" ref="B449">CONCATENATE(TEXT($M449,"000"),".",TEXT(INDEX(Quick_Number,MATCH($O449,Quick_Names,0)),"000"),".",TEXT(INDEX(Charge_Number,MATCH($P449,Charge_Names,0)),"000"))</f>
        <v>150.235.108</v>
      </c>
      <c r="C449" s="23" t="e">
        <f t="array" ref="C449">RANK($S449,IF(Combo_Species_Names=$N449,Combo_Gym_Offense),0)</f>
        <v>#VALUE!</v>
      </c>
      <c r="D449" s="24" t="e">
        <f t="array" ref="D449">$S449/MAX(IF(Combo_Species_Names=$N449,Combo_Gym_Offense))</f>
        <v>#VALUE!</v>
      </c>
      <c r="E449" s="23" t="e">
        <f t="array" ref="E449">RANK($Y449,IF(Combo_Species_Names=$N449,Combo_Gym_Defense),0)</f>
        <v>#VALUE!</v>
      </c>
      <c r="F449" s="25" t="e">
        <f t="array" ref="F449">$Y449/MAX(IF(Combo_Species_Names=$N449,Combo_Gym_Defense))</f>
        <v>#VALUE!</v>
      </c>
      <c r="G449" s="23" t="str">
        <f t="array" ref="G449">IF(OR(INDEX(Species_Availability,MATCH($N449,Species_Names,0))="No",INDEX(Species_Evo_Numbers,MATCH($N449,Species_Names,0))&lt;&gt;1),"N/A",RANK($R449,IF(NOT(ISNA(MATCH(Combo_Species_Names,IF(Species_Availability="Yes",IF(Species_Evo_Numbers=1,Species_Names)),0))),Combo_Duel_Ability),0))</f>
        <v>N/A</v>
      </c>
      <c r="H449" s="24" t="str">
        <f t="array" ref="H449">IF(OR(INDEX(Species_Availability,MATCH($N449,Species_Names,0))="No",INDEX(Species_Evo_Numbers,MATCH($N449,Species_Names,0))&lt;&gt;1),"N/A",$R449/MAX(IF(NOT(ISNA(MATCH(Combo_Species_Names,IF(Species_Availability="Yes",IF(Species_Evo_Numbers=1,Species_Names)),0))),Combo_Duel_Ability)))</f>
        <v>N/A</v>
      </c>
      <c r="I449" s="23" t="str">
        <f t="array" ref="I449">IF(OR(INDEX(Species_Availability,MATCH($N449,Species_Names,0))="No",INDEX(Species_Evo_Numbers,MATCH($N449,Species_Names,0))&lt;&gt;1),"N/A",RANK($S449,IF(NOT(ISNA(MATCH(Combo_Species_Names,IF(Species_Availability="Yes",IF(Species_Evo_Numbers=1,Species_Names)),0))),Combo_Gym_Offense),0))</f>
        <v>N/A</v>
      </c>
      <c r="J449" s="24" t="str">
        <f t="array" ref="J449">IF(OR(INDEX(Species_Availability,MATCH($N449,Species_Names,0))="No",INDEX(Species_Evo_Numbers,MATCH($N449,Species_Names,0))&lt;&gt;1),"N/A",$S449/MAX(IF(NOT(ISNA(MATCH(Combo_Species_Names,IF(Species_Availability="Yes",IF(Species_Evo_Numbers=1,Species_Names)),0))),Combo_Gym_Offense)))</f>
        <v>N/A</v>
      </c>
      <c r="K449" s="23" t="str">
        <f t="array" ref="K449">IF(OR(INDEX(Species_Availability,MATCH($N449,Species_Names,0))="No",INDEX(Species_Evo_Numbers,MATCH($N449,Species_Names,0))&lt;&gt;1),"N/A",RANK($Y449,IF(NOT(ISNA(MATCH(Combo_Species_Names,IF(Species_Availability="Yes",IF(Species_Evo_Numbers=1,Species_Names)),0))),Combo_Gym_Defense),0))</f>
        <v>N/A</v>
      </c>
      <c r="L449" s="24" t="str">
        <f t="array" ref="L449">IF(OR(INDEX(Species_Availability,MATCH($N449,Species_Names,0))="No",INDEX(Species_Evo_Numbers,MATCH($N449,Species_Names,0))&lt;&gt;1),"N/A",$Y449/MAX(IF(NOT(ISNA(MATCH(Combo_Species_Names,IF(Species_Availability="Yes",IF(Species_Evo_Numbers=1,Species_Names)),0))),Combo_Gym_Defense)))</f>
        <v>N/A</v>
      </c>
      <c r="M449" s="28">
        <f t="array" ref="M449">INDEX(Species_Pdex_Numbers,MATCH($N449,Species_Names,0))</f>
        <v>150</v>
      </c>
      <c r="N449" s="30" t="s">
        <v>366</v>
      </c>
      <c r="O449" s="31" t="s">
        <v>108</v>
      </c>
      <c r="P449" s="31" t="s">
        <v>58</v>
      </c>
      <c r="Q449" s="17" t="e">
        <f t="shared" si="12"/>
        <v>#VALUE!</v>
      </c>
      <c r="R449" s="32" t="e">
        <f t="array" ref="R449">IF(OR(AND(COUNTBLANK(Combo_Opponent_Type_1)=1,COUNTBLANK(Combo_Opponent_Type_2)=0),AND(AND(COUNTBLANK(Combo_Opponent_Type_1)=0,COUNTBLANK(Combo_Opponent_Type_2)=0),Combo_Opponent_Type_1=Combo_Opponent_Type_2)),
"Check Types",($S449*INDEX(Species_Tankiness,MATCH($N449,Species_Names,0)))/225)</f>
        <v>#VALUE!</v>
      </c>
      <c r="S449" s="32" t="e">
        <f t="array" ref="S449">IF(OR(AND(COUNTBLANK(Combo_Opponent_Type_1)=1,COUNTBLANK(Combo_Opponent_Type_2)=0),AND(AND(COUNTBLANK(Combo_Opponent_Type_1)=0,COUNTBLANK(Combo_Opponent_Type_2)=0),Combo_Opponent_Type_1=Combo_Opponent_Type_2)),
"Check Types",(
IF($W449&gt;=((1-Game_Weave_Human_Error)*$X449),$W449,$X449)*INDEX(Species_Attack,MATCH($N449,Species_Names,0)))/11)</f>
        <v>#VALUE!</v>
      </c>
      <c r="T449" s="33" t="e">
        <f t="shared" si="13"/>
        <v>#VALUE!</v>
      </c>
      <c r="U449" s="33">
        <f t="array" ref="U4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449,Quick_Names,0))),Type_Species)),0),1)*IF(COUNTBLANK(Combo_Opponent_Type_2)=0,INDEX(Type_Damage_Multipliers,MATCH(Combo_Opponent_Type_2,IF(Type_Move=(INDEX(Quick_Type,MATCH($O449,Quick_Names,0))),Type_Species)),0),1)*(IF(OR(INDEX(Quick_Type,MATCH($O449,Quick_Names,0))=INDEX(Species_Type_1,MATCH($N449,Species_Names,0)),INDEX(Quick_Type,MATCH($O449,Quick_Names,0))=INDEX(Species_Type_2,MATCH($N449,Species_Names,0))),Game_STAB_Multiplier,1)))</f>
        <v>1.25</v>
      </c>
      <c r="V449" s="33">
        <f t="array" ref="V4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449,Charge_Names,0))),Type_Species)),0),1)*IF(COUNTBLANK(Combo_Opponent_Type_2)=0,INDEX(Type_Damage_Multipliers,MATCH(Combo_Opponent_Type_2,IF(Type_Move=(INDEX(Charge_Type,MATCH($P449,Charge_Names,0))),Type_Species)),0),1)*
IF(OR(INDEX(Charge_Type,MATCH($P449,Charge_Names,0))=INDEX(Species_Type_1,MATCH($N449,Species_Names,0)),INDEX(Charge_Type,MATCH($P449,Charge_Names,0))=INDEX(Species_Type_2,MATCH($N449,Species_Names,0))),Game_STAB_Multiplier,1))</f>
        <v>1.25</v>
      </c>
      <c r="W449" s="33" t="s">
        <v>467</v>
      </c>
      <c r="X449" s="33" t="s">
        <v>495</v>
      </c>
      <c r="Y449" s="32" t="e">
        <f t="array" ref="Y449">((($Z449)*
INDEX(Species_Attack,MATCH($N449,Species_Names,0))*
INDEX(Species_Tankiness,MATCH($N449,Species_Names,0)))/1000)</f>
        <v>#VALUE!</v>
      </c>
      <c r="Z449" s="33" t="s">
        <v>440</v>
      </c>
    </row>
    <row r="450" spans="1:26" ht="14.25" customHeight="1" x14ac:dyDescent="0.2">
      <c r="A450" s="86"/>
      <c r="B450" s="87" t="str">
        <f t="array" ref="B450">CONCATENATE(TEXT($M450,"000"),".",TEXT(INDEX(Quick_Number,MATCH($O450,Quick_Names,0)),"000"),".",TEXT(INDEX(Charge_Number,MATCH($P450,Charge_Names,0)),"000"))</f>
        <v>150.235.014</v>
      </c>
      <c r="C450" s="88" t="e">
        <f t="array" ref="C450">RANK($S450,IF(Combo_Species_Names=$N450,Combo_Gym_Offense),0)</f>
        <v>#VALUE!</v>
      </c>
      <c r="D450" s="27" t="e">
        <f t="array" ref="D450">$S450/MAX(IF(Combo_Species_Names=$N450,Combo_Gym_Offense))</f>
        <v>#VALUE!</v>
      </c>
      <c r="E450" s="88" t="e">
        <f t="array" ref="E450">RANK($Y450,IF(Combo_Species_Names=$N450,Combo_Gym_Defense),0)</f>
        <v>#VALUE!</v>
      </c>
      <c r="F450" s="89" t="e">
        <f t="array" ref="F450">$Y450/MAX(IF(Combo_Species_Names=$N450,Combo_Gym_Defense))</f>
        <v>#VALUE!</v>
      </c>
      <c r="G450" s="23" t="str">
        <f t="array" ref="G450">IF(OR(INDEX(Species_Availability,MATCH($N450,Species_Names,0))="No",INDEX(Species_Evo_Numbers,MATCH($N450,Species_Names,0))&lt;&gt;1),"N/A",RANK($R450,IF(NOT(ISNA(MATCH(Combo_Species_Names,IF(Species_Availability="Yes",IF(Species_Evo_Numbers=1,Species_Names)),0))),Combo_Duel_Ability),0))</f>
        <v>N/A</v>
      </c>
      <c r="H450" s="24" t="str">
        <f t="array" ref="H450">IF(OR(INDEX(Species_Availability,MATCH($N450,Species_Names,0))="No",INDEX(Species_Evo_Numbers,MATCH($N450,Species_Names,0))&lt;&gt;1),"N/A",$R450/MAX(IF(NOT(ISNA(MATCH(Combo_Species_Names,IF(Species_Availability="Yes",IF(Species_Evo_Numbers=1,Species_Names)),0))),Combo_Duel_Ability)))</f>
        <v>N/A</v>
      </c>
      <c r="I450" s="88" t="str">
        <f t="array" ref="I450">IF(OR(INDEX(Species_Availability,MATCH($N450,Species_Names,0))="No",INDEX(Species_Evo_Numbers,MATCH($N450,Species_Names,0))&lt;&gt;1),"N/A",RANK($S450,IF(NOT(ISNA(MATCH(Combo_Species_Names,IF(Species_Availability="Yes",IF(Species_Evo_Numbers=1,Species_Names)),0))),Combo_Gym_Offense),0))</f>
        <v>N/A</v>
      </c>
      <c r="J450" s="27" t="str">
        <f t="array" ref="J450">IF(OR(INDEX(Species_Availability,MATCH($N450,Species_Names,0))="No",INDEX(Species_Evo_Numbers,MATCH($N450,Species_Names,0))&lt;&gt;1),"N/A",$S450/MAX(IF(NOT(ISNA(MATCH(Combo_Species_Names,IF(Species_Availability="Yes",IF(Species_Evo_Numbers=1,Species_Names)),0))),Combo_Gym_Offense)))</f>
        <v>N/A</v>
      </c>
      <c r="K450" s="23" t="str">
        <f t="array" ref="K450">IF(OR(INDEX(Species_Availability,MATCH($N450,Species_Names,0))="No",INDEX(Species_Evo_Numbers,MATCH($N450,Species_Names,0))&lt;&gt;1),"N/A",RANK($Y450,IF(NOT(ISNA(MATCH(Combo_Species_Names,IF(Species_Availability="Yes",IF(Species_Evo_Numbers=1,Species_Names)),0))),Combo_Gym_Defense),0))</f>
        <v>N/A</v>
      </c>
      <c r="L450" s="24" t="str">
        <f t="array" ref="L450">IF(OR(INDEX(Species_Availability,MATCH($N450,Species_Names,0))="No",INDEX(Species_Evo_Numbers,MATCH($N450,Species_Names,0))&lt;&gt;1),"N/A",$Y450/MAX(IF(NOT(ISNA(MATCH(Combo_Species_Names,IF(Species_Availability="Yes",IF(Species_Evo_Numbers=1,Species_Names)),0))),Combo_Gym_Defense)))</f>
        <v>N/A</v>
      </c>
      <c r="M450" s="28">
        <f t="array" ref="M450">INDEX(Species_Pdex_Numbers,MATCH($N450,Species_Names,0))</f>
        <v>150</v>
      </c>
      <c r="N450" s="30" t="s">
        <v>366</v>
      </c>
      <c r="O450" s="31" t="s">
        <v>108</v>
      </c>
      <c r="P450" s="31" t="s">
        <v>130</v>
      </c>
      <c r="Q450" s="17" t="e">
        <f t="shared" si="12"/>
        <v>#VALUE!</v>
      </c>
      <c r="R450" s="32" t="e">
        <f t="array" ref="R450">IF(OR(AND(COUNTBLANK(Combo_Opponent_Type_1)=1,COUNTBLANK(Combo_Opponent_Type_2)=0),AND(AND(COUNTBLANK(Combo_Opponent_Type_1)=0,COUNTBLANK(Combo_Opponent_Type_2)=0),Combo_Opponent_Type_1=Combo_Opponent_Type_2)),
"Check Types",($S450*INDEX(Species_Tankiness,MATCH($N450,Species_Names,0)))/225)</f>
        <v>#VALUE!</v>
      </c>
      <c r="S450" s="32" t="e">
        <f t="array" ref="S450">IF(OR(AND(COUNTBLANK(Combo_Opponent_Type_1)=1,COUNTBLANK(Combo_Opponent_Type_2)=0),AND(AND(COUNTBLANK(Combo_Opponent_Type_1)=0,COUNTBLANK(Combo_Opponent_Type_2)=0),Combo_Opponent_Type_1=Combo_Opponent_Type_2)),
"Check Types",(
IF($W450&gt;=((1-Game_Weave_Human_Error)*$X450),$W450,$X450)*INDEX(Species_Attack,MATCH($N450,Species_Names,0)))/11)</f>
        <v>#VALUE!</v>
      </c>
      <c r="T450" s="33" t="e">
        <f t="shared" si="13"/>
        <v>#VALUE!</v>
      </c>
      <c r="U450" s="33">
        <f t="array" ref="U4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450,Quick_Names,0))),Type_Species)),0),1)*IF(COUNTBLANK(Combo_Opponent_Type_2)=0,INDEX(Type_Damage_Multipliers,MATCH(Combo_Opponent_Type_2,IF(Type_Move=(INDEX(Quick_Type,MATCH($O450,Quick_Names,0))),Type_Species)),0),1)*(IF(OR(INDEX(Quick_Type,MATCH($O450,Quick_Names,0))=INDEX(Species_Type_1,MATCH($N450,Species_Names,0)),INDEX(Quick_Type,MATCH($O450,Quick_Names,0))=INDEX(Species_Type_2,MATCH($N450,Species_Names,0))),Game_STAB_Multiplier,1)))</f>
        <v>1.25</v>
      </c>
      <c r="V450" s="33">
        <f t="array" ref="V4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450,Charge_Names,0))),Type_Species)),0),1)*IF(COUNTBLANK(Combo_Opponent_Type_2)=0,INDEX(Type_Damage_Multipliers,MATCH(Combo_Opponent_Type_2,IF(Type_Move=(INDEX(Charge_Type,MATCH($P450,Charge_Names,0))),Type_Species)),0),1)*
IF(OR(INDEX(Charge_Type,MATCH($P450,Charge_Names,0))=INDEX(Species_Type_1,MATCH($N450,Species_Names,0)),INDEX(Charge_Type,MATCH($P450,Charge_Names,0))=INDEX(Species_Type_2,MATCH($N450,Species_Names,0))),Game_STAB_Multiplier,1))</f>
        <v>1</v>
      </c>
      <c r="W450" s="33" t="s">
        <v>467</v>
      </c>
      <c r="X450" s="33" t="s">
        <v>942</v>
      </c>
      <c r="Y450" s="32" t="e">
        <f t="array" ref="Y450">((($Z450)*
INDEX(Species_Attack,MATCH($N450,Species_Names,0))*
INDEX(Species_Tankiness,MATCH($N450,Species_Names,0)))/1000)</f>
        <v>#VALUE!</v>
      </c>
      <c r="Z450" s="33" t="s">
        <v>943</v>
      </c>
    </row>
    <row r="451" spans="1:26" ht="14.25" customHeight="1" x14ac:dyDescent="0.2">
      <c r="A451" s="86"/>
      <c r="B451" s="87" t="str">
        <f t="array" ref="B451">CONCATENATE(TEXT($M451,"000"),".",TEXT(INDEX(Quick_Number,MATCH($O451,Quick_Names,0)),"000"),".",TEXT(INDEX(Charge_Number,MATCH($P451,Charge_Names,0)),"000"))</f>
        <v>151.222.108</v>
      </c>
      <c r="C451" s="88" t="e">
        <f t="array" ref="C451">RANK($S451,IF(Combo_Species_Names=$N451,Combo_Gym_Offense),0)</f>
        <v>#VALUE!</v>
      </c>
      <c r="D451" s="27" t="e">
        <f t="array" ref="D451">$S451/MAX(IF(Combo_Species_Names=$N451,Combo_Gym_Offense))</f>
        <v>#VALUE!</v>
      </c>
      <c r="E451" s="88" t="e">
        <f t="array" ref="E451">RANK($Y451,IF(Combo_Species_Names=$N451,Combo_Gym_Defense),0)</f>
        <v>#VALUE!</v>
      </c>
      <c r="F451" s="89" t="e">
        <f t="array" ref="F451">$Y451/MAX(IF(Combo_Species_Names=$N451,Combo_Gym_Defense))</f>
        <v>#VALUE!</v>
      </c>
      <c r="G451" s="23" t="str">
        <f t="array" ref="G451">IF(OR(INDEX(Species_Availability,MATCH($N451,Species_Names,0))="No",INDEX(Species_Evo_Numbers,MATCH($N451,Species_Names,0))&lt;&gt;1),"N/A",RANK($R451,IF(NOT(ISNA(MATCH(Combo_Species_Names,IF(Species_Availability="Yes",IF(Species_Evo_Numbers=1,Species_Names)),0))),Combo_Duel_Ability),0))</f>
        <v>N/A</v>
      </c>
      <c r="H451" s="24" t="str">
        <f t="array" ref="H451">IF(OR(INDEX(Species_Availability,MATCH($N451,Species_Names,0))="No",INDEX(Species_Evo_Numbers,MATCH($N451,Species_Names,0))&lt;&gt;1),"N/A",$R451/MAX(IF(NOT(ISNA(MATCH(Combo_Species_Names,IF(Species_Availability="Yes",IF(Species_Evo_Numbers=1,Species_Names)),0))),Combo_Duel_Ability)))</f>
        <v>N/A</v>
      </c>
      <c r="I451" s="88" t="str">
        <f t="array" ref="I451">IF(OR(INDEX(Species_Availability,MATCH($N451,Species_Names,0))="No",INDEX(Species_Evo_Numbers,MATCH($N451,Species_Names,0))&lt;&gt;1),"N/A",RANK($S451,IF(NOT(ISNA(MATCH(Combo_Species_Names,IF(Species_Availability="Yes",IF(Species_Evo_Numbers=1,Species_Names)),0))),Combo_Gym_Offense),0))</f>
        <v>N/A</v>
      </c>
      <c r="J451" s="27" t="str">
        <f t="array" ref="J451">IF(OR(INDEX(Species_Availability,MATCH($N451,Species_Names,0))="No",INDEX(Species_Evo_Numbers,MATCH($N451,Species_Names,0))&lt;&gt;1),"N/A",$S451/MAX(IF(NOT(ISNA(MATCH(Combo_Species_Names,IF(Species_Availability="Yes",IF(Species_Evo_Numbers=1,Species_Names)),0))),Combo_Gym_Offense)))</f>
        <v>N/A</v>
      </c>
      <c r="K451" s="23" t="str">
        <f t="array" ref="K451">IF(OR(INDEX(Species_Availability,MATCH($N451,Species_Names,0))="No",INDEX(Species_Evo_Numbers,MATCH($N451,Species_Names,0))&lt;&gt;1),"N/A",RANK($Y451,IF(NOT(ISNA(MATCH(Combo_Species_Names,IF(Species_Availability="Yes",IF(Species_Evo_Numbers=1,Species_Names)),0))),Combo_Gym_Defense),0))</f>
        <v>N/A</v>
      </c>
      <c r="L451" s="24" t="str">
        <f t="array" ref="L451">IF(OR(INDEX(Species_Availability,MATCH($N451,Species_Names,0))="No",INDEX(Species_Evo_Numbers,MATCH($N451,Species_Names,0))&lt;&gt;1),"N/A",$Y451/MAX(IF(NOT(ISNA(MATCH(Combo_Species_Names,IF(Species_Availability="Yes",IF(Species_Evo_Numbers=1,Species_Names)),0))),Combo_Gym_Defense)))</f>
        <v>N/A</v>
      </c>
      <c r="M451" s="28">
        <f t="array" ref="M451">INDEX(Species_Pdex_Numbers,MATCH($N451,Species_Names,0))</f>
        <v>151</v>
      </c>
      <c r="N451" s="30" t="s">
        <v>367</v>
      </c>
      <c r="O451" s="31" t="s">
        <v>32</v>
      </c>
      <c r="P451" s="31" t="s">
        <v>58</v>
      </c>
      <c r="Q451" s="17" t="e">
        <f t="shared" si="12"/>
        <v>#VALUE!</v>
      </c>
      <c r="R451" s="32" t="e">
        <f t="array" ref="R451">IF(OR(AND(COUNTBLANK(Combo_Opponent_Type_1)=1,COUNTBLANK(Combo_Opponent_Type_2)=0),AND(AND(COUNTBLANK(Combo_Opponent_Type_1)=0,COUNTBLANK(Combo_Opponent_Type_2)=0),Combo_Opponent_Type_1=Combo_Opponent_Type_2)),
"Check Types",($S451*INDEX(Species_Tankiness,MATCH($N451,Species_Names,0)))/225)</f>
        <v>#VALUE!</v>
      </c>
      <c r="S451" s="32" t="e">
        <f t="array" ref="S451">IF(OR(AND(COUNTBLANK(Combo_Opponent_Type_1)=1,COUNTBLANK(Combo_Opponent_Type_2)=0),AND(AND(COUNTBLANK(Combo_Opponent_Type_1)=0,COUNTBLANK(Combo_Opponent_Type_2)=0),Combo_Opponent_Type_1=Combo_Opponent_Type_2)),
"Check Types",(
IF($W451&gt;=((1-Game_Weave_Human_Error)*$X451),$W451,$X451)*INDEX(Species_Attack,MATCH($N451,Species_Names,0)))/11)</f>
        <v>#VALUE!</v>
      </c>
      <c r="T451" s="33" t="e">
        <f t="shared" si="13"/>
        <v>#VALUE!</v>
      </c>
      <c r="U451" s="33">
        <f t="array" ref="U4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451,Quick_Names,0))),Type_Species)),0),1)*IF(COUNTBLANK(Combo_Opponent_Type_2)=0,INDEX(Type_Damage_Multipliers,MATCH(Combo_Opponent_Type_2,IF(Type_Move=(INDEX(Quick_Type,MATCH($O451,Quick_Names,0))),Type_Species)),0),1)*(IF(OR(INDEX(Quick_Type,MATCH($O451,Quick_Names,0))=INDEX(Species_Type_1,MATCH($N451,Species_Names,0)),INDEX(Quick_Type,MATCH($O451,Quick_Names,0))=INDEX(Species_Type_2,MATCH($N451,Species_Names,0))),Game_STAB_Multiplier,1)))</f>
        <v>1</v>
      </c>
      <c r="V451" s="33">
        <f t="array" ref="V4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451,Charge_Names,0))),Type_Species)),0),1)*IF(COUNTBLANK(Combo_Opponent_Type_2)=0,INDEX(Type_Damage_Multipliers,MATCH(Combo_Opponent_Type_2,IF(Type_Move=(INDEX(Charge_Type,MATCH($P451,Charge_Names,0))),Type_Species)),0),1)*
IF(OR(INDEX(Charge_Type,MATCH($P451,Charge_Names,0))=INDEX(Species_Type_1,MATCH($N451,Species_Names,0)),INDEX(Charge_Type,MATCH($P451,Charge_Names,0))=INDEX(Species_Type_2,MATCH($N451,Species_Names,0))),Game_STAB_Multiplier,1))</f>
        <v>1.25</v>
      </c>
      <c r="W451" s="33" t="s">
        <v>536</v>
      </c>
      <c r="X451" s="33" t="s">
        <v>944</v>
      </c>
      <c r="Y451" s="32" t="e">
        <f t="array" ref="Y451">((($Z451)*
INDEX(Species_Attack,MATCH($N451,Species_Names,0))*
INDEX(Species_Tankiness,MATCH($N451,Species_Names,0)))/1000)</f>
        <v>#VALUE!</v>
      </c>
      <c r="Z451" s="33" t="s">
        <v>945</v>
      </c>
    </row>
    <row r="452" spans="1:26" ht="14.25" customHeight="1" x14ac:dyDescent="0.2">
      <c r="A452" s="86"/>
      <c r="B452" s="22" t="str">
        <f t="array" ref="B452">CONCATENATE(TEXT($M452,"000"),".",TEXT(INDEX(Quick_Number,MATCH($O452,Quick_Names,0)),"000"),".",TEXT(INDEX(Charge_Number,MATCH($P452,Charge_Names,0)),"000"))</f>
        <v>144.218.040</v>
      </c>
      <c r="C452" s="23" t="e">
        <f t="array" ref="C452">RANK($S452,IF(Combo_Species_Names=$N452,Combo_Gym_Offense),0)</f>
        <v>#VALUE!</v>
      </c>
      <c r="D452" s="24" t="e">
        <f t="array" ref="D452">$S452/MAX(IF(Combo_Species_Names=$N452,Combo_Gym_Offense))</f>
        <v>#VALUE!</v>
      </c>
      <c r="E452" s="23" t="e">
        <f t="array" ref="E452">RANK($Y452,IF(Combo_Species_Names=$N452,Combo_Gym_Defense),0)</f>
        <v>#VALUE!</v>
      </c>
      <c r="F452" s="25" t="e">
        <f t="array" ref="F452">$Y452/MAX(IF(Combo_Species_Names=$N452,Combo_Gym_Defense))</f>
        <v>#VALUE!</v>
      </c>
      <c r="G452" s="23" t="str">
        <f t="array" ref="G452">IF(OR(INDEX(Species_Availability,MATCH($N452,Species_Names,0))="No",INDEX(Species_Evo_Numbers,MATCH($N452,Species_Names,0))&lt;&gt;1),"N/A",RANK($R452,IF(NOT(ISNA(MATCH(Combo_Species_Names,IF(Species_Availability="Yes",IF(Species_Evo_Numbers=1,Species_Names)),0))),Combo_Duel_Ability),0))</f>
        <v>N/A</v>
      </c>
      <c r="H452" s="24" t="str">
        <f t="array" ref="H452">IF(OR(INDEX(Species_Availability,MATCH($N452,Species_Names,0))="No",INDEX(Species_Evo_Numbers,MATCH($N452,Species_Names,0))&lt;&gt;1),"N/A",$R452/MAX(IF(NOT(ISNA(MATCH(Combo_Species_Names,IF(Species_Availability="Yes",IF(Species_Evo_Numbers=1,Species_Names)),0))),Combo_Duel_Ability)))</f>
        <v>N/A</v>
      </c>
      <c r="I452" s="23" t="str">
        <f t="array" ref="I452">IF(OR(INDEX(Species_Availability,MATCH($N452,Species_Names,0))="No",INDEX(Species_Evo_Numbers,MATCH($N452,Species_Names,0))&lt;&gt;1),"N/A",RANK($S452,IF(NOT(ISNA(MATCH(Combo_Species_Names,IF(Species_Availability="Yes",IF(Species_Evo_Numbers=1,Species_Names)),0))),Combo_Gym_Offense),0))</f>
        <v>N/A</v>
      </c>
      <c r="J452" s="24" t="str">
        <f t="array" ref="J452">IF(OR(INDEX(Species_Availability,MATCH($N452,Species_Names,0))="No",INDEX(Species_Evo_Numbers,MATCH($N452,Species_Names,0))&lt;&gt;1),"N/A",$S452/MAX(IF(NOT(ISNA(MATCH(Combo_Species_Names,IF(Species_Availability="Yes",IF(Species_Evo_Numbers=1,Species_Names)),0))),Combo_Gym_Offense)))</f>
        <v>N/A</v>
      </c>
      <c r="K452" s="23" t="str">
        <f t="array" ref="K452">IF(OR(INDEX(Species_Availability,MATCH($N452,Species_Names,0))="No",INDEX(Species_Evo_Numbers,MATCH($N452,Species_Names,0))&lt;&gt;1),"N/A",RANK($Y452,IF(NOT(ISNA(MATCH(Combo_Species_Names,IF(Species_Availability="Yes",IF(Species_Evo_Numbers=1,Species_Names)),0))),Combo_Gym_Defense),0))</f>
        <v>N/A</v>
      </c>
      <c r="L452" s="24" t="str">
        <f t="array" ref="L452">IF(OR(INDEX(Species_Availability,MATCH($N452,Species_Names,0))="No",INDEX(Species_Evo_Numbers,MATCH($N452,Species_Names,0))&lt;&gt;1),"N/A",$Y452/MAX(IF(NOT(ISNA(MATCH(Combo_Species_Names,IF(Species_Availability="Yes",IF(Species_Evo_Numbers=1,Species_Names)),0))),Combo_Gym_Defense)))</f>
        <v>N/A</v>
      </c>
      <c r="M452" s="28">
        <f t="array" ref="M452">INDEX(Species_Pdex_Numbers,MATCH($N452,Species_Names,0))</f>
        <v>144</v>
      </c>
      <c r="N452" s="30" t="s">
        <v>361</v>
      </c>
      <c r="O452" s="31" t="s">
        <v>87</v>
      </c>
      <c r="P452" s="31" t="s">
        <v>153</v>
      </c>
      <c r="Q452" s="17" t="e">
        <f t="shared" si="12"/>
        <v>#VALUE!</v>
      </c>
      <c r="R452" s="32" t="e">
        <f t="array" ref="R452">IF(OR(AND(COUNTBLANK(Combo_Opponent_Type_1)=1,COUNTBLANK(Combo_Opponent_Type_2)=0),AND(AND(COUNTBLANK(Combo_Opponent_Type_1)=0,COUNTBLANK(Combo_Opponent_Type_2)=0),Combo_Opponent_Type_1=Combo_Opponent_Type_2)),
"Check Types",($S452*INDEX(Species_Tankiness,MATCH($N452,Species_Names,0)))/225)</f>
        <v>#VALUE!</v>
      </c>
      <c r="S452" s="32" t="e">
        <f t="array" ref="S452">IF(OR(AND(COUNTBLANK(Combo_Opponent_Type_1)=1,COUNTBLANK(Combo_Opponent_Type_2)=0),AND(AND(COUNTBLANK(Combo_Opponent_Type_1)=0,COUNTBLANK(Combo_Opponent_Type_2)=0),Combo_Opponent_Type_1=Combo_Opponent_Type_2)),
"Check Types",(
IF($W452&gt;=((1-Game_Weave_Human_Error)*$X452),$W452,$X452)*INDEX(Species_Attack,MATCH($N452,Species_Names,0)))/11)</f>
        <v>#VALUE!</v>
      </c>
      <c r="T452" s="33" t="e">
        <f t="shared" si="13"/>
        <v>#VALUE!</v>
      </c>
      <c r="U452" s="33">
        <f t="array" ref="U4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452,Quick_Names,0))),Type_Species)),0),1)*IF(COUNTBLANK(Combo_Opponent_Type_2)=0,INDEX(Type_Damage_Multipliers,MATCH(Combo_Opponent_Type_2,IF(Type_Move=(INDEX(Quick_Type,MATCH($O452,Quick_Names,0))),Type_Species)),0),1)*(IF(OR(INDEX(Quick_Type,MATCH($O452,Quick_Names,0))=INDEX(Species_Type_1,MATCH($N452,Species_Names,0)),INDEX(Quick_Type,MATCH($O452,Quick_Names,0))=INDEX(Species_Type_2,MATCH($N452,Species_Names,0))),Game_STAB_Multiplier,1)))</f>
        <v>1.25</v>
      </c>
      <c r="V452" s="33">
        <f t="array" ref="V4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452,Charge_Names,0))),Type_Species)),0),1)*IF(COUNTBLANK(Combo_Opponent_Type_2)=0,INDEX(Type_Damage_Multipliers,MATCH(Combo_Opponent_Type_2,IF(Type_Move=(INDEX(Charge_Type,MATCH($P452,Charge_Names,0))),Type_Species)),0),1)*
IF(OR(INDEX(Charge_Type,MATCH($P452,Charge_Names,0))=INDEX(Species_Type_1,MATCH($N452,Species_Names,0)),INDEX(Charge_Type,MATCH($P452,Charge_Names,0))=INDEX(Species_Type_2,MATCH($N452,Species_Names,0))),Game_STAB_Multiplier,1))</f>
        <v>1.25</v>
      </c>
      <c r="W452" s="33" t="s">
        <v>422</v>
      </c>
      <c r="X452" s="33" t="s">
        <v>423</v>
      </c>
      <c r="Y452" s="32" t="e">
        <f t="array" ref="Y452">((($Z452)*
INDEX(Species_Attack,MATCH($N452,Species_Names,0))*
INDEX(Species_Tankiness,MATCH($N452,Species_Names,0)))/1000)</f>
        <v>#VALUE!</v>
      </c>
      <c r="Z452" s="33" t="s">
        <v>424</v>
      </c>
    </row>
    <row r="453" spans="1:26" ht="14.25" customHeight="1" x14ac:dyDescent="0.2">
      <c r="A453" s="86"/>
      <c r="B453" s="22" t="str">
        <f t="array" ref="B453">CONCATENATE(TEXT($M453,"000"),".",TEXT(INDEX(Quick_Number,MATCH($O453,Quick_Names,0)),"000"),".",TEXT(INDEX(Charge_Number,MATCH($P453,Charge_Names,0)),"000"))</f>
        <v>150.235.070</v>
      </c>
      <c r="C453" s="23" t="e">
        <f t="array" ref="C453">RANK($S453,IF(Combo_Species_Names=$N453,Combo_Gym_Offense),0)</f>
        <v>#VALUE!</v>
      </c>
      <c r="D453" s="24" t="e">
        <f t="array" ref="D453">$S453/MAX(IF(Combo_Species_Names=$N453,Combo_Gym_Offense))</f>
        <v>#VALUE!</v>
      </c>
      <c r="E453" s="23" t="e">
        <f t="array" ref="E453">RANK($Y453,IF(Combo_Species_Names=$N453,Combo_Gym_Defense),0)</f>
        <v>#VALUE!</v>
      </c>
      <c r="F453" s="25" t="e">
        <f t="array" ref="F453">$Y453/MAX(IF(Combo_Species_Names=$N453,Combo_Gym_Defense))</f>
        <v>#VALUE!</v>
      </c>
      <c r="G453" s="23" t="str">
        <f t="array" ref="G453">IF(OR(INDEX(Species_Availability,MATCH($N453,Species_Names,0))="No",INDEX(Species_Evo_Numbers,MATCH($N453,Species_Names,0))&lt;&gt;1),"N/A",RANK($R453,IF(NOT(ISNA(MATCH(Combo_Species_Names,IF(Species_Availability="Yes",IF(Species_Evo_Numbers=1,Species_Names)),0))),Combo_Duel_Ability),0))</f>
        <v>N/A</v>
      </c>
      <c r="H453" s="24" t="str">
        <f t="array" ref="H453">IF(OR(INDEX(Species_Availability,MATCH($N453,Species_Names,0))="No",INDEX(Species_Evo_Numbers,MATCH($N453,Species_Names,0))&lt;&gt;1),"N/A",$R453/MAX(IF(NOT(ISNA(MATCH(Combo_Species_Names,IF(Species_Availability="Yes",IF(Species_Evo_Numbers=1,Species_Names)),0))),Combo_Duel_Ability)))</f>
        <v>N/A</v>
      </c>
      <c r="I453" s="23" t="str">
        <f t="array" ref="I453">IF(OR(INDEX(Species_Availability,MATCH($N453,Species_Names,0))="No",INDEX(Species_Evo_Numbers,MATCH($N453,Species_Names,0))&lt;&gt;1),"N/A",RANK($S453,IF(NOT(ISNA(MATCH(Combo_Species_Names,IF(Species_Availability="Yes",IF(Species_Evo_Numbers=1,Species_Names)),0))),Combo_Gym_Offense),0))</f>
        <v>N/A</v>
      </c>
      <c r="J453" s="24" t="str">
        <f t="array" ref="J453">IF(OR(INDEX(Species_Availability,MATCH($N453,Species_Names,0))="No",INDEX(Species_Evo_Numbers,MATCH($N453,Species_Names,0))&lt;&gt;1),"N/A",$S453/MAX(IF(NOT(ISNA(MATCH(Combo_Species_Names,IF(Species_Availability="Yes",IF(Species_Evo_Numbers=1,Species_Names)),0))),Combo_Gym_Offense)))</f>
        <v>N/A</v>
      </c>
      <c r="K453" s="23" t="str">
        <f t="array" ref="K453">IF(OR(INDEX(Species_Availability,MATCH($N453,Species_Names,0))="No",INDEX(Species_Evo_Numbers,MATCH($N453,Species_Names,0))&lt;&gt;1),"N/A",RANK($Y453,IF(NOT(ISNA(MATCH(Combo_Species_Names,IF(Species_Availability="Yes",IF(Species_Evo_Numbers=1,Species_Names)),0))),Combo_Gym_Defense),0))</f>
        <v>N/A</v>
      </c>
      <c r="L453" s="24" t="str">
        <f t="array" ref="L453">IF(OR(INDEX(Species_Availability,MATCH($N453,Species_Names,0))="No",INDEX(Species_Evo_Numbers,MATCH($N453,Species_Names,0))&lt;&gt;1),"N/A",$Y453/MAX(IF(NOT(ISNA(MATCH(Combo_Species_Names,IF(Species_Availability="Yes",IF(Species_Evo_Numbers=1,Species_Names)),0))),Combo_Gym_Defense)))</f>
        <v>N/A</v>
      </c>
      <c r="M453" s="28">
        <f t="array" ref="M453">INDEX(Species_Pdex_Numbers,MATCH($N453,Species_Names,0))</f>
        <v>150</v>
      </c>
      <c r="N453" s="30" t="s">
        <v>366</v>
      </c>
      <c r="O453" s="31" t="s">
        <v>108</v>
      </c>
      <c r="P453" s="31" t="s">
        <v>234</v>
      </c>
      <c r="Q453" s="17" t="e">
        <f t="shared" si="12"/>
        <v>#VALUE!</v>
      </c>
      <c r="R453" s="32" t="e">
        <f t="array" ref="R453">IF(OR(AND(COUNTBLANK(Combo_Opponent_Type_1)=1,COUNTBLANK(Combo_Opponent_Type_2)=0),AND(AND(COUNTBLANK(Combo_Opponent_Type_1)=0,COUNTBLANK(Combo_Opponent_Type_2)=0),Combo_Opponent_Type_1=Combo_Opponent_Type_2)),
"Check Types",($S453*INDEX(Species_Tankiness,MATCH($N453,Species_Names,0)))/225)</f>
        <v>#VALUE!</v>
      </c>
      <c r="S453" s="32" t="e">
        <f t="array" ref="S453">IF(OR(AND(COUNTBLANK(Combo_Opponent_Type_1)=1,COUNTBLANK(Combo_Opponent_Type_2)=0),AND(AND(COUNTBLANK(Combo_Opponent_Type_1)=0,COUNTBLANK(Combo_Opponent_Type_2)=0),Combo_Opponent_Type_1=Combo_Opponent_Type_2)),
"Check Types",(
IF($W453&gt;=((1-Game_Weave_Human_Error)*$X453),$W453,$X453)*INDEX(Species_Attack,MATCH($N453,Species_Names,0)))/11)</f>
        <v>#VALUE!</v>
      </c>
      <c r="T453" s="33" t="e">
        <f t="shared" si="13"/>
        <v>#VALUE!</v>
      </c>
      <c r="U453" s="33">
        <f t="array" ref="U4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453,Quick_Names,0))),Type_Species)),0),1)*IF(COUNTBLANK(Combo_Opponent_Type_2)=0,INDEX(Type_Damage_Multipliers,MATCH(Combo_Opponent_Type_2,IF(Type_Move=(INDEX(Quick_Type,MATCH($O453,Quick_Names,0))),Type_Species)),0),1)*(IF(OR(INDEX(Quick_Type,MATCH($O453,Quick_Names,0))=INDEX(Species_Type_1,MATCH($N453,Species_Names,0)),INDEX(Quick_Type,MATCH($O453,Quick_Names,0))=INDEX(Species_Type_2,MATCH($N453,Species_Names,0))),Game_STAB_Multiplier,1)))</f>
        <v>1.25</v>
      </c>
      <c r="V453" s="33">
        <f t="array" ref="V4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453,Charge_Names,0))),Type_Species)),0),1)*IF(COUNTBLANK(Combo_Opponent_Type_2)=0,INDEX(Type_Damage_Multipliers,MATCH(Combo_Opponent_Type_2,IF(Type_Move=(INDEX(Charge_Type,MATCH($P453,Charge_Names,0))),Type_Species)),0),1)*
IF(OR(INDEX(Charge_Type,MATCH($P453,Charge_Names,0))=INDEX(Species_Type_1,MATCH($N453,Species_Names,0)),INDEX(Charge_Type,MATCH($P453,Charge_Names,0))=INDEX(Species_Type_2,MATCH($N453,Species_Names,0))),Game_STAB_Multiplier,1))</f>
        <v>1</v>
      </c>
      <c r="W453" s="33" t="s">
        <v>467</v>
      </c>
      <c r="X453" s="33" t="s">
        <v>689</v>
      </c>
      <c r="Y453" s="32" t="e">
        <f t="array" ref="Y453">((($Z453)*
INDEX(Species_Attack,MATCH($N453,Species_Names,0))*
INDEX(Species_Tankiness,MATCH($N453,Species_Names,0)))/1000)</f>
        <v>#VALUE!</v>
      </c>
      <c r="Z453" s="33" t="s">
        <v>471</v>
      </c>
    </row>
    <row r="454" spans="1:26" ht="14.25" customHeight="1" x14ac:dyDescent="0.2">
      <c r="A454" s="86"/>
      <c r="B454" s="22" t="str">
        <f t="array" ref="B454">CONCATENATE(TEXT($M454,"000"),".",TEXT(INDEX(Quick_Number,MATCH($O454,Quick_Names,0)),"000"),".",TEXT(INDEX(Charge_Number,MATCH($P454,Charge_Names,0)),"000"))</f>
        <v>144.218.039</v>
      </c>
      <c r="C454" s="23" t="e">
        <f t="array" ref="C454">RANK($S454,IF(Combo_Species_Names=$N454,Combo_Gym_Offense),0)</f>
        <v>#VALUE!</v>
      </c>
      <c r="D454" s="24" t="e">
        <f t="array" ref="D454">$S454/MAX(IF(Combo_Species_Names=$N454,Combo_Gym_Offense))</f>
        <v>#VALUE!</v>
      </c>
      <c r="E454" s="23" t="e">
        <f t="array" ref="E454">RANK($Y454,IF(Combo_Species_Names=$N454,Combo_Gym_Defense),0)</f>
        <v>#VALUE!</v>
      </c>
      <c r="F454" s="25" t="e">
        <f t="array" ref="F454">$Y454/MAX(IF(Combo_Species_Names=$N454,Combo_Gym_Defense))</f>
        <v>#VALUE!</v>
      </c>
      <c r="G454" s="23" t="str">
        <f t="array" ref="G454">IF(OR(INDEX(Species_Availability,MATCH($N454,Species_Names,0))="No",INDEX(Species_Evo_Numbers,MATCH($N454,Species_Names,0))&lt;&gt;1),"N/A",RANK($R454,IF(NOT(ISNA(MATCH(Combo_Species_Names,IF(Species_Availability="Yes",IF(Species_Evo_Numbers=1,Species_Names)),0))),Combo_Duel_Ability),0))</f>
        <v>N/A</v>
      </c>
      <c r="H454" s="24" t="str">
        <f t="array" ref="H454">IF(OR(INDEX(Species_Availability,MATCH($N454,Species_Names,0))="No",INDEX(Species_Evo_Numbers,MATCH($N454,Species_Names,0))&lt;&gt;1),"N/A",$R454/MAX(IF(NOT(ISNA(MATCH(Combo_Species_Names,IF(Species_Availability="Yes",IF(Species_Evo_Numbers=1,Species_Names)),0))),Combo_Duel_Ability)))</f>
        <v>N/A</v>
      </c>
      <c r="I454" s="23" t="str">
        <f t="array" ref="I454">IF(OR(INDEX(Species_Availability,MATCH($N454,Species_Names,0))="No",INDEX(Species_Evo_Numbers,MATCH($N454,Species_Names,0))&lt;&gt;1),"N/A",RANK($S454,IF(NOT(ISNA(MATCH(Combo_Species_Names,IF(Species_Availability="Yes",IF(Species_Evo_Numbers=1,Species_Names)),0))),Combo_Gym_Offense),0))</f>
        <v>N/A</v>
      </c>
      <c r="J454" s="24" t="str">
        <f t="array" ref="J454">IF(OR(INDEX(Species_Availability,MATCH($N454,Species_Names,0))="No",INDEX(Species_Evo_Numbers,MATCH($N454,Species_Names,0))&lt;&gt;1),"N/A",$S454/MAX(IF(NOT(ISNA(MATCH(Combo_Species_Names,IF(Species_Availability="Yes",IF(Species_Evo_Numbers=1,Species_Names)),0))),Combo_Gym_Offense)))</f>
        <v>N/A</v>
      </c>
      <c r="K454" s="23" t="str">
        <f t="array" ref="K454">IF(OR(INDEX(Species_Availability,MATCH($N454,Species_Names,0))="No",INDEX(Species_Evo_Numbers,MATCH($N454,Species_Names,0))&lt;&gt;1),"N/A",RANK($Y454,IF(NOT(ISNA(MATCH(Combo_Species_Names,IF(Species_Availability="Yes",IF(Species_Evo_Numbers=1,Species_Names)),0))),Combo_Gym_Defense),0))</f>
        <v>N/A</v>
      </c>
      <c r="L454" s="24" t="str">
        <f t="array" ref="L454">IF(OR(INDEX(Species_Availability,MATCH($N454,Species_Names,0))="No",INDEX(Species_Evo_Numbers,MATCH($N454,Species_Names,0))&lt;&gt;1),"N/A",$Y454/MAX(IF(NOT(ISNA(MATCH(Combo_Species_Names,IF(Species_Availability="Yes",IF(Species_Evo_Numbers=1,Species_Names)),0))),Combo_Gym_Defense)))</f>
        <v>N/A</v>
      </c>
      <c r="M454" s="28">
        <f t="array" ref="M454">INDEX(Species_Pdex_Numbers,MATCH($N454,Species_Names,0))</f>
        <v>144</v>
      </c>
      <c r="N454" s="30" t="s">
        <v>361</v>
      </c>
      <c r="O454" s="31" t="s">
        <v>87</v>
      </c>
      <c r="P454" s="31" t="s">
        <v>209</v>
      </c>
      <c r="Q454" s="17" t="e">
        <f t="shared" ref="Q454:Q517" si="14">IF(OR(AND(COUNTBLANK(Combo_Opponent_Type_1)=1,COUNTBLANK(Combo_Opponent_Type_2)=0),AND(AND(COUNTBLANK(Combo_Opponent_Type_1)=0,COUNTBLANK(Combo_Opponent_Type_2)=0),Combo_Opponent_Type_1=Combo_Opponent_Type_2)),
"Check Types",IF($W454&gt;=((1-Game_Weave_Human_Error)*$X454),"Quick Only","Weave"))</f>
        <v>#VALUE!</v>
      </c>
      <c r="R454" s="32" t="e">
        <f t="array" ref="R454">IF(OR(AND(COUNTBLANK(Combo_Opponent_Type_1)=1,COUNTBLANK(Combo_Opponent_Type_2)=0),AND(AND(COUNTBLANK(Combo_Opponent_Type_1)=0,COUNTBLANK(Combo_Opponent_Type_2)=0),Combo_Opponent_Type_1=Combo_Opponent_Type_2)),
"Check Types",($S454*INDEX(Species_Tankiness,MATCH($N454,Species_Names,0)))/225)</f>
        <v>#VALUE!</v>
      </c>
      <c r="S454" s="32" t="e">
        <f t="array" ref="S454">IF(OR(AND(COUNTBLANK(Combo_Opponent_Type_1)=1,COUNTBLANK(Combo_Opponent_Type_2)=0),AND(AND(COUNTBLANK(Combo_Opponent_Type_1)=0,COUNTBLANK(Combo_Opponent_Type_2)=0),Combo_Opponent_Type_1=Combo_Opponent_Type_2)),
"Check Types",(
IF($W454&gt;=((1-Game_Weave_Human_Error)*$X454),$W454,$X454)*INDEX(Species_Attack,MATCH($N454,Species_Names,0)))/11)</f>
        <v>#VALUE!</v>
      </c>
      <c r="T454" s="33" t="e">
        <f t="shared" ref="T454:T517" si="15">IF(OR(AND(COUNTBLANK(Combo_Opponent_Type_1)=1,COUNTBLANK(Combo_Opponent_Type_2)=0),AND(AND(COUNTBLANK(Combo_Opponent_Type_1)=0,COUNTBLANK(Combo_Opponent_Type_2)=0),Combo_Opponent_Type_1=Combo_Opponent_Type_2)),
"Check Types",IF($W454&gt;=((1-Game_Weave_Human_Error)*$X454),$W454,$X454))</f>
        <v>#VALUE!</v>
      </c>
      <c r="U454" s="33">
        <f t="array" ref="U4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454,Quick_Names,0))),Type_Species)),0),1)*IF(COUNTBLANK(Combo_Opponent_Type_2)=0,INDEX(Type_Damage_Multipliers,MATCH(Combo_Opponent_Type_2,IF(Type_Move=(INDEX(Quick_Type,MATCH($O454,Quick_Names,0))),Type_Species)),0),1)*(IF(OR(INDEX(Quick_Type,MATCH($O454,Quick_Names,0))=INDEX(Species_Type_1,MATCH($N454,Species_Names,0)),INDEX(Quick_Type,MATCH($O454,Quick_Names,0))=INDEX(Species_Type_2,MATCH($N454,Species_Names,0))),Game_STAB_Multiplier,1)))</f>
        <v>1.25</v>
      </c>
      <c r="V454" s="33">
        <f t="array" ref="V4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454,Charge_Names,0))),Type_Species)),0),1)*IF(COUNTBLANK(Combo_Opponent_Type_2)=0,INDEX(Type_Damage_Multipliers,MATCH(Combo_Opponent_Type_2,IF(Type_Move=(INDEX(Charge_Type,MATCH($P454,Charge_Names,0))),Type_Species)),0),1)*
IF(OR(INDEX(Charge_Type,MATCH($P454,Charge_Names,0))=INDEX(Species_Type_1,MATCH($N454,Species_Names,0)),INDEX(Charge_Type,MATCH($P454,Charge_Names,0))=INDEX(Species_Type_2,MATCH($N454,Species_Names,0))),Game_STAB_Multiplier,1))</f>
        <v>1.25</v>
      </c>
      <c r="W454" s="33" t="s">
        <v>422</v>
      </c>
      <c r="X454" s="33" t="s">
        <v>434</v>
      </c>
      <c r="Y454" s="32" t="e">
        <f t="array" ref="Y454">((($Z454)*
INDEX(Species_Attack,MATCH($N454,Species_Names,0))*
INDEX(Species_Tankiness,MATCH($N454,Species_Names,0)))/1000)</f>
        <v>#VALUE!</v>
      </c>
      <c r="Z454" s="33" t="s">
        <v>435</v>
      </c>
    </row>
    <row r="455" spans="1:26" ht="14.25" customHeight="1" x14ac:dyDescent="0.2">
      <c r="A455" s="86"/>
      <c r="B455" s="22" t="str">
        <f t="array" ref="B455">CONCATENATE(TEXT($M455,"000"),".",TEXT(INDEX(Quick_Number,MATCH($O455,Quick_Names,0)),"000"),".",TEXT(INDEX(Charge_Number,MATCH($P455,Charge_Names,0)),"000"))</f>
        <v>146.209.103</v>
      </c>
      <c r="C455" s="23" t="e">
        <f t="array" ref="C455">RANK($S455,IF(Combo_Species_Names=$N455,Combo_Gym_Offense),0)</f>
        <v>#VALUE!</v>
      </c>
      <c r="D455" s="24" t="e">
        <f t="array" ref="D455">$S455/MAX(IF(Combo_Species_Names=$N455,Combo_Gym_Offense))</f>
        <v>#VALUE!</v>
      </c>
      <c r="E455" s="23" t="e">
        <f t="array" ref="E455">RANK($Y455,IF(Combo_Species_Names=$N455,Combo_Gym_Defense),0)</f>
        <v>#VALUE!</v>
      </c>
      <c r="F455" s="25" t="e">
        <f t="array" ref="F455">$Y455/MAX(IF(Combo_Species_Names=$N455,Combo_Gym_Defense))</f>
        <v>#VALUE!</v>
      </c>
      <c r="G455" s="23" t="str">
        <f t="array" ref="G455">IF(OR(INDEX(Species_Availability,MATCH($N455,Species_Names,0))="No",INDEX(Species_Evo_Numbers,MATCH($N455,Species_Names,0))&lt;&gt;1),"N/A",RANK($R455,IF(NOT(ISNA(MATCH(Combo_Species_Names,IF(Species_Availability="Yes",IF(Species_Evo_Numbers=1,Species_Names)),0))),Combo_Duel_Ability),0))</f>
        <v>N/A</v>
      </c>
      <c r="H455" s="24" t="str">
        <f t="array" ref="H455">IF(OR(INDEX(Species_Availability,MATCH($N455,Species_Names,0))="No",INDEX(Species_Evo_Numbers,MATCH($N455,Species_Names,0))&lt;&gt;1),"N/A",$R455/MAX(IF(NOT(ISNA(MATCH(Combo_Species_Names,IF(Species_Availability="Yes",IF(Species_Evo_Numbers=1,Species_Names)),0))),Combo_Duel_Ability)))</f>
        <v>N/A</v>
      </c>
      <c r="I455" s="23" t="str">
        <f t="array" ref="I455">IF(OR(INDEX(Species_Availability,MATCH($N455,Species_Names,0))="No",INDEX(Species_Evo_Numbers,MATCH($N455,Species_Names,0))&lt;&gt;1),"N/A",RANK($S455,IF(NOT(ISNA(MATCH(Combo_Species_Names,IF(Species_Availability="Yes",IF(Species_Evo_Numbers=1,Species_Names)),0))),Combo_Gym_Offense),0))</f>
        <v>N/A</v>
      </c>
      <c r="J455" s="24" t="str">
        <f t="array" ref="J455">IF(OR(INDEX(Species_Availability,MATCH($N455,Species_Names,0))="No",INDEX(Species_Evo_Numbers,MATCH($N455,Species_Names,0))&lt;&gt;1),"N/A",$S455/MAX(IF(NOT(ISNA(MATCH(Combo_Species_Names,IF(Species_Availability="Yes",IF(Species_Evo_Numbers=1,Species_Names)),0))),Combo_Gym_Offense)))</f>
        <v>N/A</v>
      </c>
      <c r="K455" s="23" t="str">
        <f t="array" ref="K455">IF(OR(INDEX(Species_Availability,MATCH($N455,Species_Names,0))="No",INDEX(Species_Evo_Numbers,MATCH($N455,Species_Names,0))&lt;&gt;1),"N/A",RANK($Y455,IF(NOT(ISNA(MATCH(Combo_Species_Names,IF(Species_Availability="Yes",IF(Species_Evo_Numbers=1,Species_Names)),0))),Combo_Gym_Defense),0))</f>
        <v>N/A</v>
      </c>
      <c r="L455" s="24" t="str">
        <f t="array" ref="L455">IF(OR(INDEX(Species_Availability,MATCH($N455,Species_Names,0))="No",INDEX(Species_Evo_Numbers,MATCH($N455,Species_Names,0))&lt;&gt;1),"N/A",$Y455/MAX(IF(NOT(ISNA(MATCH(Combo_Species_Names,IF(Species_Availability="Yes",IF(Species_Evo_Numbers=1,Species_Names)),0))),Combo_Gym_Defense)))</f>
        <v>N/A</v>
      </c>
      <c r="M455" s="28">
        <f t="array" ref="M455">INDEX(Species_Pdex_Numbers,MATCH($N455,Species_Names,0))</f>
        <v>146</v>
      </c>
      <c r="N455" s="30" t="s">
        <v>363</v>
      </c>
      <c r="O455" s="31" t="s">
        <v>111</v>
      </c>
      <c r="P455" s="31" t="s">
        <v>163</v>
      </c>
      <c r="Q455" s="17" t="e">
        <f t="shared" si="14"/>
        <v>#VALUE!</v>
      </c>
      <c r="R455" s="32" t="e">
        <f t="array" ref="R455">IF(OR(AND(COUNTBLANK(Combo_Opponent_Type_1)=1,COUNTBLANK(Combo_Opponent_Type_2)=0),AND(AND(COUNTBLANK(Combo_Opponent_Type_1)=0,COUNTBLANK(Combo_Opponent_Type_2)=0),Combo_Opponent_Type_1=Combo_Opponent_Type_2)),
"Check Types",($S455*INDEX(Species_Tankiness,MATCH($N455,Species_Names,0)))/225)</f>
        <v>#VALUE!</v>
      </c>
      <c r="S455" s="32" t="e">
        <f t="array" ref="S455">IF(OR(AND(COUNTBLANK(Combo_Opponent_Type_1)=1,COUNTBLANK(Combo_Opponent_Type_2)=0),AND(AND(COUNTBLANK(Combo_Opponent_Type_1)=0,COUNTBLANK(Combo_Opponent_Type_2)=0),Combo_Opponent_Type_1=Combo_Opponent_Type_2)),
"Check Types",(
IF($W455&gt;=((1-Game_Weave_Human_Error)*$X455),$W455,$X455)*INDEX(Species_Attack,MATCH($N455,Species_Names,0)))/11)</f>
        <v>#VALUE!</v>
      </c>
      <c r="T455" s="33" t="e">
        <f t="shared" si="15"/>
        <v>#VALUE!</v>
      </c>
      <c r="U455" s="33">
        <f t="array" ref="U4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455,Quick_Names,0))),Type_Species)),0),1)*IF(COUNTBLANK(Combo_Opponent_Type_2)=0,INDEX(Type_Damage_Multipliers,MATCH(Combo_Opponent_Type_2,IF(Type_Move=(INDEX(Quick_Type,MATCH($O455,Quick_Names,0))),Type_Species)),0),1)*(IF(OR(INDEX(Quick_Type,MATCH($O455,Quick_Names,0))=INDEX(Species_Type_1,MATCH($N455,Species_Names,0)),INDEX(Quick_Type,MATCH($O455,Quick_Names,0))=INDEX(Species_Type_2,MATCH($N455,Species_Names,0))),Game_STAB_Multiplier,1)))</f>
        <v>1.25</v>
      </c>
      <c r="V455" s="33">
        <f t="array" ref="V4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455,Charge_Names,0))),Type_Species)),0),1)*IF(COUNTBLANK(Combo_Opponent_Type_2)=0,INDEX(Type_Damage_Multipliers,MATCH(Combo_Opponent_Type_2,IF(Type_Move=(INDEX(Charge_Type,MATCH($P455,Charge_Names,0))),Type_Species)),0),1)*
IF(OR(INDEX(Charge_Type,MATCH($P455,Charge_Names,0))=INDEX(Species_Type_1,MATCH($N455,Species_Names,0)),INDEX(Charge_Type,MATCH($P455,Charge_Names,0))=INDEX(Species_Type_2,MATCH($N455,Species_Names,0))),Game_STAB_Multiplier,1))</f>
        <v>1.25</v>
      </c>
      <c r="W455" s="33" t="s">
        <v>511</v>
      </c>
      <c r="X455" s="33" t="s">
        <v>508</v>
      </c>
      <c r="Y455" s="32" t="e">
        <f t="array" ref="Y455">((($Z455)*
INDEX(Species_Attack,MATCH($N455,Species_Names,0))*
INDEX(Species_Tankiness,MATCH($N455,Species_Names,0)))/1000)</f>
        <v>#VALUE!</v>
      </c>
      <c r="Z455" s="33" t="s">
        <v>543</v>
      </c>
    </row>
    <row r="456" spans="1:26" ht="14.25" customHeight="1" x14ac:dyDescent="0.2">
      <c r="A456" s="86"/>
      <c r="B456" s="22" t="str">
        <f t="array" ref="B456">CONCATENATE(TEXT($M456,"000"),".",TEXT(INDEX(Quick_Number,MATCH($O456,Quick_Names,0)),"000"),".",TEXT(INDEX(Charge_Number,MATCH($P456,Charge_Names,0)),"000"))</f>
        <v>145.205.078</v>
      </c>
      <c r="C456" s="23" t="e">
        <f t="array" ref="C456">RANK($S456,IF(Combo_Species_Names=$N456,Combo_Gym_Offense),0)</f>
        <v>#VALUE!</v>
      </c>
      <c r="D456" s="24" t="e">
        <f t="array" ref="D456">$S456/MAX(IF(Combo_Species_Names=$N456,Combo_Gym_Offense))</f>
        <v>#VALUE!</v>
      </c>
      <c r="E456" s="23" t="e">
        <f t="array" ref="E456">RANK($Y456,IF(Combo_Species_Names=$N456,Combo_Gym_Defense),0)</f>
        <v>#VALUE!</v>
      </c>
      <c r="F456" s="25" t="e">
        <f t="array" ref="F456">$Y456/MAX(IF(Combo_Species_Names=$N456,Combo_Gym_Defense))</f>
        <v>#VALUE!</v>
      </c>
      <c r="G456" s="23" t="str">
        <f t="array" ref="G456">IF(OR(INDEX(Species_Availability,MATCH($N456,Species_Names,0))="No",INDEX(Species_Evo_Numbers,MATCH($N456,Species_Names,0))&lt;&gt;1),"N/A",RANK($R456,IF(NOT(ISNA(MATCH(Combo_Species_Names,IF(Species_Availability="Yes",IF(Species_Evo_Numbers=1,Species_Names)),0))),Combo_Duel_Ability),0))</f>
        <v>N/A</v>
      </c>
      <c r="H456" s="24" t="str">
        <f t="array" ref="H456">IF(OR(INDEX(Species_Availability,MATCH($N456,Species_Names,0))="No",INDEX(Species_Evo_Numbers,MATCH($N456,Species_Names,0))&lt;&gt;1),"N/A",$R456/MAX(IF(NOT(ISNA(MATCH(Combo_Species_Names,IF(Species_Availability="Yes",IF(Species_Evo_Numbers=1,Species_Names)),0))),Combo_Duel_Ability)))</f>
        <v>N/A</v>
      </c>
      <c r="I456" s="23" t="str">
        <f t="array" ref="I456">IF(OR(INDEX(Species_Availability,MATCH($N456,Species_Names,0))="No",INDEX(Species_Evo_Numbers,MATCH($N456,Species_Names,0))&lt;&gt;1),"N/A",RANK($S456,IF(NOT(ISNA(MATCH(Combo_Species_Names,IF(Species_Availability="Yes",IF(Species_Evo_Numbers=1,Species_Names)),0))),Combo_Gym_Offense),0))</f>
        <v>N/A</v>
      </c>
      <c r="J456" s="24" t="str">
        <f t="array" ref="J456">IF(OR(INDEX(Species_Availability,MATCH($N456,Species_Names,0))="No",INDEX(Species_Evo_Numbers,MATCH($N456,Species_Names,0))&lt;&gt;1),"N/A",$S456/MAX(IF(NOT(ISNA(MATCH(Combo_Species_Names,IF(Species_Availability="Yes",IF(Species_Evo_Numbers=1,Species_Names)),0))),Combo_Gym_Offense)))</f>
        <v>N/A</v>
      </c>
      <c r="K456" s="23" t="str">
        <f t="array" ref="K456">IF(OR(INDEX(Species_Availability,MATCH($N456,Species_Names,0))="No",INDEX(Species_Evo_Numbers,MATCH($N456,Species_Names,0))&lt;&gt;1),"N/A",RANK($Y456,IF(NOT(ISNA(MATCH(Combo_Species_Names,IF(Species_Availability="Yes",IF(Species_Evo_Numbers=1,Species_Names)),0))),Combo_Gym_Defense),0))</f>
        <v>N/A</v>
      </c>
      <c r="L456" s="24" t="str">
        <f t="array" ref="L456">IF(OR(INDEX(Species_Availability,MATCH($N456,Species_Names,0))="No",INDEX(Species_Evo_Numbers,MATCH($N456,Species_Names,0))&lt;&gt;1),"N/A",$Y456/MAX(IF(NOT(ISNA(MATCH(Combo_Species_Names,IF(Species_Availability="Yes",IF(Species_Evo_Numbers=1,Species_Names)),0))),Combo_Gym_Defense)))</f>
        <v>N/A</v>
      </c>
      <c r="M456" s="28">
        <f t="array" ref="M456">INDEX(Species_Pdex_Numbers,MATCH($N456,Species_Names,0))</f>
        <v>145</v>
      </c>
      <c r="N456" s="30" t="s">
        <v>362</v>
      </c>
      <c r="O456" s="31" t="s">
        <v>115</v>
      </c>
      <c r="P456" s="31" t="s">
        <v>174</v>
      </c>
      <c r="Q456" s="17" t="e">
        <f t="shared" si="14"/>
        <v>#VALUE!</v>
      </c>
      <c r="R456" s="32" t="e">
        <f t="array" ref="R456">IF(OR(AND(COUNTBLANK(Combo_Opponent_Type_1)=1,COUNTBLANK(Combo_Opponent_Type_2)=0),AND(AND(COUNTBLANK(Combo_Opponent_Type_1)=0,COUNTBLANK(Combo_Opponent_Type_2)=0),Combo_Opponent_Type_1=Combo_Opponent_Type_2)),
"Check Types",($S456*INDEX(Species_Tankiness,MATCH($N456,Species_Names,0)))/225)</f>
        <v>#VALUE!</v>
      </c>
      <c r="S456" s="32" t="e">
        <f t="array" ref="S456">IF(OR(AND(COUNTBLANK(Combo_Opponent_Type_1)=1,COUNTBLANK(Combo_Opponent_Type_2)=0),AND(AND(COUNTBLANK(Combo_Opponent_Type_1)=0,COUNTBLANK(Combo_Opponent_Type_2)=0),Combo_Opponent_Type_1=Combo_Opponent_Type_2)),
"Check Types",(
IF($W456&gt;=((1-Game_Weave_Human_Error)*$X456),$W456,$X456)*INDEX(Species_Attack,MATCH($N456,Species_Names,0)))/11)</f>
        <v>#VALUE!</v>
      </c>
      <c r="T456" s="33" t="e">
        <f t="shared" si="15"/>
        <v>#VALUE!</v>
      </c>
      <c r="U456" s="33">
        <f t="array" ref="U4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456,Quick_Names,0))),Type_Species)),0),1)*IF(COUNTBLANK(Combo_Opponent_Type_2)=0,INDEX(Type_Damage_Multipliers,MATCH(Combo_Opponent_Type_2,IF(Type_Move=(INDEX(Quick_Type,MATCH($O456,Quick_Names,0))),Type_Species)),0),1)*(IF(OR(INDEX(Quick_Type,MATCH($O456,Quick_Names,0))=INDEX(Species_Type_1,MATCH($N456,Species_Names,0)),INDEX(Quick_Type,MATCH($O456,Quick_Names,0))=INDEX(Species_Type_2,MATCH($N456,Species_Names,0))),Game_STAB_Multiplier,1)))</f>
        <v>1.25</v>
      </c>
      <c r="V456" s="33">
        <f t="array" ref="V4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456,Charge_Names,0))),Type_Species)),0),1)*IF(COUNTBLANK(Combo_Opponent_Type_2)=0,INDEX(Type_Damage_Multipliers,MATCH(Combo_Opponent_Type_2,IF(Type_Move=(INDEX(Charge_Type,MATCH($P456,Charge_Names,0))),Type_Species)),0),1)*
IF(OR(INDEX(Charge_Type,MATCH($P456,Charge_Names,0))=INDEX(Species_Type_1,MATCH($N456,Species_Names,0)),INDEX(Charge_Type,MATCH($P456,Charge_Names,0))=INDEX(Species_Type_2,MATCH($N456,Species_Names,0))),Game_STAB_Multiplier,1))</f>
        <v>1.25</v>
      </c>
      <c r="W456" s="33" t="s">
        <v>678</v>
      </c>
      <c r="X456" s="33" t="s">
        <v>679</v>
      </c>
      <c r="Y456" s="32" t="e">
        <f t="array" ref="Y456">((($Z456)*
INDEX(Species_Attack,MATCH($N456,Species_Names,0))*
INDEX(Species_Tankiness,MATCH($N456,Species_Names,0)))/1000)</f>
        <v>#VALUE!</v>
      </c>
      <c r="Z456" s="33" t="s">
        <v>680</v>
      </c>
    </row>
    <row r="457" spans="1:26" ht="14.25" customHeight="1" x14ac:dyDescent="0.2">
      <c r="A457" s="86"/>
      <c r="B457" s="22" t="str">
        <f t="array" ref="B457">CONCATENATE(TEXT($M457,"000"),".",TEXT(INDEX(Quick_Number,MATCH($O457,Quick_Names,0)),"000"),".",TEXT(INDEX(Charge_Number,MATCH($P457,Charge_Names,0)),"000"))</f>
        <v>146.209.024</v>
      </c>
      <c r="C457" s="23" t="e">
        <f t="array" ref="C457">RANK($S457,IF(Combo_Species_Names=$N457,Combo_Gym_Offense),0)</f>
        <v>#VALUE!</v>
      </c>
      <c r="D457" s="24" t="e">
        <f t="array" ref="D457">$S457/MAX(IF(Combo_Species_Names=$N457,Combo_Gym_Offense))</f>
        <v>#VALUE!</v>
      </c>
      <c r="E457" s="23" t="e">
        <f t="array" ref="E457">RANK($Y457,IF(Combo_Species_Names=$N457,Combo_Gym_Defense),0)</f>
        <v>#VALUE!</v>
      </c>
      <c r="F457" s="25" t="e">
        <f t="array" ref="F457">$Y457/MAX(IF(Combo_Species_Names=$N457,Combo_Gym_Defense))</f>
        <v>#VALUE!</v>
      </c>
      <c r="G457" s="23" t="str">
        <f t="array" ref="G457">IF(OR(INDEX(Species_Availability,MATCH($N457,Species_Names,0))="No",INDEX(Species_Evo_Numbers,MATCH($N457,Species_Names,0))&lt;&gt;1),"N/A",RANK($R457,IF(NOT(ISNA(MATCH(Combo_Species_Names,IF(Species_Availability="Yes",IF(Species_Evo_Numbers=1,Species_Names)),0))),Combo_Duel_Ability),0))</f>
        <v>N/A</v>
      </c>
      <c r="H457" s="24" t="str">
        <f t="array" ref="H457">IF(OR(INDEX(Species_Availability,MATCH($N457,Species_Names,0))="No",INDEX(Species_Evo_Numbers,MATCH($N457,Species_Names,0))&lt;&gt;1),"N/A",$R457/MAX(IF(NOT(ISNA(MATCH(Combo_Species_Names,IF(Species_Availability="Yes",IF(Species_Evo_Numbers=1,Species_Names)),0))),Combo_Duel_Ability)))</f>
        <v>N/A</v>
      </c>
      <c r="I457" s="23" t="str">
        <f t="array" ref="I457">IF(OR(INDEX(Species_Availability,MATCH($N457,Species_Names,0))="No",INDEX(Species_Evo_Numbers,MATCH($N457,Species_Names,0))&lt;&gt;1),"N/A",RANK($S457,IF(NOT(ISNA(MATCH(Combo_Species_Names,IF(Species_Availability="Yes",IF(Species_Evo_Numbers=1,Species_Names)),0))),Combo_Gym_Offense),0))</f>
        <v>N/A</v>
      </c>
      <c r="J457" s="24" t="str">
        <f t="array" ref="J457">IF(OR(INDEX(Species_Availability,MATCH($N457,Species_Names,0))="No",INDEX(Species_Evo_Numbers,MATCH($N457,Species_Names,0))&lt;&gt;1),"N/A",$S457/MAX(IF(NOT(ISNA(MATCH(Combo_Species_Names,IF(Species_Availability="Yes",IF(Species_Evo_Numbers=1,Species_Names)),0))),Combo_Gym_Offense)))</f>
        <v>N/A</v>
      </c>
      <c r="K457" s="23" t="str">
        <f t="array" ref="K457">IF(OR(INDEX(Species_Availability,MATCH($N457,Species_Names,0))="No",INDEX(Species_Evo_Numbers,MATCH($N457,Species_Names,0))&lt;&gt;1),"N/A",RANK($Y457,IF(NOT(ISNA(MATCH(Combo_Species_Names,IF(Species_Availability="Yes",IF(Species_Evo_Numbers=1,Species_Names)),0))),Combo_Gym_Defense),0))</f>
        <v>N/A</v>
      </c>
      <c r="L457" s="24" t="str">
        <f t="array" ref="L457">IF(OR(INDEX(Species_Availability,MATCH($N457,Species_Names,0))="No",INDEX(Species_Evo_Numbers,MATCH($N457,Species_Names,0))&lt;&gt;1),"N/A",$Y457/MAX(IF(NOT(ISNA(MATCH(Combo_Species_Names,IF(Species_Availability="Yes",IF(Species_Evo_Numbers=1,Species_Names)),0))),Combo_Gym_Defense)))</f>
        <v>N/A</v>
      </c>
      <c r="M457" s="28">
        <f t="array" ref="M457">INDEX(Species_Pdex_Numbers,MATCH($N457,Species_Names,0))</f>
        <v>146</v>
      </c>
      <c r="N457" s="30" t="s">
        <v>363</v>
      </c>
      <c r="O457" s="31" t="s">
        <v>111</v>
      </c>
      <c r="P457" s="31" t="s">
        <v>200</v>
      </c>
      <c r="Q457" s="17" t="e">
        <f t="shared" si="14"/>
        <v>#VALUE!</v>
      </c>
      <c r="R457" s="32" t="e">
        <f t="array" ref="R457">IF(OR(AND(COUNTBLANK(Combo_Opponent_Type_1)=1,COUNTBLANK(Combo_Opponent_Type_2)=0),AND(AND(COUNTBLANK(Combo_Opponent_Type_1)=0,COUNTBLANK(Combo_Opponent_Type_2)=0),Combo_Opponent_Type_1=Combo_Opponent_Type_2)),
"Check Types",($S457*INDEX(Species_Tankiness,MATCH($N457,Species_Names,0)))/225)</f>
        <v>#VALUE!</v>
      </c>
      <c r="S457" s="32" t="e">
        <f t="array" ref="S457">IF(OR(AND(COUNTBLANK(Combo_Opponent_Type_1)=1,COUNTBLANK(Combo_Opponent_Type_2)=0),AND(AND(COUNTBLANK(Combo_Opponent_Type_1)=0,COUNTBLANK(Combo_Opponent_Type_2)=0),Combo_Opponent_Type_1=Combo_Opponent_Type_2)),
"Check Types",(
IF($W457&gt;=((1-Game_Weave_Human_Error)*$X457),$W457,$X457)*INDEX(Species_Attack,MATCH($N457,Species_Names,0)))/11)</f>
        <v>#VALUE!</v>
      </c>
      <c r="T457" s="33" t="e">
        <f t="shared" si="15"/>
        <v>#VALUE!</v>
      </c>
      <c r="U457" s="33">
        <f t="array" ref="U4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457,Quick_Names,0))),Type_Species)),0),1)*IF(COUNTBLANK(Combo_Opponent_Type_2)=0,INDEX(Type_Damage_Multipliers,MATCH(Combo_Opponent_Type_2,IF(Type_Move=(INDEX(Quick_Type,MATCH($O457,Quick_Names,0))),Type_Species)),0),1)*(IF(OR(INDEX(Quick_Type,MATCH($O457,Quick_Names,0))=INDEX(Species_Type_1,MATCH($N457,Species_Names,0)),INDEX(Quick_Type,MATCH($O457,Quick_Names,0))=INDEX(Species_Type_2,MATCH($N457,Species_Names,0))),Game_STAB_Multiplier,1)))</f>
        <v>1.25</v>
      </c>
      <c r="V457" s="33">
        <f t="array" ref="V4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457,Charge_Names,0))),Type_Species)),0),1)*IF(COUNTBLANK(Combo_Opponent_Type_2)=0,INDEX(Type_Damage_Multipliers,MATCH(Combo_Opponent_Type_2,IF(Type_Move=(INDEX(Charge_Type,MATCH($P457,Charge_Names,0))),Type_Species)),0),1)*
IF(OR(INDEX(Charge_Type,MATCH($P457,Charge_Names,0))=INDEX(Species_Type_1,MATCH($N457,Species_Names,0)),INDEX(Charge_Type,MATCH($P457,Charge_Names,0))=INDEX(Species_Type_2,MATCH($N457,Species_Names,0))),Game_STAB_Multiplier,1))</f>
        <v>1.25</v>
      </c>
      <c r="W457" s="33" t="s">
        <v>511</v>
      </c>
      <c r="X457" s="33" t="s">
        <v>560</v>
      </c>
      <c r="Y457" s="32" t="e">
        <f t="array" ref="Y457">((($Z457)*
INDEX(Species_Attack,MATCH($N457,Species_Names,0))*
INDEX(Species_Tankiness,MATCH($N457,Species_Names,0)))/1000)</f>
        <v>#VALUE!</v>
      </c>
      <c r="Z457" s="33" t="s">
        <v>561</v>
      </c>
    </row>
    <row r="458" spans="1:26" ht="14.25" customHeight="1" x14ac:dyDescent="0.2">
      <c r="A458" s="86"/>
      <c r="B458" s="22" t="str">
        <f t="array" ref="B458">CONCATENATE(TEXT($M458,"000"),".",TEXT(INDEX(Quick_Number,MATCH($O458,Quick_Names,0)),"000"),".",TEXT(INDEX(Charge_Number,MATCH($P458,Charge_Names,0)),"000"))</f>
        <v>146.209.042</v>
      </c>
      <c r="C458" s="23" t="e">
        <f t="array" ref="C458">RANK($S458,IF(Combo_Species_Names=$N458,Combo_Gym_Offense),0)</f>
        <v>#VALUE!</v>
      </c>
      <c r="D458" s="24" t="e">
        <f t="array" ref="D458">$S458/MAX(IF(Combo_Species_Names=$N458,Combo_Gym_Offense))</f>
        <v>#VALUE!</v>
      </c>
      <c r="E458" s="23" t="e">
        <f t="array" ref="E458">RANK($Y458,IF(Combo_Species_Names=$N458,Combo_Gym_Defense),0)</f>
        <v>#VALUE!</v>
      </c>
      <c r="F458" s="25" t="e">
        <f t="array" ref="F458">$Y458/MAX(IF(Combo_Species_Names=$N458,Combo_Gym_Defense))</f>
        <v>#VALUE!</v>
      </c>
      <c r="G458" s="23" t="str">
        <f t="array" ref="G458">IF(OR(INDEX(Species_Availability,MATCH($N458,Species_Names,0))="No",INDEX(Species_Evo_Numbers,MATCH($N458,Species_Names,0))&lt;&gt;1),"N/A",RANK($R458,IF(NOT(ISNA(MATCH(Combo_Species_Names,IF(Species_Availability="Yes",IF(Species_Evo_Numbers=1,Species_Names)),0))),Combo_Duel_Ability),0))</f>
        <v>N/A</v>
      </c>
      <c r="H458" s="24" t="str">
        <f t="array" ref="H458">IF(OR(INDEX(Species_Availability,MATCH($N458,Species_Names,0))="No",INDEX(Species_Evo_Numbers,MATCH($N458,Species_Names,0))&lt;&gt;1),"N/A",$R458/MAX(IF(NOT(ISNA(MATCH(Combo_Species_Names,IF(Species_Availability="Yes",IF(Species_Evo_Numbers=1,Species_Names)),0))),Combo_Duel_Ability)))</f>
        <v>N/A</v>
      </c>
      <c r="I458" s="23" t="str">
        <f t="array" ref="I458">IF(OR(INDEX(Species_Availability,MATCH($N458,Species_Names,0))="No",INDEX(Species_Evo_Numbers,MATCH($N458,Species_Names,0))&lt;&gt;1),"N/A",RANK($S458,IF(NOT(ISNA(MATCH(Combo_Species_Names,IF(Species_Availability="Yes",IF(Species_Evo_Numbers=1,Species_Names)),0))),Combo_Gym_Offense),0))</f>
        <v>N/A</v>
      </c>
      <c r="J458" s="24" t="str">
        <f t="array" ref="J458">IF(OR(INDEX(Species_Availability,MATCH($N458,Species_Names,0))="No",INDEX(Species_Evo_Numbers,MATCH($N458,Species_Names,0))&lt;&gt;1),"N/A",$S458/MAX(IF(NOT(ISNA(MATCH(Combo_Species_Names,IF(Species_Availability="Yes",IF(Species_Evo_Numbers=1,Species_Names)),0))),Combo_Gym_Offense)))</f>
        <v>N/A</v>
      </c>
      <c r="K458" s="23" t="str">
        <f t="array" ref="K458">IF(OR(INDEX(Species_Availability,MATCH($N458,Species_Names,0))="No",INDEX(Species_Evo_Numbers,MATCH($N458,Species_Names,0))&lt;&gt;1),"N/A",RANK($Y458,IF(NOT(ISNA(MATCH(Combo_Species_Names,IF(Species_Availability="Yes",IF(Species_Evo_Numbers=1,Species_Names)),0))),Combo_Gym_Defense),0))</f>
        <v>N/A</v>
      </c>
      <c r="L458" s="24" t="str">
        <f t="array" ref="L458">IF(OR(INDEX(Species_Availability,MATCH($N458,Species_Names,0))="No",INDEX(Species_Evo_Numbers,MATCH($N458,Species_Names,0))&lt;&gt;1),"N/A",$Y458/MAX(IF(NOT(ISNA(MATCH(Combo_Species_Names,IF(Species_Availability="Yes",IF(Species_Evo_Numbers=1,Species_Names)),0))),Combo_Gym_Defense)))</f>
        <v>N/A</v>
      </c>
      <c r="M458" s="28">
        <f t="array" ref="M458">INDEX(Species_Pdex_Numbers,MATCH($N458,Species_Names,0))</f>
        <v>146</v>
      </c>
      <c r="N458" s="30" t="s">
        <v>363</v>
      </c>
      <c r="O458" s="31" t="s">
        <v>111</v>
      </c>
      <c r="P458" s="31" t="s">
        <v>183</v>
      </c>
      <c r="Q458" s="17" t="e">
        <f t="shared" si="14"/>
        <v>#VALUE!</v>
      </c>
      <c r="R458" s="32" t="e">
        <f t="array" ref="R458">IF(OR(AND(COUNTBLANK(Combo_Opponent_Type_1)=1,COUNTBLANK(Combo_Opponent_Type_2)=0),AND(AND(COUNTBLANK(Combo_Opponent_Type_1)=0,COUNTBLANK(Combo_Opponent_Type_2)=0),Combo_Opponent_Type_1=Combo_Opponent_Type_2)),
"Check Types",($S458*INDEX(Species_Tankiness,MATCH($N458,Species_Names,0)))/225)</f>
        <v>#VALUE!</v>
      </c>
      <c r="S458" s="32" t="e">
        <f t="array" ref="S458">IF(OR(AND(COUNTBLANK(Combo_Opponent_Type_1)=1,COUNTBLANK(Combo_Opponent_Type_2)=0),AND(AND(COUNTBLANK(Combo_Opponent_Type_1)=0,COUNTBLANK(Combo_Opponent_Type_2)=0),Combo_Opponent_Type_1=Combo_Opponent_Type_2)),
"Check Types",(
IF($W458&gt;=((1-Game_Weave_Human_Error)*$X458),$W458,$X458)*INDEX(Species_Attack,MATCH($N458,Species_Names,0)))/11)</f>
        <v>#VALUE!</v>
      </c>
      <c r="T458" s="33" t="e">
        <f t="shared" si="15"/>
        <v>#VALUE!</v>
      </c>
      <c r="U458" s="33">
        <f t="array" ref="U4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458,Quick_Names,0))),Type_Species)),0),1)*IF(COUNTBLANK(Combo_Opponent_Type_2)=0,INDEX(Type_Damage_Multipliers,MATCH(Combo_Opponent_Type_2,IF(Type_Move=(INDEX(Quick_Type,MATCH($O458,Quick_Names,0))),Type_Species)),0),1)*(IF(OR(INDEX(Quick_Type,MATCH($O458,Quick_Names,0))=INDEX(Species_Type_1,MATCH($N458,Species_Names,0)),INDEX(Quick_Type,MATCH($O458,Quick_Names,0))=INDEX(Species_Type_2,MATCH($N458,Species_Names,0))),Game_STAB_Multiplier,1)))</f>
        <v>1.25</v>
      </c>
      <c r="V458" s="33">
        <f t="array" ref="V4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458,Charge_Names,0))),Type_Species)),0),1)*IF(COUNTBLANK(Combo_Opponent_Type_2)=0,INDEX(Type_Damage_Multipliers,MATCH(Combo_Opponent_Type_2,IF(Type_Move=(INDEX(Charge_Type,MATCH($P458,Charge_Names,0))),Type_Species)),0),1)*
IF(OR(INDEX(Charge_Type,MATCH($P458,Charge_Names,0))=INDEX(Species_Type_1,MATCH($N458,Species_Names,0)),INDEX(Charge_Type,MATCH($P458,Charge_Names,0))=INDEX(Species_Type_2,MATCH($N458,Species_Names,0))),Game_STAB_Multiplier,1))</f>
        <v>1.25</v>
      </c>
      <c r="W458" s="33" t="s">
        <v>511</v>
      </c>
      <c r="X458" s="33" t="s">
        <v>617</v>
      </c>
      <c r="Y458" s="32" t="e">
        <f t="array" ref="Y458">((($Z458)*
INDEX(Species_Attack,MATCH($N458,Species_Names,0))*
INDEX(Species_Tankiness,MATCH($N458,Species_Names,0)))/1000)</f>
        <v>#VALUE!</v>
      </c>
      <c r="Z458" s="33" t="s">
        <v>618</v>
      </c>
    </row>
    <row r="459" spans="1:26" ht="14.25" customHeight="1" x14ac:dyDescent="0.2">
      <c r="A459" s="86"/>
      <c r="B459" s="22" t="str">
        <f t="array" ref="B459">CONCATENATE(TEXT($M459,"000"),".",TEXT(INDEX(Quick_Number,MATCH($O459,Quick_Names,0)),"000"),".",TEXT(INDEX(Charge_Number,MATCH($P459,Charge_Names,0)),"000"))</f>
        <v>145.205.079</v>
      </c>
      <c r="C459" s="23" t="e">
        <f t="array" ref="C459">RANK($S459,IF(Combo_Species_Names=$N459,Combo_Gym_Offense),0)</f>
        <v>#VALUE!</v>
      </c>
      <c r="D459" s="24" t="e">
        <f t="array" ref="D459">$S459/MAX(IF(Combo_Species_Names=$N459,Combo_Gym_Offense))</f>
        <v>#VALUE!</v>
      </c>
      <c r="E459" s="23" t="e">
        <f t="array" ref="E459">RANK($Y459,IF(Combo_Species_Names=$N459,Combo_Gym_Defense),0)</f>
        <v>#VALUE!</v>
      </c>
      <c r="F459" s="25" t="e">
        <f t="array" ref="F459">$Y459/MAX(IF(Combo_Species_Names=$N459,Combo_Gym_Defense))</f>
        <v>#VALUE!</v>
      </c>
      <c r="G459" s="23" t="str">
        <f t="array" ref="G459">IF(OR(INDEX(Species_Availability,MATCH($N459,Species_Names,0))="No",INDEX(Species_Evo_Numbers,MATCH($N459,Species_Names,0))&lt;&gt;1),"N/A",RANK($R459,IF(NOT(ISNA(MATCH(Combo_Species_Names,IF(Species_Availability="Yes",IF(Species_Evo_Numbers=1,Species_Names)),0))),Combo_Duel_Ability),0))</f>
        <v>N/A</v>
      </c>
      <c r="H459" s="24" t="str">
        <f t="array" ref="H459">IF(OR(INDEX(Species_Availability,MATCH($N459,Species_Names,0))="No",INDEX(Species_Evo_Numbers,MATCH($N459,Species_Names,0))&lt;&gt;1),"N/A",$R459/MAX(IF(NOT(ISNA(MATCH(Combo_Species_Names,IF(Species_Availability="Yes",IF(Species_Evo_Numbers=1,Species_Names)),0))),Combo_Duel_Ability)))</f>
        <v>N/A</v>
      </c>
      <c r="I459" s="23" t="str">
        <f t="array" ref="I459">IF(OR(INDEX(Species_Availability,MATCH($N459,Species_Names,0))="No",INDEX(Species_Evo_Numbers,MATCH($N459,Species_Names,0))&lt;&gt;1),"N/A",RANK($S459,IF(NOT(ISNA(MATCH(Combo_Species_Names,IF(Species_Availability="Yes",IF(Species_Evo_Numbers=1,Species_Names)),0))),Combo_Gym_Offense),0))</f>
        <v>N/A</v>
      </c>
      <c r="J459" s="24" t="str">
        <f t="array" ref="J459">IF(OR(INDEX(Species_Availability,MATCH($N459,Species_Names,0))="No",INDEX(Species_Evo_Numbers,MATCH($N459,Species_Names,0))&lt;&gt;1),"N/A",$S459/MAX(IF(NOT(ISNA(MATCH(Combo_Species_Names,IF(Species_Availability="Yes",IF(Species_Evo_Numbers=1,Species_Names)),0))),Combo_Gym_Offense)))</f>
        <v>N/A</v>
      </c>
      <c r="K459" s="23" t="str">
        <f t="array" ref="K459">IF(OR(INDEX(Species_Availability,MATCH($N459,Species_Names,0))="No",INDEX(Species_Evo_Numbers,MATCH($N459,Species_Names,0))&lt;&gt;1),"N/A",RANK($Y459,IF(NOT(ISNA(MATCH(Combo_Species_Names,IF(Species_Availability="Yes",IF(Species_Evo_Numbers=1,Species_Names)),0))),Combo_Gym_Defense),0))</f>
        <v>N/A</v>
      </c>
      <c r="L459" s="24" t="str">
        <f t="array" ref="L459">IF(OR(INDEX(Species_Availability,MATCH($N459,Species_Names,0))="No",INDEX(Species_Evo_Numbers,MATCH($N459,Species_Names,0))&lt;&gt;1),"N/A",$Y459/MAX(IF(NOT(ISNA(MATCH(Combo_Species_Names,IF(Species_Availability="Yes",IF(Species_Evo_Numbers=1,Species_Names)),0))),Combo_Gym_Defense)))</f>
        <v>N/A</v>
      </c>
      <c r="M459" s="28">
        <f t="array" ref="M459">INDEX(Species_Pdex_Numbers,MATCH($N459,Species_Names,0))</f>
        <v>145</v>
      </c>
      <c r="N459" s="30" t="s">
        <v>362</v>
      </c>
      <c r="O459" s="31" t="s">
        <v>115</v>
      </c>
      <c r="P459" s="31" t="s">
        <v>190</v>
      </c>
      <c r="Q459" s="17" t="e">
        <f t="shared" si="14"/>
        <v>#VALUE!</v>
      </c>
      <c r="R459" s="32" t="e">
        <f t="array" ref="R459">IF(OR(AND(COUNTBLANK(Combo_Opponent_Type_1)=1,COUNTBLANK(Combo_Opponent_Type_2)=0),AND(AND(COUNTBLANK(Combo_Opponent_Type_1)=0,COUNTBLANK(Combo_Opponent_Type_2)=0),Combo_Opponent_Type_1=Combo_Opponent_Type_2)),
"Check Types",($S459*INDEX(Species_Tankiness,MATCH($N459,Species_Names,0)))/225)</f>
        <v>#VALUE!</v>
      </c>
      <c r="S459" s="32" t="e">
        <f t="array" ref="S459">IF(OR(AND(COUNTBLANK(Combo_Opponent_Type_1)=1,COUNTBLANK(Combo_Opponent_Type_2)=0),AND(AND(COUNTBLANK(Combo_Opponent_Type_1)=0,COUNTBLANK(Combo_Opponent_Type_2)=0),Combo_Opponent_Type_1=Combo_Opponent_Type_2)),
"Check Types",(
IF($W459&gt;=((1-Game_Weave_Human_Error)*$X459),$W459,$X459)*INDEX(Species_Attack,MATCH($N459,Species_Names,0)))/11)</f>
        <v>#VALUE!</v>
      </c>
      <c r="T459" s="33" t="e">
        <f t="shared" si="15"/>
        <v>#VALUE!</v>
      </c>
      <c r="U459" s="33">
        <f t="array" ref="U4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459,Quick_Names,0))),Type_Species)),0),1)*IF(COUNTBLANK(Combo_Opponent_Type_2)=0,INDEX(Type_Damage_Multipliers,MATCH(Combo_Opponent_Type_2,IF(Type_Move=(INDEX(Quick_Type,MATCH($O459,Quick_Names,0))),Type_Species)),0),1)*(IF(OR(INDEX(Quick_Type,MATCH($O459,Quick_Names,0))=INDEX(Species_Type_1,MATCH($N459,Species_Names,0)),INDEX(Quick_Type,MATCH($O459,Quick_Names,0))=INDEX(Species_Type_2,MATCH($N459,Species_Names,0))),Game_STAB_Multiplier,1)))</f>
        <v>1.25</v>
      </c>
      <c r="V459" s="33">
        <f t="array" ref="V4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459,Charge_Names,0))),Type_Species)),0),1)*IF(COUNTBLANK(Combo_Opponent_Type_2)=0,INDEX(Type_Damage_Multipliers,MATCH(Combo_Opponent_Type_2,IF(Type_Move=(INDEX(Charge_Type,MATCH($P459,Charge_Names,0))),Type_Species)),0),1)*
IF(OR(INDEX(Charge_Type,MATCH($P459,Charge_Names,0))=INDEX(Species_Type_1,MATCH($N459,Species_Names,0)),INDEX(Charge_Type,MATCH($P459,Charge_Names,0))=INDEX(Species_Type_2,MATCH($N459,Species_Names,0))),Game_STAB_Multiplier,1))</f>
        <v>1.25</v>
      </c>
      <c r="W459" s="33" t="s">
        <v>678</v>
      </c>
      <c r="X459" s="33" t="s">
        <v>696</v>
      </c>
      <c r="Y459" s="32" t="e">
        <f t="array" ref="Y459">((($Z459)*
INDEX(Species_Attack,MATCH($N459,Species_Names,0))*
INDEX(Species_Tankiness,MATCH($N459,Species_Names,0)))/1000)</f>
        <v>#VALUE!</v>
      </c>
      <c r="Z459" s="33" t="s">
        <v>697</v>
      </c>
    </row>
    <row r="460" spans="1:26" ht="14.25" customHeight="1" x14ac:dyDescent="0.2">
      <c r="A460" s="86"/>
      <c r="B460" s="22" t="str">
        <f t="array" ref="B460">CONCATENATE(TEXT($M460,"000"),".",TEXT(INDEX(Quick_Number,MATCH($O460,Quick_Names,0)),"000"),".",TEXT(INDEX(Charge_Number,MATCH($P460,Charge_Names,0)),"000"))</f>
        <v>144.218.111</v>
      </c>
      <c r="C460" s="23" t="e">
        <f t="array" ref="C460">RANK($S460,IF(Combo_Species_Names=$N460,Combo_Gym_Offense),0)</f>
        <v>#VALUE!</v>
      </c>
      <c r="D460" s="24" t="e">
        <f t="array" ref="D460">$S460/MAX(IF(Combo_Species_Names=$N460,Combo_Gym_Offense))</f>
        <v>#VALUE!</v>
      </c>
      <c r="E460" s="23" t="e">
        <f t="array" ref="E460">RANK($Y460,IF(Combo_Species_Names=$N460,Combo_Gym_Defense),0)</f>
        <v>#VALUE!</v>
      </c>
      <c r="F460" s="25" t="e">
        <f t="array" ref="F460">$Y460/MAX(IF(Combo_Species_Names=$N460,Combo_Gym_Defense))</f>
        <v>#VALUE!</v>
      </c>
      <c r="G460" s="23" t="str">
        <f t="array" ref="G460">IF(OR(INDEX(Species_Availability,MATCH($N460,Species_Names,0))="No",INDEX(Species_Evo_Numbers,MATCH($N460,Species_Names,0))&lt;&gt;1),"N/A",RANK($R460,IF(NOT(ISNA(MATCH(Combo_Species_Names,IF(Species_Availability="Yes",IF(Species_Evo_Numbers=1,Species_Names)),0))),Combo_Duel_Ability),0))</f>
        <v>N/A</v>
      </c>
      <c r="H460" s="24" t="str">
        <f t="array" ref="H460">IF(OR(INDEX(Species_Availability,MATCH($N460,Species_Names,0))="No",INDEX(Species_Evo_Numbers,MATCH($N460,Species_Names,0))&lt;&gt;1),"N/A",$R460/MAX(IF(NOT(ISNA(MATCH(Combo_Species_Names,IF(Species_Availability="Yes",IF(Species_Evo_Numbers=1,Species_Names)),0))),Combo_Duel_Ability)))</f>
        <v>N/A</v>
      </c>
      <c r="I460" s="23" t="str">
        <f t="array" ref="I460">IF(OR(INDEX(Species_Availability,MATCH($N460,Species_Names,0))="No",INDEX(Species_Evo_Numbers,MATCH($N460,Species_Names,0))&lt;&gt;1),"N/A",RANK($S460,IF(NOT(ISNA(MATCH(Combo_Species_Names,IF(Species_Availability="Yes",IF(Species_Evo_Numbers=1,Species_Names)),0))),Combo_Gym_Offense),0))</f>
        <v>N/A</v>
      </c>
      <c r="J460" s="24" t="str">
        <f t="array" ref="J460">IF(OR(INDEX(Species_Availability,MATCH($N460,Species_Names,0))="No",INDEX(Species_Evo_Numbers,MATCH($N460,Species_Names,0))&lt;&gt;1),"N/A",$S460/MAX(IF(NOT(ISNA(MATCH(Combo_Species_Names,IF(Species_Availability="Yes",IF(Species_Evo_Numbers=1,Species_Names)),0))),Combo_Gym_Offense)))</f>
        <v>N/A</v>
      </c>
      <c r="K460" s="23" t="str">
        <f t="array" ref="K460">IF(OR(INDEX(Species_Availability,MATCH($N460,Species_Names,0))="No",INDEX(Species_Evo_Numbers,MATCH($N460,Species_Names,0))&lt;&gt;1),"N/A",RANK($Y460,IF(NOT(ISNA(MATCH(Combo_Species_Names,IF(Species_Availability="Yes",IF(Species_Evo_Numbers=1,Species_Names)),0))),Combo_Gym_Defense),0))</f>
        <v>N/A</v>
      </c>
      <c r="L460" s="24" t="str">
        <f t="array" ref="L460">IF(OR(INDEX(Species_Availability,MATCH($N460,Species_Names,0))="No",INDEX(Species_Evo_Numbers,MATCH($N460,Species_Names,0))&lt;&gt;1),"N/A",$Y460/MAX(IF(NOT(ISNA(MATCH(Combo_Species_Names,IF(Species_Availability="Yes",IF(Species_Evo_Numbers=1,Species_Names)),0))),Combo_Gym_Defense)))</f>
        <v>N/A</v>
      </c>
      <c r="M460" s="28">
        <f t="array" ref="M460">INDEX(Species_Pdex_Numbers,MATCH($N460,Species_Names,0))</f>
        <v>144</v>
      </c>
      <c r="N460" s="30" t="s">
        <v>361</v>
      </c>
      <c r="O460" s="31" t="s">
        <v>87</v>
      </c>
      <c r="P460" s="31" t="s">
        <v>318</v>
      </c>
      <c r="Q460" s="17" t="e">
        <f t="shared" si="14"/>
        <v>#VALUE!</v>
      </c>
      <c r="R460" s="32" t="e">
        <f t="array" ref="R460">IF(OR(AND(COUNTBLANK(Combo_Opponent_Type_1)=1,COUNTBLANK(Combo_Opponent_Type_2)=0),AND(AND(COUNTBLANK(Combo_Opponent_Type_1)=0,COUNTBLANK(Combo_Opponent_Type_2)=0),Combo_Opponent_Type_1=Combo_Opponent_Type_2)),
"Check Types",($S460*INDEX(Species_Tankiness,MATCH($N460,Species_Names,0)))/225)</f>
        <v>#VALUE!</v>
      </c>
      <c r="S460" s="32" t="e">
        <f t="array" ref="S460">IF(OR(AND(COUNTBLANK(Combo_Opponent_Type_1)=1,COUNTBLANK(Combo_Opponent_Type_2)=0),AND(AND(COUNTBLANK(Combo_Opponent_Type_1)=0,COUNTBLANK(Combo_Opponent_Type_2)=0),Combo_Opponent_Type_1=Combo_Opponent_Type_2)),
"Check Types",(
IF($W460&gt;=((1-Game_Weave_Human_Error)*$X460),$W460,$X460)*INDEX(Species_Attack,MATCH($N460,Species_Names,0)))/11)</f>
        <v>#VALUE!</v>
      </c>
      <c r="T460" s="33" t="e">
        <f t="shared" si="15"/>
        <v>#VALUE!</v>
      </c>
      <c r="U460" s="33">
        <f t="array" ref="U4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460,Quick_Names,0))),Type_Species)),0),1)*IF(COUNTBLANK(Combo_Opponent_Type_2)=0,INDEX(Type_Damage_Multipliers,MATCH(Combo_Opponent_Type_2,IF(Type_Move=(INDEX(Quick_Type,MATCH($O460,Quick_Names,0))),Type_Species)),0),1)*(IF(OR(INDEX(Quick_Type,MATCH($O460,Quick_Names,0))=INDEX(Species_Type_1,MATCH($N460,Species_Names,0)),INDEX(Quick_Type,MATCH($O460,Quick_Names,0))=INDEX(Species_Type_2,MATCH($N460,Species_Names,0))),Game_STAB_Multiplier,1)))</f>
        <v>1.25</v>
      </c>
      <c r="V460" s="33">
        <f t="array" ref="V4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460,Charge_Names,0))),Type_Species)),0),1)*IF(COUNTBLANK(Combo_Opponent_Type_2)=0,INDEX(Type_Damage_Multipliers,MATCH(Combo_Opponent_Type_2,IF(Type_Move=(INDEX(Charge_Type,MATCH($P460,Charge_Names,0))),Type_Species)),0),1)*
IF(OR(INDEX(Charge_Type,MATCH($P460,Charge_Names,0))=INDEX(Species_Type_1,MATCH($N460,Species_Names,0)),INDEX(Charge_Type,MATCH($P460,Charge_Names,0))=INDEX(Species_Type_2,MATCH($N460,Species_Names,0))),Game_STAB_Multiplier,1))</f>
        <v>1.25</v>
      </c>
      <c r="W460" s="33" t="s">
        <v>422</v>
      </c>
      <c r="X460" s="33" t="s">
        <v>409</v>
      </c>
      <c r="Y460" s="32" t="e">
        <f t="array" ref="Y460">((($Z460)*
INDEX(Species_Attack,MATCH($N460,Species_Names,0))*
INDEX(Species_Tankiness,MATCH($N460,Species_Names,0)))/1000)</f>
        <v>#VALUE!</v>
      </c>
      <c r="Z460" s="33" t="s">
        <v>531</v>
      </c>
    </row>
    <row r="461" spans="1:26" ht="14.25" customHeight="1" x14ac:dyDescent="0.2">
      <c r="A461" s="86"/>
      <c r="B461" s="22" t="str">
        <f t="array" ref="B461">CONCATENATE(TEXT($M461,"000"),".",TEXT(INDEX(Quick_Number,MATCH($O461,Quick_Names,0)),"000"),".",TEXT(INDEX(Charge_Number,MATCH($P461,Charge_Names,0)),"000"))</f>
        <v>145.205.035</v>
      </c>
      <c r="C461" s="23" t="e">
        <f t="array" ref="C461">RANK($S461,IF(Combo_Species_Names=$N461,Combo_Gym_Offense),0)</f>
        <v>#VALUE!</v>
      </c>
      <c r="D461" s="24" t="e">
        <f t="array" ref="D461">$S461/MAX(IF(Combo_Species_Names=$N461,Combo_Gym_Offense))</f>
        <v>#VALUE!</v>
      </c>
      <c r="E461" s="23" t="e">
        <f t="array" ref="E461">RANK($Y461,IF(Combo_Species_Names=$N461,Combo_Gym_Defense),0)</f>
        <v>#VALUE!</v>
      </c>
      <c r="F461" s="25" t="e">
        <f t="array" ref="F461">$Y461/MAX(IF(Combo_Species_Names=$N461,Combo_Gym_Defense))</f>
        <v>#VALUE!</v>
      </c>
      <c r="G461" s="23" t="str">
        <f t="array" ref="G461">IF(OR(INDEX(Species_Availability,MATCH($N461,Species_Names,0))="No",INDEX(Species_Evo_Numbers,MATCH($N461,Species_Names,0))&lt;&gt;1),"N/A",RANK($R461,IF(NOT(ISNA(MATCH(Combo_Species_Names,IF(Species_Availability="Yes",IF(Species_Evo_Numbers=1,Species_Names)),0))),Combo_Duel_Ability),0))</f>
        <v>N/A</v>
      </c>
      <c r="H461" s="24" t="str">
        <f t="array" ref="H461">IF(OR(INDEX(Species_Availability,MATCH($N461,Species_Names,0))="No",INDEX(Species_Evo_Numbers,MATCH($N461,Species_Names,0))&lt;&gt;1),"N/A",$R461/MAX(IF(NOT(ISNA(MATCH(Combo_Species_Names,IF(Species_Availability="Yes",IF(Species_Evo_Numbers=1,Species_Names)),0))),Combo_Duel_Ability)))</f>
        <v>N/A</v>
      </c>
      <c r="I461" s="23" t="str">
        <f t="array" ref="I461">IF(OR(INDEX(Species_Availability,MATCH($N461,Species_Names,0))="No",INDEX(Species_Evo_Numbers,MATCH($N461,Species_Names,0))&lt;&gt;1),"N/A",RANK($S461,IF(NOT(ISNA(MATCH(Combo_Species_Names,IF(Species_Availability="Yes",IF(Species_Evo_Numbers=1,Species_Names)),0))),Combo_Gym_Offense),0))</f>
        <v>N/A</v>
      </c>
      <c r="J461" s="24" t="str">
        <f t="array" ref="J461">IF(OR(INDEX(Species_Availability,MATCH($N461,Species_Names,0))="No",INDEX(Species_Evo_Numbers,MATCH($N461,Species_Names,0))&lt;&gt;1),"N/A",$S461/MAX(IF(NOT(ISNA(MATCH(Combo_Species_Names,IF(Species_Availability="Yes",IF(Species_Evo_Numbers=1,Species_Names)),0))),Combo_Gym_Offense)))</f>
        <v>N/A</v>
      </c>
      <c r="K461" s="23" t="str">
        <f t="array" ref="K461">IF(OR(INDEX(Species_Availability,MATCH($N461,Species_Names,0))="No",INDEX(Species_Evo_Numbers,MATCH($N461,Species_Names,0))&lt;&gt;1),"N/A",RANK($Y461,IF(NOT(ISNA(MATCH(Combo_Species_Names,IF(Species_Availability="Yes",IF(Species_Evo_Numbers=1,Species_Names)),0))),Combo_Gym_Defense),0))</f>
        <v>N/A</v>
      </c>
      <c r="L461" s="24" t="str">
        <f t="array" ref="L461">IF(OR(INDEX(Species_Availability,MATCH($N461,Species_Names,0))="No",INDEX(Species_Evo_Numbers,MATCH($N461,Species_Names,0))&lt;&gt;1),"N/A",$Y461/MAX(IF(NOT(ISNA(MATCH(Combo_Species_Names,IF(Species_Availability="Yes",IF(Species_Evo_Numbers=1,Species_Names)),0))),Combo_Gym_Defense)))</f>
        <v>N/A</v>
      </c>
      <c r="M461" s="28">
        <f t="array" ref="M461">INDEX(Species_Pdex_Numbers,MATCH($N461,Species_Names,0))</f>
        <v>145</v>
      </c>
      <c r="N461" s="30" t="s">
        <v>362</v>
      </c>
      <c r="O461" s="31" t="s">
        <v>115</v>
      </c>
      <c r="P461" s="31" t="s">
        <v>245</v>
      </c>
      <c r="Q461" s="17" t="e">
        <f t="shared" si="14"/>
        <v>#VALUE!</v>
      </c>
      <c r="R461" s="32" t="e">
        <f t="array" ref="R461">IF(OR(AND(COUNTBLANK(Combo_Opponent_Type_1)=1,COUNTBLANK(Combo_Opponent_Type_2)=0),AND(AND(COUNTBLANK(Combo_Opponent_Type_1)=0,COUNTBLANK(Combo_Opponent_Type_2)=0),Combo_Opponent_Type_1=Combo_Opponent_Type_2)),
"Check Types",($S461*INDEX(Species_Tankiness,MATCH($N461,Species_Names,0)))/225)</f>
        <v>#VALUE!</v>
      </c>
      <c r="S461" s="32" t="e">
        <f t="array" ref="S461">IF(OR(AND(COUNTBLANK(Combo_Opponent_Type_1)=1,COUNTBLANK(Combo_Opponent_Type_2)=0),AND(AND(COUNTBLANK(Combo_Opponent_Type_1)=0,COUNTBLANK(Combo_Opponent_Type_2)=0),Combo_Opponent_Type_1=Combo_Opponent_Type_2)),
"Check Types",(
IF($W461&gt;=((1-Game_Weave_Human_Error)*$X461),$W461,$X461)*INDEX(Species_Attack,MATCH($N461,Species_Names,0)))/11)</f>
        <v>#VALUE!</v>
      </c>
      <c r="T461" s="33" t="e">
        <f t="shared" si="15"/>
        <v>#VALUE!</v>
      </c>
      <c r="U461" s="33">
        <f t="array" ref="U4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461,Quick_Names,0))),Type_Species)),0),1)*IF(COUNTBLANK(Combo_Opponent_Type_2)=0,INDEX(Type_Damage_Multipliers,MATCH(Combo_Opponent_Type_2,IF(Type_Move=(INDEX(Quick_Type,MATCH($O461,Quick_Names,0))),Type_Species)),0),1)*(IF(OR(INDEX(Quick_Type,MATCH($O461,Quick_Names,0))=INDEX(Species_Type_1,MATCH($N461,Species_Names,0)),INDEX(Quick_Type,MATCH($O461,Quick_Names,0))=INDEX(Species_Type_2,MATCH($N461,Species_Names,0))),Game_STAB_Multiplier,1)))</f>
        <v>1.25</v>
      </c>
      <c r="V461" s="33">
        <f t="array" ref="V4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461,Charge_Names,0))),Type_Species)),0),1)*IF(COUNTBLANK(Combo_Opponent_Type_2)=0,INDEX(Type_Damage_Multipliers,MATCH(Combo_Opponent_Type_2,IF(Type_Move=(INDEX(Charge_Type,MATCH($P461,Charge_Names,0))),Type_Species)),0),1)*
IF(OR(INDEX(Charge_Type,MATCH($P461,Charge_Names,0))=INDEX(Species_Type_1,MATCH($N461,Species_Names,0)),INDEX(Charge_Type,MATCH($P461,Charge_Names,0))=INDEX(Species_Type_2,MATCH($N461,Species_Names,0))),Game_STAB_Multiplier,1))</f>
        <v>1.25</v>
      </c>
      <c r="W461" s="33" t="s">
        <v>678</v>
      </c>
      <c r="X461" s="33" t="s">
        <v>756</v>
      </c>
      <c r="Y461" s="32" t="e">
        <f t="array" ref="Y461">((($Z461)*
INDEX(Species_Attack,MATCH($N461,Species_Names,0))*
INDEX(Species_Tankiness,MATCH($N461,Species_Names,0)))/1000)</f>
        <v>#VALUE!</v>
      </c>
      <c r="Z461" s="33" t="s">
        <v>635</v>
      </c>
    </row>
    <row r="462" spans="1:26" ht="14.25" customHeight="1" x14ac:dyDescent="0.2">
      <c r="A462" s="86"/>
      <c r="B462" s="22" t="str">
        <f t="array" ref="B462">CONCATENATE(TEXT($M462,"000"),".",TEXT(INDEX(Quick_Number,MATCH($O462,Quick_Names,0)),"000"),".",TEXT(INDEX(Charge_Number,MATCH($P462,Charge_Names,0)),"000"))</f>
        <v>008.230.107</v>
      </c>
      <c r="C462" s="23" t="e">
        <f t="array" ref="C462">RANK($S462,IF(Combo_Species_Names=$N462,Combo_Gym_Offense),0)</f>
        <v>#VALUE!</v>
      </c>
      <c r="D462" s="24" t="e">
        <f t="array" ref="D462">$S462/MAX(IF(Combo_Species_Names=$N462,Combo_Gym_Offense))</f>
        <v>#VALUE!</v>
      </c>
      <c r="E462" s="23" t="e">
        <f t="array" ref="E462">RANK($Y462,IF(Combo_Species_Names=$N462,Combo_Gym_Defense),0)</f>
        <v>#VALUE!</v>
      </c>
      <c r="F462" s="25" t="e">
        <f t="array" ref="F462">$Y462/MAX(IF(Combo_Species_Names=$N462,Combo_Gym_Defense))</f>
        <v>#VALUE!</v>
      </c>
      <c r="G462" s="23" t="str">
        <f t="array" ref="G462">IF(OR(INDEX(Species_Availability,MATCH($N462,Species_Names,0))="No",INDEX(Species_Evo_Numbers,MATCH($N462,Species_Names,0))&lt;&gt;1),"N/A",RANK($R462,IF(NOT(ISNA(MATCH(Combo_Species_Names,IF(Species_Availability="Yes",IF(Species_Evo_Numbers=1,Species_Names)),0))),Combo_Duel_Ability),0))</f>
        <v>N/A</v>
      </c>
      <c r="H462" s="24" t="str">
        <f t="array" ref="H462">IF(OR(INDEX(Species_Availability,MATCH($N462,Species_Names,0))="No",INDEX(Species_Evo_Numbers,MATCH($N462,Species_Names,0))&lt;&gt;1),"N/A",$R462/MAX(IF(NOT(ISNA(MATCH(Combo_Species_Names,IF(Species_Availability="Yes",IF(Species_Evo_Numbers=1,Species_Names)),0))),Combo_Duel_Ability)))</f>
        <v>N/A</v>
      </c>
      <c r="I462" s="23" t="str">
        <f t="array" ref="I462">IF(OR(INDEX(Species_Availability,MATCH($N462,Species_Names,0))="No",INDEX(Species_Evo_Numbers,MATCH($N462,Species_Names,0))&lt;&gt;1),"N/A",RANK($S462,IF(NOT(ISNA(MATCH(Combo_Species_Names,IF(Species_Availability="Yes",IF(Species_Evo_Numbers=1,Species_Names)),0))),Combo_Gym_Offense),0))</f>
        <v>N/A</v>
      </c>
      <c r="J462" s="24" t="str">
        <f t="array" ref="J462">IF(OR(INDEX(Species_Availability,MATCH($N462,Species_Names,0))="No",INDEX(Species_Evo_Numbers,MATCH($N462,Species_Names,0))&lt;&gt;1),"N/A",$S462/MAX(IF(NOT(ISNA(MATCH(Combo_Species_Names,IF(Species_Availability="Yes",IF(Species_Evo_Numbers=1,Species_Names)),0))),Combo_Gym_Offense)))</f>
        <v>N/A</v>
      </c>
      <c r="K462" s="23" t="str">
        <f t="array" ref="K462">IF(OR(INDEX(Species_Availability,MATCH($N462,Species_Names,0))="No",INDEX(Species_Evo_Numbers,MATCH($N462,Species_Names,0))&lt;&gt;1),"N/A",RANK($Y462,IF(NOT(ISNA(MATCH(Combo_Species_Names,IF(Species_Availability="Yes",IF(Species_Evo_Numbers=1,Species_Names)),0))),Combo_Gym_Defense),0))</f>
        <v>N/A</v>
      </c>
      <c r="L462" s="24" t="str">
        <f t="array" ref="L462">IF(OR(INDEX(Species_Availability,MATCH($N462,Species_Names,0))="No",INDEX(Species_Evo_Numbers,MATCH($N462,Species_Names,0))&lt;&gt;1),"N/A",$Y462/MAX(IF(NOT(ISNA(MATCH(Combo_Species_Names,IF(Species_Availability="Yes",IF(Species_Evo_Numbers=1,Species_Names)),0))),Combo_Gym_Defense)))</f>
        <v>N/A</v>
      </c>
      <c r="M462" s="28">
        <f t="array" ref="M462">INDEX(Species_Pdex_Numbers,MATCH($N462,Species_Names,0))</f>
        <v>8</v>
      </c>
      <c r="N462" s="30" t="s">
        <v>90</v>
      </c>
      <c r="O462" s="31" t="s">
        <v>65</v>
      </c>
      <c r="P462" s="31" t="s">
        <v>170</v>
      </c>
      <c r="Q462" s="17" t="e">
        <f t="shared" si="14"/>
        <v>#VALUE!</v>
      </c>
      <c r="R462" s="32" t="e">
        <f t="array" ref="R462">IF(OR(AND(COUNTBLANK(Combo_Opponent_Type_1)=1,COUNTBLANK(Combo_Opponent_Type_2)=0),AND(AND(COUNTBLANK(Combo_Opponent_Type_1)=0,COUNTBLANK(Combo_Opponent_Type_2)=0),Combo_Opponent_Type_1=Combo_Opponent_Type_2)),
"Check Types",($S462*INDEX(Species_Tankiness,MATCH($N462,Species_Names,0)))/225)</f>
        <v>#VALUE!</v>
      </c>
      <c r="S462" s="32" t="e">
        <f t="array" ref="S462">IF(OR(AND(COUNTBLANK(Combo_Opponent_Type_1)=1,COUNTBLANK(Combo_Opponent_Type_2)=0),AND(AND(COUNTBLANK(Combo_Opponent_Type_1)=0,COUNTBLANK(Combo_Opponent_Type_2)=0),Combo_Opponent_Type_1=Combo_Opponent_Type_2)),
"Check Types",(
IF($W462&gt;=((1-Game_Weave_Human_Error)*$X462),$W462,$X462)*INDEX(Species_Attack,MATCH($N462,Species_Names,0)))/11)</f>
        <v>#VALUE!</v>
      </c>
      <c r="T462" s="33" t="e">
        <f t="shared" si="15"/>
        <v>#VALUE!</v>
      </c>
      <c r="U462" s="33">
        <f t="array" ref="U4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462,Quick_Names,0))),Type_Species)),0),1)*IF(COUNTBLANK(Combo_Opponent_Type_2)=0,INDEX(Type_Damage_Multipliers,MATCH(Combo_Opponent_Type_2,IF(Type_Move=(INDEX(Quick_Type,MATCH($O462,Quick_Names,0))),Type_Species)),0),1)*(IF(OR(INDEX(Quick_Type,MATCH($O462,Quick_Names,0))=INDEX(Species_Type_1,MATCH($N462,Species_Names,0)),INDEX(Quick_Type,MATCH($O462,Quick_Names,0))=INDEX(Species_Type_2,MATCH($N462,Species_Names,0))),Game_STAB_Multiplier,1)))</f>
        <v>1.25</v>
      </c>
      <c r="V462" s="33">
        <f t="array" ref="V4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462,Charge_Names,0))),Type_Species)),0),1)*IF(COUNTBLANK(Combo_Opponent_Type_2)=0,INDEX(Type_Damage_Multipliers,MATCH(Combo_Opponent_Type_2,IF(Type_Move=(INDEX(Charge_Type,MATCH($P462,Charge_Names,0))),Type_Species)),0),1)*
IF(OR(INDEX(Charge_Type,MATCH($P462,Charge_Names,0))=INDEX(Species_Type_1,MATCH($N462,Species_Names,0)),INDEX(Charge_Type,MATCH($P462,Charge_Names,0))=INDEX(Species_Type_2,MATCH($N462,Species_Names,0))),Game_STAB_Multiplier,1))</f>
        <v>1.25</v>
      </c>
      <c r="W462" s="33" t="s">
        <v>412</v>
      </c>
      <c r="X462" s="33" t="s">
        <v>425</v>
      </c>
      <c r="Y462" s="32" t="e">
        <f t="array" ref="Y462">((($Z462)*
INDEX(Species_Attack,MATCH($N462,Species_Names,0))*
INDEX(Species_Tankiness,MATCH($N462,Species_Names,0)))/1000)</f>
        <v>#VALUE!</v>
      </c>
      <c r="Z462" s="33" t="s">
        <v>426</v>
      </c>
    </row>
    <row r="463" spans="1:26" ht="14.25" customHeight="1" x14ac:dyDescent="0.2">
      <c r="A463" s="86"/>
      <c r="B463" s="22" t="str">
        <f t="array" ref="B463">CONCATENATE(TEXT($M463,"000"),".",TEXT(INDEX(Quick_Number,MATCH($O463,Quick_Names,0)),"000"),".",TEXT(INDEX(Charge_Number,MATCH($P463,Charge_Names,0)),"000"))</f>
        <v>148.204.082</v>
      </c>
      <c r="C463" s="23" t="e">
        <f t="array" ref="C463">RANK($S463,IF(Combo_Species_Names=$N463,Combo_Gym_Offense),0)</f>
        <v>#VALUE!</v>
      </c>
      <c r="D463" s="24" t="e">
        <f t="array" ref="D463">$S463/MAX(IF(Combo_Species_Names=$N463,Combo_Gym_Offense))</f>
        <v>#VALUE!</v>
      </c>
      <c r="E463" s="23" t="e">
        <f t="array" ref="E463">RANK($Y463,IF(Combo_Species_Names=$N463,Combo_Gym_Defense),0)</f>
        <v>#VALUE!</v>
      </c>
      <c r="F463" s="25" t="e">
        <f t="array" ref="F463">$Y463/MAX(IF(Combo_Species_Names=$N463,Combo_Gym_Defense))</f>
        <v>#VALUE!</v>
      </c>
      <c r="G463" s="23" t="str">
        <f t="array" ref="G463">IF(OR(INDEX(Species_Availability,MATCH($N463,Species_Names,0))="No",INDEX(Species_Evo_Numbers,MATCH($N463,Species_Names,0))&lt;&gt;1),"N/A",RANK($R463,IF(NOT(ISNA(MATCH(Combo_Species_Names,IF(Species_Availability="Yes",IF(Species_Evo_Numbers=1,Species_Names)),0))),Combo_Duel_Ability),0))</f>
        <v>N/A</v>
      </c>
      <c r="H463" s="24" t="str">
        <f t="array" ref="H463">IF(OR(INDEX(Species_Availability,MATCH($N463,Species_Names,0))="No",INDEX(Species_Evo_Numbers,MATCH($N463,Species_Names,0))&lt;&gt;1),"N/A",$R463/MAX(IF(NOT(ISNA(MATCH(Combo_Species_Names,IF(Species_Availability="Yes",IF(Species_Evo_Numbers=1,Species_Names)),0))),Combo_Duel_Ability)))</f>
        <v>N/A</v>
      </c>
      <c r="I463" s="23" t="str">
        <f t="array" ref="I463">IF(OR(INDEX(Species_Availability,MATCH($N463,Species_Names,0))="No",INDEX(Species_Evo_Numbers,MATCH($N463,Species_Names,0))&lt;&gt;1),"N/A",RANK($S463,IF(NOT(ISNA(MATCH(Combo_Species_Names,IF(Species_Availability="Yes",IF(Species_Evo_Numbers=1,Species_Names)),0))),Combo_Gym_Offense),0))</f>
        <v>N/A</v>
      </c>
      <c r="J463" s="24" t="str">
        <f t="array" ref="J463">IF(OR(INDEX(Species_Availability,MATCH($N463,Species_Names,0))="No",INDEX(Species_Evo_Numbers,MATCH($N463,Species_Names,0))&lt;&gt;1),"N/A",$S463/MAX(IF(NOT(ISNA(MATCH(Combo_Species_Names,IF(Species_Availability="Yes",IF(Species_Evo_Numbers=1,Species_Names)),0))),Combo_Gym_Offense)))</f>
        <v>N/A</v>
      </c>
      <c r="K463" s="23" t="str">
        <f t="array" ref="K463">IF(OR(INDEX(Species_Availability,MATCH($N463,Species_Names,0))="No",INDEX(Species_Evo_Numbers,MATCH($N463,Species_Names,0))&lt;&gt;1),"N/A",RANK($Y463,IF(NOT(ISNA(MATCH(Combo_Species_Names,IF(Species_Availability="Yes",IF(Species_Evo_Numbers=1,Species_Names)),0))),Combo_Gym_Defense),0))</f>
        <v>N/A</v>
      </c>
      <c r="L463" s="24" t="str">
        <f t="array" ref="L463">IF(OR(INDEX(Species_Availability,MATCH($N463,Species_Names,0))="No",INDEX(Species_Evo_Numbers,MATCH($N463,Species_Names,0))&lt;&gt;1),"N/A",$Y463/MAX(IF(NOT(ISNA(MATCH(Combo_Species_Names,IF(Species_Availability="Yes",IF(Species_Evo_Numbers=1,Species_Names)),0))),Combo_Gym_Defense)))</f>
        <v>N/A</v>
      </c>
      <c r="M463" s="28">
        <f t="array" ref="M463">INDEX(Species_Pdex_Numbers,MATCH($N463,Species_Names,0))</f>
        <v>148</v>
      </c>
      <c r="N463" s="30" t="s">
        <v>365</v>
      </c>
      <c r="O463" s="31" t="s">
        <v>62</v>
      </c>
      <c r="P463" s="31" t="s">
        <v>207</v>
      </c>
      <c r="Q463" s="17" t="e">
        <f t="shared" si="14"/>
        <v>#VALUE!</v>
      </c>
      <c r="R463" s="32" t="e">
        <f t="array" ref="R463">IF(OR(AND(COUNTBLANK(Combo_Opponent_Type_1)=1,COUNTBLANK(Combo_Opponent_Type_2)=0),AND(AND(COUNTBLANK(Combo_Opponent_Type_1)=0,COUNTBLANK(Combo_Opponent_Type_2)=0),Combo_Opponent_Type_1=Combo_Opponent_Type_2)),
"Check Types",($S463*INDEX(Species_Tankiness,MATCH($N463,Species_Names,0)))/225)</f>
        <v>#VALUE!</v>
      </c>
      <c r="S463" s="32" t="e">
        <f t="array" ref="S463">IF(OR(AND(COUNTBLANK(Combo_Opponent_Type_1)=1,COUNTBLANK(Combo_Opponent_Type_2)=0),AND(AND(COUNTBLANK(Combo_Opponent_Type_1)=0,COUNTBLANK(Combo_Opponent_Type_2)=0),Combo_Opponent_Type_1=Combo_Opponent_Type_2)),
"Check Types",(
IF($W463&gt;=((1-Game_Weave_Human_Error)*$X463),$W463,$X463)*INDEX(Species_Attack,MATCH($N463,Species_Names,0)))/11)</f>
        <v>#VALUE!</v>
      </c>
      <c r="T463" s="33" t="e">
        <f t="shared" si="15"/>
        <v>#VALUE!</v>
      </c>
      <c r="U463" s="33">
        <f t="array" ref="U4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463,Quick_Names,0))),Type_Species)),0),1)*IF(COUNTBLANK(Combo_Opponent_Type_2)=0,INDEX(Type_Damage_Multipliers,MATCH(Combo_Opponent_Type_2,IF(Type_Move=(INDEX(Quick_Type,MATCH($O463,Quick_Names,0))),Type_Species)),0),1)*(IF(OR(INDEX(Quick_Type,MATCH($O463,Quick_Names,0))=INDEX(Species_Type_1,MATCH($N463,Species_Names,0)),INDEX(Quick_Type,MATCH($O463,Quick_Names,0))=INDEX(Species_Type_2,MATCH($N463,Species_Names,0))),Game_STAB_Multiplier,1)))</f>
        <v>1.25</v>
      </c>
      <c r="V463" s="33">
        <f t="array" ref="V4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463,Charge_Names,0))),Type_Species)),0),1)*IF(COUNTBLANK(Combo_Opponent_Type_2)=0,INDEX(Type_Damage_Multipliers,MATCH(Combo_Opponent_Type_2,IF(Type_Move=(INDEX(Charge_Type,MATCH($P463,Charge_Names,0))),Type_Species)),0),1)*
IF(OR(INDEX(Charge_Type,MATCH($P463,Charge_Names,0))=INDEX(Species_Type_1,MATCH($N463,Species_Names,0)),INDEX(Charge_Type,MATCH($P463,Charge_Names,0))=INDEX(Species_Type_2,MATCH($N463,Species_Names,0))),Game_STAB_Multiplier,1))</f>
        <v>1.25</v>
      </c>
      <c r="W463" s="33" t="s">
        <v>412</v>
      </c>
      <c r="X463" s="33" t="s">
        <v>417</v>
      </c>
      <c r="Y463" s="32" t="e">
        <f t="array" ref="Y463">((($Z463)*
INDEX(Species_Attack,MATCH($N463,Species_Names,0))*
INDEX(Species_Tankiness,MATCH($N463,Species_Names,0)))/1000)</f>
        <v>#VALUE!</v>
      </c>
      <c r="Z463" s="33" t="s">
        <v>418</v>
      </c>
    </row>
    <row r="464" spans="1:26" ht="14.25" customHeight="1" x14ac:dyDescent="0.2">
      <c r="A464" s="86"/>
      <c r="B464" s="22" t="str">
        <f t="array" ref="B464">CONCATENATE(TEXT($M464,"000"),".",TEXT(INDEX(Quick_Number,MATCH($O464,Quick_Names,0)),"000"),".",TEXT(INDEX(Charge_Number,MATCH($P464,Charge_Names,0)),"000"))</f>
        <v>002.214.116</v>
      </c>
      <c r="C464" s="23" t="e">
        <f t="array" ref="C464">RANK($S464,IF(Combo_Species_Names=$N464,Combo_Gym_Offense),0)</f>
        <v>#VALUE!</v>
      </c>
      <c r="D464" s="24" t="e">
        <f t="array" ref="D464">$S464/MAX(IF(Combo_Species_Names=$N464,Combo_Gym_Offense))</f>
        <v>#VALUE!</v>
      </c>
      <c r="E464" s="23" t="e">
        <f t="array" ref="E464">RANK($Y464,IF(Combo_Species_Names=$N464,Combo_Gym_Defense),0)</f>
        <v>#VALUE!</v>
      </c>
      <c r="F464" s="25" t="e">
        <f t="array" ref="F464">$Y464/MAX(IF(Combo_Species_Names=$N464,Combo_Gym_Defense))</f>
        <v>#VALUE!</v>
      </c>
      <c r="G464" s="23" t="str">
        <f t="array" ref="G464">IF(OR(INDEX(Species_Availability,MATCH($N464,Species_Names,0))="No",INDEX(Species_Evo_Numbers,MATCH($N464,Species_Names,0))&lt;&gt;1),"N/A",RANK($R464,IF(NOT(ISNA(MATCH(Combo_Species_Names,IF(Species_Availability="Yes",IF(Species_Evo_Numbers=1,Species_Names)),0))),Combo_Duel_Ability),0))</f>
        <v>N/A</v>
      </c>
      <c r="H464" s="24" t="str">
        <f t="array" ref="H464">IF(OR(INDEX(Species_Availability,MATCH($N464,Species_Names,0))="No",INDEX(Species_Evo_Numbers,MATCH($N464,Species_Names,0))&lt;&gt;1),"N/A",$R464/MAX(IF(NOT(ISNA(MATCH(Combo_Species_Names,IF(Species_Availability="Yes",IF(Species_Evo_Numbers=1,Species_Names)),0))),Combo_Duel_Ability)))</f>
        <v>N/A</v>
      </c>
      <c r="I464" s="23" t="str">
        <f t="array" ref="I464">IF(OR(INDEX(Species_Availability,MATCH($N464,Species_Names,0))="No",INDEX(Species_Evo_Numbers,MATCH($N464,Species_Names,0))&lt;&gt;1),"N/A",RANK($S464,IF(NOT(ISNA(MATCH(Combo_Species_Names,IF(Species_Availability="Yes",IF(Species_Evo_Numbers=1,Species_Names)),0))),Combo_Gym_Offense),0))</f>
        <v>N/A</v>
      </c>
      <c r="J464" s="24" t="str">
        <f t="array" ref="J464">IF(OR(INDEX(Species_Availability,MATCH($N464,Species_Names,0))="No",INDEX(Species_Evo_Numbers,MATCH($N464,Species_Names,0))&lt;&gt;1),"N/A",$S464/MAX(IF(NOT(ISNA(MATCH(Combo_Species_Names,IF(Species_Availability="Yes",IF(Species_Evo_Numbers=1,Species_Names)),0))),Combo_Gym_Offense)))</f>
        <v>N/A</v>
      </c>
      <c r="K464" s="23" t="str">
        <f t="array" ref="K464">IF(OR(INDEX(Species_Availability,MATCH($N464,Species_Names,0))="No",INDEX(Species_Evo_Numbers,MATCH($N464,Species_Names,0))&lt;&gt;1),"N/A",RANK($Y464,IF(NOT(ISNA(MATCH(Combo_Species_Names,IF(Species_Availability="Yes",IF(Species_Evo_Numbers=1,Species_Names)),0))),Combo_Gym_Defense),0))</f>
        <v>N/A</v>
      </c>
      <c r="L464" s="24" t="str">
        <f t="array" ref="L464">IF(OR(INDEX(Species_Availability,MATCH($N464,Species_Names,0))="No",INDEX(Species_Evo_Numbers,MATCH($N464,Species_Names,0))&lt;&gt;1),"N/A",$Y464/MAX(IF(NOT(ISNA(MATCH(Combo_Species_Names,IF(Species_Availability="Yes",IF(Species_Evo_Numbers=1,Species_Names)),0))),Combo_Gym_Defense)))</f>
        <v>N/A</v>
      </c>
      <c r="M464" s="28">
        <f t="array" ref="M464">INDEX(Species_Pdex_Numbers,MATCH($N464,Species_Names,0))</f>
        <v>2</v>
      </c>
      <c r="N464" s="30" t="s">
        <v>61</v>
      </c>
      <c r="O464" s="31" t="s">
        <v>94</v>
      </c>
      <c r="P464" s="31" t="s">
        <v>160</v>
      </c>
      <c r="Q464" s="17" t="e">
        <f t="shared" si="14"/>
        <v>#VALUE!</v>
      </c>
      <c r="R464" s="32" t="e">
        <f t="array" ref="R464">IF(OR(AND(COUNTBLANK(Combo_Opponent_Type_1)=1,COUNTBLANK(Combo_Opponent_Type_2)=0),AND(AND(COUNTBLANK(Combo_Opponent_Type_1)=0,COUNTBLANK(Combo_Opponent_Type_2)=0),Combo_Opponent_Type_1=Combo_Opponent_Type_2)),
"Check Types",($S464*INDEX(Species_Tankiness,MATCH($N464,Species_Names,0)))/225)</f>
        <v>#VALUE!</v>
      </c>
      <c r="S464" s="32" t="e">
        <f t="array" ref="S464">IF(OR(AND(COUNTBLANK(Combo_Opponent_Type_1)=1,COUNTBLANK(Combo_Opponent_Type_2)=0),AND(AND(COUNTBLANK(Combo_Opponent_Type_1)=0,COUNTBLANK(Combo_Opponent_Type_2)=0),Combo_Opponent_Type_1=Combo_Opponent_Type_2)),
"Check Types",(
IF($W464&gt;=((1-Game_Weave_Human_Error)*$X464),$W464,$X464)*INDEX(Species_Attack,MATCH($N464,Species_Names,0)))/11)</f>
        <v>#VALUE!</v>
      </c>
      <c r="T464" s="33" t="e">
        <f t="shared" si="15"/>
        <v>#VALUE!</v>
      </c>
      <c r="U464" s="33">
        <f t="array" ref="U4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464,Quick_Names,0))),Type_Species)),0),1)*IF(COUNTBLANK(Combo_Opponent_Type_2)=0,INDEX(Type_Damage_Multipliers,MATCH(Combo_Opponent_Type_2,IF(Type_Move=(INDEX(Quick_Type,MATCH($O464,Quick_Names,0))),Type_Species)),0),1)*(IF(OR(INDEX(Quick_Type,MATCH($O464,Quick_Names,0))=INDEX(Species_Type_1,MATCH($N464,Species_Names,0)),INDEX(Quick_Type,MATCH($O464,Quick_Names,0))=INDEX(Species_Type_2,MATCH($N464,Species_Names,0))),Game_STAB_Multiplier,1)))</f>
        <v>1.25</v>
      </c>
      <c r="V464" s="33">
        <f t="array" ref="V4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464,Charge_Names,0))),Type_Species)),0),1)*IF(COUNTBLANK(Combo_Opponent_Type_2)=0,INDEX(Type_Damage_Multipliers,MATCH(Combo_Opponent_Type_2,IF(Type_Move=(INDEX(Charge_Type,MATCH($P464,Charge_Names,0))),Type_Species)),0),1)*
IF(OR(INDEX(Charge_Type,MATCH($P464,Charge_Names,0))=INDEX(Species_Type_1,MATCH($N464,Species_Names,0)),INDEX(Charge_Type,MATCH($P464,Charge_Names,0))=INDEX(Species_Type_2,MATCH($N464,Species_Names,0))),Game_STAB_Multiplier,1))</f>
        <v>1.25</v>
      </c>
      <c r="W464" s="33" t="s">
        <v>476</v>
      </c>
      <c r="X464" s="33" t="s">
        <v>477</v>
      </c>
      <c r="Y464" s="32" t="e">
        <f t="array" ref="Y464">((($Z464)*
INDEX(Species_Attack,MATCH($N464,Species_Names,0))*
INDEX(Species_Tankiness,MATCH($N464,Species_Names,0)))/1000)</f>
        <v>#VALUE!</v>
      </c>
      <c r="Z464" s="33" t="s">
        <v>478</v>
      </c>
    </row>
    <row r="465" spans="1:26" ht="14.25" customHeight="1" x14ac:dyDescent="0.2">
      <c r="A465" s="86"/>
      <c r="B465" s="22" t="str">
        <f t="array" ref="B465">CONCATENATE(TEXT($M465,"000"),".",TEXT(INDEX(Quick_Number,MATCH($O465,Quick_Names,0)),"000"),".",TEXT(INDEX(Charge_Number,MATCH($P465,Charge_Names,0)),"000"))</f>
        <v>067.207.028</v>
      </c>
      <c r="C465" s="23" t="e">
        <f t="array" ref="C465">RANK($S465,IF(Combo_Species_Names=$N465,Combo_Gym_Offense),0)</f>
        <v>#VALUE!</v>
      </c>
      <c r="D465" s="24" t="e">
        <f t="array" ref="D465">$S465/MAX(IF(Combo_Species_Names=$N465,Combo_Gym_Offense))</f>
        <v>#VALUE!</v>
      </c>
      <c r="E465" s="23" t="e">
        <f t="array" ref="E465">RANK($Y465,IF(Combo_Species_Names=$N465,Combo_Gym_Defense),0)</f>
        <v>#VALUE!</v>
      </c>
      <c r="F465" s="25" t="e">
        <f t="array" ref="F465">$Y465/MAX(IF(Combo_Species_Names=$N465,Combo_Gym_Defense))</f>
        <v>#VALUE!</v>
      </c>
      <c r="G465" s="23" t="str">
        <f t="array" ref="G465">IF(OR(INDEX(Species_Availability,MATCH($N465,Species_Names,0))="No",INDEX(Species_Evo_Numbers,MATCH($N465,Species_Names,0))&lt;&gt;1),"N/A",RANK($R465,IF(NOT(ISNA(MATCH(Combo_Species_Names,IF(Species_Availability="Yes",IF(Species_Evo_Numbers=1,Species_Names)),0))),Combo_Duel_Ability),0))</f>
        <v>N/A</v>
      </c>
      <c r="H465" s="24" t="str">
        <f t="array" ref="H465">IF(OR(INDEX(Species_Availability,MATCH($N465,Species_Names,0))="No",INDEX(Species_Evo_Numbers,MATCH($N465,Species_Names,0))&lt;&gt;1),"N/A",$R465/MAX(IF(NOT(ISNA(MATCH(Combo_Species_Names,IF(Species_Availability="Yes",IF(Species_Evo_Numbers=1,Species_Names)),0))),Combo_Duel_Ability)))</f>
        <v>N/A</v>
      </c>
      <c r="I465" s="23" t="str">
        <f t="array" ref="I465">IF(OR(INDEX(Species_Availability,MATCH($N465,Species_Names,0))="No",INDEX(Species_Evo_Numbers,MATCH($N465,Species_Names,0))&lt;&gt;1),"N/A",RANK($S465,IF(NOT(ISNA(MATCH(Combo_Species_Names,IF(Species_Availability="Yes",IF(Species_Evo_Numbers=1,Species_Names)),0))),Combo_Gym_Offense),0))</f>
        <v>N/A</v>
      </c>
      <c r="J465" s="24" t="str">
        <f t="array" ref="J465">IF(OR(INDEX(Species_Availability,MATCH($N465,Species_Names,0))="No",INDEX(Species_Evo_Numbers,MATCH($N465,Species_Names,0))&lt;&gt;1),"N/A",$S465/MAX(IF(NOT(ISNA(MATCH(Combo_Species_Names,IF(Species_Availability="Yes",IF(Species_Evo_Numbers=1,Species_Names)),0))),Combo_Gym_Offense)))</f>
        <v>N/A</v>
      </c>
      <c r="K465" s="23" t="str">
        <f t="array" ref="K465">IF(OR(INDEX(Species_Availability,MATCH($N465,Species_Names,0))="No",INDEX(Species_Evo_Numbers,MATCH($N465,Species_Names,0))&lt;&gt;1),"N/A",RANK($Y465,IF(NOT(ISNA(MATCH(Combo_Species_Names,IF(Species_Availability="Yes",IF(Species_Evo_Numbers=1,Species_Names)),0))),Combo_Gym_Defense),0))</f>
        <v>N/A</v>
      </c>
      <c r="L465" s="24" t="str">
        <f t="array" ref="L465">IF(OR(INDEX(Species_Availability,MATCH($N465,Species_Names,0))="No",INDEX(Species_Evo_Numbers,MATCH($N465,Species_Names,0))&lt;&gt;1),"N/A",$Y465/MAX(IF(NOT(ISNA(MATCH(Combo_Species_Names,IF(Species_Availability="Yes",IF(Species_Evo_Numbers=1,Species_Names)),0))),Combo_Gym_Defense)))</f>
        <v>N/A</v>
      </c>
      <c r="M465" s="28">
        <f t="array" ref="M465">INDEX(Species_Pdex_Numbers,MATCH($N465,Species_Names,0))</f>
        <v>67</v>
      </c>
      <c r="N465" s="30" t="s">
        <v>225</v>
      </c>
      <c r="O465" s="31" t="s">
        <v>117</v>
      </c>
      <c r="P465" s="31" t="s">
        <v>146</v>
      </c>
      <c r="Q465" s="17" t="e">
        <f t="shared" si="14"/>
        <v>#VALUE!</v>
      </c>
      <c r="R465" s="32" t="e">
        <f t="array" ref="R465">IF(OR(AND(COUNTBLANK(Combo_Opponent_Type_1)=1,COUNTBLANK(Combo_Opponent_Type_2)=0),AND(AND(COUNTBLANK(Combo_Opponent_Type_1)=0,COUNTBLANK(Combo_Opponent_Type_2)=0),Combo_Opponent_Type_1=Combo_Opponent_Type_2)),
"Check Types",($S465*INDEX(Species_Tankiness,MATCH($N465,Species_Names,0)))/225)</f>
        <v>#VALUE!</v>
      </c>
      <c r="S465" s="32" t="e">
        <f t="array" ref="S465">IF(OR(AND(COUNTBLANK(Combo_Opponent_Type_1)=1,COUNTBLANK(Combo_Opponent_Type_2)=0),AND(AND(COUNTBLANK(Combo_Opponent_Type_1)=0,COUNTBLANK(Combo_Opponent_Type_2)=0),Combo_Opponent_Type_1=Combo_Opponent_Type_2)),
"Check Types",(
IF($W465&gt;=((1-Game_Weave_Human_Error)*$X465),$W465,$X465)*INDEX(Species_Attack,MATCH($N465,Species_Names,0)))/11)</f>
        <v>#VALUE!</v>
      </c>
      <c r="T465" s="33" t="e">
        <f t="shared" si="15"/>
        <v>#VALUE!</v>
      </c>
      <c r="U465" s="33">
        <f t="array" ref="U4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465,Quick_Names,0))),Type_Species)),0),1)*IF(COUNTBLANK(Combo_Opponent_Type_2)=0,INDEX(Type_Damage_Multipliers,MATCH(Combo_Opponent_Type_2,IF(Type_Move=(INDEX(Quick_Type,MATCH($O465,Quick_Names,0))),Type_Species)),0),1)*(IF(OR(INDEX(Quick_Type,MATCH($O465,Quick_Names,0))=INDEX(Species_Type_1,MATCH($N465,Species_Names,0)),INDEX(Quick_Type,MATCH($O465,Quick_Names,0))=INDEX(Species_Type_2,MATCH($N465,Species_Names,0))),Game_STAB_Multiplier,1)))</f>
        <v>1.25</v>
      </c>
      <c r="V465" s="33">
        <f t="array" ref="V4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465,Charge_Names,0))),Type_Species)),0),1)*IF(COUNTBLANK(Combo_Opponent_Type_2)=0,INDEX(Type_Damage_Multipliers,MATCH(Combo_Opponent_Type_2,IF(Type_Move=(INDEX(Charge_Type,MATCH($P465,Charge_Names,0))),Type_Species)),0),1)*
IF(OR(INDEX(Charge_Type,MATCH($P465,Charge_Names,0))=INDEX(Species_Type_1,MATCH($N465,Species_Names,0)),INDEX(Charge_Type,MATCH($P465,Charge_Names,0))=INDEX(Species_Type_2,MATCH($N465,Species_Names,0))),Game_STAB_Multiplier,1))</f>
        <v>1.25</v>
      </c>
      <c r="W465" s="33" t="s">
        <v>678</v>
      </c>
      <c r="X465" s="33" t="s">
        <v>769</v>
      </c>
      <c r="Y465" s="32" t="e">
        <f t="array" ref="Y465">((($Z465)*
INDEX(Species_Attack,MATCH($N465,Species_Names,0))*
INDEX(Species_Tankiness,MATCH($N465,Species_Names,0)))/1000)</f>
        <v>#VALUE!</v>
      </c>
      <c r="Z465" s="33" t="s">
        <v>770</v>
      </c>
    </row>
    <row r="466" spans="1:26" ht="14.25" customHeight="1" x14ac:dyDescent="0.2">
      <c r="A466" s="86"/>
      <c r="B466" s="22" t="str">
        <f t="array" ref="B466">CONCATENATE(TEXT($M466,"000"),".",TEXT(INDEX(Quick_Number,MATCH($O466,Quick_Names,0)),"000"),".",TEXT(INDEX(Charge_Number,MATCH($P466,Charge_Names,0)),"000"))</f>
        <v>008.202.107</v>
      </c>
      <c r="C466" s="23" t="e">
        <f t="array" ref="C466">RANK($S466,IF(Combo_Species_Names=$N466,Combo_Gym_Offense),0)</f>
        <v>#VALUE!</v>
      </c>
      <c r="D466" s="24" t="e">
        <f t="array" ref="D466">$S466/MAX(IF(Combo_Species_Names=$N466,Combo_Gym_Offense))</f>
        <v>#VALUE!</v>
      </c>
      <c r="E466" s="23" t="e">
        <f t="array" ref="E466">RANK($Y466,IF(Combo_Species_Names=$N466,Combo_Gym_Defense),0)</f>
        <v>#VALUE!</v>
      </c>
      <c r="F466" s="25" t="e">
        <f t="array" ref="F466">$Y466/MAX(IF(Combo_Species_Names=$N466,Combo_Gym_Defense))</f>
        <v>#VALUE!</v>
      </c>
      <c r="G466" s="23" t="str">
        <f t="array" ref="G466">IF(OR(INDEX(Species_Availability,MATCH($N466,Species_Names,0))="No",INDEX(Species_Evo_Numbers,MATCH($N466,Species_Names,0))&lt;&gt;1),"N/A",RANK($R466,IF(NOT(ISNA(MATCH(Combo_Species_Names,IF(Species_Availability="Yes",IF(Species_Evo_Numbers=1,Species_Names)),0))),Combo_Duel_Ability),0))</f>
        <v>N/A</v>
      </c>
      <c r="H466" s="24" t="str">
        <f t="array" ref="H466">IF(OR(INDEX(Species_Availability,MATCH($N466,Species_Names,0))="No",INDEX(Species_Evo_Numbers,MATCH($N466,Species_Names,0))&lt;&gt;1),"N/A",$R466/MAX(IF(NOT(ISNA(MATCH(Combo_Species_Names,IF(Species_Availability="Yes",IF(Species_Evo_Numbers=1,Species_Names)),0))),Combo_Duel_Ability)))</f>
        <v>N/A</v>
      </c>
      <c r="I466" s="23" t="str">
        <f t="array" ref="I466">IF(OR(INDEX(Species_Availability,MATCH($N466,Species_Names,0))="No",INDEX(Species_Evo_Numbers,MATCH($N466,Species_Names,0))&lt;&gt;1),"N/A",RANK($S466,IF(NOT(ISNA(MATCH(Combo_Species_Names,IF(Species_Availability="Yes",IF(Species_Evo_Numbers=1,Species_Names)),0))),Combo_Gym_Offense),0))</f>
        <v>N/A</v>
      </c>
      <c r="J466" s="24" t="str">
        <f t="array" ref="J466">IF(OR(INDEX(Species_Availability,MATCH($N466,Species_Names,0))="No",INDEX(Species_Evo_Numbers,MATCH($N466,Species_Names,0))&lt;&gt;1),"N/A",$S466/MAX(IF(NOT(ISNA(MATCH(Combo_Species_Names,IF(Species_Availability="Yes",IF(Species_Evo_Numbers=1,Species_Names)),0))),Combo_Gym_Offense)))</f>
        <v>N/A</v>
      </c>
      <c r="K466" s="23" t="str">
        <f t="array" ref="K466">IF(OR(INDEX(Species_Availability,MATCH($N466,Species_Names,0))="No",INDEX(Species_Evo_Numbers,MATCH($N466,Species_Names,0))&lt;&gt;1),"N/A",RANK($Y466,IF(NOT(ISNA(MATCH(Combo_Species_Names,IF(Species_Availability="Yes",IF(Species_Evo_Numbers=1,Species_Names)),0))),Combo_Gym_Defense),0))</f>
        <v>N/A</v>
      </c>
      <c r="L466" s="24" t="str">
        <f t="array" ref="L466">IF(OR(INDEX(Species_Availability,MATCH($N466,Species_Names,0))="No",INDEX(Species_Evo_Numbers,MATCH($N466,Species_Names,0))&lt;&gt;1),"N/A",$Y466/MAX(IF(NOT(ISNA(MATCH(Combo_Species_Names,IF(Species_Availability="Yes",IF(Species_Evo_Numbers=1,Species_Names)),0))),Combo_Gym_Defense)))</f>
        <v>N/A</v>
      </c>
      <c r="M466" s="28">
        <f t="array" ref="M466">INDEX(Species_Pdex_Numbers,MATCH($N466,Species_Names,0))</f>
        <v>8</v>
      </c>
      <c r="N466" s="30" t="s">
        <v>90</v>
      </c>
      <c r="O466" s="31" t="s">
        <v>59</v>
      </c>
      <c r="P466" s="31" t="s">
        <v>170</v>
      </c>
      <c r="Q466" s="17" t="e">
        <f t="shared" si="14"/>
        <v>#VALUE!</v>
      </c>
      <c r="R466" s="32" t="e">
        <f t="array" ref="R466">IF(OR(AND(COUNTBLANK(Combo_Opponent_Type_1)=1,COUNTBLANK(Combo_Opponent_Type_2)=0),AND(AND(COUNTBLANK(Combo_Opponent_Type_1)=0,COUNTBLANK(Combo_Opponent_Type_2)=0),Combo_Opponent_Type_1=Combo_Opponent_Type_2)),
"Check Types",($S466*INDEX(Species_Tankiness,MATCH($N466,Species_Names,0)))/225)</f>
        <v>#VALUE!</v>
      </c>
      <c r="S466" s="32" t="e">
        <f t="array" ref="S466">IF(OR(AND(COUNTBLANK(Combo_Opponent_Type_1)=1,COUNTBLANK(Combo_Opponent_Type_2)=0),AND(AND(COUNTBLANK(Combo_Opponent_Type_1)=0,COUNTBLANK(Combo_Opponent_Type_2)=0),Combo_Opponent_Type_1=Combo_Opponent_Type_2)),
"Check Types",(
IF($W466&gt;=((1-Game_Weave_Human_Error)*$X466),$W466,$X466)*INDEX(Species_Attack,MATCH($N466,Species_Names,0)))/11)</f>
        <v>#VALUE!</v>
      </c>
      <c r="T466" s="33" t="e">
        <f t="shared" si="15"/>
        <v>#VALUE!</v>
      </c>
      <c r="U466" s="33">
        <f t="array" ref="U4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466,Quick_Names,0))),Type_Species)),0),1)*IF(COUNTBLANK(Combo_Opponent_Type_2)=0,INDEX(Type_Damage_Multipliers,MATCH(Combo_Opponent_Type_2,IF(Type_Move=(INDEX(Quick_Type,MATCH($O466,Quick_Names,0))),Type_Species)),0),1)*(IF(OR(INDEX(Quick_Type,MATCH($O466,Quick_Names,0))=INDEX(Species_Type_1,MATCH($N466,Species_Names,0)),INDEX(Quick_Type,MATCH($O466,Quick_Names,0))=INDEX(Species_Type_2,MATCH($N466,Species_Names,0))),Game_STAB_Multiplier,1)))</f>
        <v>1</v>
      </c>
      <c r="V466" s="33">
        <f t="array" ref="V4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466,Charge_Names,0))),Type_Species)),0),1)*IF(COUNTBLANK(Combo_Opponent_Type_2)=0,INDEX(Type_Damage_Multipliers,MATCH(Combo_Opponent_Type_2,IF(Type_Move=(INDEX(Charge_Type,MATCH($P466,Charge_Names,0))),Type_Species)),0),1)*
IF(OR(INDEX(Charge_Type,MATCH($P466,Charge_Names,0))=INDEX(Species_Type_1,MATCH($N466,Species_Names,0)),INDEX(Charge_Type,MATCH($P466,Charge_Names,0))=INDEX(Species_Type_2,MATCH($N466,Species_Names,0))),Game_STAB_Multiplier,1))</f>
        <v>1.25</v>
      </c>
      <c r="W466" s="33" t="s">
        <v>453</v>
      </c>
      <c r="X466" s="33" t="s">
        <v>463</v>
      </c>
      <c r="Y466" s="32" t="e">
        <f t="array" ref="Y466">((($Z466)*
INDEX(Species_Attack,MATCH($N466,Species_Names,0))*
INDEX(Species_Tankiness,MATCH($N466,Species_Names,0)))/1000)</f>
        <v>#VALUE!</v>
      </c>
      <c r="Z466" s="33" t="s">
        <v>464</v>
      </c>
    </row>
    <row r="467" spans="1:26" ht="14.25" customHeight="1" x14ac:dyDescent="0.2">
      <c r="A467" s="86"/>
      <c r="B467" s="22" t="str">
        <f t="array" ref="B467">CONCATENATE(TEXT($M467,"000"),".",TEXT(INDEX(Quick_Number,MATCH($O467,Quick_Names,0)),"000"),".",TEXT(INDEX(Charge_Number,MATCH($P467,Charge_Names,0)),"000"))</f>
        <v>067.207.123</v>
      </c>
      <c r="C467" s="23" t="e">
        <f t="array" ref="C467">RANK($S467,IF(Combo_Species_Names=$N467,Combo_Gym_Offense),0)</f>
        <v>#VALUE!</v>
      </c>
      <c r="D467" s="24" t="e">
        <f t="array" ref="D467">$S467/MAX(IF(Combo_Species_Names=$N467,Combo_Gym_Offense))</f>
        <v>#VALUE!</v>
      </c>
      <c r="E467" s="23" t="e">
        <f t="array" ref="E467">RANK($Y467,IF(Combo_Species_Names=$N467,Combo_Gym_Defense),0)</f>
        <v>#VALUE!</v>
      </c>
      <c r="F467" s="25" t="e">
        <f t="array" ref="F467">$Y467/MAX(IF(Combo_Species_Names=$N467,Combo_Gym_Defense))</f>
        <v>#VALUE!</v>
      </c>
      <c r="G467" s="23" t="str">
        <f t="array" ref="G467">IF(OR(INDEX(Species_Availability,MATCH($N467,Species_Names,0))="No",INDEX(Species_Evo_Numbers,MATCH($N467,Species_Names,0))&lt;&gt;1),"N/A",RANK($R467,IF(NOT(ISNA(MATCH(Combo_Species_Names,IF(Species_Availability="Yes",IF(Species_Evo_Numbers=1,Species_Names)),0))),Combo_Duel_Ability),0))</f>
        <v>N/A</v>
      </c>
      <c r="H467" s="24" t="str">
        <f t="array" ref="H467">IF(OR(INDEX(Species_Availability,MATCH($N467,Species_Names,0))="No",INDEX(Species_Evo_Numbers,MATCH($N467,Species_Names,0))&lt;&gt;1),"N/A",$R467/MAX(IF(NOT(ISNA(MATCH(Combo_Species_Names,IF(Species_Availability="Yes",IF(Species_Evo_Numbers=1,Species_Names)),0))),Combo_Duel_Ability)))</f>
        <v>N/A</v>
      </c>
      <c r="I467" s="23" t="str">
        <f t="array" ref="I467">IF(OR(INDEX(Species_Availability,MATCH($N467,Species_Names,0))="No",INDEX(Species_Evo_Numbers,MATCH($N467,Species_Names,0))&lt;&gt;1),"N/A",RANK($S467,IF(NOT(ISNA(MATCH(Combo_Species_Names,IF(Species_Availability="Yes",IF(Species_Evo_Numbers=1,Species_Names)),0))),Combo_Gym_Offense),0))</f>
        <v>N/A</v>
      </c>
      <c r="J467" s="24" t="str">
        <f t="array" ref="J467">IF(OR(INDEX(Species_Availability,MATCH($N467,Species_Names,0))="No",INDEX(Species_Evo_Numbers,MATCH($N467,Species_Names,0))&lt;&gt;1),"N/A",$S467/MAX(IF(NOT(ISNA(MATCH(Combo_Species_Names,IF(Species_Availability="Yes",IF(Species_Evo_Numbers=1,Species_Names)),0))),Combo_Gym_Offense)))</f>
        <v>N/A</v>
      </c>
      <c r="K467" s="23" t="str">
        <f t="array" ref="K467">IF(OR(INDEX(Species_Availability,MATCH($N467,Species_Names,0))="No",INDEX(Species_Evo_Numbers,MATCH($N467,Species_Names,0))&lt;&gt;1),"N/A",RANK($Y467,IF(NOT(ISNA(MATCH(Combo_Species_Names,IF(Species_Availability="Yes",IF(Species_Evo_Numbers=1,Species_Names)),0))),Combo_Gym_Defense),0))</f>
        <v>N/A</v>
      </c>
      <c r="L467" s="24" t="str">
        <f t="array" ref="L467">IF(OR(INDEX(Species_Availability,MATCH($N467,Species_Names,0))="No",INDEX(Species_Evo_Numbers,MATCH($N467,Species_Names,0))&lt;&gt;1),"N/A",$Y467/MAX(IF(NOT(ISNA(MATCH(Combo_Species_Names,IF(Species_Availability="Yes",IF(Species_Evo_Numbers=1,Species_Names)),0))),Combo_Gym_Defense)))</f>
        <v>N/A</v>
      </c>
      <c r="M467" s="28">
        <f t="array" ref="M467">INDEX(Species_Pdex_Numbers,MATCH($N467,Species_Names,0))</f>
        <v>67</v>
      </c>
      <c r="N467" s="30" t="s">
        <v>225</v>
      </c>
      <c r="O467" s="31" t="s">
        <v>117</v>
      </c>
      <c r="P467" s="31" t="s">
        <v>188</v>
      </c>
      <c r="Q467" s="17" t="e">
        <f t="shared" si="14"/>
        <v>#VALUE!</v>
      </c>
      <c r="R467" s="32" t="e">
        <f t="array" ref="R467">IF(OR(AND(COUNTBLANK(Combo_Opponent_Type_1)=1,COUNTBLANK(Combo_Opponent_Type_2)=0),AND(AND(COUNTBLANK(Combo_Opponent_Type_1)=0,COUNTBLANK(Combo_Opponent_Type_2)=0),Combo_Opponent_Type_1=Combo_Opponent_Type_2)),
"Check Types",($S467*INDEX(Species_Tankiness,MATCH($N467,Species_Names,0)))/225)</f>
        <v>#VALUE!</v>
      </c>
      <c r="S467" s="32" t="e">
        <f t="array" ref="S467">IF(OR(AND(COUNTBLANK(Combo_Opponent_Type_1)=1,COUNTBLANK(Combo_Opponent_Type_2)=0),AND(AND(COUNTBLANK(Combo_Opponent_Type_1)=0,COUNTBLANK(Combo_Opponent_Type_2)=0),Combo_Opponent_Type_1=Combo_Opponent_Type_2)),
"Check Types",(
IF($W467&gt;=((1-Game_Weave_Human_Error)*$X467),$W467,$X467)*INDEX(Species_Attack,MATCH($N467,Species_Names,0)))/11)</f>
        <v>#VALUE!</v>
      </c>
      <c r="T467" s="33" t="e">
        <f t="shared" si="15"/>
        <v>#VALUE!</v>
      </c>
      <c r="U467" s="33">
        <f t="array" ref="U4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467,Quick_Names,0))),Type_Species)),0),1)*IF(COUNTBLANK(Combo_Opponent_Type_2)=0,INDEX(Type_Damage_Multipliers,MATCH(Combo_Opponent_Type_2,IF(Type_Move=(INDEX(Quick_Type,MATCH($O467,Quick_Names,0))),Type_Species)),0),1)*(IF(OR(INDEX(Quick_Type,MATCH($O467,Quick_Names,0))=INDEX(Species_Type_1,MATCH($N467,Species_Names,0)),INDEX(Quick_Type,MATCH($O467,Quick_Names,0))=INDEX(Species_Type_2,MATCH($N467,Species_Names,0))),Game_STAB_Multiplier,1)))</f>
        <v>1.25</v>
      </c>
      <c r="V467" s="33">
        <f t="array" ref="V4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467,Charge_Names,0))),Type_Species)),0),1)*IF(COUNTBLANK(Combo_Opponent_Type_2)=0,INDEX(Type_Damage_Multipliers,MATCH(Combo_Opponent_Type_2,IF(Type_Move=(INDEX(Charge_Type,MATCH($P467,Charge_Names,0))),Type_Species)),0),1)*
IF(OR(INDEX(Charge_Type,MATCH($P467,Charge_Names,0))=INDEX(Species_Type_1,MATCH($N467,Species_Names,0)),INDEX(Charge_Type,MATCH($P467,Charge_Names,0))=INDEX(Species_Type_2,MATCH($N467,Species_Names,0))),Game_STAB_Multiplier,1))</f>
        <v>1.25</v>
      </c>
      <c r="W467" s="33" t="s">
        <v>678</v>
      </c>
      <c r="X467" s="33" t="s">
        <v>632</v>
      </c>
      <c r="Y467" s="32" t="e">
        <f t="array" ref="Y467">((($Z467)*
INDEX(Species_Attack,MATCH($N467,Species_Names,0))*
INDEX(Species_Tankiness,MATCH($N467,Species_Names,0)))/1000)</f>
        <v>#VALUE!</v>
      </c>
      <c r="Z467" s="33" t="s">
        <v>946</v>
      </c>
    </row>
    <row r="468" spans="1:26" ht="14.25" customHeight="1" x14ac:dyDescent="0.2">
      <c r="A468" s="86"/>
      <c r="B468" s="22" t="str">
        <f t="array" ref="B468">CONCATENATE(TEXT($M468,"000"),".",TEXT(INDEX(Quick_Number,MATCH($O468,Quick_Names,0)),"000"),".",TEXT(INDEX(Charge_Number,MATCH($P468,Charge_Names,0)),"000"))</f>
        <v>002.215.116</v>
      </c>
      <c r="C468" s="23" t="e">
        <f t="array" ref="C468">RANK($S468,IF(Combo_Species_Names=$N468,Combo_Gym_Offense),0)</f>
        <v>#VALUE!</v>
      </c>
      <c r="D468" s="24" t="e">
        <f t="array" ref="D468">$S468/MAX(IF(Combo_Species_Names=$N468,Combo_Gym_Offense))</f>
        <v>#VALUE!</v>
      </c>
      <c r="E468" s="23" t="e">
        <f t="array" ref="E468">RANK($Y468,IF(Combo_Species_Names=$N468,Combo_Gym_Defense),0)</f>
        <v>#VALUE!</v>
      </c>
      <c r="F468" s="25" t="e">
        <f t="array" ref="F468">$Y468/MAX(IF(Combo_Species_Names=$N468,Combo_Gym_Defense))</f>
        <v>#VALUE!</v>
      </c>
      <c r="G468" s="23" t="str">
        <f t="array" ref="G468">IF(OR(INDEX(Species_Availability,MATCH($N468,Species_Names,0))="No",INDEX(Species_Evo_Numbers,MATCH($N468,Species_Names,0))&lt;&gt;1),"N/A",RANK($R468,IF(NOT(ISNA(MATCH(Combo_Species_Names,IF(Species_Availability="Yes",IF(Species_Evo_Numbers=1,Species_Names)),0))),Combo_Duel_Ability),0))</f>
        <v>N/A</v>
      </c>
      <c r="H468" s="24" t="str">
        <f t="array" ref="H468">IF(OR(INDEX(Species_Availability,MATCH($N468,Species_Names,0))="No",INDEX(Species_Evo_Numbers,MATCH($N468,Species_Names,0))&lt;&gt;1),"N/A",$R468/MAX(IF(NOT(ISNA(MATCH(Combo_Species_Names,IF(Species_Availability="Yes",IF(Species_Evo_Numbers=1,Species_Names)),0))),Combo_Duel_Ability)))</f>
        <v>N/A</v>
      </c>
      <c r="I468" s="23" t="str">
        <f t="array" ref="I468">IF(OR(INDEX(Species_Availability,MATCH($N468,Species_Names,0))="No",INDEX(Species_Evo_Numbers,MATCH($N468,Species_Names,0))&lt;&gt;1),"N/A",RANK($S468,IF(NOT(ISNA(MATCH(Combo_Species_Names,IF(Species_Availability="Yes",IF(Species_Evo_Numbers=1,Species_Names)),0))),Combo_Gym_Offense),0))</f>
        <v>N/A</v>
      </c>
      <c r="J468" s="24" t="str">
        <f t="array" ref="J468">IF(OR(INDEX(Species_Availability,MATCH($N468,Species_Names,0))="No",INDEX(Species_Evo_Numbers,MATCH($N468,Species_Names,0))&lt;&gt;1),"N/A",$S468/MAX(IF(NOT(ISNA(MATCH(Combo_Species_Names,IF(Species_Availability="Yes",IF(Species_Evo_Numbers=1,Species_Names)),0))),Combo_Gym_Offense)))</f>
        <v>N/A</v>
      </c>
      <c r="K468" s="23" t="str">
        <f t="array" ref="K468">IF(OR(INDEX(Species_Availability,MATCH($N468,Species_Names,0))="No",INDEX(Species_Evo_Numbers,MATCH($N468,Species_Names,0))&lt;&gt;1),"N/A",RANK($Y468,IF(NOT(ISNA(MATCH(Combo_Species_Names,IF(Species_Availability="Yes",IF(Species_Evo_Numbers=1,Species_Names)),0))),Combo_Gym_Defense),0))</f>
        <v>N/A</v>
      </c>
      <c r="L468" s="24" t="str">
        <f t="array" ref="L468">IF(OR(INDEX(Species_Availability,MATCH($N468,Species_Names,0))="No",INDEX(Species_Evo_Numbers,MATCH($N468,Species_Names,0))&lt;&gt;1),"N/A",$Y468/MAX(IF(NOT(ISNA(MATCH(Combo_Species_Names,IF(Species_Availability="Yes",IF(Species_Evo_Numbers=1,Species_Names)),0))),Combo_Gym_Defense)))</f>
        <v>N/A</v>
      </c>
      <c r="M468" s="28">
        <f t="array" ref="M468">INDEX(Species_Pdex_Numbers,MATCH($N468,Species_Names,0))</f>
        <v>2</v>
      </c>
      <c r="N468" s="30" t="s">
        <v>61</v>
      </c>
      <c r="O468" s="31" t="s">
        <v>102</v>
      </c>
      <c r="P468" s="31" t="s">
        <v>160</v>
      </c>
      <c r="Q468" s="17" t="e">
        <f t="shared" si="14"/>
        <v>#VALUE!</v>
      </c>
      <c r="R468" s="32" t="e">
        <f t="array" ref="R468">IF(OR(AND(COUNTBLANK(Combo_Opponent_Type_1)=1,COUNTBLANK(Combo_Opponent_Type_2)=0),AND(AND(COUNTBLANK(Combo_Opponent_Type_1)=0,COUNTBLANK(Combo_Opponent_Type_2)=0),Combo_Opponent_Type_1=Combo_Opponent_Type_2)),
"Check Types",($S468*INDEX(Species_Tankiness,MATCH($N468,Species_Names,0)))/225)</f>
        <v>#VALUE!</v>
      </c>
      <c r="S468" s="32" t="e">
        <f t="array" ref="S468">IF(OR(AND(COUNTBLANK(Combo_Opponent_Type_1)=1,COUNTBLANK(Combo_Opponent_Type_2)=0),AND(AND(COUNTBLANK(Combo_Opponent_Type_1)=0,COUNTBLANK(Combo_Opponent_Type_2)=0),Combo_Opponent_Type_1=Combo_Opponent_Type_2)),
"Check Types",(
IF($W468&gt;=((1-Game_Weave_Human_Error)*$X468),$W468,$X468)*INDEX(Species_Attack,MATCH($N468,Species_Names,0)))/11)</f>
        <v>#VALUE!</v>
      </c>
      <c r="T468" s="33" t="e">
        <f t="shared" si="15"/>
        <v>#VALUE!</v>
      </c>
      <c r="U468" s="33">
        <f t="array" ref="U4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468,Quick_Names,0))),Type_Species)),0),1)*IF(COUNTBLANK(Combo_Opponent_Type_2)=0,INDEX(Type_Damage_Multipliers,MATCH(Combo_Opponent_Type_2,IF(Type_Move=(INDEX(Quick_Type,MATCH($O468,Quick_Names,0))),Type_Species)),0),1)*(IF(OR(INDEX(Quick_Type,MATCH($O468,Quick_Names,0))=INDEX(Species_Type_1,MATCH($N468,Species_Names,0)),INDEX(Quick_Type,MATCH($O468,Quick_Names,0))=INDEX(Species_Type_2,MATCH($N468,Species_Names,0))),Game_STAB_Multiplier,1)))</f>
        <v>1.25</v>
      </c>
      <c r="V468" s="33">
        <f t="array" ref="V4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468,Charge_Names,0))),Type_Species)),0),1)*IF(COUNTBLANK(Combo_Opponent_Type_2)=0,INDEX(Type_Damage_Multipliers,MATCH(Combo_Opponent_Type_2,IF(Type_Move=(INDEX(Charge_Type,MATCH($P468,Charge_Names,0))),Type_Species)),0),1)*
IF(OR(INDEX(Charge_Type,MATCH($P468,Charge_Names,0))=INDEX(Species_Type_1,MATCH($N468,Species_Names,0)),INDEX(Charge_Type,MATCH($P468,Charge_Names,0))=INDEX(Species_Type_2,MATCH($N468,Species_Names,0))),Game_STAB_Multiplier,1))</f>
        <v>1.25</v>
      </c>
      <c r="W468" s="33" t="s">
        <v>501</v>
      </c>
      <c r="X468" s="33" t="s">
        <v>502</v>
      </c>
      <c r="Y468" s="32" t="e">
        <f t="array" ref="Y468">((($Z468)*
INDEX(Species_Attack,MATCH($N468,Species_Names,0))*
INDEX(Species_Tankiness,MATCH($N468,Species_Names,0)))/1000)</f>
        <v>#VALUE!</v>
      </c>
      <c r="Z468" s="33" t="s">
        <v>503</v>
      </c>
    </row>
    <row r="469" spans="1:26" ht="14.25" customHeight="1" x14ac:dyDescent="0.2">
      <c r="A469" s="86"/>
      <c r="B469" s="22" t="str">
        <f t="array" ref="B469">CONCATENATE(TEXT($M469,"000"),".",TEXT(INDEX(Quick_Number,MATCH($O469,Quick_Names,0)),"000"),".",TEXT(INDEX(Charge_Number,MATCH($P469,Charge_Names,0)),"000"))</f>
        <v>002.214.090</v>
      </c>
      <c r="C469" s="23" t="e">
        <f t="array" ref="C469">RANK($S469,IF(Combo_Species_Names=$N469,Combo_Gym_Offense),0)</f>
        <v>#VALUE!</v>
      </c>
      <c r="D469" s="24" t="e">
        <f t="array" ref="D469">$S469/MAX(IF(Combo_Species_Names=$N469,Combo_Gym_Offense))</f>
        <v>#VALUE!</v>
      </c>
      <c r="E469" s="23" t="e">
        <f t="array" ref="E469">RANK($Y469,IF(Combo_Species_Names=$N469,Combo_Gym_Defense),0)</f>
        <v>#VALUE!</v>
      </c>
      <c r="F469" s="25" t="e">
        <f t="array" ref="F469">$Y469/MAX(IF(Combo_Species_Names=$N469,Combo_Gym_Defense))</f>
        <v>#VALUE!</v>
      </c>
      <c r="G469" s="23" t="str">
        <f t="array" ref="G469">IF(OR(INDEX(Species_Availability,MATCH($N469,Species_Names,0))="No",INDEX(Species_Evo_Numbers,MATCH($N469,Species_Names,0))&lt;&gt;1),"N/A",RANK($R469,IF(NOT(ISNA(MATCH(Combo_Species_Names,IF(Species_Availability="Yes",IF(Species_Evo_Numbers=1,Species_Names)),0))),Combo_Duel_Ability),0))</f>
        <v>N/A</v>
      </c>
      <c r="H469" s="24" t="str">
        <f t="array" ref="H469">IF(OR(INDEX(Species_Availability,MATCH($N469,Species_Names,0))="No",INDEX(Species_Evo_Numbers,MATCH($N469,Species_Names,0))&lt;&gt;1),"N/A",$R469/MAX(IF(NOT(ISNA(MATCH(Combo_Species_Names,IF(Species_Availability="Yes",IF(Species_Evo_Numbers=1,Species_Names)),0))),Combo_Duel_Ability)))</f>
        <v>N/A</v>
      </c>
      <c r="I469" s="23" t="str">
        <f t="array" ref="I469">IF(OR(INDEX(Species_Availability,MATCH($N469,Species_Names,0))="No",INDEX(Species_Evo_Numbers,MATCH($N469,Species_Names,0))&lt;&gt;1),"N/A",RANK($S469,IF(NOT(ISNA(MATCH(Combo_Species_Names,IF(Species_Availability="Yes",IF(Species_Evo_Numbers=1,Species_Names)),0))),Combo_Gym_Offense),0))</f>
        <v>N/A</v>
      </c>
      <c r="J469" s="24" t="str">
        <f t="array" ref="J469">IF(OR(INDEX(Species_Availability,MATCH($N469,Species_Names,0))="No",INDEX(Species_Evo_Numbers,MATCH($N469,Species_Names,0))&lt;&gt;1),"N/A",$S469/MAX(IF(NOT(ISNA(MATCH(Combo_Species_Names,IF(Species_Availability="Yes",IF(Species_Evo_Numbers=1,Species_Names)),0))),Combo_Gym_Offense)))</f>
        <v>N/A</v>
      </c>
      <c r="K469" s="23" t="str">
        <f t="array" ref="K469">IF(OR(INDEX(Species_Availability,MATCH($N469,Species_Names,0))="No",INDEX(Species_Evo_Numbers,MATCH($N469,Species_Names,0))&lt;&gt;1),"N/A",RANK($Y469,IF(NOT(ISNA(MATCH(Combo_Species_Names,IF(Species_Availability="Yes",IF(Species_Evo_Numbers=1,Species_Names)),0))),Combo_Gym_Defense),0))</f>
        <v>N/A</v>
      </c>
      <c r="L469" s="24" t="str">
        <f t="array" ref="L469">IF(OR(INDEX(Species_Availability,MATCH($N469,Species_Names,0))="No",INDEX(Species_Evo_Numbers,MATCH($N469,Species_Names,0))&lt;&gt;1),"N/A",$Y469/MAX(IF(NOT(ISNA(MATCH(Combo_Species_Names,IF(Species_Availability="Yes",IF(Species_Evo_Numbers=1,Species_Names)),0))),Combo_Gym_Defense)))</f>
        <v>N/A</v>
      </c>
      <c r="M469" s="28">
        <f t="array" ref="M469">INDEX(Species_Pdex_Numbers,MATCH($N469,Species_Names,0))</f>
        <v>2</v>
      </c>
      <c r="N469" s="30" t="s">
        <v>61</v>
      </c>
      <c r="O469" s="31" t="s">
        <v>94</v>
      </c>
      <c r="P469" s="31" t="s">
        <v>180</v>
      </c>
      <c r="Q469" s="17" t="e">
        <f t="shared" si="14"/>
        <v>#VALUE!</v>
      </c>
      <c r="R469" s="32" t="e">
        <f t="array" ref="R469">IF(OR(AND(COUNTBLANK(Combo_Opponent_Type_1)=1,COUNTBLANK(Combo_Opponent_Type_2)=0),AND(AND(COUNTBLANK(Combo_Opponent_Type_1)=0,COUNTBLANK(Combo_Opponent_Type_2)=0),Combo_Opponent_Type_1=Combo_Opponent_Type_2)),
"Check Types",($S469*INDEX(Species_Tankiness,MATCH($N469,Species_Names,0)))/225)</f>
        <v>#VALUE!</v>
      </c>
      <c r="S469" s="32" t="e">
        <f t="array" ref="S469">IF(OR(AND(COUNTBLANK(Combo_Opponent_Type_1)=1,COUNTBLANK(Combo_Opponent_Type_2)=0),AND(AND(COUNTBLANK(Combo_Opponent_Type_1)=0,COUNTBLANK(Combo_Opponent_Type_2)=0),Combo_Opponent_Type_1=Combo_Opponent_Type_2)),
"Check Types",(
IF($W469&gt;=((1-Game_Weave_Human_Error)*$X469),$W469,$X469)*INDEX(Species_Attack,MATCH($N469,Species_Names,0)))/11)</f>
        <v>#VALUE!</v>
      </c>
      <c r="T469" s="33" t="e">
        <f t="shared" si="15"/>
        <v>#VALUE!</v>
      </c>
      <c r="U469" s="33">
        <f t="array" ref="U4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469,Quick_Names,0))),Type_Species)),0),1)*IF(COUNTBLANK(Combo_Opponent_Type_2)=0,INDEX(Type_Damage_Multipliers,MATCH(Combo_Opponent_Type_2,IF(Type_Move=(INDEX(Quick_Type,MATCH($O469,Quick_Names,0))),Type_Species)),0),1)*(IF(OR(INDEX(Quick_Type,MATCH($O469,Quick_Names,0))=INDEX(Species_Type_1,MATCH($N469,Species_Names,0)),INDEX(Quick_Type,MATCH($O469,Quick_Names,0))=INDEX(Species_Type_2,MATCH($N469,Species_Names,0))),Game_STAB_Multiplier,1)))</f>
        <v>1.25</v>
      </c>
      <c r="V469" s="33">
        <f t="array" ref="V4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469,Charge_Names,0))),Type_Species)),0),1)*IF(COUNTBLANK(Combo_Opponent_Type_2)=0,INDEX(Type_Damage_Multipliers,MATCH(Combo_Opponent_Type_2,IF(Type_Move=(INDEX(Charge_Type,MATCH($P469,Charge_Names,0))),Type_Species)),0),1)*
IF(OR(INDEX(Charge_Type,MATCH($P469,Charge_Names,0))=INDEX(Species_Type_1,MATCH($N469,Species_Names,0)),INDEX(Charge_Type,MATCH($P469,Charge_Names,0))=INDEX(Species_Type_2,MATCH($N469,Species_Names,0))),Game_STAB_Multiplier,1))</f>
        <v>1.25</v>
      </c>
      <c r="W469" s="33" t="s">
        <v>476</v>
      </c>
      <c r="X469" s="33" t="s">
        <v>506</v>
      </c>
      <c r="Y469" s="32" t="e">
        <f t="array" ref="Y469">((($Z469)*
INDEX(Species_Attack,MATCH($N469,Species_Names,0))*
INDEX(Species_Tankiness,MATCH($N469,Species_Names,0)))/1000)</f>
        <v>#VALUE!</v>
      </c>
      <c r="Z469" s="33" t="s">
        <v>507</v>
      </c>
    </row>
    <row r="470" spans="1:26" ht="14.25" customHeight="1" x14ac:dyDescent="0.2">
      <c r="A470" s="86"/>
      <c r="B470" s="22" t="str">
        <f t="array" ref="B470">CONCATENATE(TEXT($M470,"000"),".",TEXT(INDEX(Quick_Number,MATCH($O470,Quick_Names,0)),"000"),".",TEXT(INDEX(Charge_Number,MATCH($P470,Charge_Names,0)),"000"))</f>
        <v>044.225.047</v>
      </c>
      <c r="C470" s="23" t="e">
        <f t="array" ref="C470">RANK($S470,IF(Combo_Species_Names=$N470,Combo_Gym_Offense),0)</f>
        <v>#VALUE!</v>
      </c>
      <c r="D470" s="24" t="e">
        <f t="array" ref="D470">$S470/MAX(IF(Combo_Species_Names=$N470,Combo_Gym_Offense))</f>
        <v>#VALUE!</v>
      </c>
      <c r="E470" s="23" t="e">
        <f t="array" ref="E470">RANK($Y470,IF(Combo_Species_Names=$N470,Combo_Gym_Defense),0)</f>
        <v>#VALUE!</v>
      </c>
      <c r="F470" s="25" t="e">
        <f t="array" ref="F470">$Y470/MAX(IF(Combo_Species_Names=$N470,Combo_Gym_Defense))</f>
        <v>#VALUE!</v>
      </c>
      <c r="G470" s="23" t="str">
        <f t="array" ref="G470">IF(OR(INDEX(Species_Availability,MATCH($N470,Species_Names,0))="No",INDEX(Species_Evo_Numbers,MATCH($N470,Species_Names,0))&lt;&gt;1),"N/A",RANK($R470,IF(NOT(ISNA(MATCH(Combo_Species_Names,IF(Species_Availability="Yes",IF(Species_Evo_Numbers=1,Species_Names)),0))),Combo_Duel_Ability),0))</f>
        <v>N/A</v>
      </c>
      <c r="H470" s="24" t="str">
        <f t="array" ref="H470">IF(OR(INDEX(Species_Availability,MATCH($N470,Species_Names,0))="No",INDEX(Species_Evo_Numbers,MATCH($N470,Species_Names,0))&lt;&gt;1),"N/A",$R470/MAX(IF(NOT(ISNA(MATCH(Combo_Species_Names,IF(Species_Availability="Yes",IF(Species_Evo_Numbers=1,Species_Names)),0))),Combo_Duel_Ability)))</f>
        <v>N/A</v>
      </c>
      <c r="I470" s="23" t="str">
        <f t="array" ref="I470">IF(OR(INDEX(Species_Availability,MATCH($N470,Species_Names,0))="No",INDEX(Species_Evo_Numbers,MATCH($N470,Species_Names,0))&lt;&gt;1),"N/A",RANK($S470,IF(NOT(ISNA(MATCH(Combo_Species_Names,IF(Species_Availability="Yes",IF(Species_Evo_Numbers=1,Species_Names)),0))),Combo_Gym_Offense),0))</f>
        <v>N/A</v>
      </c>
      <c r="J470" s="24" t="str">
        <f t="array" ref="J470">IF(OR(INDEX(Species_Availability,MATCH($N470,Species_Names,0))="No",INDEX(Species_Evo_Numbers,MATCH($N470,Species_Names,0))&lt;&gt;1),"N/A",$S470/MAX(IF(NOT(ISNA(MATCH(Combo_Species_Names,IF(Species_Availability="Yes",IF(Species_Evo_Numbers=1,Species_Names)),0))),Combo_Gym_Offense)))</f>
        <v>N/A</v>
      </c>
      <c r="K470" s="23" t="str">
        <f t="array" ref="K470">IF(OR(INDEX(Species_Availability,MATCH($N470,Species_Names,0))="No",INDEX(Species_Evo_Numbers,MATCH($N470,Species_Names,0))&lt;&gt;1),"N/A",RANK($Y470,IF(NOT(ISNA(MATCH(Combo_Species_Names,IF(Species_Availability="Yes",IF(Species_Evo_Numbers=1,Species_Names)),0))),Combo_Gym_Defense),0))</f>
        <v>N/A</v>
      </c>
      <c r="L470" s="24" t="str">
        <f t="array" ref="L470">IF(OR(INDEX(Species_Availability,MATCH($N470,Species_Names,0))="No",INDEX(Species_Evo_Numbers,MATCH($N470,Species_Names,0))&lt;&gt;1),"N/A",$Y470/MAX(IF(NOT(ISNA(MATCH(Combo_Species_Names,IF(Species_Availability="Yes",IF(Species_Evo_Numbers=1,Species_Names)),0))),Combo_Gym_Defense)))</f>
        <v>N/A</v>
      </c>
      <c r="M470" s="28">
        <f t="array" ref="M470">INDEX(Species_Pdex_Numbers,MATCH($N470,Species_Names,0))</f>
        <v>44</v>
      </c>
      <c r="N470" s="30" t="s">
        <v>179</v>
      </c>
      <c r="O470" s="31" t="s">
        <v>110</v>
      </c>
      <c r="P470" s="31" t="s">
        <v>192</v>
      </c>
      <c r="Q470" s="17" t="e">
        <f t="shared" si="14"/>
        <v>#VALUE!</v>
      </c>
      <c r="R470" s="32" t="e">
        <f t="array" ref="R470">IF(OR(AND(COUNTBLANK(Combo_Opponent_Type_1)=1,COUNTBLANK(Combo_Opponent_Type_2)=0),AND(AND(COUNTBLANK(Combo_Opponent_Type_1)=0,COUNTBLANK(Combo_Opponent_Type_2)=0),Combo_Opponent_Type_1=Combo_Opponent_Type_2)),
"Check Types",($S470*INDEX(Species_Tankiness,MATCH($N470,Species_Names,0)))/225)</f>
        <v>#VALUE!</v>
      </c>
      <c r="S470" s="32" t="e">
        <f t="array" ref="S470">IF(OR(AND(COUNTBLANK(Combo_Opponent_Type_1)=1,COUNTBLANK(Combo_Opponent_Type_2)=0),AND(AND(COUNTBLANK(Combo_Opponent_Type_1)=0,COUNTBLANK(Combo_Opponent_Type_2)=0),Combo_Opponent_Type_1=Combo_Opponent_Type_2)),
"Check Types",(
IF($W470&gt;=((1-Game_Weave_Human_Error)*$X470),$W470,$X470)*INDEX(Species_Attack,MATCH($N470,Species_Names,0)))/11)</f>
        <v>#VALUE!</v>
      </c>
      <c r="T470" s="33" t="e">
        <f t="shared" si="15"/>
        <v>#VALUE!</v>
      </c>
      <c r="U470" s="33">
        <f t="array" ref="U4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470,Quick_Names,0))),Type_Species)),0),1)*IF(COUNTBLANK(Combo_Opponent_Type_2)=0,INDEX(Type_Damage_Multipliers,MATCH(Combo_Opponent_Type_2,IF(Type_Move=(INDEX(Quick_Type,MATCH($O470,Quick_Names,0))),Type_Species)),0),1)*(IF(OR(INDEX(Quick_Type,MATCH($O470,Quick_Names,0))=INDEX(Species_Type_1,MATCH($N470,Species_Names,0)),INDEX(Quick_Type,MATCH($O470,Quick_Names,0))=INDEX(Species_Type_2,MATCH($N470,Species_Names,0))),Game_STAB_Multiplier,1)))</f>
        <v>1.25</v>
      </c>
      <c r="V470" s="33">
        <f t="array" ref="V4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470,Charge_Names,0))),Type_Species)),0),1)*IF(COUNTBLANK(Combo_Opponent_Type_2)=0,INDEX(Type_Damage_Multipliers,MATCH(Combo_Opponent_Type_2,IF(Type_Move=(INDEX(Charge_Type,MATCH($P470,Charge_Names,0))),Type_Species)),0),1)*
IF(OR(INDEX(Charge_Type,MATCH($P470,Charge_Names,0))=INDEX(Species_Type_1,MATCH($N470,Species_Names,0)),INDEX(Charge_Type,MATCH($P470,Charge_Names,0))=INDEX(Species_Type_2,MATCH($N470,Species_Names,0))),Game_STAB_Multiplier,1))</f>
        <v>1.25</v>
      </c>
      <c r="W470" s="33" t="s">
        <v>511</v>
      </c>
      <c r="X470" s="33" t="s">
        <v>434</v>
      </c>
      <c r="Y470" s="32" t="e">
        <f t="array" ref="Y470">((($Z470)*
INDEX(Species_Attack,MATCH($N470,Species_Names,0))*
INDEX(Species_Tankiness,MATCH($N470,Species_Names,0)))/1000)</f>
        <v>#VALUE!</v>
      </c>
      <c r="Z470" s="33" t="s">
        <v>553</v>
      </c>
    </row>
    <row r="471" spans="1:26" ht="14.25" customHeight="1" x14ac:dyDescent="0.2">
      <c r="A471" s="86"/>
      <c r="B471" s="22" t="str">
        <f t="array" ref="B471">CONCATENATE(TEXT($M471,"000"),".",TEXT(INDEX(Quick_Number,MATCH($O471,Quick_Names,0)),"000"),".",TEXT(INDEX(Charge_Number,MATCH($P471,Charge_Names,0)),"000"))</f>
        <v>044.215.047</v>
      </c>
      <c r="C471" s="23" t="e">
        <f t="array" ref="C471">RANK($S471,IF(Combo_Species_Names=$N471,Combo_Gym_Offense),0)</f>
        <v>#VALUE!</v>
      </c>
      <c r="D471" s="24" t="e">
        <f t="array" ref="D471">$S471/MAX(IF(Combo_Species_Names=$N471,Combo_Gym_Offense))</f>
        <v>#VALUE!</v>
      </c>
      <c r="E471" s="23" t="e">
        <f t="array" ref="E471">RANK($Y471,IF(Combo_Species_Names=$N471,Combo_Gym_Defense),0)</f>
        <v>#VALUE!</v>
      </c>
      <c r="F471" s="25" t="e">
        <f t="array" ref="F471">$Y471/MAX(IF(Combo_Species_Names=$N471,Combo_Gym_Defense))</f>
        <v>#VALUE!</v>
      </c>
      <c r="G471" s="23" t="str">
        <f t="array" ref="G471">IF(OR(INDEX(Species_Availability,MATCH($N471,Species_Names,0))="No",INDEX(Species_Evo_Numbers,MATCH($N471,Species_Names,0))&lt;&gt;1),"N/A",RANK($R471,IF(NOT(ISNA(MATCH(Combo_Species_Names,IF(Species_Availability="Yes",IF(Species_Evo_Numbers=1,Species_Names)),0))),Combo_Duel_Ability),0))</f>
        <v>N/A</v>
      </c>
      <c r="H471" s="24" t="str">
        <f t="array" ref="H471">IF(OR(INDEX(Species_Availability,MATCH($N471,Species_Names,0))="No",INDEX(Species_Evo_Numbers,MATCH($N471,Species_Names,0))&lt;&gt;1),"N/A",$R471/MAX(IF(NOT(ISNA(MATCH(Combo_Species_Names,IF(Species_Availability="Yes",IF(Species_Evo_Numbers=1,Species_Names)),0))),Combo_Duel_Ability)))</f>
        <v>N/A</v>
      </c>
      <c r="I471" s="23" t="str">
        <f t="array" ref="I471">IF(OR(INDEX(Species_Availability,MATCH($N471,Species_Names,0))="No",INDEX(Species_Evo_Numbers,MATCH($N471,Species_Names,0))&lt;&gt;1),"N/A",RANK($S471,IF(NOT(ISNA(MATCH(Combo_Species_Names,IF(Species_Availability="Yes",IF(Species_Evo_Numbers=1,Species_Names)),0))),Combo_Gym_Offense),0))</f>
        <v>N/A</v>
      </c>
      <c r="J471" s="24" t="str">
        <f t="array" ref="J471">IF(OR(INDEX(Species_Availability,MATCH($N471,Species_Names,0))="No",INDEX(Species_Evo_Numbers,MATCH($N471,Species_Names,0))&lt;&gt;1),"N/A",$S471/MAX(IF(NOT(ISNA(MATCH(Combo_Species_Names,IF(Species_Availability="Yes",IF(Species_Evo_Numbers=1,Species_Names)),0))),Combo_Gym_Offense)))</f>
        <v>N/A</v>
      </c>
      <c r="K471" s="23" t="str">
        <f t="array" ref="K471">IF(OR(INDEX(Species_Availability,MATCH($N471,Species_Names,0))="No",INDEX(Species_Evo_Numbers,MATCH($N471,Species_Names,0))&lt;&gt;1),"N/A",RANK($Y471,IF(NOT(ISNA(MATCH(Combo_Species_Names,IF(Species_Availability="Yes",IF(Species_Evo_Numbers=1,Species_Names)),0))),Combo_Gym_Defense),0))</f>
        <v>N/A</v>
      </c>
      <c r="L471" s="24" t="str">
        <f t="array" ref="L471">IF(OR(INDEX(Species_Availability,MATCH($N471,Species_Names,0))="No",INDEX(Species_Evo_Numbers,MATCH($N471,Species_Names,0))&lt;&gt;1),"N/A",$Y471/MAX(IF(NOT(ISNA(MATCH(Combo_Species_Names,IF(Species_Availability="Yes",IF(Species_Evo_Numbers=1,Species_Names)),0))),Combo_Gym_Defense)))</f>
        <v>N/A</v>
      </c>
      <c r="M471" s="28">
        <f t="array" ref="M471">INDEX(Species_Pdex_Numbers,MATCH($N471,Species_Names,0))</f>
        <v>44</v>
      </c>
      <c r="N471" s="30" t="s">
        <v>179</v>
      </c>
      <c r="O471" s="31" t="s">
        <v>102</v>
      </c>
      <c r="P471" s="31" t="s">
        <v>192</v>
      </c>
      <c r="Q471" s="17" t="e">
        <f t="shared" si="14"/>
        <v>#VALUE!</v>
      </c>
      <c r="R471" s="32" t="e">
        <f t="array" ref="R471">IF(OR(AND(COUNTBLANK(Combo_Opponent_Type_1)=1,COUNTBLANK(Combo_Opponent_Type_2)=0),AND(AND(COUNTBLANK(Combo_Opponent_Type_1)=0,COUNTBLANK(Combo_Opponent_Type_2)=0),Combo_Opponent_Type_1=Combo_Opponent_Type_2)),
"Check Types",($S471*INDEX(Species_Tankiness,MATCH($N471,Species_Names,0)))/225)</f>
        <v>#VALUE!</v>
      </c>
      <c r="S471" s="32" t="e">
        <f t="array" ref="S471">IF(OR(AND(COUNTBLANK(Combo_Opponent_Type_1)=1,COUNTBLANK(Combo_Opponent_Type_2)=0),AND(AND(COUNTBLANK(Combo_Opponent_Type_1)=0,COUNTBLANK(Combo_Opponent_Type_2)=0),Combo_Opponent_Type_1=Combo_Opponent_Type_2)),
"Check Types",(
IF($W471&gt;=((1-Game_Weave_Human_Error)*$X471),$W471,$X471)*INDEX(Species_Attack,MATCH($N471,Species_Names,0)))/11)</f>
        <v>#VALUE!</v>
      </c>
      <c r="T471" s="33" t="e">
        <f t="shared" si="15"/>
        <v>#VALUE!</v>
      </c>
      <c r="U471" s="33">
        <f t="array" ref="U4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471,Quick_Names,0))),Type_Species)),0),1)*IF(COUNTBLANK(Combo_Opponent_Type_2)=0,INDEX(Type_Damage_Multipliers,MATCH(Combo_Opponent_Type_2,IF(Type_Move=(INDEX(Quick_Type,MATCH($O471,Quick_Names,0))),Type_Species)),0),1)*(IF(OR(INDEX(Quick_Type,MATCH($O471,Quick_Names,0))=INDEX(Species_Type_1,MATCH($N471,Species_Names,0)),INDEX(Quick_Type,MATCH($O471,Quick_Names,0))=INDEX(Species_Type_2,MATCH($N471,Species_Names,0))),Game_STAB_Multiplier,1)))</f>
        <v>1.25</v>
      </c>
      <c r="V471" s="33">
        <f t="array" ref="V4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471,Charge_Names,0))),Type_Species)),0),1)*IF(COUNTBLANK(Combo_Opponent_Type_2)=0,INDEX(Type_Damage_Multipliers,MATCH(Combo_Opponent_Type_2,IF(Type_Move=(INDEX(Charge_Type,MATCH($P471,Charge_Names,0))),Type_Species)),0),1)*
IF(OR(INDEX(Charge_Type,MATCH($P471,Charge_Names,0))=INDEX(Species_Type_1,MATCH($N471,Species_Names,0)),INDEX(Charge_Type,MATCH($P471,Charge_Names,0))=INDEX(Species_Type_2,MATCH($N471,Species_Names,0))),Game_STAB_Multiplier,1))</f>
        <v>1.25</v>
      </c>
      <c r="W471" s="33" t="s">
        <v>501</v>
      </c>
      <c r="X471" s="33" t="s">
        <v>525</v>
      </c>
      <c r="Y471" s="32" t="e">
        <f t="array" ref="Y471">((($Z471)*
INDEX(Species_Attack,MATCH($N471,Species_Names,0))*
INDEX(Species_Tankiness,MATCH($N471,Species_Names,0)))/1000)</f>
        <v>#VALUE!</v>
      </c>
      <c r="Z471" s="33" t="s">
        <v>440</v>
      </c>
    </row>
    <row r="472" spans="1:26" ht="14.25" customHeight="1" x14ac:dyDescent="0.2">
      <c r="A472" s="86"/>
      <c r="B472" s="22" t="str">
        <f t="array" ref="B472">CONCATENATE(TEXT($M472,"000"),".",TEXT(INDEX(Quick_Number,MATCH($O472,Quick_Names,0)),"000"),".",TEXT(INDEX(Charge_Number,MATCH($P472,Charge_Names,0)),"000"))</f>
        <v>002.214.118</v>
      </c>
      <c r="C472" s="23" t="e">
        <f t="array" ref="C472">RANK($S472,IF(Combo_Species_Names=$N472,Combo_Gym_Offense),0)</f>
        <v>#VALUE!</v>
      </c>
      <c r="D472" s="24" t="e">
        <f t="array" ref="D472">$S472/MAX(IF(Combo_Species_Names=$N472,Combo_Gym_Offense))</f>
        <v>#VALUE!</v>
      </c>
      <c r="E472" s="23" t="e">
        <f t="array" ref="E472">RANK($Y472,IF(Combo_Species_Names=$N472,Combo_Gym_Defense),0)</f>
        <v>#VALUE!</v>
      </c>
      <c r="F472" s="25" t="e">
        <f t="array" ref="F472">$Y472/MAX(IF(Combo_Species_Names=$N472,Combo_Gym_Defense))</f>
        <v>#VALUE!</v>
      </c>
      <c r="G472" s="23" t="str">
        <f t="array" ref="G472">IF(OR(INDEX(Species_Availability,MATCH($N472,Species_Names,0))="No",INDEX(Species_Evo_Numbers,MATCH($N472,Species_Names,0))&lt;&gt;1),"N/A",RANK($R472,IF(NOT(ISNA(MATCH(Combo_Species_Names,IF(Species_Availability="Yes",IF(Species_Evo_Numbers=1,Species_Names)),0))),Combo_Duel_Ability),0))</f>
        <v>N/A</v>
      </c>
      <c r="H472" s="24" t="str">
        <f t="array" ref="H472">IF(OR(INDEX(Species_Availability,MATCH($N472,Species_Names,0))="No",INDEX(Species_Evo_Numbers,MATCH($N472,Species_Names,0))&lt;&gt;1),"N/A",$R472/MAX(IF(NOT(ISNA(MATCH(Combo_Species_Names,IF(Species_Availability="Yes",IF(Species_Evo_Numbers=1,Species_Names)),0))),Combo_Duel_Ability)))</f>
        <v>N/A</v>
      </c>
      <c r="I472" s="23" t="str">
        <f t="array" ref="I472">IF(OR(INDEX(Species_Availability,MATCH($N472,Species_Names,0))="No",INDEX(Species_Evo_Numbers,MATCH($N472,Species_Names,0))&lt;&gt;1),"N/A",RANK($S472,IF(NOT(ISNA(MATCH(Combo_Species_Names,IF(Species_Availability="Yes",IF(Species_Evo_Numbers=1,Species_Names)),0))),Combo_Gym_Offense),0))</f>
        <v>N/A</v>
      </c>
      <c r="J472" s="24" t="str">
        <f t="array" ref="J472">IF(OR(INDEX(Species_Availability,MATCH($N472,Species_Names,0))="No",INDEX(Species_Evo_Numbers,MATCH($N472,Species_Names,0))&lt;&gt;1),"N/A",$S472/MAX(IF(NOT(ISNA(MATCH(Combo_Species_Names,IF(Species_Availability="Yes",IF(Species_Evo_Numbers=1,Species_Names)),0))),Combo_Gym_Offense)))</f>
        <v>N/A</v>
      </c>
      <c r="K472" s="23" t="str">
        <f t="array" ref="K472">IF(OR(INDEX(Species_Availability,MATCH($N472,Species_Names,0))="No",INDEX(Species_Evo_Numbers,MATCH($N472,Species_Names,0))&lt;&gt;1),"N/A",RANK($Y472,IF(NOT(ISNA(MATCH(Combo_Species_Names,IF(Species_Availability="Yes",IF(Species_Evo_Numbers=1,Species_Names)),0))),Combo_Gym_Defense),0))</f>
        <v>N/A</v>
      </c>
      <c r="L472" s="24" t="str">
        <f t="array" ref="L472">IF(OR(INDEX(Species_Availability,MATCH($N472,Species_Names,0))="No",INDEX(Species_Evo_Numbers,MATCH($N472,Species_Names,0))&lt;&gt;1),"N/A",$Y472/MAX(IF(NOT(ISNA(MATCH(Combo_Species_Names,IF(Species_Availability="Yes",IF(Species_Evo_Numbers=1,Species_Names)),0))),Combo_Gym_Defense)))</f>
        <v>N/A</v>
      </c>
      <c r="M472" s="28">
        <f t="array" ref="M472">INDEX(Species_Pdex_Numbers,MATCH($N472,Species_Names,0))</f>
        <v>2</v>
      </c>
      <c r="N472" s="30" t="s">
        <v>61</v>
      </c>
      <c r="O472" s="31" t="s">
        <v>94</v>
      </c>
      <c r="P472" s="31" t="s">
        <v>165</v>
      </c>
      <c r="Q472" s="17" t="e">
        <f t="shared" si="14"/>
        <v>#VALUE!</v>
      </c>
      <c r="R472" s="32" t="e">
        <f t="array" ref="R472">IF(OR(AND(COUNTBLANK(Combo_Opponent_Type_1)=1,COUNTBLANK(Combo_Opponent_Type_2)=0),AND(AND(COUNTBLANK(Combo_Opponent_Type_1)=0,COUNTBLANK(Combo_Opponent_Type_2)=0),Combo_Opponent_Type_1=Combo_Opponent_Type_2)),
"Check Types",($S472*INDEX(Species_Tankiness,MATCH($N472,Species_Names,0)))/225)</f>
        <v>#VALUE!</v>
      </c>
      <c r="S472" s="32" t="e">
        <f t="array" ref="S472">IF(OR(AND(COUNTBLANK(Combo_Opponent_Type_1)=1,COUNTBLANK(Combo_Opponent_Type_2)=0),AND(AND(COUNTBLANK(Combo_Opponent_Type_1)=0,COUNTBLANK(Combo_Opponent_Type_2)=0),Combo_Opponent_Type_1=Combo_Opponent_Type_2)),
"Check Types",(
IF($W472&gt;=((1-Game_Weave_Human_Error)*$X472),$W472,$X472)*INDEX(Species_Attack,MATCH($N472,Species_Names,0)))/11)</f>
        <v>#VALUE!</v>
      </c>
      <c r="T472" s="33" t="e">
        <f t="shared" si="15"/>
        <v>#VALUE!</v>
      </c>
      <c r="U472" s="33">
        <f t="array" ref="U4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472,Quick_Names,0))),Type_Species)),0),1)*IF(COUNTBLANK(Combo_Opponent_Type_2)=0,INDEX(Type_Damage_Multipliers,MATCH(Combo_Opponent_Type_2,IF(Type_Move=(INDEX(Quick_Type,MATCH($O472,Quick_Names,0))),Type_Species)),0),1)*(IF(OR(INDEX(Quick_Type,MATCH($O472,Quick_Names,0))=INDEX(Species_Type_1,MATCH($N472,Species_Names,0)),INDEX(Quick_Type,MATCH($O472,Quick_Names,0))=INDEX(Species_Type_2,MATCH($N472,Species_Names,0))),Game_STAB_Multiplier,1)))</f>
        <v>1.25</v>
      </c>
      <c r="V472" s="33">
        <f t="array" ref="V4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472,Charge_Names,0))),Type_Species)),0),1)*IF(COUNTBLANK(Combo_Opponent_Type_2)=0,INDEX(Type_Damage_Multipliers,MATCH(Combo_Opponent_Type_2,IF(Type_Move=(INDEX(Charge_Type,MATCH($P472,Charge_Names,0))),Type_Species)),0),1)*
IF(OR(INDEX(Charge_Type,MATCH($P472,Charge_Names,0))=INDEX(Species_Type_1,MATCH($N472,Species_Names,0)),INDEX(Charge_Type,MATCH($P472,Charge_Names,0))=INDEX(Species_Type_2,MATCH($N472,Species_Names,0))),Game_STAB_Multiplier,1))</f>
        <v>1.25</v>
      </c>
      <c r="W472" s="33" t="s">
        <v>476</v>
      </c>
      <c r="X472" s="33" t="s">
        <v>761</v>
      </c>
      <c r="Y472" s="32" t="e">
        <f t="array" ref="Y472">((($Z472)*
INDEX(Species_Attack,MATCH($N472,Species_Names,0))*
INDEX(Species_Tankiness,MATCH($N472,Species_Names,0)))/1000)</f>
        <v>#VALUE!</v>
      </c>
      <c r="Z472" s="33" t="s">
        <v>623</v>
      </c>
    </row>
    <row r="473" spans="1:26" ht="14.25" customHeight="1" x14ac:dyDescent="0.2">
      <c r="A473" s="86"/>
      <c r="B473" s="22" t="str">
        <f t="array" ref="B473">CONCATENATE(TEXT($M473,"000"),".",TEXT(INDEX(Quick_Number,MATCH($O473,Quick_Names,0)),"000"),".",TEXT(INDEX(Charge_Number,MATCH($P473,Charge_Names,0)),"000"))</f>
        <v>067.208.028</v>
      </c>
      <c r="C473" s="23" t="e">
        <f t="array" ref="C473">RANK($S473,IF(Combo_Species_Names=$N473,Combo_Gym_Offense),0)</f>
        <v>#VALUE!</v>
      </c>
      <c r="D473" s="24" t="e">
        <f t="array" ref="D473">$S473/MAX(IF(Combo_Species_Names=$N473,Combo_Gym_Offense))</f>
        <v>#VALUE!</v>
      </c>
      <c r="E473" s="23" t="e">
        <f t="array" ref="E473">RANK($Y473,IF(Combo_Species_Names=$N473,Combo_Gym_Defense),0)</f>
        <v>#VALUE!</v>
      </c>
      <c r="F473" s="25" t="e">
        <f t="array" ref="F473">$Y473/MAX(IF(Combo_Species_Names=$N473,Combo_Gym_Defense))</f>
        <v>#VALUE!</v>
      </c>
      <c r="G473" s="23" t="str">
        <f t="array" ref="G473">IF(OR(INDEX(Species_Availability,MATCH($N473,Species_Names,0))="No",INDEX(Species_Evo_Numbers,MATCH($N473,Species_Names,0))&lt;&gt;1),"N/A",RANK($R473,IF(NOT(ISNA(MATCH(Combo_Species_Names,IF(Species_Availability="Yes",IF(Species_Evo_Numbers=1,Species_Names)),0))),Combo_Duel_Ability),0))</f>
        <v>N/A</v>
      </c>
      <c r="H473" s="24" t="str">
        <f t="array" ref="H473">IF(OR(INDEX(Species_Availability,MATCH($N473,Species_Names,0))="No",INDEX(Species_Evo_Numbers,MATCH($N473,Species_Names,0))&lt;&gt;1),"N/A",$R473/MAX(IF(NOT(ISNA(MATCH(Combo_Species_Names,IF(Species_Availability="Yes",IF(Species_Evo_Numbers=1,Species_Names)),0))),Combo_Duel_Ability)))</f>
        <v>N/A</v>
      </c>
      <c r="I473" s="23" t="str">
        <f t="array" ref="I473">IF(OR(INDEX(Species_Availability,MATCH($N473,Species_Names,0))="No",INDEX(Species_Evo_Numbers,MATCH($N473,Species_Names,0))&lt;&gt;1),"N/A",RANK($S473,IF(NOT(ISNA(MATCH(Combo_Species_Names,IF(Species_Availability="Yes",IF(Species_Evo_Numbers=1,Species_Names)),0))),Combo_Gym_Offense),0))</f>
        <v>N/A</v>
      </c>
      <c r="J473" s="24" t="str">
        <f t="array" ref="J473">IF(OR(INDEX(Species_Availability,MATCH($N473,Species_Names,0))="No",INDEX(Species_Evo_Numbers,MATCH($N473,Species_Names,0))&lt;&gt;1),"N/A",$S473/MAX(IF(NOT(ISNA(MATCH(Combo_Species_Names,IF(Species_Availability="Yes",IF(Species_Evo_Numbers=1,Species_Names)),0))),Combo_Gym_Offense)))</f>
        <v>N/A</v>
      </c>
      <c r="K473" s="23" t="str">
        <f t="array" ref="K473">IF(OR(INDEX(Species_Availability,MATCH($N473,Species_Names,0))="No",INDEX(Species_Evo_Numbers,MATCH($N473,Species_Names,0))&lt;&gt;1),"N/A",RANK($Y473,IF(NOT(ISNA(MATCH(Combo_Species_Names,IF(Species_Availability="Yes",IF(Species_Evo_Numbers=1,Species_Names)),0))),Combo_Gym_Defense),0))</f>
        <v>N/A</v>
      </c>
      <c r="L473" s="24" t="str">
        <f t="array" ref="L473">IF(OR(INDEX(Species_Availability,MATCH($N473,Species_Names,0))="No",INDEX(Species_Evo_Numbers,MATCH($N473,Species_Names,0))&lt;&gt;1),"N/A",$Y473/MAX(IF(NOT(ISNA(MATCH(Combo_Species_Names,IF(Species_Availability="Yes",IF(Species_Evo_Numbers=1,Species_Names)),0))),Combo_Gym_Defense)))</f>
        <v>N/A</v>
      </c>
      <c r="M473" s="28">
        <f t="array" ref="M473">INDEX(Species_Pdex_Numbers,MATCH($N473,Species_Names,0))</f>
        <v>67</v>
      </c>
      <c r="N473" s="30" t="s">
        <v>225</v>
      </c>
      <c r="O473" s="31" t="s">
        <v>122</v>
      </c>
      <c r="P473" s="31" t="s">
        <v>146</v>
      </c>
      <c r="Q473" s="17" t="e">
        <f t="shared" si="14"/>
        <v>#VALUE!</v>
      </c>
      <c r="R473" s="32" t="e">
        <f t="array" ref="R473">IF(OR(AND(COUNTBLANK(Combo_Opponent_Type_1)=1,COUNTBLANK(Combo_Opponent_Type_2)=0),AND(AND(COUNTBLANK(Combo_Opponent_Type_1)=0,COUNTBLANK(Combo_Opponent_Type_2)=0),Combo_Opponent_Type_1=Combo_Opponent_Type_2)),
"Check Types",($S473*INDEX(Species_Tankiness,MATCH($N473,Species_Names,0)))/225)</f>
        <v>#VALUE!</v>
      </c>
      <c r="S473" s="32" t="e">
        <f t="array" ref="S473">IF(OR(AND(COUNTBLANK(Combo_Opponent_Type_1)=1,COUNTBLANK(Combo_Opponent_Type_2)=0),AND(AND(COUNTBLANK(Combo_Opponent_Type_1)=0,COUNTBLANK(Combo_Opponent_Type_2)=0),Combo_Opponent_Type_1=Combo_Opponent_Type_2)),
"Check Types",(
IF($W473&gt;=((1-Game_Weave_Human_Error)*$X473),$W473,$X473)*INDEX(Species_Attack,MATCH($N473,Species_Names,0)))/11)</f>
        <v>#VALUE!</v>
      </c>
      <c r="T473" s="33" t="e">
        <f t="shared" si="15"/>
        <v>#VALUE!</v>
      </c>
      <c r="U473" s="33">
        <f t="array" ref="U4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473,Quick_Names,0))),Type_Species)),0),1)*IF(COUNTBLANK(Combo_Opponent_Type_2)=0,INDEX(Type_Damage_Multipliers,MATCH(Combo_Opponent_Type_2,IF(Type_Move=(INDEX(Quick_Type,MATCH($O473,Quick_Names,0))),Type_Species)),0),1)*(IF(OR(INDEX(Quick_Type,MATCH($O473,Quick_Names,0))=INDEX(Species_Type_1,MATCH($N473,Species_Names,0)),INDEX(Quick_Type,MATCH($O473,Quick_Names,0))=INDEX(Species_Type_2,MATCH($N473,Species_Names,0))),Game_STAB_Multiplier,1)))</f>
        <v>1.25</v>
      </c>
      <c r="V473" s="33">
        <f t="array" ref="V4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473,Charge_Names,0))),Type_Species)),0),1)*IF(COUNTBLANK(Combo_Opponent_Type_2)=0,INDEX(Type_Damage_Multipliers,MATCH(Combo_Opponent_Type_2,IF(Type_Move=(INDEX(Charge_Type,MATCH($P473,Charge_Names,0))),Type_Species)),0),1)*
IF(OR(INDEX(Charge_Type,MATCH($P473,Charge_Names,0))=INDEX(Species_Type_1,MATCH($N473,Species_Names,0)),INDEX(Charge_Type,MATCH($P473,Charge_Names,0))=INDEX(Species_Type_2,MATCH($N473,Species_Names,0))),Game_STAB_Multiplier,1))</f>
        <v>1.25</v>
      </c>
      <c r="W473" s="33" t="s">
        <v>564</v>
      </c>
      <c r="X473" s="33" t="s">
        <v>579</v>
      </c>
      <c r="Y473" s="32" t="e">
        <f t="array" ref="Y473">((($Z473)*
INDEX(Species_Attack,MATCH($N473,Species_Names,0))*
INDEX(Species_Tankiness,MATCH($N473,Species_Names,0)))/1000)</f>
        <v>#VALUE!</v>
      </c>
      <c r="Z473" s="33" t="s">
        <v>580</v>
      </c>
    </row>
    <row r="474" spans="1:26" ht="14.25" customHeight="1" x14ac:dyDescent="0.2">
      <c r="A474" s="86"/>
      <c r="B474" s="22" t="str">
        <f t="array" ref="B474">CONCATENATE(TEXT($M474,"000"),".",TEXT(INDEX(Quick_Number,MATCH($O474,Quick_Names,0)),"000"),".",TEXT(INDEX(Charge_Number,MATCH($P474,Charge_Names,0)),"000"))</f>
        <v>075.216.032</v>
      </c>
      <c r="C474" s="23" t="e">
        <f t="array" ref="C474">RANK($S474,IF(Combo_Species_Names=$N474,Combo_Gym_Offense),0)</f>
        <v>#VALUE!</v>
      </c>
      <c r="D474" s="24" t="e">
        <f t="array" ref="D474">$S474/MAX(IF(Combo_Species_Names=$N474,Combo_Gym_Offense))</f>
        <v>#VALUE!</v>
      </c>
      <c r="E474" s="23" t="e">
        <f t="array" ref="E474">RANK($Y474,IF(Combo_Species_Names=$N474,Combo_Gym_Defense),0)</f>
        <v>#VALUE!</v>
      </c>
      <c r="F474" s="25" t="e">
        <f t="array" ref="F474">$Y474/MAX(IF(Combo_Species_Names=$N474,Combo_Gym_Defense))</f>
        <v>#VALUE!</v>
      </c>
      <c r="G474" s="23" t="str">
        <f t="array" ref="G474">IF(OR(INDEX(Species_Availability,MATCH($N474,Species_Names,0))="No",INDEX(Species_Evo_Numbers,MATCH($N474,Species_Names,0))&lt;&gt;1),"N/A",RANK($R474,IF(NOT(ISNA(MATCH(Combo_Species_Names,IF(Species_Availability="Yes",IF(Species_Evo_Numbers=1,Species_Names)),0))),Combo_Duel_Ability),0))</f>
        <v>N/A</v>
      </c>
      <c r="H474" s="24" t="str">
        <f t="array" ref="H474">IF(OR(INDEX(Species_Availability,MATCH($N474,Species_Names,0))="No",INDEX(Species_Evo_Numbers,MATCH($N474,Species_Names,0))&lt;&gt;1),"N/A",$R474/MAX(IF(NOT(ISNA(MATCH(Combo_Species_Names,IF(Species_Availability="Yes",IF(Species_Evo_Numbers=1,Species_Names)),0))),Combo_Duel_Ability)))</f>
        <v>N/A</v>
      </c>
      <c r="I474" s="23" t="str">
        <f t="array" ref="I474">IF(OR(INDEX(Species_Availability,MATCH($N474,Species_Names,0))="No",INDEX(Species_Evo_Numbers,MATCH($N474,Species_Names,0))&lt;&gt;1),"N/A",RANK($S474,IF(NOT(ISNA(MATCH(Combo_Species_Names,IF(Species_Availability="Yes",IF(Species_Evo_Numbers=1,Species_Names)),0))),Combo_Gym_Offense),0))</f>
        <v>N/A</v>
      </c>
      <c r="J474" s="24" t="str">
        <f t="array" ref="J474">IF(OR(INDEX(Species_Availability,MATCH($N474,Species_Names,0))="No",INDEX(Species_Evo_Numbers,MATCH($N474,Species_Names,0))&lt;&gt;1),"N/A",$S474/MAX(IF(NOT(ISNA(MATCH(Combo_Species_Names,IF(Species_Availability="Yes",IF(Species_Evo_Numbers=1,Species_Names)),0))),Combo_Gym_Offense)))</f>
        <v>N/A</v>
      </c>
      <c r="K474" s="23" t="str">
        <f t="array" ref="K474">IF(OR(INDEX(Species_Availability,MATCH($N474,Species_Names,0))="No",INDEX(Species_Evo_Numbers,MATCH($N474,Species_Names,0))&lt;&gt;1),"N/A",RANK($Y474,IF(NOT(ISNA(MATCH(Combo_Species_Names,IF(Species_Availability="Yes",IF(Species_Evo_Numbers=1,Species_Names)),0))),Combo_Gym_Defense),0))</f>
        <v>N/A</v>
      </c>
      <c r="L474" s="24" t="str">
        <f t="array" ref="L474">IF(OR(INDEX(Species_Availability,MATCH($N474,Species_Names,0))="No",INDEX(Species_Evo_Numbers,MATCH($N474,Species_Names,0))&lt;&gt;1),"N/A",$Y474/MAX(IF(NOT(ISNA(MATCH(Combo_Species_Names,IF(Species_Availability="Yes",IF(Species_Evo_Numbers=1,Species_Names)),0))),Combo_Gym_Defense)))</f>
        <v>N/A</v>
      </c>
      <c r="M474" s="28">
        <f t="array" ref="M474">INDEX(Species_Pdex_Numbers,MATCH($N474,Species_Names,0))</f>
        <v>75</v>
      </c>
      <c r="N474" s="30" t="s">
        <v>242</v>
      </c>
      <c r="O474" s="31" t="s">
        <v>89</v>
      </c>
      <c r="P474" s="31" t="s">
        <v>149</v>
      </c>
      <c r="Q474" s="17" t="e">
        <f t="shared" si="14"/>
        <v>#VALUE!</v>
      </c>
      <c r="R474" s="32" t="e">
        <f t="array" ref="R474">IF(OR(AND(COUNTBLANK(Combo_Opponent_Type_1)=1,COUNTBLANK(Combo_Opponent_Type_2)=0),AND(AND(COUNTBLANK(Combo_Opponent_Type_1)=0,COUNTBLANK(Combo_Opponent_Type_2)=0),Combo_Opponent_Type_1=Combo_Opponent_Type_2)),
"Check Types",($S474*INDEX(Species_Tankiness,MATCH($N474,Species_Names,0)))/225)</f>
        <v>#VALUE!</v>
      </c>
      <c r="S474" s="32" t="e">
        <f t="array" ref="S474">IF(OR(AND(COUNTBLANK(Combo_Opponent_Type_1)=1,COUNTBLANK(Combo_Opponent_Type_2)=0),AND(AND(COUNTBLANK(Combo_Opponent_Type_1)=0,COUNTBLANK(Combo_Opponent_Type_2)=0),Combo_Opponent_Type_1=Combo_Opponent_Type_2)),
"Check Types",(
IF($W474&gt;=((1-Game_Weave_Human_Error)*$X474),$W474,$X474)*INDEX(Species_Attack,MATCH($N474,Species_Names,0)))/11)</f>
        <v>#VALUE!</v>
      </c>
      <c r="T474" s="33" t="e">
        <f t="shared" si="15"/>
        <v>#VALUE!</v>
      </c>
      <c r="U474" s="33">
        <f t="array" ref="U4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474,Quick_Names,0))),Type_Species)),0),1)*IF(COUNTBLANK(Combo_Opponent_Type_2)=0,INDEX(Type_Damage_Multipliers,MATCH(Combo_Opponent_Type_2,IF(Type_Move=(INDEX(Quick_Type,MATCH($O474,Quick_Names,0))),Type_Species)),0),1)*(IF(OR(INDEX(Quick_Type,MATCH($O474,Quick_Names,0))=INDEX(Species_Type_1,MATCH($N474,Species_Names,0)),INDEX(Quick_Type,MATCH($O474,Quick_Names,0))=INDEX(Species_Type_2,MATCH($N474,Species_Names,0))),Game_STAB_Multiplier,1)))</f>
        <v>1.25</v>
      </c>
      <c r="V474" s="33">
        <f t="array" ref="V4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474,Charge_Names,0))),Type_Species)),0),1)*IF(COUNTBLANK(Combo_Opponent_Type_2)=0,INDEX(Type_Damage_Multipliers,MATCH(Combo_Opponent_Type_2,IF(Type_Move=(INDEX(Charge_Type,MATCH($P474,Charge_Names,0))),Type_Species)),0),1)*
IF(OR(INDEX(Charge_Type,MATCH($P474,Charge_Names,0))=INDEX(Species_Type_1,MATCH($N474,Species_Names,0)),INDEX(Charge_Type,MATCH($P474,Charge_Names,0))=INDEX(Species_Type_2,MATCH($N474,Species_Names,0))),Game_STAB_Multiplier,1))</f>
        <v>1.25</v>
      </c>
      <c r="W474" s="33" t="s">
        <v>496</v>
      </c>
      <c r="X474" s="33" t="s">
        <v>497</v>
      </c>
      <c r="Y474" s="32" t="e">
        <f t="array" ref="Y474">((($Z474)*
INDEX(Species_Attack,MATCH($N474,Species_Names,0))*
INDEX(Species_Tankiness,MATCH($N474,Species_Names,0)))/1000)</f>
        <v>#VALUE!</v>
      </c>
      <c r="Z474" s="33" t="s">
        <v>498</v>
      </c>
    </row>
    <row r="475" spans="1:26" ht="14.25" customHeight="1" x14ac:dyDescent="0.2">
      <c r="A475" s="86"/>
      <c r="B475" s="22" t="str">
        <f t="array" ref="B475">CONCATENATE(TEXT($M475,"000"),".",TEXT(INDEX(Quick_Number,MATCH($O475,Quick_Names,0)),"000"),".",TEXT(INDEX(Charge_Number,MATCH($P475,Charge_Names,0)),"000"))</f>
        <v>044.215.090</v>
      </c>
      <c r="C475" s="23" t="e">
        <f t="array" ref="C475">RANK($S475,IF(Combo_Species_Names=$N475,Combo_Gym_Offense),0)</f>
        <v>#VALUE!</v>
      </c>
      <c r="D475" s="24" t="e">
        <f t="array" ref="D475">$S475/MAX(IF(Combo_Species_Names=$N475,Combo_Gym_Offense))</f>
        <v>#VALUE!</v>
      </c>
      <c r="E475" s="23" t="e">
        <f t="array" ref="E475">RANK($Y475,IF(Combo_Species_Names=$N475,Combo_Gym_Defense),0)</f>
        <v>#VALUE!</v>
      </c>
      <c r="F475" s="25" t="e">
        <f t="array" ref="F475">$Y475/MAX(IF(Combo_Species_Names=$N475,Combo_Gym_Defense))</f>
        <v>#VALUE!</v>
      </c>
      <c r="G475" s="23" t="str">
        <f t="array" ref="G475">IF(OR(INDEX(Species_Availability,MATCH($N475,Species_Names,0))="No",INDEX(Species_Evo_Numbers,MATCH($N475,Species_Names,0))&lt;&gt;1),"N/A",RANK($R475,IF(NOT(ISNA(MATCH(Combo_Species_Names,IF(Species_Availability="Yes",IF(Species_Evo_Numbers=1,Species_Names)),0))),Combo_Duel_Ability),0))</f>
        <v>N/A</v>
      </c>
      <c r="H475" s="24" t="str">
        <f t="array" ref="H475">IF(OR(INDEX(Species_Availability,MATCH($N475,Species_Names,0))="No",INDEX(Species_Evo_Numbers,MATCH($N475,Species_Names,0))&lt;&gt;1),"N/A",$R475/MAX(IF(NOT(ISNA(MATCH(Combo_Species_Names,IF(Species_Availability="Yes",IF(Species_Evo_Numbers=1,Species_Names)),0))),Combo_Duel_Ability)))</f>
        <v>N/A</v>
      </c>
      <c r="I475" s="23" t="str">
        <f t="array" ref="I475">IF(OR(INDEX(Species_Availability,MATCH($N475,Species_Names,0))="No",INDEX(Species_Evo_Numbers,MATCH($N475,Species_Names,0))&lt;&gt;1),"N/A",RANK($S475,IF(NOT(ISNA(MATCH(Combo_Species_Names,IF(Species_Availability="Yes",IF(Species_Evo_Numbers=1,Species_Names)),0))),Combo_Gym_Offense),0))</f>
        <v>N/A</v>
      </c>
      <c r="J475" s="24" t="str">
        <f t="array" ref="J475">IF(OR(INDEX(Species_Availability,MATCH($N475,Species_Names,0))="No",INDEX(Species_Evo_Numbers,MATCH($N475,Species_Names,0))&lt;&gt;1),"N/A",$S475/MAX(IF(NOT(ISNA(MATCH(Combo_Species_Names,IF(Species_Availability="Yes",IF(Species_Evo_Numbers=1,Species_Names)),0))),Combo_Gym_Offense)))</f>
        <v>N/A</v>
      </c>
      <c r="K475" s="23" t="str">
        <f t="array" ref="K475">IF(OR(INDEX(Species_Availability,MATCH($N475,Species_Names,0))="No",INDEX(Species_Evo_Numbers,MATCH($N475,Species_Names,0))&lt;&gt;1),"N/A",RANK($Y475,IF(NOT(ISNA(MATCH(Combo_Species_Names,IF(Species_Availability="Yes",IF(Species_Evo_Numbers=1,Species_Names)),0))),Combo_Gym_Defense),0))</f>
        <v>N/A</v>
      </c>
      <c r="L475" s="24" t="str">
        <f t="array" ref="L475">IF(OR(INDEX(Species_Availability,MATCH($N475,Species_Names,0))="No",INDEX(Species_Evo_Numbers,MATCH($N475,Species_Names,0))&lt;&gt;1),"N/A",$Y475/MAX(IF(NOT(ISNA(MATCH(Combo_Species_Names,IF(Species_Availability="Yes",IF(Species_Evo_Numbers=1,Species_Names)),0))),Combo_Gym_Defense)))</f>
        <v>N/A</v>
      </c>
      <c r="M475" s="28">
        <f t="array" ref="M475">INDEX(Species_Pdex_Numbers,MATCH($N475,Species_Names,0))</f>
        <v>44</v>
      </c>
      <c r="N475" s="30" t="s">
        <v>179</v>
      </c>
      <c r="O475" s="31" t="s">
        <v>102</v>
      </c>
      <c r="P475" s="31" t="s">
        <v>180</v>
      </c>
      <c r="Q475" s="17" t="e">
        <f t="shared" si="14"/>
        <v>#VALUE!</v>
      </c>
      <c r="R475" s="32" t="e">
        <f t="array" ref="R475">IF(OR(AND(COUNTBLANK(Combo_Opponent_Type_1)=1,COUNTBLANK(Combo_Opponent_Type_2)=0),AND(AND(COUNTBLANK(Combo_Opponent_Type_1)=0,COUNTBLANK(Combo_Opponent_Type_2)=0),Combo_Opponent_Type_1=Combo_Opponent_Type_2)),
"Check Types",($S475*INDEX(Species_Tankiness,MATCH($N475,Species_Names,0)))/225)</f>
        <v>#VALUE!</v>
      </c>
      <c r="S475" s="32" t="e">
        <f t="array" ref="S475">IF(OR(AND(COUNTBLANK(Combo_Opponent_Type_1)=1,COUNTBLANK(Combo_Opponent_Type_2)=0),AND(AND(COUNTBLANK(Combo_Opponent_Type_1)=0,COUNTBLANK(Combo_Opponent_Type_2)=0),Combo_Opponent_Type_1=Combo_Opponent_Type_2)),
"Check Types",(
IF($W475&gt;=((1-Game_Weave_Human_Error)*$X475),$W475,$X475)*INDEX(Species_Attack,MATCH($N475,Species_Names,0)))/11)</f>
        <v>#VALUE!</v>
      </c>
      <c r="T475" s="33" t="e">
        <f t="shared" si="15"/>
        <v>#VALUE!</v>
      </c>
      <c r="U475" s="33">
        <f t="array" ref="U4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475,Quick_Names,0))),Type_Species)),0),1)*IF(COUNTBLANK(Combo_Opponent_Type_2)=0,INDEX(Type_Damage_Multipliers,MATCH(Combo_Opponent_Type_2,IF(Type_Move=(INDEX(Quick_Type,MATCH($O475,Quick_Names,0))),Type_Species)),0),1)*(IF(OR(INDEX(Quick_Type,MATCH($O475,Quick_Names,0))=INDEX(Species_Type_1,MATCH($N475,Species_Names,0)),INDEX(Quick_Type,MATCH($O475,Quick_Names,0))=INDEX(Species_Type_2,MATCH($N475,Species_Names,0))),Game_STAB_Multiplier,1)))</f>
        <v>1.25</v>
      </c>
      <c r="V475" s="33">
        <f t="array" ref="V4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475,Charge_Names,0))),Type_Species)),0),1)*IF(COUNTBLANK(Combo_Opponent_Type_2)=0,INDEX(Type_Damage_Multipliers,MATCH(Combo_Opponent_Type_2,IF(Type_Move=(INDEX(Charge_Type,MATCH($P475,Charge_Names,0))),Type_Species)),0),1)*
IF(OR(INDEX(Charge_Type,MATCH($P475,Charge_Names,0))=INDEX(Species_Type_1,MATCH($N475,Species_Names,0)),INDEX(Charge_Type,MATCH($P475,Charge_Names,0))=INDEX(Species_Type_2,MATCH($N475,Species_Names,0))),Game_STAB_Multiplier,1))</f>
        <v>1.25</v>
      </c>
      <c r="W475" s="33" t="s">
        <v>501</v>
      </c>
      <c r="X475" s="33" t="s">
        <v>539</v>
      </c>
      <c r="Y475" s="32" t="e">
        <f t="array" ref="Y475">((($Z475)*
INDEX(Species_Attack,MATCH($N475,Species_Names,0))*
INDEX(Species_Tankiness,MATCH($N475,Species_Names,0)))/1000)</f>
        <v>#VALUE!</v>
      </c>
      <c r="Z475" s="33" t="s">
        <v>540</v>
      </c>
    </row>
    <row r="476" spans="1:26" ht="14.25" customHeight="1" x14ac:dyDescent="0.2">
      <c r="A476" s="86"/>
      <c r="B476" s="22" t="str">
        <f t="array" ref="B476">CONCATENATE(TEXT($M476,"000"),".",TEXT(INDEX(Quick_Number,MATCH($O476,Quick_Names,0)),"000"),".",TEXT(INDEX(Charge_Number,MATCH($P476,Charge_Names,0)),"000"))</f>
        <v>044.225.090</v>
      </c>
      <c r="C476" s="23" t="e">
        <f t="array" ref="C476">RANK($S476,IF(Combo_Species_Names=$N476,Combo_Gym_Offense),0)</f>
        <v>#VALUE!</v>
      </c>
      <c r="D476" s="24" t="e">
        <f t="array" ref="D476">$S476/MAX(IF(Combo_Species_Names=$N476,Combo_Gym_Offense))</f>
        <v>#VALUE!</v>
      </c>
      <c r="E476" s="23" t="e">
        <f t="array" ref="E476">RANK($Y476,IF(Combo_Species_Names=$N476,Combo_Gym_Defense),0)</f>
        <v>#VALUE!</v>
      </c>
      <c r="F476" s="25" t="e">
        <f t="array" ref="F476">$Y476/MAX(IF(Combo_Species_Names=$N476,Combo_Gym_Defense))</f>
        <v>#VALUE!</v>
      </c>
      <c r="G476" s="23" t="str">
        <f t="array" ref="G476">IF(OR(INDEX(Species_Availability,MATCH($N476,Species_Names,0))="No",INDEX(Species_Evo_Numbers,MATCH($N476,Species_Names,0))&lt;&gt;1),"N/A",RANK($R476,IF(NOT(ISNA(MATCH(Combo_Species_Names,IF(Species_Availability="Yes",IF(Species_Evo_Numbers=1,Species_Names)),0))),Combo_Duel_Ability),0))</f>
        <v>N/A</v>
      </c>
      <c r="H476" s="24" t="str">
        <f t="array" ref="H476">IF(OR(INDEX(Species_Availability,MATCH($N476,Species_Names,0))="No",INDEX(Species_Evo_Numbers,MATCH($N476,Species_Names,0))&lt;&gt;1),"N/A",$R476/MAX(IF(NOT(ISNA(MATCH(Combo_Species_Names,IF(Species_Availability="Yes",IF(Species_Evo_Numbers=1,Species_Names)),0))),Combo_Duel_Ability)))</f>
        <v>N/A</v>
      </c>
      <c r="I476" s="23" t="str">
        <f t="array" ref="I476">IF(OR(INDEX(Species_Availability,MATCH($N476,Species_Names,0))="No",INDEX(Species_Evo_Numbers,MATCH($N476,Species_Names,0))&lt;&gt;1),"N/A",RANK($S476,IF(NOT(ISNA(MATCH(Combo_Species_Names,IF(Species_Availability="Yes",IF(Species_Evo_Numbers=1,Species_Names)),0))),Combo_Gym_Offense),0))</f>
        <v>N/A</v>
      </c>
      <c r="J476" s="24" t="str">
        <f t="array" ref="J476">IF(OR(INDEX(Species_Availability,MATCH($N476,Species_Names,0))="No",INDEX(Species_Evo_Numbers,MATCH($N476,Species_Names,0))&lt;&gt;1),"N/A",$S476/MAX(IF(NOT(ISNA(MATCH(Combo_Species_Names,IF(Species_Availability="Yes",IF(Species_Evo_Numbers=1,Species_Names)),0))),Combo_Gym_Offense)))</f>
        <v>N/A</v>
      </c>
      <c r="K476" s="23" t="str">
        <f t="array" ref="K476">IF(OR(INDEX(Species_Availability,MATCH($N476,Species_Names,0))="No",INDEX(Species_Evo_Numbers,MATCH($N476,Species_Names,0))&lt;&gt;1),"N/A",RANK($Y476,IF(NOT(ISNA(MATCH(Combo_Species_Names,IF(Species_Availability="Yes",IF(Species_Evo_Numbers=1,Species_Names)),0))),Combo_Gym_Defense),0))</f>
        <v>N/A</v>
      </c>
      <c r="L476" s="24" t="str">
        <f t="array" ref="L476">IF(OR(INDEX(Species_Availability,MATCH($N476,Species_Names,0))="No",INDEX(Species_Evo_Numbers,MATCH($N476,Species_Names,0))&lt;&gt;1),"N/A",$Y476/MAX(IF(NOT(ISNA(MATCH(Combo_Species_Names,IF(Species_Availability="Yes",IF(Species_Evo_Numbers=1,Species_Names)),0))),Combo_Gym_Defense)))</f>
        <v>N/A</v>
      </c>
      <c r="M476" s="28">
        <f t="array" ref="M476">INDEX(Species_Pdex_Numbers,MATCH($N476,Species_Names,0))</f>
        <v>44</v>
      </c>
      <c r="N476" s="30" t="s">
        <v>179</v>
      </c>
      <c r="O476" s="31" t="s">
        <v>110</v>
      </c>
      <c r="P476" s="31" t="s">
        <v>180</v>
      </c>
      <c r="Q476" s="17" t="e">
        <f t="shared" si="14"/>
        <v>#VALUE!</v>
      </c>
      <c r="R476" s="32" t="e">
        <f t="array" ref="R476">IF(OR(AND(COUNTBLANK(Combo_Opponent_Type_1)=1,COUNTBLANK(Combo_Opponent_Type_2)=0),AND(AND(COUNTBLANK(Combo_Opponent_Type_1)=0,COUNTBLANK(Combo_Opponent_Type_2)=0),Combo_Opponent_Type_1=Combo_Opponent_Type_2)),
"Check Types",($S476*INDEX(Species_Tankiness,MATCH($N476,Species_Names,0)))/225)</f>
        <v>#VALUE!</v>
      </c>
      <c r="S476" s="32" t="e">
        <f t="array" ref="S476">IF(OR(AND(COUNTBLANK(Combo_Opponent_Type_1)=1,COUNTBLANK(Combo_Opponent_Type_2)=0),AND(AND(COUNTBLANK(Combo_Opponent_Type_1)=0,COUNTBLANK(Combo_Opponent_Type_2)=0),Combo_Opponent_Type_1=Combo_Opponent_Type_2)),
"Check Types",(
IF($W476&gt;=((1-Game_Weave_Human_Error)*$X476),$W476,$X476)*INDEX(Species_Attack,MATCH($N476,Species_Names,0)))/11)</f>
        <v>#VALUE!</v>
      </c>
      <c r="T476" s="33" t="e">
        <f t="shared" si="15"/>
        <v>#VALUE!</v>
      </c>
      <c r="U476" s="33">
        <f t="array" ref="U4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476,Quick_Names,0))),Type_Species)),0),1)*IF(COUNTBLANK(Combo_Opponent_Type_2)=0,INDEX(Type_Damage_Multipliers,MATCH(Combo_Opponent_Type_2,IF(Type_Move=(INDEX(Quick_Type,MATCH($O476,Quick_Names,0))),Type_Species)),0),1)*(IF(OR(INDEX(Quick_Type,MATCH($O476,Quick_Names,0))=INDEX(Species_Type_1,MATCH($N476,Species_Names,0)),INDEX(Quick_Type,MATCH($O476,Quick_Names,0))=INDEX(Species_Type_2,MATCH($N476,Species_Names,0))),Game_STAB_Multiplier,1)))</f>
        <v>1.25</v>
      </c>
      <c r="V476" s="33">
        <f t="array" ref="V4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476,Charge_Names,0))),Type_Species)),0),1)*IF(COUNTBLANK(Combo_Opponent_Type_2)=0,INDEX(Type_Damage_Multipliers,MATCH(Combo_Opponent_Type_2,IF(Type_Move=(INDEX(Charge_Type,MATCH($P476,Charge_Names,0))),Type_Species)),0),1)*
IF(OR(INDEX(Charge_Type,MATCH($P476,Charge_Names,0))=INDEX(Species_Type_1,MATCH($N476,Species_Names,0)),INDEX(Charge_Type,MATCH($P476,Charge_Names,0))=INDEX(Species_Type_2,MATCH($N476,Species_Names,0))),Game_STAB_Multiplier,1))</f>
        <v>1.25</v>
      </c>
      <c r="W476" s="33" t="s">
        <v>511</v>
      </c>
      <c r="X476" s="33" t="s">
        <v>514</v>
      </c>
      <c r="Y476" s="32" t="e">
        <f t="array" ref="Y476">((($Z476)*
INDEX(Species_Attack,MATCH($N476,Species_Names,0))*
INDEX(Species_Tankiness,MATCH($N476,Species_Names,0)))/1000)</f>
        <v>#VALUE!</v>
      </c>
      <c r="Z476" s="33" t="s">
        <v>603</v>
      </c>
    </row>
    <row r="477" spans="1:26" ht="14.25" customHeight="1" x14ac:dyDescent="0.2">
      <c r="A477" s="86"/>
      <c r="B477" s="22" t="str">
        <f t="array" ref="B477">CONCATENATE(TEXT($M477,"000"),".",TEXT(INDEX(Quick_Number,MATCH($O477,Quick_Names,0)),"000"),".",TEXT(INDEX(Charge_Number,MATCH($P477,Charge_Names,0)),"000"))</f>
        <v>148.204.058</v>
      </c>
      <c r="C477" s="23" t="e">
        <f t="array" ref="C477">RANK($S477,IF(Combo_Species_Names=$N477,Combo_Gym_Offense),0)</f>
        <v>#VALUE!</v>
      </c>
      <c r="D477" s="24" t="e">
        <f t="array" ref="D477">$S477/MAX(IF(Combo_Species_Names=$N477,Combo_Gym_Offense))</f>
        <v>#VALUE!</v>
      </c>
      <c r="E477" s="23" t="e">
        <f t="array" ref="E477">RANK($Y477,IF(Combo_Species_Names=$N477,Combo_Gym_Defense),0)</f>
        <v>#VALUE!</v>
      </c>
      <c r="F477" s="25" t="e">
        <f t="array" ref="F477">$Y477/MAX(IF(Combo_Species_Names=$N477,Combo_Gym_Defense))</f>
        <v>#VALUE!</v>
      </c>
      <c r="G477" s="23" t="str">
        <f t="array" ref="G477">IF(OR(INDEX(Species_Availability,MATCH($N477,Species_Names,0))="No",INDEX(Species_Evo_Numbers,MATCH($N477,Species_Names,0))&lt;&gt;1),"N/A",RANK($R477,IF(NOT(ISNA(MATCH(Combo_Species_Names,IF(Species_Availability="Yes",IF(Species_Evo_Numbers=1,Species_Names)),0))),Combo_Duel_Ability),0))</f>
        <v>N/A</v>
      </c>
      <c r="H477" s="24" t="str">
        <f t="array" ref="H477">IF(OR(INDEX(Species_Availability,MATCH($N477,Species_Names,0))="No",INDEX(Species_Evo_Numbers,MATCH($N477,Species_Names,0))&lt;&gt;1),"N/A",$R477/MAX(IF(NOT(ISNA(MATCH(Combo_Species_Names,IF(Species_Availability="Yes",IF(Species_Evo_Numbers=1,Species_Names)),0))),Combo_Duel_Ability)))</f>
        <v>N/A</v>
      </c>
      <c r="I477" s="23" t="str">
        <f t="array" ref="I477">IF(OR(INDEX(Species_Availability,MATCH($N477,Species_Names,0))="No",INDEX(Species_Evo_Numbers,MATCH($N477,Species_Names,0))&lt;&gt;1),"N/A",RANK($S477,IF(NOT(ISNA(MATCH(Combo_Species_Names,IF(Species_Availability="Yes",IF(Species_Evo_Numbers=1,Species_Names)),0))),Combo_Gym_Offense),0))</f>
        <v>N/A</v>
      </c>
      <c r="J477" s="24" t="str">
        <f t="array" ref="J477">IF(OR(INDEX(Species_Availability,MATCH($N477,Species_Names,0))="No",INDEX(Species_Evo_Numbers,MATCH($N477,Species_Names,0))&lt;&gt;1),"N/A",$S477/MAX(IF(NOT(ISNA(MATCH(Combo_Species_Names,IF(Species_Availability="Yes",IF(Species_Evo_Numbers=1,Species_Names)),0))),Combo_Gym_Offense)))</f>
        <v>N/A</v>
      </c>
      <c r="K477" s="23" t="str">
        <f t="array" ref="K477">IF(OR(INDEX(Species_Availability,MATCH($N477,Species_Names,0))="No",INDEX(Species_Evo_Numbers,MATCH($N477,Species_Names,0))&lt;&gt;1),"N/A",RANK($Y477,IF(NOT(ISNA(MATCH(Combo_Species_Names,IF(Species_Availability="Yes",IF(Species_Evo_Numbers=1,Species_Names)),0))),Combo_Gym_Defense),0))</f>
        <v>N/A</v>
      </c>
      <c r="L477" s="24" t="str">
        <f t="array" ref="L477">IF(OR(INDEX(Species_Availability,MATCH($N477,Species_Names,0))="No",INDEX(Species_Evo_Numbers,MATCH($N477,Species_Names,0))&lt;&gt;1),"N/A",$Y477/MAX(IF(NOT(ISNA(MATCH(Combo_Species_Names,IF(Species_Availability="Yes",IF(Species_Evo_Numbers=1,Species_Names)),0))),Combo_Gym_Defense)))</f>
        <v>N/A</v>
      </c>
      <c r="M477" s="28">
        <f t="array" ref="M477">INDEX(Species_Pdex_Numbers,MATCH($N477,Species_Names,0))</f>
        <v>148</v>
      </c>
      <c r="N477" s="30" t="s">
        <v>365</v>
      </c>
      <c r="O477" s="31" t="s">
        <v>62</v>
      </c>
      <c r="P477" s="31" t="s">
        <v>198</v>
      </c>
      <c r="Q477" s="17" t="e">
        <f t="shared" si="14"/>
        <v>#VALUE!</v>
      </c>
      <c r="R477" s="32" t="e">
        <f t="array" ref="R477">IF(OR(AND(COUNTBLANK(Combo_Opponent_Type_1)=1,COUNTBLANK(Combo_Opponent_Type_2)=0),AND(AND(COUNTBLANK(Combo_Opponent_Type_1)=0,COUNTBLANK(Combo_Opponent_Type_2)=0),Combo_Opponent_Type_1=Combo_Opponent_Type_2)),
"Check Types",($S477*INDEX(Species_Tankiness,MATCH($N477,Species_Names,0)))/225)</f>
        <v>#VALUE!</v>
      </c>
      <c r="S477" s="32" t="e">
        <f t="array" ref="S477">IF(OR(AND(COUNTBLANK(Combo_Opponent_Type_1)=1,COUNTBLANK(Combo_Opponent_Type_2)=0),AND(AND(COUNTBLANK(Combo_Opponent_Type_1)=0,COUNTBLANK(Combo_Opponent_Type_2)=0),Combo_Opponent_Type_1=Combo_Opponent_Type_2)),
"Check Types",(
IF($W477&gt;=((1-Game_Weave_Human_Error)*$X477),$W477,$X477)*INDEX(Species_Attack,MATCH($N477,Species_Names,0)))/11)</f>
        <v>#VALUE!</v>
      </c>
      <c r="T477" s="33" t="e">
        <f t="shared" si="15"/>
        <v>#VALUE!</v>
      </c>
      <c r="U477" s="33">
        <f t="array" ref="U4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477,Quick_Names,0))),Type_Species)),0),1)*IF(COUNTBLANK(Combo_Opponent_Type_2)=0,INDEX(Type_Damage_Multipliers,MATCH(Combo_Opponent_Type_2,IF(Type_Move=(INDEX(Quick_Type,MATCH($O477,Quick_Names,0))),Type_Species)),0),1)*(IF(OR(INDEX(Quick_Type,MATCH($O477,Quick_Names,0))=INDEX(Species_Type_1,MATCH($N477,Species_Names,0)),INDEX(Quick_Type,MATCH($O477,Quick_Names,0))=INDEX(Species_Type_2,MATCH($N477,Species_Names,0))),Game_STAB_Multiplier,1)))</f>
        <v>1.25</v>
      </c>
      <c r="V477" s="33">
        <f t="array" ref="V4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477,Charge_Names,0))),Type_Species)),0),1)*IF(COUNTBLANK(Combo_Opponent_Type_2)=0,INDEX(Type_Damage_Multipliers,MATCH(Combo_Opponent_Type_2,IF(Type_Move=(INDEX(Charge_Type,MATCH($P477,Charge_Names,0))),Type_Species)),0),1)*
IF(OR(INDEX(Charge_Type,MATCH($P477,Charge_Names,0))=INDEX(Species_Type_1,MATCH($N477,Species_Names,0)),INDEX(Charge_Type,MATCH($P477,Charge_Names,0))=INDEX(Species_Type_2,MATCH($N477,Species_Names,0))),Game_STAB_Multiplier,1))</f>
        <v>1</v>
      </c>
      <c r="W477" s="33" t="s">
        <v>412</v>
      </c>
      <c r="X477" s="33" t="s">
        <v>615</v>
      </c>
      <c r="Y477" s="32" t="e">
        <f t="array" ref="Y477">((($Z477)*
INDEX(Species_Attack,MATCH($N477,Species_Names,0))*
INDEX(Species_Tankiness,MATCH($N477,Species_Names,0)))/1000)</f>
        <v>#VALUE!</v>
      </c>
      <c r="Z477" s="33" t="s">
        <v>947</v>
      </c>
    </row>
    <row r="478" spans="1:26" ht="14.25" customHeight="1" x14ac:dyDescent="0.2">
      <c r="A478" s="86"/>
      <c r="B478" s="22" t="str">
        <f t="array" ref="B478">CONCATENATE(TEXT($M478,"000"),".",TEXT(INDEX(Quick_Number,MATCH($O478,Quick_Names,0)),"000"),".",TEXT(INDEX(Charge_Number,MATCH($P478,Charge_Names,0)),"000"))</f>
        <v>148.204.013</v>
      </c>
      <c r="C478" s="23" t="e">
        <f t="array" ref="C478">RANK($S478,IF(Combo_Species_Names=$N478,Combo_Gym_Offense),0)</f>
        <v>#VALUE!</v>
      </c>
      <c r="D478" s="24" t="e">
        <f t="array" ref="D478">$S478/MAX(IF(Combo_Species_Names=$N478,Combo_Gym_Offense))</f>
        <v>#VALUE!</v>
      </c>
      <c r="E478" s="23" t="e">
        <f t="array" ref="E478">RANK($Y478,IF(Combo_Species_Names=$N478,Combo_Gym_Defense),0)</f>
        <v>#VALUE!</v>
      </c>
      <c r="F478" s="25" t="e">
        <f t="array" ref="F478">$Y478/MAX(IF(Combo_Species_Names=$N478,Combo_Gym_Defense))</f>
        <v>#VALUE!</v>
      </c>
      <c r="G478" s="23" t="str">
        <f t="array" ref="G478">IF(OR(INDEX(Species_Availability,MATCH($N478,Species_Names,0))="No",INDEX(Species_Evo_Numbers,MATCH($N478,Species_Names,0))&lt;&gt;1),"N/A",RANK($R478,IF(NOT(ISNA(MATCH(Combo_Species_Names,IF(Species_Availability="Yes",IF(Species_Evo_Numbers=1,Species_Names)),0))),Combo_Duel_Ability),0))</f>
        <v>N/A</v>
      </c>
      <c r="H478" s="24" t="str">
        <f t="array" ref="H478">IF(OR(INDEX(Species_Availability,MATCH($N478,Species_Names,0))="No",INDEX(Species_Evo_Numbers,MATCH($N478,Species_Names,0))&lt;&gt;1),"N/A",$R478/MAX(IF(NOT(ISNA(MATCH(Combo_Species_Names,IF(Species_Availability="Yes",IF(Species_Evo_Numbers=1,Species_Names)),0))),Combo_Duel_Ability)))</f>
        <v>N/A</v>
      </c>
      <c r="I478" s="23" t="str">
        <f t="array" ref="I478">IF(OR(INDEX(Species_Availability,MATCH($N478,Species_Names,0))="No",INDEX(Species_Evo_Numbers,MATCH($N478,Species_Names,0))&lt;&gt;1),"N/A",RANK($S478,IF(NOT(ISNA(MATCH(Combo_Species_Names,IF(Species_Availability="Yes",IF(Species_Evo_Numbers=1,Species_Names)),0))),Combo_Gym_Offense),0))</f>
        <v>N/A</v>
      </c>
      <c r="J478" s="24" t="str">
        <f t="array" ref="J478">IF(OR(INDEX(Species_Availability,MATCH($N478,Species_Names,0))="No",INDEX(Species_Evo_Numbers,MATCH($N478,Species_Names,0))&lt;&gt;1),"N/A",$S478/MAX(IF(NOT(ISNA(MATCH(Combo_Species_Names,IF(Species_Availability="Yes",IF(Species_Evo_Numbers=1,Species_Names)),0))),Combo_Gym_Offense)))</f>
        <v>N/A</v>
      </c>
      <c r="K478" s="23" t="str">
        <f t="array" ref="K478">IF(OR(INDEX(Species_Availability,MATCH($N478,Species_Names,0))="No",INDEX(Species_Evo_Numbers,MATCH($N478,Species_Names,0))&lt;&gt;1),"N/A",RANK($Y478,IF(NOT(ISNA(MATCH(Combo_Species_Names,IF(Species_Availability="Yes",IF(Species_Evo_Numbers=1,Species_Names)),0))),Combo_Gym_Defense),0))</f>
        <v>N/A</v>
      </c>
      <c r="L478" s="24" t="str">
        <f t="array" ref="L478">IF(OR(INDEX(Species_Availability,MATCH($N478,Species_Names,0))="No",INDEX(Species_Evo_Numbers,MATCH($N478,Species_Names,0))&lt;&gt;1),"N/A",$Y478/MAX(IF(NOT(ISNA(MATCH(Combo_Species_Names,IF(Species_Availability="Yes",IF(Species_Evo_Numbers=1,Species_Names)),0))),Combo_Gym_Defense)))</f>
        <v>N/A</v>
      </c>
      <c r="M478" s="28">
        <f t="array" ref="M478">INDEX(Species_Pdex_Numbers,MATCH($N478,Species_Names,0))</f>
        <v>148</v>
      </c>
      <c r="N478" s="30" t="s">
        <v>365</v>
      </c>
      <c r="O478" s="31" t="s">
        <v>62</v>
      </c>
      <c r="P478" s="31" t="s">
        <v>321</v>
      </c>
      <c r="Q478" s="17" t="e">
        <f t="shared" si="14"/>
        <v>#VALUE!</v>
      </c>
      <c r="R478" s="32" t="e">
        <f t="array" ref="R478">IF(OR(AND(COUNTBLANK(Combo_Opponent_Type_1)=1,COUNTBLANK(Combo_Opponent_Type_2)=0),AND(AND(COUNTBLANK(Combo_Opponent_Type_1)=0,COUNTBLANK(Combo_Opponent_Type_2)=0),Combo_Opponent_Type_1=Combo_Opponent_Type_2)),
"Check Types",($S478*INDEX(Species_Tankiness,MATCH($N478,Species_Names,0)))/225)</f>
        <v>#VALUE!</v>
      </c>
      <c r="S478" s="32" t="e">
        <f t="array" ref="S478">IF(OR(AND(COUNTBLANK(Combo_Opponent_Type_1)=1,COUNTBLANK(Combo_Opponent_Type_2)=0),AND(AND(COUNTBLANK(Combo_Opponent_Type_1)=0,COUNTBLANK(Combo_Opponent_Type_2)=0),Combo_Opponent_Type_1=Combo_Opponent_Type_2)),
"Check Types",(
IF($W478&gt;=((1-Game_Weave_Human_Error)*$X478),$W478,$X478)*INDEX(Species_Attack,MATCH($N478,Species_Names,0)))/11)</f>
        <v>#VALUE!</v>
      </c>
      <c r="T478" s="33" t="e">
        <f t="shared" si="15"/>
        <v>#VALUE!</v>
      </c>
      <c r="U478" s="33">
        <f t="array" ref="U4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478,Quick_Names,0))),Type_Species)),0),1)*IF(COUNTBLANK(Combo_Opponent_Type_2)=0,INDEX(Type_Damage_Multipliers,MATCH(Combo_Opponent_Type_2,IF(Type_Move=(INDEX(Quick_Type,MATCH($O478,Quick_Names,0))),Type_Species)),0),1)*(IF(OR(INDEX(Quick_Type,MATCH($O478,Quick_Names,0))=INDEX(Species_Type_1,MATCH($N478,Species_Names,0)),INDEX(Quick_Type,MATCH($O478,Quick_Names,0))=INDEX(Species_Type_2,MATCH($N478,Species_Names,0))),Game_STAB_Multiplier,1)))</f>
        <v>1.25</v>
      </c>
      <c r="V478" s="33">
        <f t="array" ref="V4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478,Charge_Names,0))),Type_Species)),0),1)*IF(COUNTBLANK(Combo_Opponent_Type_2)=0,INDEX(Type_Damage_Multipliers,MATCH(Combo_Opponent_Type_2,IF(Type_Move=(INDEX(Charge_Type,MATCH($P478,Charge_Names,0))),Type_Species)),0),1)*
IF(OR(INDEX(Charge_Type,MATCH($P478,Charge_Names,0))=INDEX(Species_Type_1,MATCH($N478,Species_Names,0)),INDEX(Charge_Type,MATCH($P478,Charge_Names,0))=INDEX(Species_Type_2,MATCH($N478,Species_Names,0))),Game_STAB_Multiplier,1))</f>
        <v>1</v>
      </c>
      <c r="W478" s="33" t="s">
        <v>412</v>
      </c>
      <c r="X478" s="33" t="s">
        <v>621</v>
      </c>
      <c r="Y478" s="32" t="e">
        <f t="array" ref="Y478">((($Z478)*
INDEX(Species_Attack,MATCH($N478,Species_Names,0))*
INDEX(Species_Tankiness,MATCH($N478,Species_Names,0)))/1000)</f>
        <v>#VALUE!</v>
      </c>
      <c r="Z478" s="33" t="s">
        <v>770</v>
      </c>
    </row>
    <row r="479" spans="1:26" ht="14.25" customHeight="1" x14ac:dyDescent="0.2">
      <c r="A479" s="86"/>
      <c r="B479" s="22" t="str">
        <f t="array" ref="B479">CONCATENATE(TEXT($M479,"000"),".",TEXT(INDEX(Quick_Number,MATCH($O479,Quick_Names,0)),"000"),".",TEXT(INDEX(Charge_Number,MATCH($P479,Charge_Names,0)),"000"))</f>
        <v>067.208.123</v>
      </c>
      <c r="C479" s="23" t="e">
        <f t="array" ref="C479">RANK($S479,IF(Combo_Species_Names=$N479,Combo_Gym_Offense),0)</f>
        <v>#VALUE!</v>
      </c>
      <c r="D479" s="24" t="e">
        <f t="array" ref="D479">$S479/MAX(IF(Combo_Species_Names=$N479,Combo_Gym_Offense))</f>
        <v>#VALUE!</v>
      </c>
      <c r="E479" s="23" t="e">
        <f t="array" ref="E479">RANK($Y479,IF(Combo_Species_Names=$N479,Combo_Gym_Defense),0)</f>
        <v>#VALUE!</v>
      </c>
      <c r="F479" s="25" t="e">
        <f t="array" ref="F479">$Y479/MAX(IF(Combo_Species_Names=$N479,Combo_Gym_Defense))</f>
        <v>#VALUE!</v>
      </c>
      <c r="G479" s="23" t="str">
        <f t="array" ref="G479">IF(OR(INDEX(Species_Availability,MATCH($N479,Species_Names,0))="No",INDEX(Species_Evo_Numbers,MATCH($N479,Species_Names,0))&lt;&gt;1),"N/A",RANK($R479,IF(NOT(ISNA(MATCH(Combo_Species_Names,IF(Species_Availability="Yes",IF(Species_Evo_Numbers=1,Species_Names)),0))),Combo_Duel_Ability),0))</f>
        <v>N/A</v>
      </c>
      <c r="H479" s="24" t="str">
        <f t="array" ref="H479">IF(OR(INDEX(Species_Availability,MATCH($N479,Species_Names,0))="No",INDEX(Species_Evo_Numbers,MATCH($N479,Species_Names,0))&lt;&gt;1),"N/A",$R479/MAX(IF(NOT(ISNA(MATCH(Combo_Species_Names,IF(Species_Availability="Yes",IF(Species_Evo_Numbers=1,Species_Names)),0))),Combo_Duel_Ability)))</f>
        <v>N/A</v>
      </c>
      <c r="I479" s="23" t="str">
        <f t="array" ref="I479">IF(OR(INDEX(Species_Availability,MATCH($N479,Species_Names,0))="No",INDEX(Species_Evo_Numbers,MATCH($N479,Species_Names,0))&lt;&gt;1),"N/A",RANK($S479,IF(NOT(ISNA(MATCH(Combo_Species_Names,IF(Species_Availability="Yes",IF(Species_Evo_Numbers=1,Species_Names)),0))),Combo_Gym_Offense),0))</f>
        <v>N/A</v>
      </c>
      <c r="J479" s="24" t="str">
        <f t="array" ref="J479">IF(OR(INDEX(Species_Availability,MATCH($N479,Species_Names,0))="No",INDEX(Species_Evo_Numbers,MATCH($N479,Species_Names,0))&lt;&gt;1),"N/A",$S479/MAX(IF(NOT(ISNA(MATCH(Combo_Species_Names,IF(Species_Availability="Yes",IF(Species_Evo_Numbers=1,Species_Names)),0))),Combo_Gym_Offense)))</f>
        <v>N/A</v>
      </c>
      <c r="K479" s="23" t="str">
        <f t="array" ref="K479">IF(OR(INDEX(Species_Availability,MATCH($N479,Species_Names,0))="No",INDEX(Species_Evo_Numbers,MATCH($N479,Species_Names,0))&lt;&gt;1),"N/A",RANK($Y479,IF(NOT(ISNA(MATCH(Combo_Species_Names,IF(Species_Availability="Yes",IF(Species_Evo_Numbers=1,Species_Names)),0))),Combo_Gym_Defense),0))</f>
        <v>N/A</v>
      </c>
      <c r="L479" s="24" t="str">
        <f t="array" ref="L479">IF(OR(INDEX(Species_Availability,MATCH($N479,Species_Names,0))="No",INDEX(Species_Evo_Numbers,MATCH($N479,Species_Names,0))&lt;&gt;1),"N/A",$Y479/MAX(IF(NOT(ISNA(MATCH(Combo_Species_Names,IF(Species_Availability="Yes",IF(Species_Evo_Numbers=1,Species_Names)),0))),Combo_Gym_Defense)))</f>
        <v>N/A</v>
      </c>
      <c r="M479" s="28">
        <f t="array" ref="M479">INDEX(Species_Pdex_Numbers,MATCH($N479,Species_Names,0))</f>
        <v>67</v>
      </c>
      <c r="N479" s="30" t="s">
        <v>225</v>
      </c>
      <c r="O479" s="31" t="s">
        <v>122</v>
      </c>
      <c r="P479" s="31" t="s">
        <v>188</v>
      </c>
      <c r="Q479" s="17" t="e">
        <f t="shared" si="14"/>
        <v>#VALUE!</v>
      </c>
      <c r="R479" s="32" t="e">
        <f t="array" ref="R479">IF(OR(AND(COUNTBLANK(Combo_Opponent_Type_1)=1,COUNTBLANK(Combo_Opponent_Type_2)=0),AND(AND(COUNTBLANK(Combo_Opponent_Type_1)=0,COUNTBLANK(Combo_Opponent_Type_2)=0),Combo_Opponent_Type_1=Combo_Opponent_Type_2)),
"Check Types",($S479*INDEX(Species_Tankiness,MATCH($N479,Species_Names,0)))/225)</f>
        <v>#VALUE!</v>
      </c>
      <c r="S479" s="32" t="e">
        <f t="array" ref="S479">IF(OR(AND(COUNTBLANK(Combo_Opponent_Type_1)=1,COUNTBLANK(Combo_Opponent_Type_2)=0),AND(AND(COUNTBLANK(Combo_Opponent_Type_1)=0,COUNTBLANK(Combo_Opponent_Type_2)=0),Combo_Opponent_Type_1=Combo_Opponent_Type_2)),
"Check Types",(
IF($W479&gt;=((1-Game_Weave_Human_Error)*$X479),$W479,$X479)*INDEX(Species_Attack,MATCH($N479,Species_Names,0)))/11)</f>
        <v>#VALUE!</v>
      </c>
      <c r="T479" s="33" t="e">
        <f t="shared" si="15"/>
        <v>#VALUE!</v>
      </c>
      <c r="U479" s="33">
        <f t="array" ref="U4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479,Quick_Names,0))),Type_Species)),0),1)*IF(COUNTBLANK(Combo_Opponent_Type_2)=0,INDEX(Type_Damage_Multipliers,MATCH(Combo_Opponent_Type_2,IF(Type_Move=(INDEX(Quick_Type,MATCH($O479,Quick_Names,0))),Type_Species)),0),1)*(IF(OR(INDEX(Quick_Type,MATCH($O479,Quick_Names,0))=INDEX(Species_Type_1,MATCH($N479,Species_Names,0)),INDEX(Quick_Type,MATCH($O479,Quick_Names,0))=INDEX(Species_Type_2,MATCH($N479,Species_Names,0))),Game_STAB_Multiplier,1)))</f>
        <v>1.25</v>
      </c>
      <c r="V479" s="33">
        <f t="array" ref="V4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479,Charge_Names,0))),Type_Species)),0),1)*IF(COUNTBLANK(Combo_Opponent_Type_2)=0,INDEX(Type_Damage_Multipliers,MATCH(Combo_Opponent_Type_2,IF(Type_Move=(INDEX(Charge_Type,MATCH($P479,Charge_Names,0))),Type_Species)),0),1)*
IF(OR(INDEX(Charge_Type,MATCH($P479,Charge_Names,0))=INDEX(Species_Type_1,MATCH($N479,Species_Names,0)),INDEX(Charge_Type,MATCH($P479,Charge_Names,0))=INDEX(Species_Type_2,MATCH($N479,Species_Names,0))),Game_STAB_Multiplier,1))</f>
        <v>1.25</v>
      </c>
      <c r="W479" s="33" t="s">
        <v>564</v>
      </c>
      <c r="X479" s="33" t="s">
        <v>738</v>
      </c>
      <c r="Y479" s="32" t="e">
        <f t="array" ref="Y479">((($Z479)*
INDEX(Species_Attack,MATCH($N479,Species_Names,0))*
INDEX(Species_Tankiness,MATCH($N479,Species_Names,0)))/1000)</f>
        <v>#VALUE!</v>
      </c>
      <c r="Z479" s="33" t="s">
        <v>686</v>
      </c>
    </row>
    <row r="480" spans="1:26" ht="14.25" customHeight="1" x14ac:dyDescent="0.2">
      <c r="A480" s="86"/>
      <c r="B480" s="22" t="str">
        <f t="array" ref="B480">CONCATENATE(TEXT($M480,"000"),".",TEXT(INDEX(Quick_Number,MATCH($O480,Quick_Names,0)),"000"),".",TEXT(INDEX(Charge_Number,MATCH($P480,Charge_Names,0)),"000"))</f>
        <v>002.215.118</v>
      </c>
      <c r="C480" s="23" t="e">
        <f t="array" ref="C480">RANK($S480,IF(Combo_Species_Names=$N480,Combo_Gym_Offense),0)</f>
        <v>#VALUE!</v>
      </c>
      <c r="D480" s="24" t="e">
        <f t="array" ref="D480">$S480/MAX(IF(Combo_Species_Names=$N480,Combo_Gym_Offense))</f>
        <v>#VALUE!</v>
      </c>
      <c r="E480" s="23" t="e">
        <f t="array" ref="E480">RANK($Y480,IF(Combo_Species_Names=$N480,Combo_Gym_Defense),0)</f>
        <v>#VALUE!</v>
      </c>
      <c r="F480" s="25" t="e">
        <f t="array" ref="F480">$Y480/MAX(IF(Combo_Species_Names=$N480,Combo_Gym_Defense))</f>
        <v>#VALUE!</v>
      </c>
      <c r="G480" s="23" t="str">
        <f t="array" ref="G480">IF(OR(INDEX(Species_Availability,MATCH($N480,Species_Names,0))="No",INDEX(Species_Evo_Numbers,MATCH($N480,Species_Names,0))&lt;&gt;1),"N/A",RANK($R480,IF(NOT(ISNA(MATCH(Combo_Species_Names,IF(Species_Availability="Yes",IF(Species_Evo_Numbers=1,Species_Names)),0))),Combo_Duel_Ability),0))</f>
        <v>N/A</v>
      </c>
      <c r="H480" s="24" t="str">
        <f t="array" ref="H480">IF(OR(INDEX(Species_Availability,MATCH($N480,Species_Names,0))="No",INDEX(Species_Evo_Numbers,MATCH($N480,Species_Names,0))&lt;&gt;1),"N/A",$R480/MAX(IF(NOT(ISNA(MATCH(Combo_Species_Names,IF(Species_Availability="Yes",IF(Species_Evo_Numbers=1,Species_Names)),0))),Combo_Duel_Ability)))</f>
        <v>N/A</v>
      </c>
      <c r="I480" s="23" t="str">
        <f t="array" ref="I480">IF(OR(INDEX(Species_Availability,MATCH($N480,Species_Names,0))="No",INDEX(Species_Evo_Numbers,MATCH($N480,Species_Names,0))&lt;&gt;1),"N/A",RANK($S480,IF(NOT(ISNA(MATCH(Combo_Species_Names,IF(Species_Availability="Yes",IF(Species_Evo_Numbers=1,Species_Names)),0))),Combo_Gym_Offense),0))</f>
        <v>N/A</v>
      </c>
      <c r="J480" s="24" t="str">
        <f t="array" ref="J480">IF(OR(INDEX(Species_Availability,MATCH($N480,Species_Names,0))="No",INDEX(Species_Evo_Numbers,MATCH($N480,Species_Names,0))&lt;&gt;1),"N/A",$S480/MAX(IF(NOT(ISNA(MATCH(Combo_Species_Names,IF(Species_Availability="Yes",IF(Species_Evo_Numbers=1,Species_Names)),0))),Combo_Gym_Offense)))</f>
        <v>N/A</v>
      </c>
      <c r="K480" s="23" t="str">
        <f t="array" ref="K480">IF(OR(INDEX(Species_Availability,MATCH($N480,Species_Names,0))="No",INDEX(Species_Evo_Numbers,MATCH($N480,Species_Names,0))&lt;&gt;1),"N/A",RANK($Y480,IF(NOT(ISNA(MATCH(Combo_Species_Names,IF(Species_Availability="Yes",IF(Species_Evo_Numbers=1,Species_Names)),0))),Combo_Gym_Defense),0))</f>
        <v>N/A</v>
      </c>
      <c r="L480" s="24" t="str">
        <f t="array" ref="L480">IF(OR(INDEX(Species_Availability,MATCH($N480,Species_Names,0))="No",INDEX(Species_Evo_Numbers,MATCH($N480,Species_Names,0))&lt;&gt;1),"N/A",$Y480/MAX(IF(NOT(ISNA(MATCH(Combo_Species_Names,IF(Species_Availability="Yes",IF(Species_Evo_Numbers=1,Species_Names)),0))),Combo_Gym_Defense)))</f>
        <v>N/A</v>
      </c>
      <c r="M480" s="28">
        <f t="array" ref="M480">INDEX(Species_Pdex_Numbers,MATCH($N480,Species_Names,0))</f>
        <v>2</v>
      </c>
      <c r="N480" s="30" t="s">
        <v>61</v>
      </c>
      <c r="O480" s="31" t="s">
        <v>102</v>
      </c>
      <c r="P480" s="31" t="s">
        <v>165</v>
      </c>
      <c r="Q480" s="17" t="e">
        <f t="shared" si="14"/>
        <v>#VALUE!</v>
      </c>
      <c r="R480" s="32" t="e">
        <f t="array" ref="R480">IF(OR(AND(COUNTBLANK(Combo_Opponent_Type_1)=1,COUNTBLANK(Combo_Opponent_Type_2)=0),AND(AND(COUNTBLANK(Combo_Opponent_Type_1)=0,COUNTBLANK(Combo_Opponent_Type_2)=0),Combo_Opponent_Type_1=Combo_Opponent_Type_2)),
"Check Types",($S480*INDEX(Species_Tankiness,MATCH($N480,Species_Names,0)))/225)</f>
        <v>#VALUE!</v>
      </c>
      <c r="S480" s="32" t="e">
        <f t="array" ref="S480">IF(OR(AND(COUNTBLANK(Combo_Opponent_Type_1)=1,COUNTBLANK(Combo_Opponent_Type_2)=0),AND(AND(COUNTBLANK(Combo_Opponent_Type_1)=0,COUNTBLANK(Combo_Opponent_Type_2)=0),Combo_Opponent_Type_1=Combo_Opponent_Type_2)),
"Check Types",(
IF($W480&gt;=((1-Game_Weave_Human_Error)*$X480),$W480,$X480)*INDEX(Species_Attack,MATCH($N480,Species_Names,0)))/11)</f>
        <v>#VALUE!</v>
      </c>
      <c r="T480" s="33" t="e">
        <f t="shared" si="15"/>
        <v>#VALUE!</v>
      </c>
      <c r="U480" s="33">
        <f t="array" ref="U4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480,Quick_Names,0))),Type_Species)),0),1)*IF(COUNTBLANK(Combo_Opponent_Type_2)=0,INDEX(Type_Damage_Multipliers,MATCH(Combo_Opponent_Type_2,IF(Type_Move=(INDEX(Quick_Type,MATCH($O480,Quick_Names,0))),Type_Species)),0),1)*(IF(OR(INDEX(Quick_Type,MATCH($O480,Quick_Names,0))=INDEX(Species_Type_1,MATCH($N480,Species_Names,0)),INDEX(Quick_Type,MATCH($O480,Quick_Names,0))=INDEX(Species_Type_2,MATCH($N480,Species_Names,0))),Game_STAB_Multiplier,1)))</f>
        <v>1.25</v>
      </c>
      <c r="V480" s="33">
        <f t="array" ref="V4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480,Charge_Names,0))),Type_Species)),0),1)*IF(COUNTBLANK(Combo_Opponent_Type_2)=0,INDEX(Type_Damage_Multipliers,MATCH(Combo_Opponent_Type_2,IF(Type_Move=(INDEX(Charge_Type,MATCH($P480,Charge_Names,0))),Type_Species)),0),1)*
IF(OR(INDEX(Charge_Type,MATCH($P480,Charge_Names,0))=INDEX(Species_Type_1,MATCH($N480,Species_Names,0)),INDEX(Charge_Type,MATCH($P480,Charge_Names,0))=INDEX(Species_Type_2,MATCH($N480,Species_Names,0))),Game_STAB_Multiplier,1))</f>
        <v>1.25</v>
      </c>
      <c r="W480" s="33" t="s">
        <v>501</v>
      </c>
      <c r="X480" s="33" t="s">
        <v>948</v>
      </c>
      <c r="Y480" s="32" t="e">
        <f t="array" ref="Y480">((($Z480)*
INDEX(Species_Attack,MATCH($N480,Species_Names,0))*
INDEX(Species_Tankiness,MATCH($N480,Species_Names,0)))/1000)</f>
        <v>#VALUE!</v>
      </c>
      <c r="Z480" s="33" t="s">
        <v>555</v>
      </c>
    </row>
    <row r="481" spans="1:26" ht="14.25" customHeight="1" x14ac:dyDescent="0.2">
      <c r="A481" s="86"/>
      <c r="B481" s="22" t="str">
        <f t="array" ref="B481">CONCATENATE(TEXT($M481,"000"),".",TEXT(INDEX(Quick_Number,MATCH($O481,Quick_Names,0)),"000"),".",TEXT(INDEX(Charge_Number,MATCH($P481,Charge_Names,0)),"000"))</f>
        <v>002.215.090</v>
      </c>
      <c r="C481" s="23" t="e">
        <f t="array" ref="C481">RANK($S481,IF(Combo_Species_Names=$N481,Combo_Gym_Offense),0)</f>
        <v>#VALUE!</v>
      </c>
      <c r="D481" s="24" t="e">
        <f t="array" ref="D481">$S481/MAX(IF(Combo_Species_Names=$N481,Combo_Gym_Offense))</f>
        <v>#VALUE!</v>
      </c>
      <c r="E481" s="23" t="e">
        <f t="array" ref="E481">RANK($Y481,IF(Combo_Species_Names=$N481,Combo_Gym_Defense),0)</f>
        <v>#VALUE!</v>
      </c>
      <c r="F481" s="25" t="e">
        <f t="array" ref="F481">$Y481/MAX(IF(Combo_Species_Names=$N481,Combo_Gym_Defense))</f>
        <v>#VALUE!</v>
      </c>
      <c r="G481" s="23" t="str">
        <f t="array" ref="G481">IF(OR(INDEX(Species_Availability,MATCH($N481,Species_Names,0))="No",INDEX(Species_Evo_Numbers,MATCH($N481,Species_Names,0))&lt;&gt;1),"N/A",RANK($R481,IF(NOT(ISNA(MATCH(Combo_Species_Names,IF(Species_Availability="Yes",IF(Species_Evo_Numbers=1,Species_Names)),0))),Combo_Duel_Ability),0))</f>
        <v>N/A</v>
      </c>
      <c r="H481" s="24" t="str">
        <f t="array" ref="H481">IF(OR(INDEX(Species_Availability,MATCH($N481,Species_Names,0))="No",INDEX(Species_Evo_Numbers,MATCH($N481,Species_Names,0))&lt;&gt;1),"N/A",$R481/MAX(IF(NOT(ISNA(MATCH(Combo_Species_Names,IF(Species_Availability="Yes",IF(Species_Evo_Numbers=1,Species_Names)),0))),Combo_Duel_Ability)))</f>
        <v>N/A</v>
      </c>
      <c r="I481" s="23" t="str">
        <f t="array" ref="I481">IF(OR(INDEX(Species_Availability,MATCH($N481,Species_Names,0))="No",INDEX(Species_Evo_Numbers,MATCH($N481,Species_Names,0))&lt;&gt;1),"N/A",RANK($S481,IF(NOT(ISNA(MATCH(Combo_Species_Names,IF(Species_Availability="Yes",IF(Species_Evo_Numbers=1,Species_Names)),0))),Combo_Gym_Offense),0))</f>
        <v>N/A</v>
      </c>
      <c r="J481" s="24" t="str">
        <f t="array" ref="J481">IF(OR(INDEX(Species_Availability,MATCH($N481,Species_Names,0))="No",INDEX(Species_Evo_Numbers,MATCH($N481,Species_Names,0))&lt;&gt;1),"N/A",$S481/MAX(IF(NOT(ISNA(MATCH(Combo_Species_Names,IF(Species_Availability="Yes",IF(Species_Evo_Numbers=1,Species_Names)),0))),Combo_Gym_Offense)))</f>
        <v>N/A</v>
      </c>
      <c r="K481" s="23" t="str">
        <f t="array" ref="K481">IF(OR(INDEX(Species_Availability,MATCH($N481,Species_Names,0))="No",INDEX(Species_Evo_Numbers,MATCH($N481,Species_Names,0))&lt;&gt;1),"N/A",RANK($Y481,IF(NOT(ISNA(MATCH(Combo_Species_Names,IF(Species_Availability="Yes",IF(Species_Evo_Numbers=1,Species_Names)),0))),Combo_Gym_Defense),0))</f>
        <v>N/A</v>
      </c>
      <c r="L481" s="24" t="str">
        <f t="array" ref="L481">IF(OR(INDEX(Species_Availability,MATCH($N481,Species_Names,0))="No",INDEX(Species_Evo_Numbers,MATCH($N481,Species_Names,0))&lt;&gt;1),"N/A",$Y481/MAX(IF(NOT(ISNA(MATCH(Combo_Species_Names,IF(Species_Availability="Yes",IF(Species_Evo_Numbers=1,Species_Names)),0))),Combo_Gym_Defense)))</f>
        <v>N/A</v>
      </c>
      <c r="M481" s="28">
        <f t="array" ref="M481">INDEX(Species_Pdex_Numbers,MATCH($N481,Species_Names,0))</f>
        <v>2</v>
      </c>
      <c r="N481" s="30" t="s">
        <v>61</v>
      </c>
      <c r="O481" s="31" t="s">
        <v>102</v>
      </c>
      <c r="P481" s="31" t="s">
        <v>180</v>
      </c>
      <c r="Q481" s="17" t="e">
        <f t="shared" si="14"/>
        <v>#VALUE!</v>
      </c>
      <c r="R481" s="32" t="e">
        <f t="array" ref="R481">IF(OR(AND(COUNTBLANK(Combo_Opponent_Type_1)=1,COUNTBLANK(Combo_Opponent_Type_2)=0),AND(AND(COUNTBLANK(Combo_Opponent_Type_1)=0,COUNTBLANK(Combo_Opponent_Type_2)=0),Combo_Opponent_Type_1=Combo_Opponent_Type_2)),
"Check Types",($S481*INDEX(Species_Tankiness,MATCH($N481,Species_Names,0)))/225)</f>
        <v>#VALUE!</v>
      </c>
      <c r="S481" s="32" t="e">
        <f t="array" ref="S481">IF(OR(AND(COUNTBLANK(Combo_Opponent_Type_1)=1,COUNTBLANK(Combo_Opponent_Type_2)=0),AND(AND(COUNTBLANK(Combo_Opponent_Type_1)=0,COUNTBLANK(Combo_Opponent_Type_2)=0),Combo_Opponent_Type_1=Combo_Opponent_Type_2)),
"Check Types",(
IF($W481&gt;=((1-Game_Weave_Human_Error)*$X481),$W481,$X481)*INDEX(Species_Attack,MATCH($N481,Species_Names,0)))/11)</f>
        <v>#VALUE!</v>
      </c>
      <c r="T481" s="33" t="e">
        <f t="shared" si="15"/>
        <v>#VALUE!</v>
      </c>
      <c r="U481" s="33">
        <f t="array" ref="U4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481,Quick_Names,0))),Type_Species)),0),1)*IF(COUNTBLANK(Combo_Opponent_Type_2)=0,INDEX(Type_Damage_Multipliers,MATCH(Combo_Opponent_Type_2,IF(Type_Move=(INDEX(Quick_Type,MATCH($O481,Quick_Names,0))),Type_Species)),0),1)*(IF(OR(INDEX(Quick_Type,MATCH($O481,Quick_Names,0))=INDEX(Species_Type_1,MATCH($N481,Species_Names,0)),INDEX(Quick_Type,MATCH($O481,Quick_Names,0))=INDEX(Species_Type_2,MATCH($N481,Species_Names,0))),Game_STAB_Multiplier,1)))</f>
        <v>1.25</v>
      </c>
      <c r="V481" s="33">
        <f t="array" ref="V4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481,Charge_Names,0))),Type_Species)),0),1)*IF(COUNTBLANK(Combo_Opponent_Type_2)=0,INDEX(Type_Damage_Multipliers,MATCH(Combo_Opponent_Type_2,IF(Type_Move=(INDEX(Charge_Type,MATCH($P481,Charge_Names,0))),Type_Species)),0),1)*
IF(OR(INDEX(Charge_Type,MATCH($P481,Charge_Names,0))=INDEX(Species_Type_1,MATCH($N481,Species_Names,0)),INDEX(Charge_Type,MATCH($P481,Charge_Names,0))=INDEX(Species_Type_2,MATCH($N481,Species_Names,0))),Game_STAB_Multiplier,1))</f>
        <v>1.25</v>
      </c>
      <c r="W481" s="33" t="s">
        <v>501</v>
      </c>
      <c r="X481" s="33" t="s">
        <v>539</v>
      </c>
      <c r="Y481" s="32" t="e">
        <f t="array" ref="Y481">((($Z481)*
INDEX(Species_Attack,MATCH($N481,Species_Names,0))*
INDEX(Species_Tankiness,MATCH($N481,Species_Names,0)))/1000)</f>
        <v>#VALUE!</v>
      </c>
      <c r="Z481" s="33" t="s">
        <v>540</v>
      </c>
    </row>
    <row r="482" spans="1:26" ht="14.25" customHeight="1" x14ac:dyDescent="0.2">
      <c r="A482" s="86"/>
      <c r="B482" s="22" t="str">
        <f t="array" ref="B482">CONCATENATE(TEXT($M482,"000"),".",TEXT(INDEX(Quick_Number,MATCH($O482,Quick_Names,0)),"000"),".",TEXT(INDEX(Charge_Number,MATCH($P482,Charge_Names,0)),"000"))</f>
        <v>008.230.039</v>
      </c>
      <c r="C482" s="23" t="e">
        <f t="array" ref="C482">RANK($S482,IF(Combo_Species_Names=$N482,Combo_Gym_Offense),0)</f>
        <v>#VALUE!</v>
      </c>
      <c r="D482" s="24" t="e">
        <f t="array" ref="D482">$S482/MAX(IF(Combo_Species_Names=$N482,Combo_Gym_Offense))</f>
        <v>#VALUE!</v>
      </c>
      <c r="E482" s="23" t="e">
        <f t="array" ref="E482">RANK($Y482,IF(Combo_Species_Names=$N482,Combo_Gym_Defense),0)</f>
        <v>#VALUE!</v>
      </c>
      <c r="F482" s="25" t="e">
        <f t="array" ref="F482">$Y482/MAX(IF(Combo_Species_Names=$N482,Combo_Gym_Defense))</f>
        <v>#VALUE!</v>
      </c>
      <c r="G482" s="23" t="str">
        <f t="array" ref="G482">IF(OR(INDEX(Species_Availability,MATCH($N482,Species_Names,0))="No",INDEX(Species_Evo_Numbers,MATCH($N482,Species_Names,0))&lt;&gt;1),"N/A",RANK($R482,IF(NOT(ISNA(MATCH(Combo_Species_Names,IF(Species_Availability="Yes",IF(Species_Evo_Numbers=1,Species_Names)),0))),Combo_Duel_Ability),0))</f>
        <v>N/A</v>
      </c>
      <c r="H482" s="24" t="str">
        <f t="array" ref="H482">IF(OR(INDEX(Species_Availability,MATCH($N482,Species_Names,0))="No",INDEX(Species_Evo_Numbers,MATCH($N482,Species_Names,0))&lt;&gt;1),"N/A",$R482/MAX(IF(NOT(ISNA(MATCH(Combo_Species_Names,IF(Species_Availability="Yes",IF(Species_Evo_Numbers=1,Species_Names)),0))),Combo_Duel_Ability)))</f>
        <v>N/A</v>
      </c>
      <c r="I482" s="23" t="str">
        <f t="array" ref="I482">IF(OR(INDEX(Species_Availability,MATCH($N482,Species_Names,0))="No",INDEX(Species_Evo_Numbers,MATCH($N482,Species_Names,0))&lt;&gt;1),"N/A",RANK($S482,IF(NOT(ISNA(MATCH(Combo_Species_Names,IF(Species_Availability="Yes",IF(Species_Evo_Numbers=1,Species_Names)),0))),Combo_Gym_Offense),0))</f>
        <v>N/A</v>
      </c>
      <c r="J482" s="24" t="str">
        <f t="array" ref="J482">IF(OR(INDEX(Species_Availability,MATCH($N482,Species_Names,0))="No",INDEX(Species_Evo_Numbers,MATCH($N482,Species_Names,0))&lt;&gt;1),"N/A",$S482/MAX(IF(NOT(ISNA(MATCH(Combo_Species_Names,IF(Species_Availability="Yes",IF(Species_Evo_Numbers=1,Species_Names)),0))),Combo_Gym_Offense)))</f>
        <v>N/A</v>
      </c>
      <c r="K482" s="23" t="str">
        <f t="array" ref="K482">IF(OR(INDEX(Species_Availability,MATCH($N482,Species_Names,0))="No",INDEX(Species_Evo_Numbers,MATCH($N482,Species_Names,0))&lt;&gt;1),"N/A",RANK($Y482,IF(NOT(ISNA(MATCH(Combo_Species_Names,IF(Species_Availability="Yes",IF(Species_Evo_Numbers=1,Species_Names)),0))),Combo_Gym_Defense),0))</f>
        <v>N/A</v>
      </c>
      <c r="L482" s="24" t="str">
        <f t="array" ref="L482">IF(OR(INDEX(Species_Availability,MATCH($N482,Species_Names,0))="No",INDEX(Species_Evo_Numbers,MATCH($N482,Species_Names,0))&lt;&gt;1),"N/A",$Y482/MAX(IF(NOT(ISNA(MATCH(Combo_Species_Names,IF(Species_Availability="Yes",IF(Species_Evo_Numbers=1,Species_Names)),0))),Combo_Gym_Defense)))</f>
        <v>N/A</v>
      </c>
      <c r="M482" s="28">
        <f t="array" ref="M482">INDEX(Species_Pdex_Numbers,MATCH($N482,Species_Names,0))</f>
        <v>8</v>
      </c>
      <c r="N482" s="30" t="s">
        <v>90</v>
      </c>
      <c r="O482" s="31" t="s">
        <v>65</v>
      </c>
      <c r="P482" s="31" t="s">
        <v>209</v>
      </c>
      <c r="Q482" s="17" t="e">
        <f t="shared" si="14"/>
        <v>#VALUE!</v>
      </c>
      <c r="R482" s="32" t="e">
        <f t="array" ref="R482">IF(OR(AND(COUNTBLANK(Combo_Opponent_Type_1)=1,COUNTBLANK(Combo_Opponent_Type_2)=0),AND(AND(COUNTBLANK(Combo_Opponent_Type_1)=0,COUNTBLANK(Combo_Opponent_Type_2)=0),Combo_Opponent_Type_1=Combo_Opponent_Type_2)),
"Check Types",($S482*INDEX(Species_Tankiness,MATCH($N482,Species_Names,0)))/225)</f>
        <v>#VALUE!</v>
      </c>
      <c r="S482" s="32" t="e">
        <f t="array" ref="S482">IF(OR(AND(COUNTBLANK(Combo_Opponent_Type_1)=1,COUNTBLANK(Combo_Opponent_Type_2)=0),AND(AND(COUNTBLANK(Combo_Opponent_Type_1)=0,COUNTBLANK(Combo_Opponent_Type_2)=0),Combo_Opponent_Type_1=Combo_Opponent_Type_2)),
"Check Types",(
IF($W482&gt;=((1-Game_Weave_Human_Error)*$X482),$W482,$X482)*INDEX(Species_Attack,MATCH($N482,Species_Names,0)))/11)</f>
        <v>#VALUE!</v>
      </c>
      <c r="T482" s="33" t="e">
        <f t="shared" si="15"/>
        <v>#VALUE!</v>
      </c>
      <c r="U482" s="33">
        <f t="array" ref="U4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482,Quick_Names,0))),Type_Species)),0),1)*IF(COUNTBLANK(Combo_Opponent_Type_2)=0,INDEX(Type_Damage_Multipliers,MATCH(Combo_Opponent_Type_2,IF(Type_Move=(INDEX(Quick_Type,MATCH($O482,Quick_Names,0))),Type_Species)),0),1)*(IF(OR(INDEX(Quick_Type,MATCH($O482,Quick_Names,0))=INDEX(Species_Type_1,MATCH($N482,Species_Names,0)),INDEX(Quick_Type,MATCH($O482,Quick_Names,0))=INDEX(Species_Type_2,MATCH($N482,Species_Names,0))),Game_STAB_Multiplier,1)))</f>
        <v>1.25</v>
      </c>
      <c r="V482" s="33">
        <f t="array" ref="V4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482,Charge_Names,0))),Type_Species)),0),1)*IF(COUNTBLANK(Combo_Opponent_Type_2)=0,INDEX(Type_Damage_Multipliers,MATCH(Combo_Opponent_Type_2,IF(Type_Move=(INDEX(Charge_Type,MATCH($P482,Charge_Names,0))),Type_Species)),0),1)*
IF(OR(INDEX(Charge_Type,MATCH($P482,Charge_Names,0))=INDEX(Species_Type_1,MATCH($N482,Species_Names,0)),INDEX(Charge_Type,MATCH($P482,Charge_Names,0))=INDEX(Species_Type_2,MATCH($N482,Species_Names,0))),Game_STAB_Multiplier,1))</f>
        <v>1</v>
      </c>
      <c r="W482" s="33" t="s">
        <v>412</v>
      </c>
      <c r="X482" s="33" t="s">
        <v>514</v>
      </c>
      <c r="Y482" s="32" t="e">
        <f t="array" ref="Y482">((($Z482)*
INDEX(Species_Attack,MATCH($N482,Species_Names,0))*
INDEX(Species_Tankiness,MATCH($N482,Species_Names,0)))/1000)</f>
        <v>#VALUE!</v>
      </c>
      <c r="Z482" s="33" t="s">
        <v>515</v>
      </c>
    </row>
    <row r="483" spans="1:26" ht="14.25" customHeight="1" x14ac:dyDescent="0.2">
      <c r="A483" s="86"/>
      <c r="B483" s="22" t="str">
        <f t="array" ref="B483">CONCATENATE(TEXT($M483,"000"),".",TEXT(INDEX(Quick_Number,MATCH($O483,Quick_Names,0)),"000"),".",TEXT(INDEX(Charge_Number,MATCH($P483,Charge_Names,0)),"000"))</f>
        <v>008.230.057</v>
      </c>
      <c r="C483" s="23" t="e">
        <f t="array" ref="C483">RANK($S483,IF(Combo_Species_Names=$N483,Combo_Gym_Offense),0)</f>
        <v>#VALUE!</v>
      </c>
      <c r="D483" s="24" t="e">
        <f t="array" ref="D483">$S483/MAX(IF(Combo_Species_Names=$N483,Combo_Gym_Offense))</f>
        <v>#VALUE!</v>
      </c>
      <c r="E483" s="23" t="e">
        <f t="array" ref="E483">RANK($Y483,IF(Combo_Species_Names=$N483,Combo_Gym_Defense),0)</f>
        <v>#VALUE!</v>
      </c>
      <c r="F483" s="25" t="e">
        <f t="array" ref="F483">$Y483/MAX(IF(Combo_Species_Names=$N483,Combo_Gym_Defense))</f>
        <v>#VALUE!</v>
      </c>
      <c r="G483" s="23" t="str">
        <f t="array" ref="G483">IF(OR(INDEX(Species_Availability,MATCH($N483,Species_Names,0))="No",INDEX(Species_Evo_Numbers,MATCH($N483,Species_Names,0))&lt;&gt;1),"N/A",RANK($R483,IF(NOT(ISNA(MATCH(Combo_Species_Names,IF(Species_Availability="Yes",IF(Species_Evo_Numbers=1,Species_Names)),0))),Combo_Duel_Ability),0))</f>
        <v>N/A</v>
      </c>
      <c r="H483" s="24" t="str">
        <f t="array" ref="H483">IF(OR(INDEX(Species_Availability,MATCH($N483,Species_Names,0))="No",INDEX(Species_Evo_Numbers,MATCH($N483,Species_Names,0))&lt;&gt;1),"N/A",$R483/MAX(IF(NOT(ISNA(MATCH(Combo_Species_Names,IF(Species_Availability="Yes",IF(Species_Evo_Numbers=1,Species_Names)),0))),Combo_Duel_Ability)))</f>
        <v>N/A</v>
      </c>
      <c r="I483" s="23" t="str">
        <f t="array" ref="I483">IF(OR(INDEX(Species_Availability,MATCH($N483,Species_Names,0))="No",INDEX(Species_Evo_Numbers,MATCH($N483,Species_Names,0))&lt;&gt;1),"N/A",RANK($S483,IF(NOT(ISNA(MATCH(Combo_Species_Names,IF(Species_Availability="Yes",IF(Species_Evo_Numbers=1,Species_Names)),0))),Combo_Gym_Offense),0))</f>
        <v>N/A</v>
      </c>
      <c r="J483" s="24" t="str">
        <f t="array" ref="J483">IF(OR(INDEX(Species_Availability,MATCH($N483,Species_Names,0))="No",INDEX(Species_Evo_Numbers,MATCH($N483,Species_Names,0))&lt;&gt;1),"N/A",$S483/MAX(IF(NOT(ISNA(MATCH(Combo_Species_Names,IF(Species_Availability="Yes",IF(Species_Evo_Numbers=1,Species_Names)),0))),Combo_Gym_Offense)))</f>
        <v>N/A</v>
      </c>
      <c r="K483" s="23" t="str">
        <f t="array" ref="K483">IF(OR(INDEX(Species_Availability,MATCH($N483,Species_Names,0))="No",INDEX(Species_Evo_Numbers,MATCH($N483,Species_Names,0))&lt;&gt;1),"N/A",RANK($Y483,IF(NOT(ISNA(MATCH(Combo_Species_Names,IF(Species_Availability="Yes",IF(Species_Evo_Numbers=1,Species_Names)),0))),Combo_Gym_Defense),0))</f>
        <v>N/A</v>
      </c>
      <c r="L483" s="24" t="str">
        <f t="array" ref="L483">IF(OR(INDEX(Species_Availability,MATCH($N483,Species_Names,0))="No",INDEX(Species_Evo_Numbers,MATCH($N483,Species_Names,0))&lt;&gt;1),"N/A",$Y483/MAX(IF(NOT(ISNA(MATCH(Combo_Species_Names,IF(Species_Availability="Yes",IF(Species_Evo_Numbers=1,Species_Names)),0))),Combo_Gym_Defense)))</f>
        <v>N/A</v>
      </c>
      <c r="M483" s="28">
        <f t="array" ref="M483">INDEX(Species_Pdex_Numbers,MATCH($N483,Species_Names,0))</f>
        <v>8</v>
      </c>
      <c r="N483" s="30" t="s">
        <v>90</v>
      </c>
      <c r="O483" s="31" t="s">
        <v>65</v>
      </c>
      <c r="P483" s="31" t="s">
        <v>280</v>
      </c>
      <c r="Q483" s="17" t="e">
        <f t="shared" si="14"/>
        <v>#VALUE!</v>
      </c>
      <c r="R483" s="32" t="e">
        <f t="array" ref="R483">IF(OR(AND(COUNTBLANK(Combo_Opponent_Type_1)=1,COUNTBLANK(Combo_Opponent_Type_2)=0),AND(AND(COUNTBLANK(Combo_Opponent_Type_1)=0,COUNTBLANK(Combo_Opponent_Type_2)=0),Combo_Opponent_Type_1=Combo_Opponent_Type_2)),
"Check Types",($S483*INDEX(Species_Tankiness,MATCH($N483,Species_Names,0)))/225)</f>
        <v>#VALUE!</v>
      </c>
      <c r="S483" s="32" t="e">
        <f t="array" ref="S483">IF(OR(AND(COUNTBLANK(Combo_Opponent_Type_1)=1,COUNTBLANK(Combo_Opponent_Type_2)=0),AND(AND(COUNTBLANK(Combo_Opponent_Type_1)=0,COUNTBLANK(Combo_Opponent_Type_2)=0),Combo_Opponent_Type_1=Combo_Opponent_Type_2)),
"Check Types",(
IF($W483&gt;=((1-Game_Weave_Human_Error)*$X483),$W483,$X483)*INDEX(Species_Attack,MATCH($N483,Species_Names,0)))/11)</f>
        <v>#VALUE!</v>
      </c>
      <c r="T483" s="33" t="e">
        <f t="shared" si="15"/>
        <v>#VALUE!</v>
      </c>
      <c r="U483" s="33">
        <f t="array" ref="U4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483,Quick_Names,0))),Type_Species)),0),1)*IF(COUNTBLANK(Combo_Opponent_Type_2)=0,INDEX(Type_Damage_Multipliers,MATCH(Combo_Opponent_Type_2,IF(Type_Move=(INDEX(Quick_Type,MATCH($O483,Quick_Names,0))),Type_Species)),0),1)*(IF(OR(INDEX(Quick_Type,MATCH($O483,Quick_Names,0))=INDEX(Species_Type_1,MATCH($N483,Species_Names,0)),INDEX(Quick_Type,MATCH($O483,Quick_Names,0))=INDEX(Species_Type_2,MATCH($N483,Species_Names,0))),Game_STAB_Multiplier,1)))</f>
        <v>1.25</v>
      </c>
      <c r="V483" s="33">
        <f t="array" ref="V4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483,Charge_Names,0))),Type_Species)),0),1)*IF(COUNTBLANK(Combo_Opponent_Type_2)=0,INDEX(Type_Damage_Multipliers,MATCH(Combo_Opponent_Type_2,IF(Type_Move=(INDEX(Charge_Type,MATCH($P483,Charge_Names,0))),Type_Species)),0),1)*
IF(OR(INDEX(Charge_Type,MATCH($P483,Charge_Names,0))=INDEX(Species_Type_1,MATCH($N483,Species_Names,0)),INDEX(Charge_Type,MATCH($P483,Charge_Names,0))=INDEX(Species_Type_2,MATCH($N483,Species_Names,0))),Game_STAB_Multiplier,1))</f>
        <v>1.25</v>
      </c>
      <c r="W483" s="33" t="s">
        <v>412</v>
      </c>
      <c r="X483" s="33" t="s">
        <v>949</v>
      </c>
      <c r="Y483" s="32" t="e">
        <f t="array" ref="Y483">((($Z483)*
INDEX(Species_Attack,MATCH($N483,Species_Names,0))*
INDEX(Species_Tankiness,MATCH($N483,Species_Names,0)))/1000)</f>
        <v>#VALUE!</v>
      </c>
      <c r="Z483" s="33" t="s">
        <v>950</v>
      </c>
    </row>
    <row r="484" spans="1:26" ht="14.25" customHeight="1" x14ac:dyDescent="0.2">
      <c r="A484" s="86"/>
      <c r="B484" s="22" t="str">
        <f t="array" ref="B484">CONCATENATE(TEXT($M484,"000"),".",TEXT(INDEX(Quick_Number,MATCH($O484,Quick_Names,0)),"000"),".",TEXT(INDEX(Charge_Number,MATCH($P484,Charge_Names,0)),"000"))</f>
        <v>044.215.087</v>
      </c>
      <c r="C484" s="23" t="e">
        <f t="array" ref="C484">RANK($S484,IF(Combo_Species_Names=$N484,Combo_Gym_Offense),0)</f>
        <v>#VALUE!</v>
      </c>
      <c r="D484" s="24" t="e">
        <f t="array" ref="D484">$S484/MAX(IF(Combo_Species_Names=$N484,Combo_Gym_Offense))</f>
        <v>#VALUE!</v>
      </c>
      <c r="E484" s="23" t="e">
        <f t="array" ref="E484">RANK($Y484,IF(Combo_Species_Names=$N484,Combo_Gym_Defense),0)</f>
        <v>#VALUE!</v>
      </c>
      <c r="F484" s="25" t="e">
        <f t="array" ref="F484">$Y484/MAX(IF(Combo_Species_Names=$N484,Combo_Gym_Defense))</f>
        <v>#VALUE!</v>
      </c>
      <c r="G484" s="23" t="str">
        <f t="array" ref="G484">IF(OR(INDEX(Species_Availability,MATCH($N484,Species_Names,0))="No",INDEX(Species_Evo_Numbers,MATCH($N484,Species_Names,0))&lt;&gt;1),"N/A",RANK($R484,IF(NOT(ISNA(MATCH(Combo_Species_Names,IF(Species_Availability="Yes",IF(Species_Evo_Numbers=1,Species_Names)),0))),Combo_Duel_Ability),0))</f>
        <v>N/A</v>
      </c>
      <c r="H484" s="24" t="str">
        <f t="array" ref="H484">IF(OR(INDEX(Species_Availability,MATCH($N484,Species_Names,0))="No",INDEX(Species_Evo_Numbers,MATCH($N484,Species_Names,0))&lt;&gt;1),"N/A",$R484/MAX(IF(NOT(ISNA(MATCH(Combo_Species_Names,IF(Species_Availability="Yes",IF(Species_Evo_Numbers=1,Species_Names)),0))),Combo_Duel_Ability)))</f>
        <v>N/A</v>
      </c>
      <c r="I484" s="23" t="str">
        <f t="array" ref="I484">IF(OR(INDEX(Species_Availability,MATCH($N484,Species_Names,0))="No",INDEX(Species_Evo_Numbers,MATCH($N484,Species_Names,0))&lt;&gt;1),"N/A",RANK($S484,IF(NOT(ISNA(MATCH(Combo_Species_Names,IF(Species_Availability="Yes",IF(Species_Evo_Numbers=1,Species_Names)),0))),Combo_Gym_Offense),0))</f>
        <v>N/A</v>
      </c>
      <c r="J484" s="24" t="str">
        <f t="array" ref="J484">IF(OR(INDEX(Species_Availability,MATCH($N484,Species_Names,0))="No",INDEX(Species_Evo_Numbers,MATCH($N484,Species_Names,0))&lt;&gt;1),"N/A",$S484/MAX(IF(NOT(ISNA(MATCH(Combo_Species_Names,IF(Species_Availability="Yes",IF(Species_Evo_Numbers=1,Species_Names)),0))),Combo_Gym_Offense)))</f>
        <v>N/A</v>
      </c>
      <c r="K484" s="23" t="str">
        <f t="array" ref="K484">IF(OR(INDEX(Species_Availability,MATCH($N484,Species_Names,0))="No",INDEX(Species_Evo_Numbers,MATCH($N484,Species_Names,0))&lt;&gt;1),"N/A",RANK($Y484,IF(NOT(ISNA(MATCH(Combo_Species_Names,IF(Species_Availability="Yes",IF(Species_Evo_Numbers=1,Species_Names)),0))),Combo_Gym_Defense),0))</f>
        <v>N/A</v>
      </c>
      <c r="L484" s="24" t="str">
        <f t="array" ref="L484">IF(OR(INDEX(Species_Availability,MATCH($N484,Species_Names,0))="No",INDEX(Species_Evo_Numbers,MATCH($N484,Species_Names,0))&lt;&gt;1),"N/A",$Y484/MAX(IF(NOT(ISNA(MATCH(Combo_Species_Names,IF(Species_Availability="Yes",IF(Species_Evo_Numbers=1,Species_Names)),0))),Combo_Gym_Defense)))</f>
        <v>N/A</v>
      </c>
      <c r="M484" s="28">
        <f t="array" ref="M484">INDEX(Species_Pdex_Numbers,MATCH($N484,Species_Names,0))</f>
        <v>44</v>
      </c>
      <c r="N484" s="30" t="s">
        <v>179</v>
      </c>
      <c r="O484" s="31" t="s">
        <v>102</v>
      </c>
      <c r="P484" s="31" t="s">
        <v>185</v>
      </c>
      <c r="Q484" s="17" t="e">
        <f t="shared" si="14"/>
        <v>#VALUE!</v>
      </c>
      <c r="R484" s="32" t="e">
        <f t="array" ref="R484">IF(OR(AND(COUNTBLANK(Combo_Opponent_Type_1)=1,COUNTBLANK(Combo_Opponent_Type_2)=0),AND(AND(COUNTBLANK(Combo_Opponent_Type_1)=0,COUNTBLANK(Combo_Opponent_Type_2)=0),Combo_Opponent_Type_1=Combo_Opponent_Type_2)),
"Check Types",($S484*INDEX(Species_Tankiness,MATCH($N484,Species_Names,0)))/225)</f>
        <v>#VALUE!</v>
      </c>
      <c r="S484" s="32" t="e">
        <f t="array" ref="S484">IF(OR(AND(COUNTBLANK(Combo_Opponent_Type_1)=1,COUNTBLANK(Combo_Opponent_Type_2)=0),AND(AND(COUNTBLANK(Combo_Opponent_Type_1)=0,COUNTBLANK(Combo_Opponent_Type_2)=0),Combo_Opponent_Type_1=Combo_Opponent_Type_2)),
"Check Types",(
IF($W484&gt;=((1-Game_Weave_Human_Error)*$X484),$W484,$X484)*INDEX(Species_Attack,MATCH($N484,Species_Names,0)))/11)</f>
        <v>#VALUE!</v>
      </c>
      <c r="T484" s="33" t="e">
        <f t="shared" si="15"/>
        <v>#VALUE!</v>
      </c>
      <c r="U484" s="33">
        <f t="array" ref="U4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484,Quick_Names,0))),Type_Species)),0),1)*IF(COUNTBLANK(Combo_Opponent_Type_2)=0,INDEX(Type_Damage_Multipliers,MATCH(Combo_Opponent_Type_2,IF(Type_Move=(INDEX(Quick_Type,MATCH($O484,Quick_Names,0))),Type_Species)),0),1)*(IF(OR(INDEX(Quick_Type,MATCH($O484,Quick_Names,0))=INDEX(Species_Type_1,MATCH($N484,Species_Names,0)),INDEX(Quick_Type,MATCH($O484,Quick_Names,0))=INDEX(Species_Type_2,MATCH($N484,Species_Names,0))),Game_STAB_Multiplier,1)))</f>
        <v>1.25</v>
      </c>
      <c r="V484" s="33">
        <f t="array" ref="V4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484,Charge_Names,0))),Type_Species)),0),1)*IF(COUNTBLANK(Combo_Opponent_Type_2)=0,INDEX(Type_Damage_Multipliers,MATCH(Combo_Opponent_Type_2,IF(Type_Move=(INDEX(Charge_Type,MATCH($P484,Charge_Names,0))),Type_Species)),0),1)*
IF(OR(INDEX(Charge_Type,MATCH($P484,Charge_Names,0))=INDEX(Species_Type_1,MATCH($N484,Species_Names,0)),INDEX(Charge_Type,MATCH($P484,Charge_Names,0))=INDEX(Species_Type_2,MATCH($N484,Species_Names,0))),Game_STAB_Multiplier,1))</f>
        <v>1</v>
      </c>
      <c r="W484" s="33" t="s">
        <v>501</v>
      </c>
      <c r="X484" s="33" t="s">
        <v>613</v>
      </c>
      <c r="Y484" s="32" t="e">
        <f t="array" ref="Y484">((($Z484)*
INDEX(Species_Attack,MATCH($N484,Species_Names,0))*
INDEX(Species_Tankiness,MATCH($N484,Species_Names,0)))/1000)</f>
        <v>#VALUE!</v>
      </c>
      <c r="Z484" s="33" t="s">
        <v>614</v>
      </c>
    </row>
    <row r="485" spans="1:26" ht="14.25" customHeight="1" x14ac:dyDescent="0.2">
      <c r="A485" s="86"/>
      <c r="B485" s="22" t="str">
        <f t="array" ref="B485">CONCATENATE(TEXT($M485,"000"),".",TEXT(INDEX(Quick_Number,MATCH($O485,Quick_Names,0)),"000"),".",TEXT(INDEX(Charge_Number,MATCH($P485,Charge_Names,0)),"000"))</f>
        <v>067.207.054</v>
      </c>
      <c r="C485" s="23" t="e">
        <f t="array" ref="C485">RANK($S485,IF(Combo_Species_Names=$N485,Combo_Gym_Offense),0)</f>
        <v>#VALUE!</v>
      </c>
      <c r="D485" s="24" t="e">
        <f t="array" ref="D485">$S485/MAX(IF(Combo_Species_Names=$N485,Combo_Gym_Offense))</f>
        <v>#VALUE!</v>
      </c>
      <c r="E485" s="23" t="e">
        <f t="array" ref="E485">RANK($Y485,IF(Combo_Species_Names=$N485,Combo_Gym_Defense),0)</f>
        <v>#VALUE!</v>
      </c>
      <c r="F485" s="25" t="e">
        <f t="array" ref="F485">$Y485/MAX(IF(Combo_Species_Names=$N485,Combo_Gym_Defense))</f>
        <v>#VALUE!</v>
      </c>
      <c r="G485" s="23" t="str">
        <f t="array" ref="G485">IF(OR(INDEX(Species_Availability,MATCH($N485,Species_Names,0))="No",INDEX(Species_Evo_Numbers,MATCH($N485,Species_Names,0))&lt;&gt;1),"N/A",RANK($R485,IF(NOT(ISNA(MATCH(Combo_Species_Names,IF(Species_Availability="Yes",IF(Species_Evo_Numbers=1,Species_Names)),0))),Combo_Duel_Ability),0))</f>
        <v>N/A</v>
      </c>
      <c r="H485" s="24" t="str">
        <f t="array" ref="H485">IF(OR(INDEX(Species_Availability,MATCH($N485,Species_Names,0))="No",INDEX(Species_Evo_Numbers,MATCH($N485,Species_Names,0))&lt;&gt;1),"N/A",$R485/MAX(IF(NOT(ISNA(MATCH(Combo_Species_Names,IF(Species_Availability="Yes",IF(Species_Evo_Numbers=1,Species_Names)),0))),Combo_Duel_Ability)))</f>
        <v>N/A</v>
      </c>
      <c r="I485" s="23" t="str">
        <f t="array" ref="I485">IF(OR(INDEX(Species_Availability,MATCH($N485,Species_Names,0))="No",INDEX(Species_Evo_Numbers,MATCH($N485,Species_Names,0))&lt;&gt;1),"N/A",RANK($S485,IF(NOT(ISNA(MATCH(Combo_Species_Names,IF(Species_Availability="Yes",IF(Species_Evo_Numbers=1,Species_Names)),0))),Combo_Gym_Offense),0))</f>
        <v>N/A</v>
      </c>
      <c r="J485" s="24" t="str">
        <f t="array" ref="J485">IF(OR(INDEX(Species_Availability,MATCH($N485,Species_Names,0))="No",INDEX(Species_Evo_Numbers,MATCH($N485,Species_Names,0))&lt;&gt;1),"N/A",$S485/MAX(IF(NOT(ISNA(MATCH(Combo_Species_Names,IF(Species_Availability="Yes",IF(Species_Evo_Numbers=1,Species_Names)),0))),Combo_Gym_Offense)))</f>
        <v>N/A</v>
      </c>
      <c r="K485" s="23" t="str">
        <f t="array" ref="K485">IF(OR(INDEX(Species_Availability,MATCH($N485,Species_Names,0))="No",INDEX(Species_Evo_Numbers,MATCH($N485,Species_Names,0))&lt;&gt;1),"N/A",RANK($Y485,IF(NOT(ISNA(MATCH(Combo_Species_Names,IF(Species_Availability="Yes",IF(Species_Evo_Numbers=1,Species_Names)),0))),Combo_Gym_Defense),0))</f>
        <v>N/A</v>
      </c>
      <c r="L485" s="24" t="str">
        <f t="array" ref="L485">IF(OR(INDEX(Species_Availability,MATCH($N485,Species_Names,0))="No",INDEX(Species_Evo_Numbers,MATCH($N485,Species_Names,0))&lt;&gt;1),"N/A",$Y485/MAX(IF(NOT(ISNA(MATCH(Combo_Species_Names,IF(Species_Availability="Yes",IF(Species_Evo_Numbers=1,Species_Names)),0))),Combo_Gym_Defense)))</f>
        <v>N/A</v>
      </c>
      <c r="M485" s="28">
        <f t="array" ref="M485">INDEX(Species_Pdex_Numbers,MATCH($N485,Species_Names,0))</f>
        <v>67</v>
      </c>
      <c r="N485" s="30" t="s">
        <v>225</v>
      </c>
      <c r="O485" s="31" t="s">
        <v>117</v>
      </c>
      <c r="P485" s="31" t="s">
        <v>243</v>
      </c>
      <c r="Q485" s="17" t="e">
        <f t="shared" si="14"/>
        <v>#VALUE!</v>
      </c>
      <c r="R485" s="32" t="e">
        <f t="array" ref="R485">IF(OR(AND(COUNTBLANK(Combo_Opponent_Type_1)=1,COUNTBLANK(Combo_Opponent_Type_2)=0),AND(AND(COUNTBLANK(Combo_Opponent_Type_1)=0,COUNTBLANK(Combo_Opponent_Type_2)=0),Combo_Opponent_Type_1=Combo_Opponent_Type_2)),
"Check Types",($S485*INDEX(Species_Tankiness,MATCH($N485,Species_Names,0)))/225)</f>
        <v>#VALUE!</v>
      </c>
      <c r="S485" s="32" t="e">
        <f t="array" ref="S485">IF(OR(AND(COUNTBLANK(Combo_Opponent_Type_1)=1,COUNTBLANK(Combo_Opponent_Type_2)=0),AND(AND(COUNTBLANK(Combo_Opponent_Type_1)=0,COUNTBLANK(Combo_Opponent_Type_2)=0),Combo_Opponent_Type_1=Combo_Opponent_Type_2)),
"Check Types",(
IF($W485&gt;=((1-Game_Weave_Human_Error)*$X485),$W485,$X485)*INDEX(Species_Attack,MATCH($N485,Species_Names,0)))/11)</f>
        <v>#VALUE!</v>
      </c>
      <c r="T485" s="33" t="e">
        <f t="shared" si="15"/>
        <v>#VALUE!</v>
      </c>
      <c r="U485" s="33">
        <f t="array" ref="U4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485,Quick_Names,0))),Type_Species)),0),1)*IF(COUNTBLANK(Combo_Opponent_Type_2)=0,INDEX(Type_Damage_Multipliers,MATCH(Combo_Opponent_Type_2,IF(Type_Move=(INDEX(Quick_Type,MATCH($O485,Quick_Names,0))),Type_Species)),0),1)*(IF(OR(INDEX(Quick_Type,MATCH($O485,Quick_Names,0))=INDEX(Species_Type_1,MATCH($N485,Species_Names,0)),INDEX(Quick_Type,MATCH($O485,Quick_Names,0))=INDEX(Species_Type_2,MATCH($N485,Species_Names,0))),Game_STAB_Multiplier,1)))</f>
        <v>1.25</v>
      </c>
      <c r="V485" s="33">
        <f t="array" ref="V4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485,Charge_Names,0))),Type_Species)),0),1)*IF(COUNTBLANK(Combo_Opponent_Type_2)=0,INDEX(Type_Damage_Multipliers,MATCH(Combo_Opponent_Type_2,IF(Type_Move=(INDEX(Charge_Type,MATCH($P485,Charge_Names,0))),Type_Species)),0),1)*
IF(OR(INDEX(Charge_Type,MATCH($P485,Charge_Names,0))=INDEX(Species_Type_1,MATCH($N485,Species_Names,0)),INDEX(Charge_Type,MATCH($P485,Charge_Names,0))=INDEX(Species_Type_2,MATCH($N485,Species_Names,0))),Game_STAB_Multiplier,1))</f>
        <v>1.25</v>
      </c>
      <c r="W485" s="33" t="s">
        <v>678</v>
      </c>
      <c r="X485" s="33" t="s">
        <v>826</v>
      </c>
      <c r="Y485" s="32" t="e">
        <f t="array" ref="Y485">((($Z485)*
INDEX(Species_Attack,MATCH($N485,Species_Names,0))*
INDEX(Species_Tankiness,MATCH($N485,Species_Names,0)))/1000)</f>
        <v>#VALUE!</v>
      </c>
      <c r="Z485" s="33" t="s">
        <v>951</v>
      </c>
    </row>
    <row r="486" spans="1:26" ht="14.25" customHeight="1" x14ac:dyDescent="0.2">
      <c r="A486" s="86"/>
      <c r="B486" s="22" t="str">
        <f t="array" ref="B486">CONCATENATE(TEXT($M486,"000"),".",TEXT(INDEX(Quick_Number,MATCH($O486,Quick_Names,0)),"000"),".",TEXT(INDEX(Charge_Number,MATCH($P486,Charge_Names,0)),"000"))</f>
        <v>030.236.090</v>
      </c>
      <c r="C486" s="23" t="e">
        <f t="array" ref="C486">RANK($S486,IF(Combo_Species_Names=$N486,Combo_Gym_Offense),0)</f>
        <v>#VALUE!</v>
      </c>
      <c r="D486" s="24" t="e">
        <f t="array" ref="D486">$S486/MAX(IF(Combo_Species_Names=$N486,Combo_Gym_Offense))</f>
        <v>#VALUE!</v>
      </c>
      <c r="E486" s="23" t="e">
        <f t="array" ref="E486">RANK($Y486,IF(Combo_Species_Names=$N486,Combo_Gym_Defense),0)</f>
        <v>#VALUE!</v>
      </c>
      <c r="F486" s="25" t="e">
        <f t="array" ref="F486">$Y486/MAX(IF(Combo_Species_Names=$N486,Combo_Gym_Defense))</f>
        <v>#VALUE!</v>
      </c>
      <c r="G486" s="23" t="str">
        <f t="array" ref="G486">IF(OR(INDEX(Species_Availability,MATCH($N486,Species_Names,0))="No",INDEX(Species_Evo_Numbers,MATCH($N486,Species_Names,0))&lt;&gt;1),"N/A",RANK($R486,IF(NOT(ISNA(MATCH(Combo_Species_Names,IF(Species_Availability="Yes",IF(Species_Evo_Numbers=1,Species_Names)),0))),Combo_Duel_Ability),0))</f>
        <v>N/A</v>
      </c>
      <c r="H486" s="24" t="str">
        <f t="array" ref="H486">IF(OR(INDEX(Species_Availability,MATCH($N486,Species_Names,0))="No",INDEX(Species_Evo_Numbers,MATCH($N486,Species_Names,0))&lt;&gt;1),"N/A",$R486/MAX(IF(NOT(ISNA(MATCH(Combo_Species_Names,IF(Species_Availability="Yes",IF(Species_Evo_Numbers=1,Species_Names)),0))),Combo_Duel_Ability)))</f>
        <v>N/A</v>
      </c>
      <c r="I486" s="23" t="str">
        <f t="array" ref="I486">IF(OR(INDEX(Species_Availability,MATCH($N486,Species_Names,0))="No",INDEX(Species_Evo_Numbers,MATCH($N486,Species_Names,0))&lt;&gt;1),"N/A",RANK($S486,IF(NOT(ISNA(MATCH(Combo_Species_Names,IF(Species_Availability="Yes",IF(Species_Evo_Numbers=1,Species_Names)),0))),Combo_Gym_Offense),0))</f>
        <v>N/A</v>
      </c>
      <c r="J486" s="24" t="str">
        <f t="array" ref="J486">IF(OR(INDEX(Species_Availability,MATCH($N486,Species_Names,0))="No",INDEX(Species_Evo_Numbers,MATCH($N486,Species_Names,0))&lt;&gt;1),"N/A",$S486/MAX(IF(NOT(ISNA(MATCH(Combo_Species_Names,IF(Species_Availability="Yes",IF(Species_Evo_Numbers=1,Species_Names)),0))),Combo_Gym_Offense)))</f>
        <v>N/A</v>
      </c>
      <c r="K486" s="23" t="str">
        <f t="array" ref="K486">IF(OR(INDEX(Species_Availability,MATCH($N486,Species_Names,0))="No",INDEX(Species_Evo_Numbers,MATCH($N486,Species_Names,0))&lt;&gt;1),"N/A",RANK($Y486,IF(NOT(ISNA(MATCH(Combo_Species_Names,IF(Species_Availability="Yes",IF(Species_Evo_Numbers=1,Species_Names)),0))),Combo_Gym_Defense),0))</f>
        <v>N/A</v>
      </c>
      <c r="L486" s="24" t="str">
        <f t="array" ref="L486">IF(OR(INDEX(Species_Availability,MATCH($N486,Species_Names,0))="No",INDEX(Species_Evo_Numbers,MATCH($N486,Species_Names,0))&lt;&gt;1),"N/A",$Y486/MAX(IF(NOT(ISNA(MATCH(Combo_Species_Names,IF(Species_Availability="Yes",IF(Species_Evo_Numbers=1,Species_Names)),0))),Combo_Gym_Defense)))</f>
        <v>N/A</v>
      </c>
      <c r="M486" s="28">
        <f t="array" ref="M486">INDEX(Species_Pdex_Numbers,MATCH($N486,Species_Names,0))</f>
        <v>30</v>
      </c>
      <c r="N486" s="30" t="s">
        <v>150</v>
      </c>
      <c r="O486" s="31" t="s">
        <v>101</v>
      </c>
      <c r="P486" s="31" t="s">
        <v>180</v>
      </c>
      <c r="Q486" s="17" t="e">
        <f t="shared" si="14"/>
        <v>#VALUE!</v>
      </c>
      <c r="R486" s="32" t="e">
        <f t="array" ref="R486">IF(OR(AND(COUNTBLANK(Combo_Opponent_Type_1)=1,COUNTBLANK(Combo_Opponent_Type_2)=0),AND(AND(COUNTBLANK(Combo_Opponent_Type_1)=0,COUNTBLANK(Combo_Opponent_Type_2)=0),Combo_Opponent_Type_1=Combo_Opponent_Type_2)),
"Check Types",($S486*INDEX(Species_Tankiness,MATCH($N486,Species_Names,0)))/225)</f>
        <v>#VALUE!</v>
      </c>
      <c r="S486" s="32" t="e">
        <f t="array" ref="S486">IF(OR(AND(COUNTBLANK(Combo_Opponent_Type_1)=1,COUNTBLANK(Combo_Opponent_Type_2)=0),AND(AND(COUNTBLANK(Combo_Opponent_Type_1)=0,COUNTBLANK(Combo_Opponent_Type_2)=0),Combo_Opponent_Type_1=Combo_Opponent_Type_2)),
"Check Types",(
IF($W486&gt;=((1-Game_Weave_Human_Error)*$X486),$W486,$X486)*INDEX(Species_Attack,MATCH($N486,Species_Names,0)))/11)</f>
        <v>#VALUE!</v>
      </c>
      <c r="T486" s="33" t="e">
        <f t="shared" si="15"/>
        <v>#VALUE!</v>
      </c>
      <c r="U486" s="33">
        <f t="array" ref="U4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486,Quick_Names,0))),Type_Species)),0),1)*IF(COUNTBLANK(Combo_Opponent_Type_2)=0,INDEX(Type_Damage_Multipliers,MATCH(Combo_Opponent_Type_2,IF(Type_Move=(INDEX(Quick_Type,MATCH($O486,Quick_Names,0))),Type_Species)),0),1)*(IF(OR(INDEX(Quick_Type,MATCH($O486,Quick_Names,0))=INDEX(Species_Type_1,MATCH($N486,Species_Names,0)),INDEX(Quick_Type,MATCH($O486,Quick_Names,0))=INDEX(Species_Type_2,MATCH($N486,Species_Names,0))),Game_STAB_Multiplier,1)))</f>
        <v>1.25</v>
      </c>
      <c r="V486" s="33">
        <f t="array" ref="V4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486,Charge_Names,0))),Type_Species)),0),1)*IF(COUNTBLANK(Combo_Opponent_Type_2)=0,INDEX(Type_Damage_Multipliers,MATCH(Combo_Opponent_Type_2,IF(Type_Move=(INDEX(Charge_Type,MATCH($P486,Charge_Names,0))),Type_Species)),0),1)*
IF(OR(INDEX(Charge_Type,MATCH($P486,Charge_Names,0))=INDEX(Species_Type_1,MATCH($N486,Species_Names,0)),INDEX(Charge_Type,MATCH($P486,Charge_Names,0))=INDEX(Species_Type_2,MATCH($N486,Species_Names,0))),Game_STAB_Multiplier,1))</f>
        <v>1.25</v>
      </c>
      <c r="W486" s="33" t="s">
        <v>738</v>
      </c>
      <c r="X486" s="33" t="s">
        <v>952</v>
      </c>
      <c r="Y486" s="32" t="e">
        <f t="array" ref="Y486">((($Z486)*
INDEX(Species_Attack,MATCH($N486,Species_Names,0))*
INDEX(Species_Tankiness,MATCH($N486,Species_Names,0)))/1000)</f>
        <v>#VALUE!</v>
      </c>
      <c r="Z486" s="33" t="s">
        <v>953</v>
      </c>
    </row>
    <row r="487" spans="1:26" ht="14.25" customHeight="1" x14ac:dyDescent="0.2">
      <c r="A487" s="86"/>
      <c r="B487" s="22" t="str">
        <f t="array" ref="B487">CONCATENATE(TEXT($M487,"000"),".",TEXT(INDEX(Quick_Number,MATCH($O487,Quick_Names,0)),"000"),".",TEXT(INDEX(Charge_Number,MATCH($P487,Charge_Names,0)),"000"))</f>
        <v>070.215.118</v>
      </c>
      <c r="C487" s="23" t="e">
        <f t="array" ref="C487">RANK($S487,IF(Combo_Species_Names=$N487,Combo_Gym_Offense),0)</f>
        <v>#VALUE!</v>
      </c>
      <c r="D487" s="24" t="e">
        <f t="array" ref="D487">$S487/MAX(IF(Combo_Species_Names=$N487,Combo_Gym_Offense))</f>
        <v>#VALUE!</v>
      </c>
      <c r="E487" s="23" t="e">
        <f t="array" ref="E487">RANK($Y487,IF(Combo_Species_Names=$N487,Combo_Gym_Defense),0)</f>
        <v>#VALUE!</v>
      </c>
      <c r="F487" s="25" t="e">
        <f t="array" ref="F487">$Y487/MAX(IF(Combo_Species_Names=$N487,Combo_Gym_Defense))</f>
        <v>#VALUE!</v>
      </c>
      <c r="G487" s="23" t="str">
        <f t="array" ref="G487">IF(OR(INDEX(Species_Availability,MATCH($N487,Species_Names,0))="No",INDEX(Species_Evo_Numbers,MATCH($N487,Species_Names,0))&lt;&gt;1),"N/A",RANK($R487,IF(NOT(ISNA(MATCH(Combo_Species_Names,IF(Species_Availability="Yes",IF(Species_Evo_Numbers=1,Species_Names)),0))),Combo_Duel_Ability),0))</f>
        <v>N/A</v>
      </c>
      <c r="H487" s="24" t="str">
        <f t="array" ref="H487">IF(OR(INDEX(Species_Availability,MATCH($N487,Species_Names,0))="No",INDEX(Species_Evo_Numbers,MATCH($N487,Species_Names,0))&lt;&gt;1),"N/A",$R487/MAX(IF(NOT(ISNA(MATCH(Combo_Species_Names,IF(Species_Availability="Yes",IF(Species_Evo_Numbers=1,Species_Names)),0))),Combo_Duel_Ability)))</f>
        <v>N/A</v>
      </c>
      <c r="I487" s="23" t="str">
        <f t="array" ref="I487">IF(OR(INDEX(Species_Availability,MATCH($N487,Species_Names,0))="No",INDEX(Species_Evo_Numbers,MATCH($N487,Species_Names,0))&lt;&gt;1),"N/A",RANK($S487,IF(NOT(ISNA(MATCH(Combo_Species_Names,IF(Species_Availability="Yes",IF(Species_Evo_Numbers=1,Species_Names)),0))),Combo_Gym_Offense),0))</f>
        <v>N/A</v>
      </c>
      <c r="J487" s="24" t="str">
        <f t="array" ref="J487">IF(OR(INDEX(Species_Availability,MATCH($N487,Species_Names,0))="No",INDEX(Species_Evo_Numbers,MATCH($N487,Species_Names,0))&lt;&gt;1),"N/A",$S487/MAX(IF(NOT(ISNA(MATCH(Combo_Species_Names,IF(Species_Availability="Yes",IF(Species_Evo_Numbers=1,Species_Names)),0))),Combo_Gym_Offense)))</f>
        <v>N/A</v>
      </c>
      <c r="K487" s="23" t="str">
        <f t="array" ref="K487">IF(OR(INDEX(Species_Availability,MATCH($N487,Species_Names,0))="No",INDEX(Species_Evo_Numbers,MATCH($N487,Species_Names,0))&lt;&gt;1),"N/A",RANK($Y487,IF(NOT(ISNA(MATCH(Combo_Species_Names,IF(Species_Availability="Yes",IF(Species_Evo_Numbers=1,Species_Names)),0))),Combo_Gym_Defense),0))</f>
        <v>N/A</v>
      </c>
      <c r="L487" s="24" t="str">
        <f t="array" ref="L487">IF(OR(INDEX(Species_Availability,MATCH($N487,Species_Names,0))="No",INDEX(Species_Evo_Numbers,MATCH($N487,Species_Names,0))&lt;&gt;1),"N/A",$Y487/MAX(IF(NOT(ISNA(MATCH(Combo_Species_Names,IF(Species_Availability="Yes",IF(Species_Evo_Numbers=1,Species_Names)),0))),Combo_Gym_Defense)))</f>
        <v>N/A</v>
      </c>
      <c r="M487" s="28">
        <f t="array" ref="M487">INDEX(Species_Pdex_Numbers,MATCH($N487,Species_Names,0))</f>
        <v>70</v>
      </c>
      <c r="N487" s="30" t="s">
        <v>231</v>
      </c>
      <c r="O487" s="31" t="s">
        <v>102</v>
      </c>
      <c r="P487" s="31" t="s">
        <v>165</v>
      </c>
      <c r="Q487" s="17" t="e">
        <f t="shared" si="14"/>
        <v>#VALUE!</v>
      </c>
      <c r="R487" s="32" t="e">
        <f t="array" ref="R487">IF(OR(AND(COUNTBLANK(Combo_Opponent_Type_1)=1,COUNTBLANK(Combo_Opponent_Type_2)=0),AND(AND(COUNTBLANK(Combo_Opponent_Type_1)=0,COUNTBLANK(Combo_Opponent_Type_2)=0),Combo_Opponent_Type_1=Combo_Opponent_Type_2)),
"Check Types",($S487*INDEX(Species_Tankiness,MATCH($N487,Species_Names,0)))/225)</f>
        <v>#VALUE!</v>
      </c>
      <c r="S487" s="32" t="e">
        <f t="array" ref="S487">IF(OR(AND(COUNTBLANK(Combo_Opponent_Type_1)=1,COUNTBLANK(Combo_Opponent_Type_2)=0),AND(AND(COUNTBLANK(Combo_Opponent_Type_1)=0,COUNTBLANK(Combo_Opponent_Type_2)=0),Combo_Opponent_Type_1=Combo_Opponent_Type_2)),
"Check Types",(
IF($W487&gt;=((1-Game_Weave_Human_Error)*$X487),$W487,$X487)*INDEX(Species_Attack,MATCH($N487,Species_Names,0)))/11)</f>
        <v>#VALUE!</v>
      </c>
      <c r="T487" s="33" t="e">
        <f t="shared" si="15"/>
        <v>#VALUE!</v>
      </c>
      <c r="U487" s="33">
        <f t="array" ref="U4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487,Quick_Names,0))),Type_Species)),0),1)*IF(COUNTBLANK(Combo_Opponent_Type_2)=0,INDEX(Type_Damage_Multipliers,MATCH(Combo_Opponent_Type_2,IF(Type_Move=(INDEX(Quick_Type,MATCH($O487,Quick_Names,0))),Type_Species)),0),1)*(IF(OR(INDEX(Quick_Type,MATCH($O487,Quick_Names,0))=INDEX(Species_Type_1,MATCH($N487,Species_Names,0)),INDEX(Quick_Type,MATCH($O487,Quick_Names,0))=INDEX(Species_Type_2,MATCH($N487,Species_Names,0))),Game_STAB_Multiplier,1)))</f>
        <v>1.25</v>
      </c>
      <c r="V487" s="33">
        <f t="array" ref="V4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487,Charge_Names,0))),Type_Species)),0),1)*IF(COUNTBLANK(Combo_Opponent_Type_2)=0,INDEX(Type_Damage_Multipliers,MATCH(Combo_Opponent_Type_2,IF(Type_Move=(INDEX(Charge_Type,MATCH($P487,Charge_Names,0))),Type_Species)),0),1)*
IF(OR(INDEX(Charge_Type,MATCH($P487,Charge_Names,0))=INDEX(Species_Type_1,MATCH($N487,Species_Names,0)),INDEX(Charge_Type,MATCH($P487,Charge_Names,0))=INDEX(Species_Type_2,MATCH($N487,Species_Names,0))),Game_STAB_Multiplier,1))</f>
        <v>1.25</v>
      </c>
      <c r="W487" s="33" t="s">
        <v>501</v>
      </c>
      <c r="X487" s="33" t="s">
        <v>948</v>
      </c>
      <c r="Y487" s="32" t="e">
        <f t="array" ref="Y487">((($Z487)*
INDEX(Species_Attack,MATCH($N487,Species_Names,0))*
INDEX(Species_Tankiness,MATCH($N487,Species_Names,0)))/1000)</f>
        <v>#VALUE!</v>
      </c>
      <c r="Z487" s="33" t="s">
        <v>555</v>
      </c>
    </row>
    <row r="488" spans="1:26" ht="14.25" customHeight="1" x14ac:dyDescent="0.2">
      <c r="A488" s="86"/>
      <c r="B488" s="22" t="str">
        <f t="array" ref="B488">CONCATENATE(TEXT($M488,"000"),".",TEXT(INDEX(Quick_Number,MATCH($O488,Quick_Names,0)),"000"),".",TEXT(INDEX(Charge_Number,MATCH($P488,Charge_Names,0)),"000"))</f>
        <v>070.215.090</v>
      </c>
      <c r="C488" s="23" t="e">
        <f t="array" ref="C488">RANK($S488,IF(Combo_Species_Names=$N488,Combo_Gym_Offense),0)</f>
        <v>#VALUE!</v>
      </c>
      <c r="D488" s="24" t="e">
        <f t="array" ref="D488">$S488/MAX(IF(Combo_Species_Names=$N488,Combo_Gym_Offense))</f>
        <v>#VALUE!</v>
      </c>
      <c r="E488" s="23" t="e">
        <f t="array" ref="E488">RANK($Y488,IF(Combo_Species_Names=$N488,Combo_Gym_Defense),0)</f>
        <v>#VALUE!</v>
      </c>
      <c r="F488" s="25" t="e">
        <f t="array" ref="F488">$Y488/MAX(IF(Combo_Species_Names=$N488,Combo_Gym_Defense))</f>
        <v>#VALUE!</v>
      </c>
      <c r="G488" s="23" t="str">
        <f t="array" ref="G488">IF(OR(INDEX(Species_Availability,MATCH($N488,Species_Names,0))="No",INDEX(Species_Evo_Numbers,MATCH($N488,Species_Names,0))&lt;&gt;1),"N/A",RANK($R488,IF(NOT(ISNA(MATCH(Combo_Species_Names,IF(Species_Availability="Yes",IF(Species_Evo_Numbers=1,Species_Names)),0))),Combo_Duel_Ability),0))</f>
        <v>N/A</v>
      </c>
      <c r="H488" s="24" t="str">
        <f t="array" ref="H488">IF(OR(INDEX(Species_Availability,MATCH($N488,Species_Names,0))="No",INDEX(Species_Evo_Numbers,MATCH($N488,Species_Names,0))&lt;&gt;1),"N/A",$R488/MAX(IF(NOT(ISNA(MATCH(Combo_Species_Names,IF(Species_Availability="Yes",IF(Species_Evo_Numbers=1,Species_Names)),0))),Combo_Duel_Ability)))</f>
        <v>N/A</v>
      </c>
      <c r="I488" s="23" t="str">
        <f t="array" ref="I488">IF(OR(INDEX(Species_Availability,MATCH($N488,Species_Names,0))="No",INDEX(Species_Evo_Numbers,MATCH($N488,Species_Names,0))&lt;&gt;1),"N/A",RANK($S488,IF(NOT(ISNA(MATCH(Combo_Species_Names,IF(Species_Availability="Yes",IF(Species_Evo_Numbers=1,Species_Names)),0))),Combo_Gym_Offense),0))</f>
        <v>N/A</v>
      </c>
      <c r="J488" s="24" t="str">
        <f t="array" ref="J488">IF(OR(INDEX(Species_Availability,MATCH($N488,Species_Names,0))="No",INDEX(Species_Evo_Numbers,MATCH($N488,Species_Names,0))&lt;&gt;1),"N/A",$S488/MAX(IF(NOT(ISNA(MATCH(Combo_Species_Names,IF(Species_Availability="Yes",IF(Species_Evo_Numbers=1,Species_Names)),0))),Combo_Gym_Offense)))</f>
        <v>N/A</v>
      </c>
      <c r="K488" s="23" t="str">
        <f t="array" ref="K488">IF(OR(INDEX(Species_Availability,MATCH($N488,Species_Names,0))="No",INDEX(Species_Evo_Numbers,MATCH($N488,Species_Names,0))&lt;&gt;1),"N/A",RANK($Y488,IF(NOT(ISNA(MATCH(Combo_Species_Names,IF(Species_Availability="Yes",IF(Species_Evo_Numbers=1,Species_Names)),0))),Combo_Gym_Defense),0))</f>
        <v>N/A</v>
      </c>
      <c r="L488" s="24" t="str">
        <f t="array" ref="L488">IF(OR(INDEX(Species_Availability,MATCH($N488,Species_Names,0))="No",INDEX(Species_Evo_Numbers,MATCH($N488,Species_Names,0))&lt;&gt;1),"N/A",$Y488/MAX(IF(NOT(ISNA(MATCH(Combo_Species_Names,IF(Species_Availability="Yes",IF(Species_Evo_Numbers=1,Species_Names)),0))),Combo_Gym_Defense)))</f>
        <v>N/A</v>
      </c>
      <c r="M488" s="28">
        <f t="array" ref="M488">INDEX(Species_Pdex_Numbers,MATCH($N488,Species_Names,0))</f>
        <v>70</v>
      </c>
      <c r="N488" s="30" t="s">
        <v>231</v>
      </c>
      <c r="O488" s="31" t="s">
        <v>102</v>
      </c>
      <c r="P488" s="31" t="s">
        <v>180</v>
      </c>
      <c r="Q488" s="17" t="e">
        <f t="shared" si="14"/>
        <v>#VALUE!</v>
      </c>
      <c r="R488" s="32" t="e">
        <f t="array" ref="R488">IF(OR(AND(COUNTBLANK(Combo_Opponent_Type_1)=1,COUNTBLANK(Combo_Opponent_Type_2)=0),AND(AND(COUNTBLANK(Combo_Opponent_Type_1)=0,COUNTBLANK(Combo_Opponent_Type_2)=0),Combo_Opponent_Type_1=Combo_Opponent_Type_2)),
"Check Types",($S488*INDEX(Species_Tankiness,MATCH($N488,Species_Names,0)))/225)</f>
        <v>#VALUE!</v>
      </c>
      <c r="S488" s="32" t="e">
        <f t="array" ref="S488">IF(OR(AND(COUNTBLANK(Combo_Opponent_Type_1)=1,COUNTBLANK(Combo_Opponent_Type_2)=0),AND(AND(COUNTBLANK(Combo_Opponent_Type_1)=0,COUNTBLANK(Combo_Opponent_Type_2)=0),Combo_Opponent_Type_1=Combo_Opponent_Type_2)),
"Check Types",(
IF($W488&gt;=((1-Game_Weave_Human_Error)*$X488),$W488,$X488)*INDEX(Species_Attack,MATCH($N488,Species_Names,0)))/11)</f>
        <v>#VALUE!</v>
      </c>
      <c r="T488" s="33" t="e">
        <f t="shared" si="15"/>
        <v>#VALUE!</v>
      </c>
      <c r="U488" s="33">
        <f t="array" ref="U4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488,Quick_Names,0))),Type_Species)),0),1)*IF(COUNTBLANK(Combo_Opponent_Type_2)=0,INDEX(Type_Damage_Multipliers,MATCH(Combo_Opponent_Type_2,IF(Type_Move=(INDEX(Quick_Type,MATCH($O488,Quick_Names,0))),Type_Species)),0),1)*(IF(OR(INDEX(Quick_Type,MATCH($O488,Quick_Names,0))=INDEX(Species_Type_1,MATCH($N488,Species_Names,0)),INDEX(Quick_Type,MATCH($O488,Quick_Names,0))=INDEX(Species_Type_2,MATCH($N488,Species_Names,0))),Game_STAB_Multiplier,1)))</f>
        <v>1.25</v>
      </c>
      <c r="V488" s="33">
        <f t="array" ref="V4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488,Charge_Names,0))),Type_Species)),0),1)*IF(COUNTBLANK(Combo_Opponent_Type_2)=0,INDEX(Type_Damage_Multipliers,MATCH(Combo_Opponent_Type_2,IF(Type_Move=(INDEX(Charge_Type,MATCH($P488,Charge_Names,0))),Type_Species)),0),1)*
IF(OR(INDEX(Charge_Type,MATCH($P488,Charge_Names,0))=INDEX(Species_Type_1,MATCH($N488,Species_Names,0)),INDEX(Charge_Type,MATCH($P488,Charge_Names,0))=INDEX(Species_Type_2,MATCH($N488,Species_Names,0))),Game_STAB_Multiplier,1))</f>
        <v>1.25</v>
      </c>
      <c r="W488" s="33" t="s">
        <v>501</v>
      </c>
      <c r="X488" s="33" t="s">
        <v>539</v>
      </c>
      <c r="Y488" s="32" t="e">
        <f t="array" ref="Y488">((($Z488)*
INDEX(Species_Attack,MATCH($N488,Species_Names,0))*
INDEX(Species_Tankiness,MATCH($N488,Species_Names,0)))/1000)</f>
        <v>#VALUE!</v>
      </c>
      <c r="Z488" s="33" t="s">
        <v>540</v>
      </c>
    </row>
    <row r="489" spans="1:26" ht="14.25" customHeight="1" x14ac:dyDescent="0.2">
      <c r="A489" s="86"/>
      <c r="B489" s="22" t="str">
        <f t="array" ref="B489">CONCATENATE(TEXT($M489,"000"),".",TEXT(INDEX(Quick_Number,MATCH($O489,Quick_Names,0)),"000"),".",TEXT(INDEX(Charge_Number,MATCH($P489,Charge_Names,0)),"000"))</f>
        <v>044.225.087</v>
      </c>
      <c r="C489" s="23" t="e">
        <f t="array" ref="C489">RANK($S489,IF(Combo_Species_Names=$N489,Combo_Gym_Offense),0)</f>
        <v>#VALUE!</v>
      </c>
      <c r="D489" s="24" t="e">
        <f t="array" ref="D489">$S489/MAX(IF(Combo_Species_Names=$N489,Combo_Gym_Offense))</f>
        <v>#VALUE!</v>
      </c>
      <c r="E489" s="23" t="e">
        <f t="array" ref="E489">RANK($Y489,IF(Combo_Species_Names=$N489,Combo_Gym_Defense),0)</f>
        <v>#VALUE!</v>
      </c>
      <c r="F489" s="25" t="e">
        <f t="array" ref="F489">$Y489/MAX(IF(Combo_Species_Names=$N489,Combo_Gym_Defense))</f>
        <v>#VALUE!</v>
      </c>
      <c r="G489" s="23" t="str">
        <f t="array" ref="G489">IF(OR(INDEX(Species_Availability,MATCH($N489,Species_Names,0))="No",INDEX(Species_Evo_Numbers,MATCH($N489,Species_Names,0))&lt;&gt;1),"N/A",RANK($R489,IF(NOT(ISNA(MATCH(Combo_Species_Names,IF(Species_Availability="Yes",IF(Species_Evo_Numbers=1,Species_Names)),0))),Combo_Duel_Ability),0))</f>
        <v>N/A</v>
      </c>
      <c r="H489" s="24" t="str">
        <f t="array" ref="H489">IF(OR(INDEX(Species_Availability,MATCH($N489,Species_Names,0))="No",INDEX(Species_Evo_Numbers,MATCH($N489,Species_Names,0))&lt;&gt;1),"N/A",$R489/MAX(IF(NOT(ISNA(MATCH(Combo_Species_Names,IF(Species_Availability="Yes",IF(Species_Evo_Numbers=1,Species_Names)),0))),Combo_Duel_Ability)))</f>
        <v>N/A</v>
      </c>
      <c r="I489" s="23" t="str">
        <f t="array" ref="I489">IF(OR(INDEX(Species_Availability,MATCH($N489,Species_Names,0))="No",INDEX(Species_Evo_Numbers,MATCH($N489,Species_Names,0))&lt;&gt;1),"N/A",RANK($S489,IF(NOT(ISNA(MATCH(Combo_Species_Names,IF(Species_Availability="Yes",IF(Species_Evo_Numbers=1,Species_Names)),0))),Combo_Gym_Offense),0))</f>
        <v>N/A</v>
      </c>
      <c r="J489" s="24" t="str">
        <f t="array" ref="J489">IF(OR(INDEX(Species_Availability,MATCH($N489,Species_Names,0))="No",INDEX(Species_Evo_Numbers,MATCH($N489,Species_Names,0))&lt;&gt;1),"N/A",$S489/MAX(IF(NOT(ISNA(MATCH(Combo_Species_Names,IF(Species_Availability="Yes",IF(Species_Evo_Numbers=1,Species_Names)),0))),Combo_Gym_Offense)))</f>
        <v>N/A</v>
      </c>
      <c r="K489" s="23" t="str">
        <f t="array" ref="K489">IF(OR(INDEX(Species_Availability,MATCH($N489,Species_Names,0))="No",INDEX(Species_Evo_Numbers,MATCH($N489,Species_Names,0))&lt;&gt;1),"N/A",RANK($Y489,IF(NOT(ISNA(MATCH(Combo_Species_Names,IF(Species_Availability="Yes",IF(Species_Evo_Numbers=1,Species_Names)),0))),Combo_Gym_Defense),0))</f>
        <v>N/A</v>
      </c>
      <c r="L489" s="24" t="str">
        <f t="array" ref="L489">IF(OR(INDEX(Species_Availability,MATCH($N489,Species_Names,0))="No",INDEX(Species_Evo_Numbers,MATCH($N489,Species_Names,0))&lt;&gt;1),"N/A",$Y489/MAX(IF(NOT(ISNA(MATCH(Combo_Species_Names,IF(Species_Availability="Yes",IF(Species_Evo_Numbers=1,Species_Names)),0))),Combo_Gym_Defense)))</f>
        <v>N/A</v>
      </c>
      <c r="M489" s="28">
        <f t="array" ref="M489">INDEX(Species_Pdex_Numbers,MATCH($N489,Species_Names,0))</f>
        <v>44</v>
      </c>
      <c r="N489" s="30" t="s">
        <v>179</v>
      </c>
      <c r="O489" s="31" t="s">
        <v>110</v>
      </c>
      <c r="P489" s="31" t="s">
        <v>185</v>
      </c>
      <c r="Q489" s="17" t="e">
        <f t="shared" si="14"/>
        <v>#VALUE!</v>
      </c>
      <c r="R489" s="32" t="e">
        <f t="array" ref="R489">IF(OR(AND(COUNTBLANK(Combo_Opponent_Type_1)=1,COUNTBLANK(Combo_Opponent_Type_2)=0),AND(AND(COUNTBLANK(Combo_Opponent_Type_1)=0,COUNTBLANK(Combo_Opponent_Type_2)=0),Combo_Opponent_Type_1=Combo_Opponent_Type_2)),
"Check Types",($S489*INDEX(Species_Tankiness,MATCH($N489,Species_Names,0)))/225)</f>
        <v>#VALUE!</v>
      </c>
      <c r="S489" s="32" t="e">
        <f t="array" ref="S489">IF(OR(AND(COUNTBLANK(Combo_Opponent_Type_1)=1,COUNTBLANK(Combo_Opponent_Type_2)=0),AND(AND(COUNTBLANK(Combo_Opponent_Type_1)=0,COUNTBLANK(Combo_Opponent_Type_2)=0),Combo_Opponent_Type_1=Combo_Opponent_Type_2)),
"Check Types",(
IF($W489&gt;=((1-Game_Weave_Human_Error)*$X489),$W489,$X489)*INDEX(Species_Attack,MATCH($N489,Species_Names,0)))/11)</f>
        <v>#VALUE!</v>
      </c>
      <c r="T489" s="33" t="e">
        <f t="shared" si="15"/>
        <v>#VALUE!</v>
      </c>
      <c r="U489" s="33">
        <f t="array" ref="U4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489,Quick_Names,0))),Type_Species)),0),1)*IF(COUNTBLANK(Combo_Opponent_Type_2)=0,INDEX(Type_Damage_Multipliers,MATCH(Combo_Opponent_Type_2,IF(Type_Move=(INDEX(Quick_Type,MATCH($O489,Quick_Names,0))),Type_Species)),0),1)*(IF(OR(INDEX(Quick_Type,MATCH($O489,Quick_Names,0))=INDEX(Species_Type_1,MATCH($N489,Species_Names,0)),INDEX(Quick_Type,MATCH($O489,Quick_Names,0))=INDEX(Species_Type_2,MATCH($N489,Species_Names,0))),Game_STAB_Multiplier,1)))</f>
        <v>1.25</v>
      </c>
      <c r="V489" s="33">
        <f t="array" ref="V4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489,Charge_Names,0))),Type_Species)),0),1)*IF(COUNTBLANK(Combo_Opponent_Type_2)=0,INDEX(Type_Damage_Multipliers,MATCH(Combo_Opponent_Type_2,IF(Type_Move=(INDEX(Charge_Type,MATCH($P489,Charge_Names,0))),Type_Species)),0),1)*
IF(OR(INDEX(Charge_Type,MATCH($P489,Charge_Names,0))=INDEX(Species_Type_1,MATCH($N489,Species_Names,0)),INDEX(Charge_Type,MATCH($P489,Charge_Names,0))=INDEX(Species_Type_2,MATCH($N489,Species_Names,0))),Game_STAB_Multiplier,1))</f>
        <v>1</v>
      </c>
      <c r="W489" s="33" t="s">
        <v>511</v>
      </c>
      <c r="X489" s="33" t="s">
        <v>630</v>
      </c>
      <c r="Y489" s="32" t="e">
        <f t="array" ref="Y489">((($Z489)*
INDEX(Species_Attack,MATCH($N489,Species_Names,0))*
INDEX(Species_Tankiness,MATCH($N489,Species_Names,0)))/1000)</f>
        <v>#VALUE!</v>
      </c>
      <c r="Z489" s="33" t="s">
        <v>452</v>
      </c>
    </row>
    <row r="490" spans="1:26" ht="14.25" customHeight="1" x14ac:dyDescent="0.2">
      <c r="A490" s="86"/>
      <c r="B490" s="22" t="str">
        <f t="array" ref="B490">CONCATENATE(TEXT($M490,"000"),".",TEXT(INDEX(Quick_Number,MATCH($O490,Quick_Names,0)),"000"),".",TEXT(INDEX(Charge_Number,MATCH($P490,Charge_Names,0)),"000"))</f>
        <v>070.225.090</v>
      </c>
      <c r="C490" s="23" t="e">
        <f t="array" ref="C490">RANK($S490,IF(Combo_Species_Names=$N490,Combo_Gym_Offense),0)</f>
        <v>#VALUE!</v>
      </c>
      <c r="D490" s="24" t="e">
        <f t="array" ref="D490">$S490/MAX(IF(Combo_Species_Names=$N490,Combo_Gym_Offense))</f>
        <v>#VALUE!</v>
      </c>
      <c r="E490" s="23" t="e">
        <f t="array" ref="E490">RANK($Y490,IF(Combo_Species_Names=$N490,Combo_Gym_Defense),0)</f>
        <v>#VALUE!</v>
      </c>
      <c r="F490" s="25" t="e">
        <f t="array" ref="F490">$Y490/MAX(IF(Combo_Species_Names=$N490,Combo_Gym_Defense))</f>
        <v>#VALUE!</v>
      </c>
      <c r="G490" s="23" t="str">
        <f t="array" ref="G490">IF(OR(INDEX(Species_Availability,MATCH($N490,Species_Names,0))="No",INDEX(Species_Evo_Numbers,MATCH($N490,Species_Names,0))&lt;&gt;1),"N/A",RANK($R490,IF(NOT(ISNA(MATCH(Combo_Species_Names,IF(Species_Availability="Yes",IF(Species_Evo_Numbers=1,Species_Names)),0))),Combo_Duel_Ability),0))</f>
        <v>N/A</v>
      </c>
      <c r="H490" s="24" t="str">
        <f t="array" ref="H490">IF(OR(INDEX(Species_Availability,MATCH($N490,Species_Names,0))="No",INDEX(Species_Evo_Numbers,MATCH($N490,Species_Names,0))&lt;&gt;1),"N/A",$R490/MAX(IF(NOT(ISNA(MATCH(Combo_Species_Names,IF(Species_Availability="Yes",IF(Species_Evo_Numbers=1,Species_Names)),0))),Combo_Duel_Ability)))</f>
        <v>N/A</v>
      </c>
      <c r="I490" s="23" t="str">
        <f t="array" ref="I490">IF(OR(INDEX(Species_Availability,MATCH($N490,Species_Names,0))="No",INDEX(Species_Evo_Numbers,MATCH($N490,Species_Names,0))&lt;&gt;1),"N/A",RANK($S490,IF(NOT(ISNA(MATCH(Combo_Species_Names,IF(Species_Availability="Yes",IF(Species_Evo_Numbers=1,Species_Names)),0))),Combo_Gym_Offense),0))</f>
        <v>N/A</v>
      </c>
      <c r="J490" s="24" t="str">
        <f t="array" ref="J490">IF(OR(INDEX(Species_Availability,MATCH($N490,Species_Names,0))="No",INDEX(Species_Evo_Numbers,MATCH($N490,Species_Names,0))&lt;&gt;1),"N/A",$S490/MAX(IF(NOT(ISNA(MATCH(Combo_Species_Names,IF(Species_Availability="Yes",IF(Species_Evo_Numbers=1,Species_Names)),0))),Combo_Gym_Offense)))</f>
        <v>N/A</v>
      </c>
      <c r="K490" s="23" t="str">
        <f t="array" ref="K490">IF(OR(INDEX(Species_Availability,MATCH($N490,Species_Names,0))="No",INDEX(Species_Evo_Numbers,MATCH($N490,Species_Names,0))&lt;&gt;1),"N/A",RANK($Y490,IF(NOT(ISNA(MATCH(Combo_Species_Names,IF(Species_Availability="Yes",IF(Species_Evo_Numbers=1,Species_Names)),0))),Combo_Gym_Defense),0))</f>
        <v>N/A</v>
      </c>
      <c r="L490" s="24" t="str">
        <f t="array" ref="L490">IF(OR(INDEX(Species_Availability,MATCH($N490,Species_Names,0))="No",INDEX(Species_Evo_Numbers,MATCH($N490,Species_Names,0))&lt;&gt;1),"N/A",$Y490/MAX(IF(NOT(ISNA(MATCH(Combo_Species_Names,IF(Species_Availability="Yes",IF(Species_Evo_Numbers=1,Species_Names)),0))),Combo_Gym_Defense)))</f>
        <v>N/A</v>
      </c>
      <c r="M490" s="28">
        <f t="array" ref="M490">INDEX(Species_Pdex_Numbers,MATCH($N490,Species_Names,0))</f>
        <v>70</v>
      </c>
      <c r="N490" s="30" t="s">
        <v>231</v>
      </c>
      <c r="O490" s="31" t="s">
        <v>110</v>
      </c>
      <c r="P490" s="31" t="s">
        <v>180</v>
      </c>
      <c r="Q490" s="17" t="e">
        <f t="shared" si="14"/>
        <v>#VALUE!</v>
      </c>
      <c r="R490" s="32" t="e">
        <f t="array" ref="R490">IF(OR(AND(COUNTBLANK(Combo_Opponent_Type_1)=1,COUNTBLANK(Combo_Opponent_Type_2)=0),AND(AND(COUNTBLANK(Combo_Opponent_Type_1)=0,COUNTBLANK(Combo_Opponent_Type_2)=0),Combo_Opponent_Type_1=Combo_Opponent_Type_2)),
"Check Types",($S490*INDEX(Species_Tankiness,MATCH($N490,Species_Names,0)))/225)</f>
        <v>#VALUE!</v>
      </c>
      <c r="S490" s="32" t="e">
        <f t="array" ref="S490">IF(OR(AND(COUNTBLANK(Combo_Opponent_Type_1)=1,COUNTBLANK(Combo_Opponent_Type_2)=0),AND(AND(COUNTBLANK(Combo_Opponent_Type_1)=0,COUNTBLANK(Combo_Opponent_Type_2)=0),Combo_Opponent_Type_1=Combo_Opponent_Type_2)),
"Check Types",(
IF($W490&gt;=((1-Game_Weave_Human_Error)*$X490),$W490,$X490)*INDEX(Species_Attack,MATCH($N490,Species_Names,0)))/11)</f>
        <v>#VALUE!</v>
      </c>
      <c r="T490" s="33" t="e">
        <f t="shared" si="15"/>
        <v>#VALUE!</v>
      </c>
      <c r="U490" s="33">
        <f t="array" ref="U4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490,Quick_Names,0))),Type_Species)),0),1)*IF(COUNTBLANK(Combo_Opponent_Type_2)=0,INDEX(Type_Damage_Multipliers,MATCH(Combo_Opponent_Type_2,IF(Type_Move=(INDEX(Quick_Type,MATCH($O490,Quick_Names,0))),Type_Species)),0),1)*(IF(OR(INDEX(Quick_Type,MATCH($O490,Quick_Names,0))=INDEX(Species_Type_1,MATCH($N490,Species_Names,0)),INDEX(Quick_Type,MATCH($O490,Quick_Names,0))=INDEX(Species_Type_2,MATCH($N490,Species_Names,0))),Game_STAB_Multiplier,1)))</f>
        <v>1.25</v>
      </c>
      <c r="V490" s="33">
        <f t="array" ref="V4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490,Charge_Names,0))),Type_Species)),0),1)*IF(COUNTBLANK(Combo_Opponent_Type_2)=0,INDEX(Type_Damage_Multipliers,MATCH(Combo_Opponent_Type_2,IF(Type_Move=(INDEX(Charge_Type,MATCH($P490,Charge_Names,0))),Type_Species)),0),1)*
IF(OR(INDEX(Charge_Type,MATCH($P490,Charge_Names,0))=INDEX(Species_Type_1,MATCH($N490,Species_Names,0)),INDEX(Charge_Type,MATCH($P490,Charge_Names,0))=INDEX(Species_Type_2,MATCH($N490,Species_Names,0))),Game_STAB_Multiplier,1))</f>
        <v>1.25</v>
      </c>
      <c r="W490" s="33" t="s">
        <v>511</v>
      </c>
      <c r="X490" s="33" t="s">
        <v>514</v>
      </c>
      <c r="Y490" s="32" t="e">
        <f t="array" ref="Y490">((($Z490)*
INDEX(Species_Attack,MATCH($N490,Species_Names,0))*
INDEX(Species_Tankiness,MATCH($N490,Species_Names,0)))/1000)</f>
        <v>#VALUE!</v>
      </c>
      <c r="Z490" s="33" t="s">
        <v>603</v>
      </c>
    </row>
    <row r="491" spans="1:26" ht="14.25" customHeight="1" x14ac:dyDescent="0.2">
      <c r="A491" s="86"/>
      <c r="B491" s="22" t="str">
        <f t="array" ref="B491">CONCATENATE(TEXT($M491,"000"),".",TEXT(INDEX(Quick_Number,MATCH($O491,Quick_Names,0)),"000"),".",TEXT(INDEX(Charge_Number,MATCH($P491,Charge_Names,0)),"000"))</f>
        <v>008.202.039</v>
      </c>
      <c r="C491" s="23" t="e">
        <f t="array" ref="C491">RANK($S491,IF(Combo_Species_Names=$N491,Combo_Gym_Offense),0)</f>
        <v>#VALUE!</v>
      </c>
      <c r="D491" s="24" t="e">
        <f t="array" ref="D491">$S491/MAX(IF(Combo_Species_Names=$N491,Combo_Gym_Offense))</f>
        <v>#VALUE!</v>
      </c>
      <c r="E491" s="23" t="e">
        <f t="array" ref="E491">RANK($Y491,IF(Combo_Species_Names=$N491,Combo_Gym_Defense),0)</f>
        <v>#VALUE!</v>
      </c>
      <c r="F491" s="25" t="e">
        <f t="array" ref="F491">$Y491/MAX(IF(Combo_Species_Names=$N491,Combo_Gym_Defense))</f>
        <v>#VALUE!</v>
      </c>
      <c r="G491" s="23" t="str">
        <f t="array" ref="G491">IF(OR(INDEX(Species_Availability,MATCH($N491,Species_Names,0))="No",INDEX(Species_Evo_Numbers,MATCH($N491,Species_Names,0))&lt;&gt;1),"N/A",RANK($R491,IF(NOT(ISNA(MATCH(Combo_Species_Names,IF(Species_Availability="Yes",IF(Species_Evo_Numbers=1,Species_Names)),0))),Combo_Duel_Ability),0))</f>
        <v>N/A</v>
      </c>
      <c r="H491" s="24" t="str">
        <f t="array" ref="H491">IF(OR(INDEX(Species_Availability,MATCH($N491,Species_Names,0))="No",INDEX(Species_Evo_Numbers,MATCH($N491,Species_Names,0))&lt;&gt;1),"N/A",$R491/MAX(IF(NOT(ISNA(MATCH(Combo_Species_Names,IF(Species_Availability="Yes",IF(Species_Evo_Numbers=1,Species_Names)),0))),Combo_Duel_Ability)))</f>
        <v>N/A</v>
      </c>
      <c r="I491" s="23" t="str">
        <f t="array" ref="I491">IF(OR(INDEX(Species_Availability,MATCH($N491,Species_Names,0))="No",INDEX(Species_Evo_Numbers,MATCH($N491,Species_Names,0))&lt;&gt;1),"N/A",RANK($S491,IF(NOT(ISNA(MATCH(Combo_Species_Names,IF(Species_Availability="Yes",IF(Species_Evo_Numbers=1,Species_Names)),0))),Combo_Gym_Offense),0))</f>
        <v>N/A</v>
      </c>
      <c r="J491" s="24" t="str">
        <f t="array" ref="J491">IF(OR(INDEX(Species_Availability,MATCH($N491,Species_Names,0))="No",INDEX(Species_Evo_Numbers,MATCH($N491,Species_Names,0))&lt;&gt;1),"N/A",$S491/MAX(IF(NOT(ISNA(MATCH(Combo_Species_Names,IF(Species_Availability="Yes",IF(Species_Evo_Numbers=1,Species_Names)),0))),Combo_Gym_Offense)))</f>
        <v>N/A</v>
      </c>
      <c r="K491" s="23" t="str">
        <f t="array" ref="K491">IF(OR(INDEX(Species_Availability,MATCH($N491,Species_Names,0))="No",INDEX(Species_Evo_Numbers,MATCH($N491,Species_Names,0))&lt;&gt;1),"N/A",RANK($Y491,IF(NOT(ISNA(MATCH(Combo_Species_Names,IF(Species_Availability="Yes",IF(Species_Evo_Numbers=1,Species_Names)),0))),Combo_Gym_Defense),0))</f>
        <v>N/A</v>
      </c>
      <c r="L491" s="24" t="str">
        <f t="array" ref="L491">IF(OR(INDEX(Species_Availability,MATCH($N491,Species_Names,0))="No",INDEX(Species_Evo_Numbers,MATCH($N491,Species_Names,0))&lt;&gt;1),"N/A",$Y491/MAX(IF(NOT(ISNA(MATCH(Combo_Species_Names,IF(Species_Availability="Yes",IF(Species_Evo_Numbers=1,Species_Names)),0))),Combo_Gym_Defense)))</f>
        <v>N/A</v>
      </c>
      <c r="M491" s="28">
        <f t="array" ref="M491">INDEX(Species_Pdex_Numbers,MATCH($N491,Species_Names,0))</f>
        <v>8</v>
      </c>
      <c r="N491" s="30" t="s">
        <v>90</v>
      </c>
      <c r="O491" s="31" t="s">
        <v>59</v>
      </c>
      <c r="P491" s="31" t="s">
        <v>209</v>
      </c>
      <c r="Q491" s="17" t="e">
        <f t="shared" si="14"/>
        <v>#VALUE!</v>
      </c>
      <c r="R491" s="32" t="e">
        <f t="array" ref="R491">IF(OR(AND(COUNTBLANK(Combo_Opponent_Type_1)=1,COUNTBLANK(Combo_Opponent_Type_2)=0),AND(AND(COUNTBLANK(Combo_Opponent_Type_1)=0,COUNTBLANK(Combo_Opponent_Type_2)=0),Combo_Opponent_Type_1=Combo_Opponent_Type_2)),
"Check Types",($S491*INDEX(Species_Tankiness,MATCH($N491,Species_Names,0)))/225)</f>
        <v>#VALUE!</v>
      </c>
      <c r="S491" s="32" t="e">
        <f t="array" ref="S491">IF(OR(AND(COUNTBLANK(Combo_Opponent_Type_1)=1,COUNTBLANK(Combo_Opponent_Type_2)=0),AND(AND(COUNTBLANK(Combo_Opponent_Type_1)=0,COUNTBLANK(Combo_Opponent_Type_2)=0),Combo_Opponent_Type_1=Combo_Opponent_Type_2)),
"Check Types",(
IF($W491&gt;=((1-Game_Weave_Human_Error)*$X491),$W491,$X491)*INDEX(Species_Attack,MATCH($N491,Species_Names,0)))/11)</f>
        <v>#VALUE!</v>
      </c>
      <c r="T491" s="33" t="e">
        <f t="shared" si="15"/>
        <v>#VALUE!</v>
      </c>
      <c r="U491" s="33">
        <f t="array" ref="U4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491,Quick_Names,0))),Type_Species)),0),1)*IF(COUNTBLANK(Combo_Opponent_Type_2)=0,INDEX(Type_Damage_Multipliers,MATCH(Combo_Opponent_Type_2,IF(Type_Move=(INDEX(Quick_Type,MATCH($O491,Quick_Names,0))),Type_Species)),0),1)*(IF(OR(INDEX(Quick_Type,MATCH($O491,Quick_Names,0))=INDEX(Species_Type_1,MATCH($N491,Species_Names,0)),INDEX(Quick_Type,MATCH($O491,Quick_Names,0))=INDEX(Species_Type_2,MATCH($N491,Species_Names,0))),Game_STAB_Multiplier,1)))</f>
        <v>1</v>
      </c>
      <c r="V491" s="33">
        <f t="array" ref="V4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491,Charge_Names,0))),Type_Species)),0),1)*IF(COUNTBLANK(Combo_Opponent_Type_2)=0,INDEX(Type_Damage_Multipliers,MATCH(Combo_Opponent_Type_2,IF(Type_Move=(INDEX(Charge_Type,MATCH($P491,Charge_Names,0))),Type_Species)),0),1)*
IF(OR(INDEX(Charge_Type,MATCH($P491,Charge_Names,0))=INDEX(Species_Type_1,MATCH($N491,Species_Names,0)),INDEX(Charge_Type,MATCH($P491,Charge_Names,0))=INDEX(Species_Type_2,MATCH($N491,Species_Names,0))),Game_STAB_Multiplier,1))</f>
        <v>1</v>
      </c>
      <c r="W491" s="33" t="s">
        <v>453</v>
      </c>
      <c r="X491" s="33" t="s">
        <v>558</v>
      </c>
      <c r="Y491" s="32" t="e">
        <f t="array" ref="Y491">((($Z491)*
INDEX(Species_Attack,MATCH($N491,Species_Names,0))*
INDEX(Species_Tankiness,MATCH($N491,Species_Names,0)))/1000)</f>
        <v>#VALUE!</v>
      </c>
      <c r="Z491" s="33" t="s">
        <v>533</v>
      </c>
    </row>
    <row r="492" spans="1:26" ht="14.25" customHeight="1" x14ac:dyDescent="0.2">
      <c r="A492" s="86"/>
      <c r="B492" s="22" t="str">
        <f t="array" ref="B492">CONCATENATE(TEXT($M492,"000"),".",TEXT(INDEX(Quick_Number,MATCH($O492,Quick_Names,0)),"000"),".",TEXT(INDEX(Charge_Number,MATCH($P492,Charge_Names,0)),"000"))</f>
        <v>030.202.090</v>
      </c>
      <c r="C492" s="23" t="e">
        <f t="array" ref="C492">RANK($S492,IF(Combo_Species_Names=$N492,Combo_Gym_Offense),0)</f>
        <v>#VALUE!</v>
      </c>
      <c r="D492" s="24" t="e">
        <f t="array" ref="D492">$S492/MAX(IF(Combo_Species_Names=$N492,Combo_Gym_Offense))</f>
        <v>#VALUE!</v>
      </c>
      <c r="E492" s="23" t="e">
        <f t="array" ref="E492">RANK($Y492,IF(Combo_Species_Names=$N492,Combo_Gym_Defense),0)</f>
        <v>#VALUE!</v>
      </c>
      <c r="F492" s="25" t="e">
        <f t="array" ref="F492">$Y492/MAX(IF(Combo_Species_Names=$N492,Combo_Gym_Defense))</f>
        <v>#VALUE!</v>
      </c>
      <c r="G492" s="23" t="str">
        <f t="array" ref="G492">IF(OR(INDEX(Species_Availability,MATCH($N492,Species_Names,0))="No",INDEX(Species_Evo_Numbers,MATCH($N492,Species_Names,0))&lt;&gt;1),"N/A",RANK($R492,IF(NOT(ISNA(MATCH(Combo_Species_Names,IF(Species_Availability="Yes",IF(Species_Evo_Numbers=1,Species_Names)),0))),Combo_Duel_Ability),0))</f>
        <v>N/A</v>
      </c>
      <c r="H492" s="24" t="str">
        <f t="array" ref="H492">IF(OR(INDEX(Species_Availability,MATCH($N492,Species_Names,0))="No",INDEX(Species_Evo_Numbers,MATCH($N492,Species_Names,0))&lt;&gt;1),"N/A",$R492/MAX(IF(NOT(ISNA(MATCH(Combo_Species_Names,IF(Species_Availability="Yes",IF(Species_Evo_Numbers=1,Species_Names)),0))),Combo_Duel_Ability)))</f>
        <v>N/A</v>
      </c>
      <c r="I492" s="23" t="str">
        <f t="array" ref="I492">IF(OR(INDEX(Species_Availability,MATCH($N492,Species_Names,0))="No",INDEX(Species_Evo_Numbers,MATCH($N492,Species_Names,0))&lt;&gt;1),"N/A",RANK($S492,IF(NOT(ISNA(MATCH(Combo_Species_Names,IF(Species_Availability="Yes",IF(Species_Evo_Numbers=1,Species_Names)),0))),Combo_Gym_Offense),0))</f>
        <v>N/A</v>
      </c>
      <c r="J492" s="24" t="str">
        <f t="array" ref="J492">IF(OR(INDEX(Species_Availability,MATCH($N492,Species_Names,0))="No",INDEX(Species_Evo_Numbers,MATCH($N492,Species_Names,0))&lt;&gt;1),"N/A",$S492/MAX(IF(NOT(ISNA(MATCH(Combo_Species_Names,IF(Species_Availability="Yes",IF(Species_Evo_Numbers=1,Species_Names)),0))),Combo_Gym_Offense)))</f>
        <v>N/A</v>
      </c>
      <c r="K492" s="23" t="str">
        <f t="array" ref="K492">IF(OR(INDEX(Species_Availability,MATCH($N492,Species_Names,0))="No",INDEX(Species_Evo_Numbers,MATCH($N492,Species_Names,0))&lt;&gt;1),"N/A",RANK($Y492,IF(NOT(ISNA(MATCH(Combo_Species_Names,IF(Species_Availability="Yes",IF(Species_Evo_Numbers=1,Species_Names)),0))),Combo_Gym_Defense),0))</f>
        <v>N/A</v>
      </c>
      <c r="L492" s="24" t="str">
        <f t="array" ref="L492">IF(OR(INDEX(Species_Availability,MATCH($N492,Species_Names,0))="No",INDEX(Species_Evo_Numbers,MATCH($N492,Species_Names,0))&lt;&gt;1),"N/A",$Y492/MAX(IF(NOT(ISNA(MATCH(Combo_Species_Names,IF(Species_Availability="Yes",IF(Species_Evo_Numbers=1,Species_Names)),0))),Combo_Gym_Defense)))</f>
        <v>N/A</v>
      </c>
      <c r="M492" s="28">
        <f t="array" ref="M492">INDEX(Species_Pdex_Numbers,MATCH($N492,Species_Names,0))</f>
        <v>30</v>
      </c>
      <c r="N492" s="30" t="s">
        <v>150</v>
      </c>
      <c r="O492" s="31" t="s">
        <v>59</v>
      </c>
      <c r="P492" s="31" t="s">
        <v>180</v>
      </c>
      <c r="Q492" s="17" t="e">
        <f t="shared" si="14"/>
        <v>#VALUE!</v>
      </c>
      <c r="R492" s="32" t="e">
        <f t="array" ref="R492">IF(OR(AND(COUNTBLANK(Combo_Opponent_Type_1)=1,COUNTBLANK(Combo_Opponent_Type_2)=0),AND(AND(COUNTBLANK(Combo_Opponent_Type_1)=0,COUNTBLANK(Combo_Opponent_Type_2)=0),Combo_Opponent_Type_1=Combo_Opponent_Type_2)),
"Check Types",($S492*INDEX(Species_Tankiness,MATCH($N492,Species_Names,0)))/225)</f>
        <v>#VALUE!</v>
      </c>
      <c r="S492" s="32" t="e">
        <f t="array" ref="S492">IF(OR(AND(COUNTBLANK(Combo_Opponent_Type_1)=1,COUNTBLANK(Combo_Opponent_Type_2)=0),AND(AND(COUNTBLANK(Combo_Opponent_Type_1)=0,COUNTBLANK(Combo_Opponent_Type_2)=0),Combo_Opponent_Type_1=Combo_Opponent_Type_2)),
"Check Types",(
IF($W492&gt;=((1-Game_Weave_Human_Error)*$X492),$W492,$X492)*INDEX(Species_Attack,MATCH($N492,Species_Names,0)))/11)</f>
        <v>#VALUE!</v>
      </c>
      <c r="T492" s="33" t="e">
        <f t="shared" si="15"/>
        <v>#VALUE!</v>
      </c>
      <c r="U492" s="33">
        <f t="array" ref="U4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492,Quick_Names,0))),Type_Species)),0),1)*IF(COUNTBLANK(Combo_Opponent_Type_2)=0,INDEX(Type_Damage_Multipliers,MATCH(Combo_Opponent_Type_2,IF(Type_Move=(INDEX(Quick_Type,MATCH($O492,Quick_Names,0))),Type_Species)),0),1)*(IF(OR(INDEX(Quick_Type,MATCH($O492,Quick_Names,0))=INDEX(Species_Type_1,MATCH($N492,Species_Names,0)),INDEX(Quick_Type,MATCH($O492,Quick_Names,0))=INDEX(Species_Type_2,MATCH($N492,Species_Names,0))),Game_STAB_Multiplier,1)))</f>
        <v>1</v>
      </c>
      <c r="V492" s="33">
        <f t="array" ref="V4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492,Charge_Names,0))),Type_Species)),0),1)*IF(COUNTBLANK(Combo_Opponent_Type_2)=0,INDEX(Type_Damage_Multipliers,MATCH(Combo_Opponent_Type_2,IF(Type_Move=(INDEX(Charge_Type,MATCH($P492,Charge_Names,0))),Type_Species)),0),1)*
IF(OR(INDEX(Charge_Type,MATCH($P492,Charge_Names,0))=INDEX(Species_Type_1,MATCH($N492,Species_Names,0)),INDEX(Charge_Type,MATCH($P492,Charge_Names,0))=INDEX(Species_Type_2,MATCH($N492,Species_Names,0))),Game_STAB_Multiplier,1))</f>
        <v>1.25</v>
      </c>
      <c r="W492" s="33" t="s">
        <v>453</v>
      </c>
      <c r="X492" s="33" t="s">
        <v>569</v>
      </c>
      <c r="Y492" s="32" t="e">
        <f t="array" ref="Y492">((($Z492)*
INDEX(Species_Attack,MATCH($N492,Species_Names,0))*
INDEX(Species_Tankiness,MATCH($N492,Species_Names,0)))/1000)</f>
        <v>#VALUE!</v>
      </c>
      <c r="Z492" s="33" t="s">
        <v>473</v>
      </c>
    </row>
    <row r="493" spans="1:26" ht="14.25" customHeight="1" x14ac:dyDescent="0.2">
      <c r="A493" s="86"/>
      <c r="B493" s="22" t="str">
        <f t="array" ref="B493">CONCATENATE(TEXT($M493,"000"),".",TEXT(INDEX(Quick_Number,MATCH($O493,Quick_Names,0)),"000"),".",TEXT(INDEX(Charge_Number,MATCH($P493,Charge_Names,0)),"000"))</f>
        <v>070.225.118</v>
      </c>
      <c r="C493" s="23" t="e">
        <f t="array" ref="C493">RANK($S493,IF(Combo_Species_Names=$N493,Combo_Gym_Offense),0)</f>
        <v>#VALUE!</v>
      </c>
      <c r="D493" s="24" t="e">
        <f t="array" ref="D493">$S493/MAX(IF(Combo_Species_Names=$N493,Combo_Gym_Offense))</f>
        <v>#VALUE!</v>
      </c>
      <c r="E493" s="23" t="e">
        <f t="array" ref="E493">RANK($Y493,IF(Combo_Species_Names=$N493,Combo_Gym_Defense),0)</f>
        <v>#VALUE!</v>
      </c>
      <c r="F493" s="25" t="e">
        <f t="array" ref="F493">$Y493/MAX(IF(Combo_Species_Names=$N493,Combo_Gym_Defense))</f>
        <v>#VALUE!</v>
      </c>
      <c r="G493" s="23" t="str">
        <f t="array" ref="G493">IF(OR(INDEX(Species_Availability,MATCH($N493,Species_Names,0))="No",INDEX(Species_Evo_Numbers,MATCH($N493,Species_Names,0))&lt;&gt;1),"N/A",RANK($R493,IF(NOT(ISNA(MATCH(Combo_Species_Names,IF(Species_Availability="Yes",IF(Species_Evo_Numbers=1,Species_Names)),0))),Combo_Duel_Ability),0))</f>
        <v>N/A</v>
      </c>
      <c r="H493" s="24" t="str">
        <f t="array" ref="H493">IF(OR(INDEX(Species_Availability,MATCH($N493,Species_Names,0))="No",INDEX(Species_Evo_Numbers,MATCH($N493,Species_Names,0))&lt;&gt;1),"N/A",$R493/MAX(IF(NOT(ISNA(MATCH(Combo_Species_Names,IF(Species_Availability="Yes",IF(Species_Evo_Numbers=1,Species_Names)),0))),Combo_Duel_Ability)))</f>
        <v>N/A</v>
      </c>
      <c r="I493" s="23" t="str">
        <f t="array" ref="I493">IF(OR(INDEX(Species_Availability,MATCH($N493,Species_Names,0))="No",INDEX(Species_Evo_Numbers,MATCH($N493,Species_Names,0))&lt;&gt;1),"N/A",RANK($S493,IF(NOT(ISNA(MATCH(Combo_Species_Names,IF(Species_Availability="Yes",IF(Species_Evo_Numbers=1,Species_Names)),0))),Combo_Gym_Offense),0))</f>
        <v>N/A</v>
      </c>
      <c r="J493" s="24" t="str">
        <f t="array" ref="J493">IF(OR(INDEX(Species_Availability,MATCH($N493,Species_Names,0))="No",INDEX(Species_Evo_Numbers,MATCH($N493,Species_Names,0))&lt;&gt;1),"N/A",$S493/MAX(IF(NOT(ISNA(MATCH(Combo_Species_Names,IF(Species_Availability="Yes",IF(Species_Evo_Numbers=1,Species_Names)),0))),Combo_Gym_Offense)))</f>
        <v>N/A</v>
      </c>
      <c r="K493" s="23" t="str">
        <f t="array" ref="K493">IF(OR(INDEX(Species_Availability,MATCH($N493,Species_Names,0))="No",INDEX(Species_Evo_Numbers,MATCH($N493,Species_Names,0))&lt;&gt;1),"N/A",RANK($Y493,IF(NOT(ISNA(MATCH(Combo_Species_Names,IF(Species_Availability="Yes",IF(Species_Evo_Numbers=1,Species_Names)),0))),Combo_Gym_Defense),0))</f>
        <v>N/A</v>
      </c>
      <c r="L493" s="24" t="str">
        <f t="array" ref="L493">IF(OR(INDEX(Species_Availability,MATCH($N493,Species_Names,0))="No",INDEX(Species_Evo_Numbers,MATCH($N493,Species_Names,0))&lt;&gt;1),"N/A",$Y493/MAX(IF(NOT(ISNA(MATCH(Combo_Species_Names,IF(Species_Availability="Yes",IF(Species_Evo_Numbers=1,Species_Names)),0))),Combo_Gym_Defense)))</f>
        <v>N/A</v>
      </c>
      <c r="M493" s="28">
        <f t="array" ref="M493">INDEX(Species_Pdex_Numbers,MATCH($N493,Species_Names,0))</f>
        <v>70</v>
      </c>
      <c r="N493" s="30" t="s">
        <v>231</v>
      </c>
      <c r="O493" s="31" t="s">
        <v>110</v>
      </c>
      <c r="P493" s="31" t="s">
        <v>165</v>
      </c>
      <c r="Q493" s="17" t="e">
        <f t="shared" si="14"/>
        <v>#VALUE!</v>
      </c>
      <c r="R493" s="32" t="e">
        <f t="array" ref="R493">IF(OR(AND(COUNTBLANK(Combo_Opponent_Type_1)=1,COUNTBLANK(Combo_Opponent_Type_2)=0),AND(AND(COUNTBLANK(Combo_Opponent_Type_1)=0,COUNTBLANK(Combo_Opponent_Type_2)=0),Combo_Opponent_Type_1=Combo_Opponent_Type_2)),
"Check Types",($S493*INDEX(Species_Tankiness,MATCH($N493,Species_Names,0)))/225)</f>
        <v>#VALUE!</v>
      </c>
      <c r="S493" s="32" t="e">
        <f t="array" ref="S493">IF(OR(AND(COUNTBLANK(Combo_Opponent_Type_1)=1,COUNTBLANK(Combo_Opponent_Type_2)=0),AND(AND(COUNTBLANK(Combo_Opponent_Type_1)=0,COUNTBLANK(Combo_Opponent_Type_2)=0),Combo_Opponent_Type_1=Combo_Opponent_Type_2)),
"Check Types",(
IF($W493&gt;=((1-Game_Weave_Human_Error)*$X493),$W493,$X493)*INDEX(Species_Attack,MATCH($N493,Species_Names,0)))/11)</f>
        <v>#VALUE!</v>
      </c>
      <c r="T493" s="33" t="e">
        <f t="shared" si="15"/>
        <v>#VALUE!</v>
      </c>
      <c r="U493" s="33">
        <f t="array" ref="U4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493,Quick_Names,0))),Type_Species)),0),1)*IF(COUNTBLANK(Combo_Opponent_Type_2)=0,INDEX(Type_Damage_Multipliers,MATCH(Combo_Opponent_Type_2,IF(Type_Move=(INDEX(Quick_Type,MATCH($O493,Quick_Names,0))),Type_Species)),0),1)*(IF(OR(INDEX(Quick_Type,MATCH($O493,Quick_Names,0))=INDEX(Species_Type_1,MATCH($N493,Species_Names,0)),INDEX(Quick_Type,MATCH($O493,Quick_Names,0))=INDEX(Species_Type_2,MATCH($N493,Species_Names,0))),Game_STAB_Multiplier,1)))</f>
        <v>1.25</v>
      </c>
      <c r="V493" s="33">
        <f t="array" ref="V4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493,Charge_Names,0))),Type_Species)),0),1)*IF(COUNTBLANK(Combo_Opponent_Type_2)=0,INDEX(Type_Damage_Multipliers,MATCH(Combo_Opponent_Type_2,IF(Type_Move=(INDEX(Charge_Type,MATCH($P493,Charge_Names,0))),Type_Species)),0),1)*
IF(OR(INDEX(Charge_Type,MATCH($P493,Charge_Names,0))=INDEX(Species_Type_1,MATCH($N493,Species_Names,0)),INDEX(Charge_Type,MATCH($P493,Charge_Names,0))=INDEX(Species_Type_2,MATCH($N493,Species_Names,0))),Game_STAB_Multiplier,1))</f>
        <v>1.25</v>
      </c>
      <c r="W493" s="33" t="s">
        <v>511</v>
      </c>
      <c r="X493" s="33" t="s">
        <v>954</v>
      </c>
      <c r="Y493" s="32" t="e">
        <f t="array" ref="Y493">((($Z493)*
INDEX(Species_Attack,MATCH($N493,Species_Names,0))*
INDEX(Species_Tankiness,MATCH($N493,Species_Names,0)))/1000)</f>
        <v>#VALUE!</v>
      </c>
      <c r="Z493" s="33" t="s">
        <v>744</v>
      </c>
    </row>
    <row r="494" spans="1:26" ht="14.25" customHeight="1" x14ac:dyDescent="0.2">
      <c r="A494" s="86"/>
      <c r="B494" s="22" t="str">
        <f t="array" ref="B494">CONCATENATE(TEXT($M494,"000"),".",TEXT(INDEX(Quick_Number,MATCH($O494,Quick_Names,0)),"000"),".",TEXT(INDEX(Charge_Number,MATCH($P494,Charge_Names,0)),"000"))</f>
        <v>075.227.032</v>
      </c>
      <c r="C494" s="23" t="e">
        <f t="array" ref="C494">RANK($S494,IF(Combo_Species_Names=$N494,Combo_Gym_Offense),0)</f>
        <v>#VALUE!</v>
      </c>
      <c r="D494" s="24" t="e">
        <f t="array" ref="D494">$S494/MAX(IF(Combo_Species_Names=$N494,Combo_Gym_Offense))</f>
        <v>#VALUE!</v>
      </c>
      <c r="E494" s="23" t="e">
        <f t="array" ref="E494">RANK($Y494,IF(Combo_Species_Names=$N494,Combo_Gym_Defense),0)</f>
        <v>#VALUE!</v>
      </c>
      <c r="F494" s="25" t="e">
        <f t="array" ref="F494">$Y494/MAX(IF(Combo_Species_Names=$N494,Combo_Gym_Defense))</f>
        <v>#VALUE!</v>
      </c>
      <c r="G494" s="23" t="str">
        <f t="array" ref="G494">IF(OR(INDEX(Species_Availability,MATCH($N494,Species_Names,0))="No",INDEX(Species_Evo_Numbers,MATCH($N494,Species_Names,0))&lt;&gt;1),"N/A",RANK($R494,IF(NOT(ISNA(MATCH(Combo_Species_Names,IF(Species_Availability="Yes",IF(Species_Evo_Numbers=1,Species_Names)),0))),Combo_Duel_Ability),0))</f>
        <v>N/A</v>
      </c>
      <c r="H494" s="24" t="str">
        <f t="array" ref="H494">IF(OR(INDEX(Species_Availability,MATCH($N494,Species_Names,0))="No",INDEX(Species_Evo_Numbers,MATCH($N494,Species_Names,0))&lt;&gt;1),"N/A",$R494/MAX(IF(NOT(ISNA(MATCH(Combo_Species_Names,IF(Species_Availability="Yes",IF(Species_Evo_Numbers=1,Species_Names)),0))),Combo_Duel_Ability)))</f>
        <v>N/A</v>
      </c>
      <c r="I494" s="23" t="str">
        <f t="array" ref="I494">IF(OR(INDEX(Species_Availability,MATCH($N494,Species_Names,0))="No",INDEX(Species_Evo_Numbers,MATCH($N494,Species_Names,0))&lt;&gt;1),"N/A",RANK($S494,IF(NOT(ISNA(MATCH(Combo_Species_Names,IF(Species_Availability="Yes",IF(Species_Evo_Numbers=1,Species_Names)),0))),Combo_Gym_Offense),0))</f>
        <v>N/A</v>
      </c>
      <c r="J494" s="24" t="str">
        <f t="array" ref="J494">IF(OR(INDEX(Species_Availability,MATCH($N494,Species_Names,0))="No",INDEX(Species_Evo_Numbers,MATCH($N494,Species_Names,0))&lt;&gt;1),"N/A",$S494/MAX(IF(NOT(ISNA(MATCH(Combo_Species_Names,IF(Species_Availability="Yes",IF(Species_Evo_Numbers=1,Species_Names)),0))),Combo_Gym_Offense)))</f>
        <v>N/A</v>
      </c>
      <c r="K494" s="23" t="str">
        <f t="array" ref="K494">IF(OR(INDEX(Species_Availability,MATCH($N494,Species_Names,0))="No",INDEX(Species_Evo_Numbers,MATCH($N494,Species_Names,0))&lt;&gt;1),"N/A",RANK($Y494,IF(NOT(ISNA(MATCH(Combo_Species_Names,IF(Species_Availability="Yes",IF(Species_Evo_Numbers=1,Species_Names)),0))),Combo_Gym_Defense),0))</f>
        <v>N/A</v>
      </c>
      <c r="L494" s="24" t="str">
        <f t="array" ref="L494">IF(OR(INDEX(Species_Availability,MATCH($N494,Species_Names,0))="No",INDEX(Species_Evo_Numbers,MATCH($N494,Species_Names,0))&lt;&gt;1),"N/A",$Y494/MAX(IF(NOT(ISNA(MATCH(Combo_Species_Names,IF(Species_Availability="Yes",IF(Species_Evo_Numbers=1,Species_Names)),0))),Combo_Gym_Defense)))</f>
        <v>N/A</v>
      </c>
      <c r="M494" s="28">
        <f t="array" ref="M494">INDEX(Species_Pdex_Numbers,MATCH($N494,Species_Names,0))</f>
        <v>75</v>
      </c>
      <c r="N494" s="30" t="s">
        <v>242</v>
      </c>
      <c r="O494" s="31" t="s">
        <v>112</v>
      </c>
      <c r="P494" s="31" t="s">
        <v>149</v>
      </c>
      <c r="Q494" s="17" t="e">
        <f t="shared" si="14"/>
        <v>#VALUE!</v>
      </c>
      <c r="R494" s="32" t="e">
        <f t="array" ref="R494">IF(OR(AND(COUNTBLANK(Combo_Opponent_Type_1)=1,COUNTBLANK(Combo_Opponent_Type_2)=0),AND(AND(COUNTBLANK(Combo_Opponent_Type_1)=0,COUNTBLANK(Combo_Opponent_Type_2)=0),Combo_Opponent_Type_1=Combo_Opponent_Type_2)),
"Check Types",($S494*INDEX(Species_Tankiness,MATCH($N494,Species_Names,0)))/225)</f>
        <v>#VALUE!</v>
      </c>
      <c r="S494" s="32" t="e">
        <f t="array" ref="S494">IF(OR(AND(COUNTBLANK(Combo_Opponent_Type_1)=1,COUNTBLANK(Combo_Opponent_Type_2)=0),AND(AND(COUNTBLANK(Combo_Opponent_Type_1)=0,COUNTBLANK(Combo_Opponent_Type_2)=0),Combo_Opponent_Type_1=Combo_Opponent_Type_2)),
"Check Types",(
IF($W494&gt;=((1-Game_Weave_Human_Error)*$X494),$W494,$X494)*INDEX(Species_Attack,MATCH($N494,Species_Names,0)))/11)</f>
        <v>#VALUE!</v>
      </c>
      <c r="T494" s="33" t="e">
        <f t="shared" si="15"/>
        <v>#VALUE!</v>
      </c>
      <c r="U494" s="33">
        <f t="array" ref="U4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494,Quick_Names,0))),Type_Species)),0),1)*IF(COUNTBLANK(Combo_Opponent_Type_2)=0,INDEX(Type_Damage_Multipliers,MATCH(Combo_Opponent_Type_2,IF(Type_Move=(INDEX(Quick_Type,MATCH($O494,Quick_Names,0))),Type_Species)),0),1)*(IF(OR(INDEX(Quick_Type,MATCH($O494,Quick_Names,0))=INDEX(Species_Type_1,MATCH($N494,Species_Names,0)),INDEX(Quick_Type,MATCH($O494,Quick_Names,0))=INDEX(Species_Type_2,MATCH($N494,Species_Names,0))),Game_STAB_Multiplier,1)))</f>
        <v>1.25</v>
      </c>
      <c r="V494" s="33">
        <f t="array" ref="V4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494,Charge_Names,0))),Type_Species)),0),1)*IF(COUNTBLANK(Combo_Opponent_Type_2)=0,INDEX(Type_Damage_Multipliers,MATCH(Combo_Opponent_Type_2,IF(Type_Move=(INDEX(Charge_Type,MATCH($P494,Charge_Names,0))),Type_Species)),0),1)*
IF(OR(INDEX(Charge_Type,MATCH($P494,Charge_Names,0))=INDEX(Species_Type_1,MATCH($N494,Species_Names,0)),INDEX(Charge_Type,MATCH($P494,Charge_Names,0))=INDEX(Species_Type_2,MATCH($N494,Species_Names,0))),Game_STAB_Multiplier,1))</f>
        <v>1.25</v>
      </c>
      <c r="W494" s="33" t="s">
        <v>548</v>
      </c>
      <c r="X494" s="33" t="s">
        <v>549</v>
      </c>
      <c r="Y494" s="32" t="e">
        <f t="array" ref="Y494">((($Z494)*
INDEX(Species_Attack,MATCH($N494,Species_Names,0))*
INDEX(Species_Tankiness,MATCH($N494,Species_Names,0)))/1000)</f>
        <v>#VALUE!</v>
      </c>
      <c r="Z494" s="33" t="s">
        <v>550</v>
      </c>
    </row>
    <row r="495" spans="1:26" ht="14.25" customHeight="1" x14ac:dyDescent="0.2">
      <c r="A495" s="86"/>
      <c r="B495" s="22" t="str">
        <f t="array" ref="B495">CONCATENATE(TEXT($M495,"000"),".",TEXT(INDEX(Quick_Number,MATCH($O495,Quick_Names,0)),"000"),".",TEXT(INDEX(Charge_Number,MATCH($P495,Charge_Names,0)),"000"))</f>
        <v>005.220.024</v>
      </c>
      <c r="C495" s="23" t="e">
        <f t="array" ref="C495">RANK($S495,IF(Combo_Species_Names=$N495,Combo_Gym_Offense),0)</f>
        <v>#VALUE!</v>
      </c>
      <c r="D495" s="24" t="e">
        <f t="array" ref="D495">$S495/MAX(IF(Combo_Species_Names=$N495,Combo_Gym_Offense))</f>
        <v>#VALUE!</v>
      </c>
      <c r="E495" s="23" t="e">
        <f t="array" ref="E495">RANK($Y495,IF(Combo_Species_Names=$N495,Combo_Gym_Defense),0)</f>
        <v>#VALUE!</v>
      </c>
      <c r="F495" s="25" t="e">
        <f t="array" ref="F495">$Y495/MAX(IF(Combo_Species_Names=$N495,Combo_Gym_Defense))</f>
        <v>#VALUE!</v>
      </c>
      <c r="G495" s="23" t="str">
        <f t="array" ref="G495">IF(OR(INDEX(Species_Availability,MATCH($N495,Species_Names,0))="No",INDEX(Species_Evo_Numbers,MATCH($N495,Species_Names,0))&lt;&gt;1),"N/A",RANK($R495,IF(NOT(ISNA(MATCH(Combo_Species_Names,IF(Species_Availability="Yes",IF(Species_Evo_Numbers=1,Species_Names)),0))),Combo_Duel_Ability),0))</f>
        <v>N/A</v>
      </c>
      <c r="H495" s="24" t="str">
        <f t="array" ref="H495">IF(OR(INDEX(Species_Availability,MATCH($N495,Species_Names,0))="No",INDEX(Species_Evo_Numbers,MATCH($N495,Species_Names,0))&lt;&gt;1),"N/A",$R495/MAX(IF(NOT(ISNA(MATCH(Combo_Species_Names,IF(Species_Availability="Yes",IF(Species_Evo_Numbers=1,Species_Names)),0))),Combo_Duel_Ability)))</f>
        <v>N/A</v>
      </c>
      <c r="I495" s="23" t="str">
        <f t="array" ref="I495">IF(OR(INDEX(Species_Availability,MATCH($N495,Species_Names,0))="No",INDEX(Species_Evo_Numbers,MATCH($N495,Species_Names,0))&lt;&gt;1),"N/A",RANK($S495,IF(NOT(ISNA(MATCH(Combo_Species_Names,IF(Species_Availability="Yes",IF(Species_Evo_Numbers=1,Species_Names)),0))),Combo_Gym_Offense),0))</f>
        <v>N/A</v>
      </c>
      <c r="J495" s="24" t="str">
        <f t="array" ref="J495">IF(OR(INDEX(Species_Availability,MATCH($N495,Species_Names,0))="No",INDEX(Species_Evo_Numbers,MATCH($N495,Species_Names,0))&lt;&gt;1),"N/A",$S495/MAX(IF(NOT(ISNA(MATCH(Combo_Species_Names,IF(Species_Availability="Yes",IF(Species_Evo_Numbers=1,Species_Names)),0))),Combo_Gym_Offense)))</f>
        <v>N/A</v>
      </c>
      <c r="K495" s="23" t="str">
        <f t="array" ref="K495">IF(OR(INDEX(Species_Availability,MATCH($N495,Species_Names,0))="No",INDEX(Species_Evo_Numbers,MATCH($N495,Species_Names,0))&lt;&gt;1),"N/A",RANK($Y495,IF(NOT(ISNA(MATCH(Combo_Species_Names,IF(Species_Availability="Yes",IF(Species_Evo_Numbers=1,Species_Names)),0))),Combo_Gym_Defense),0))</f>
        <v>N/A</v>
      </c>
      <c r="L495" s="24" t="str">
        <f t="array" ref="L495">IF(OR(INDEX(Species_Availability,MATCH($N495,Species_Names,0))="No",INDEX(Species_Evo_Numbers,MATCH($N495,Species_Names,0))&lt;&gt;1),"N/A",$Y495/MAX(IF(NOT(ISNA(MATCH(Combo_Species_Names,IF(Species_Availability="Yes",IF(Species_Evo_Numbers=1,Species_Names)),0))),Combo_Gym_Defense)))</f>
        <v>N/A</v>
      </c>
      <c r="M495" s="28">
        <f t="array" ref="M495">INDEX(Species_Pdex_Numbers,MATCH($N495,Species_Names,0))</f>
        <v>5</v>
      </c>
      <c r="N495" s="30" t="s">
        <v>78</v>
      </c>
      <c r="O495" s="31" t="s">
        <v>64</v>
      </c>
      <c r="P495" s="31" t="s">
        <v>200</v>
      </c>
      <c r="Q495" s="17" t="e">
        <f t="shared" si="14"/>
        <v>#VALUE!</v>
      </c>
      <c r="R495" s="32" t="e">
        <f t="array" ref="R495">IF(OR(AND(COUNTBLANK(Combo_Opponent_Type_1)=1,COUNTBLANK(Combo_Opponent_Type_2)=0),AND(AND(COUNTBLANK(Combo_Opponent_Type_1)=0,COUNTBLANK(Combo_Opponent_Type_2)=0),Combo_Opponent_Type_1=Combo_Opponent_Type_2)),
"Check Types",($S495*INDEX(Species_Tankiness,MATCH($N495,Species_Names,0)))/225)</f>
        <v>#VALUE!</v>
      </c>
      <c r="S495" s="32" t="e">
        <f t="array" ref="S495">IF(OR(AND(COUNTBLANK(Combo_Opponent_Type_1)=1,COUNTBLANK(Combo_Opponent_Type_2)=0),AND(AND(COUNTBLANK(Combo_Opponent_Type_1)=0,COUNTBLANK(Combo_Opponent_Type_2)=0),Combo_Opponent_Type_1=Combo_Opponent_Type_2)),
"Check Types",(
IF($W495&gt;=((1-Game_Weave_Human_Error)*$X495),$W495,$X495)*INDEX(Species_Attack,MATCH($N495,Species_Names,0)))/11)</f>
        <v>#VALUE!</v>
      </c>
      <c r="T495" s="33" t="e">
        <f t="shared" si="15"/>
        <v>#VALUE!</v>
      </c>
      <c r="U495" s="33">
        <f t="array" ref="U4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495,Quick_Names,0))),Type_Species)),0),1)*IF(COUNTBLANK(Combo_Opponent_Type_2)=0,INDEX(Type_Damage_Multipliers,MATCH(Combo_Opponent_Type_2,IF(Type_Move=(INDEX(Quick_Type,MATCH($O495,Quick_Names,0))),Type_Species)),0),1)*(IF(OR(INDEX(Quick_Type,MATCH($O495,Quick_Names,0))=INDEX(Species_Type_1,MATCH($N495,Species_Names,0)),INDEX(Quick_Type,MATCH($O495,Quick_Names,0))=INDEX(Species_Type_2,MATCH($N495,Species_Names,0))),Game_STAB_Multiplier,1)))</f>
        <v>1</v>
      </c>
      <c r="V495" s="33">
        <f t="array" ref="V4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495,Charge_Names,0))),Type_Species)),0),1)*IF(COUNTBLANK(Combo_Opponent_Type_2)=0,INDEX(Type_Damage_Multipliers,MATCH(Combo_Opponent_Type_2,IF(Type_Move=(INDEX(Charge_Type,MATCH($P495,Charge_Names,0))),Type_Species)),0),1)*
IF(OR(INDEX(Charge_Type,MATCH($P495,Charge_Names,0))=INDEX(Species_Type_1,MATCH($N495,Species_Names,0)),INDEX(Charge_Type,MATCH($P495,Charge_Names,0))=INDEX(Species_Type_2,MATCH($N495,Species_Names,0))),Game_STAB_Multiplier,1))</f>
        <v>1.25</v>
      </c>
      <c r="W495" s="33" t="s">
        <v>453</v>
      </c>
      <c r="X495" s="33" t="s">
        <v>472</v>
      </c>
      <c r="Y495" s="32" t="e">
        <f t="array" ref="Y495">((($Z495)*
INDEX(Species_Attack,MATCH($N495,Species_Names,0))*
INDEX(Species_Tankiness,MATCH($N495,Species_Names,0)))/1000)</f>
        <v>#VALUE!</v>
      </c>
      <c r="Z495" s="33" t="s">
        <v>473</v>
      </c>
    </row>
    <row r="496" spans="1:26" ht="14.25" customHeight="1" x14ac:dyDescent="0.2">
      <c r="A496" s="86"/>
      <c r="B496" s="22" t="str">
        <f t="array" ref="B496">CONCATENATE(TEXT($M496,"000"),".",TEXT(INDEX(Quick_Number,MATCH($O496,Quick_Names,0)),"000"),".",TEXT(INDEX(Charge_Number,MATCH($P496,Charge_Names,0)),"000"))</f>
        <v>067.208.054</v>
      </c>
      <c r="C496" s="23" t="e">
        <f t="array" ref="C496">RANK($S496,IF(Combo_Species_Names=$N496,Combo_Gym_Offense),0)</f>
        <v>#VALUE!</v>
      </c>
      <c r="D496" s="24" t="e">
        <f t="array" ref="D496">$S496/MAX(IF(Combo_Species_Names=$N496,Combo_Gym_Offense))</f>
        <v>#VALUE!</v>
      </c>
      <c r="E496" s="23" t="e">
        <f t="array" ref="E496">RANK($Y496,IF(Combo_Species_Names=$N496,Combo_Gym_Defense),0)</f>
        <v>#VALUE!</v>
      </c>
      <c r="F496" s="25" t="e">
        <f t="array" ref="F496">$Y496/MAX(IF(Combo_Species_Names=$N496,Combo_Gym_Defense))</f>
        <v>#VALUE!</v>
      </c>
      <c r="G496" s="23" t="str">
        <f t="array" ref="G496">IF(OR(INDEX(Species_Availability,MATCH($N496,Species_Names,0))="No",INDEX(Species_Evo_Numbers,MATCH($N496,Species_Names,0))&lt;&gt;1),"N/A",RANK($R496,IF(NOT(ISNA(MATCH(Combo_Species_Names,IF(Species_Availability="Yes",IF(Species_Evo_Numbers=1,Species_Names)),0))),Combo_Duel_Ability),0))</f>
        <v>N/A</v>
      </c>
      <c r="H496" s="24" t="str">
        <f t="array" ref="H496">IF(OR(INDEX(Species_Availability,MATCH($N496,Species_Names,0))="No",INDEX(Species_Evo_Numbers,MATCH($N496,Species_Names,0))&lt;&gt;1),"N/A",$R496/MAX(IF(NOT(ISNA(MATCH(Combo_Species_Names,IF(Species_Availability="Yes",IF(Species_Evo_Numbers=1,Species_Names)),0))),Combo_Duel_Ability)))</f>
        <v>N/A</v>
      </c>
      <c r="I496" s="23" t="str">
        <f t="array" ref="I496">IF(OR(INDEX(Species_Availability,MATCH($N496,Species_Names,0))="No",INDEX(Species_Evo_Numbers,MATCH($N496,Species_Names,0))&lt;&gt;1),"N/A",RANK($S496,IF(NOT(ISNA(MATCH(Combo_Species_Names,IF(Species_Availability="Yes",IF(Species_Evo_Numbers=1,Species_Names)),0))),Combo_Gym_Offense),0))</f>
        <v>N/A</v>
      </c>
      <c r="J496" s="24" t="str">
        <f t="array" ref="J496">IF(OR(INDEX(Species_Availability,MATCH($N496,Species_Names,0))="No",INDEX(Species_Evo_Numbers,MATCH($N496,Species_Names,0))&lt;&gt;1),"N/A",$S496/MAX(IF(NOT(ISNA(MATCH(Combo_Species_Names,IF(Species_Availability="Yes",IF(Species_Evo_Numbers=1,Species_Names)),0))),Combo_Gym_Offense)))</f>
        <v>N/A</v>
      </c>
      <c r="K496" s="23" t="str">
        <f t="array" ref="K496">IF(OR(INDEX(Species_Availability,MATCH($N496,Species_Names,0))="No",INDEX(Species_Evo_Numbers,MATCH($N496,Species_Names,0))&lt;&gt;1),"N/A",RANK($Y496,IF(NOT(ISNA(MATCH(Combo_Species_Names,IF(Species_Availability="Yes",IF(Species_Evo_Numbers=1,Species_Names)),0))),Combo_Gym_Defense),0))</f>
        <v>N/A</v>
      </c>
      <c r="L496" s="24" t="str">
        <f t="array" ref="L496">IF(OR(INDEX(Species_Availability,MATCH($N496,Species_Names,0))="No",INDEX(Species_Evo_Numbers,MATCH($N496,Species_Names,0))&lt;&gt;1),"N/A",$Y496/MAX(IF(NOT(ISNA(MATCH(Combo_Species_Names,IF(Species_Availability="Yes",IF(Species_Evo_Numbers=1,Species_Names)),0))),Combo_Gym_Defense)))</f>
        <v>N/A</v>
      </c>
      <c r="M496" s="28">
        <f t="array" ref="M496">INDEX(Species_Pdex_Numbers,MATCH($N496,Species_Names,0))</f>
        <v>67</v>
      </c>
      <c r="N496" s="30" t="s">
        <v>225</v>
      </c>
      <c r="O496" s="31" t="s">
        <v>122</v>
      </c>
      <c r="P496" s="31" t="s">
        <v>243</v>
      </c>
      <c r="Q496" s="17" t="e">
        <f t="shared" si="14"/>
        <v>#VALUE!</v>
      </c>
      <c r="R496" s="32" t="e">
        <f t="array" ref="R496">IF(OR(AND(COUNTBLANK(Combo_Opponent_Type_1)=1,COUNTBLANK(Combo_Opponent_Type_2)=0),AND(AND(COUNTBLANK(Combo_Opponent_Type_1)=0,COUNTBLANK(Combo_Opponent_Type_2)=0),Combo_Opponent_Type_1=Combo_Opponent_Type_2)),
"Check Types",($S496*INDEX(Species_Tankiness,MATCH($N496,Species_Names,0)))/225)</f>
        <v>#VALUE!</v>
      </c>
      <c r="S496" s="32" t="e">
        <f t="array" ref="S496">IF(OR(AND(COUNTBLANK(Combo_Opponent_Type_1)=1,COUNTBLANK(Combo_Opponent_Type_2)=0),AND(AND(COUNTBLANK(Combo_Opponent_Type_1)=0,COUNTBLANK(Combo_Opponent_Type_2)=0),Combo_Opponent_Type_1=Combo_Opponent_Type_2)),
"Check Types",(
IF($W496&gt;=((1-Game_Weave_Human_Error)*$X496),$W496,$X496)*INDEX(Species_Attack,MATCH($N496,Species_Names,0)))/11)</f>
        <v>#VALUE!</v>
      </c>
      <c r="T496" s="33" t="e">
        <f t="shared" si="15"/>
        <v>#VALUE!</v>
      </c>
      <c r="U496" s="33">
        <f t="array" ref="U4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496,Quick_Names,0))),Type_Species)),0),1)*IF(COUNTBLANK(Combo_Opponent_Type_2)=0,INDEX(Type_Damage_Multipliers,MATCH(Combo_Opponent_Type_2,IF(Type_Move=(INDEX(Quick_Type,MATCH($O496,Quick_Names,0))),Type_Species)),0),1)*(IF(OR(INDEX(Quick_Type,MATCH($O496,Quick_Names,0))=INDEX(Species_Type_1,MATCH($N496,Species_Names,0)),INDEX(Quick_Type,MATCH($O496,Quick_Names,0))=INDEX(Species_Type_2,MATCH($N496,Species_Names,0))),Game_STAB_Multiplier,1)))</f>
        <v>1.25</v>
      </c>
      <c r="V496" s="33">
        <f t="array" ref="V4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496,Charge_Names,0))),Type_Species)),0),1)*IF(COUNTBLANK(Combo_Opponent_Type_2)=0,INDEX(Type_Damage_Multipliers,MATCH(Combo_Opponent_Type_2,IF(Type_Move=(INDEX(Charge_Type,MATCH($P496,Charge_Names,0))),Type_Species)),0),1)*
IF(OR(INDEX(Charge_Type,MATCH($P496,Charge_Names,0))=INDEX(Species_Type_1,MATCH($N496,Species_Names,0)),INDEX(Charge_Type,MATCH($P496,Charge_Names,0))=INDEX(Species_Type_2,MATCH($N496,Species_Names,0))),Game_STAB_Multiplier,1))</f>
        <v>1.25</v>
      </c>
      <c r="W496" s="33" t="s">
        <v>564</v>
      </c>
      <c r="X496" s="33" t="s">
        <v>652</v>
      </c>
      <c r="Y496" s="32" t="e">
        <f t="array" ref="Y496">((($Z496)*
INDEX(Species_Attack,MATCH($N496,Species_Names,0))*
INDEX(Species_Tankiness,MATCH($N496,Species_Names,0)))/1000)</f>
        <v>#VALUE!</v>
      </c>
      <c r="Z496" s="33" t="s">
        <v>653</v>
      </c>
    </row>
    <row r="497" spans="1:26" ht="14.25" customHeight="1" x14ac:dyDescent="0.2">
      <c r="A497" s="86"/>
      <c r="B497" s="22" t="str">
        <f t="array" ref="B497">CONCATENATE(TEXT($M497,"000"),".",TEXT(INDEX(Quick_Number,MATCH($O497,Quick_Names,0)),"000"),".",TEXT(INDEX(Charge_Number,MATCH($P497,Charge_Names,0)),"000"))</f>
        <v>070.215.059</v>
      </c>
      <c r="C497" s="23" t="e">
        <f t="array" ref="C497">RANK($S497,IF(Combo_Species_Names=$N497,Combo_Gym_Offense),0)</f>
        <v>#VALUE!</v>
      </c>
      <c r="D497" s="24" t="e">
        <f t="array" ref="D497">$S497/MAX(IF(Combo_Species_Names=$N497,Combo_Gym_Offense))</f>
        <v>#VALUE!</v>
      </c>
      <c r="E497" s="23" t="e">
        <f t="array" ref="E497">RANK($Y497,IF(Combo_Species_Names=$N497,Combo_Gym_Defense),0)</f>
        <v>#VALUE!</v>
      </c>
      <c r="F497" s="25" t="e">
        <f t="array" ref="F497">$Y497/MAX(IF(Combo_Species_Names=$N497,Combo_Gym_Defense))</f>
        <v>#VALUE!</v>
      </c>
      <c r="G497" s="23" t="str">
        <f t="array" ref="G497">IF(OR(INDEX(Species_Availability,MATCH($N497,Species_Names,0))="No",INDEX(Species_Evo_Numbers,MATCH($N497,Species_Names,0))&lt;&gt;1),"N/A",RANK($R497,IF(NOT(ISNA(MATCH(Combo_Species_Names,IF(Species_Availability="Yes",IF(Species_Evo_Numbers=1,Species_Names)),0))),Combo_Duel_Ability),0))</f>
        <v>N/A</v>
      </c>
      <c r="H497" s="24" t="str">
        <f t="array" ref="H497">IF(OR(INDEX(Species_Availability,MATCH($N497,Species_Names,0))="No",INDEX(Species_Evo_Numbers,MATCH($N497,Species_Names,0))&lt;&gt;1),"N/A",$R497/MAX(IF(NOT(ISNA(MATCH(Combo_Species_Names,IF(Species_Availability="Yes",IF(Species_Evo_Numbers=1,Species_Names)),0))),Combo_Duel_Ability)))</f>
        <v>N/A</v>
      </c>
      <c r="I497" s="23" t="str">
        <f t="array" ref="I497">IF(OR(INDEX(Species_Availability,MATCH($N497,Species_Names,0))="No",INDEX(Species_Evo_Numbers,MATCH($N497,Species_Names,0))&lt;&gt;1),"N/A",RANK($S497,IF(NOT(ISNA(MATCH(Combo_Species_Names,IF(Species_Availability="Yes",IF(Species_Evo_Numbers=1,Species_Names)),0))),Combo_Gym_Offense),0))</f>
        <v>N/A</v>
      </c>
      <c r="J497" s="24" t="str">
        <f t="array" ref="J497">IF(OR(INDEX(Species_Availability,MATCH($N497,Species_Names,0))="No",INDEX(Species_Evo_Numbers,MATCH($N497,Species_Names,0))&lt;&gt;1),"N/A",$S497/MAX(IF(NOT(ISNA(MATCH(Combo_Species_Names,IF(Species_Availability="Yes",IF(Species_Evo_Numbers=1,Species_Names)),0))),Combo_Gym_Offense)))</f>
        <v>N/A</v>
      </c>
      <c r="K497" s="23" t="str">
        <f t="array" ref="K497">IF(OR(INDEX(Species_Availability,MATCH($N497,Species_Names,0))="No",INDEX(Species_Evo_Numbers,MATCH($N497,Species_Names,0))&lt;&gt;1),"N/A",RANK($Y497,IF(NOT(ISNA(MATCH(Combo_Species_Names,IF(Species_Availability="Yes",IF(Species_Evo_Numbers=1,Species_Names)),0))),Combo_Gym_Defense),0))</f>
        <v>N/A</v>
      </c>
      <c r="L497" s="24" t="str">
        <f t="array" ref="L497">IF(OR(INDEX(Species_Availability,MATCH($N497,Species_Names,0))="No",INDEX(Species_Evo_Numbers,MATCH($N497,Species_Names,0))&lt;&gt;1),"N/A",$Y497/MAX(IF(NOT(ISNA(MATCH(Combo_Species_Names,IF(Species_Availability="Yes",IF(Species_Evo_Numbers=1,Species_Names)),0))),Combo_Gym_Defense)))</f>
        <v>N/A</v>
      </c>
      <c r="M497" s="28">
        <f t="array" ref="M497">INDEX(Species_Pdex_Numbers,MATCH($N497,Species_Names,0))</f>
        <v>70</v>
      </c>
      <c r="N497" s="30" t="s">
        <v>231</v>
      </c>
      <c r="O497" s="31" t="s">
        <v>102</v>
      </c>
      <c r="P497" s="31" t="s">
        <v>213</v>
      </c>
      <c r="Q497" s="17" t="e">
        <f t="shared" si="14"/>
        <v>#VALUE!</v>
      </c>
      <c r="R497" s="32" t="e">
        <f t="array" ref="R497">IF(OR(AND(COUNTBLANK(Combo_Opponent_Type_1)=1,COUNTBLANK(Combo_Opponent_Type_2)=0),AND(AND(COUNTBLANK(Combo_Opponent_Type_1)=0,COUNTBLANK(Combo_Opponent_Type_2)=0),Combo_Opponent_Type_1=Combo_Opponent_Type_2)),
"Check Types",($S497*INDEX(Species_Tankiness,MATCH($N497,Species_Names,0)))/225)</f>
        <v>#VALUE!</v>
      </c>
      <c r="S497" s="32" t="e">
        <f t="array" ref="S497">IF(OR(AND(COUNTBLANK(Combo_Opponent_Type_1)=1,COUNTBLANK(Combo_Opponent_Type_2)=0),AND(AND(COUNTBLANK(Combo_Opponent_Type_1)=0,COUNTBLANK(Combo_Opponent_Type_2)=0),Combo_Opponent_Type_1=Combo_Opponent_Type_2)),
"Check Types",(
IF($W497&gt;=((1-Game_Weave_Human_Error)*$X497),$W497,$X497)*INDEX(Species_Attack,MATCH($N497,Species_Names,0)))/11)</f>
        <v>#VALUE!</v>
      </c>
      <c r="T497" s="33" t="e">
        <f t="shared" si="15"/>
        <v>#VALUE!</v>
      </c>
      <c r="U497" s="33">
        <f t="array" ref="U4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497,Quick_Names,0))),Type_Species)),0),1)*IF(COUNTBLANK(Combo_Opponent_Type_2)=0,INDEX(Type_Damage_Multipliers,MATCH(Combo_Opponent_Type_2,IF(Type_Move=(INDEX(Quick_Type,MATCH($O497,Quick_Names,0))),Type_Species)),0),1)*(IF(OR(INDEX(Quick_Type,MATCH($O497,Quick_Names,0))=INDEX(Species_Type_1,MATCH($N497,Species_Names,0)),INDEX(Quick_Type,MATCH($O497,Quick_Names,0))=INDEX(Species_Type_2,MATCH($N497,Species_Names,0))),Game_STAB_Multiplier,1)))</f>
        <v>1.25</v>
      </c>
      <c r="V497" s="33">
        <f t="array" ref="V4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497,Charge_Names,0))),Type_Species)),0),1)*IF(COUNTBLANK(Combo_Opponent_Type_2)=0,INDEX(Type_Damage_Multipliers,MATCH(Combo_Opponent_Type_2,IF(Type_Move=(INDEX(Charge_Type,MATCH($P497,Charge_Names,0))),Type_Species)),0),1)*
IF(OR(INDEX(Charge_Type,MATCH($P497,Charge_Names,0))=INDEX(Species_Type_1,MATCH($N497,Species_Names,0)),INDEX(Charge_Type,MATCH($P497,Charge_Names,0))=INDEX(Species_Type_2,MATCH($N497,Species_Names,0))),Game_STAB_Multiplier,1))</f>
        <v>1.25</v>
      </c>
      <c r="W497" s="33" t="s">
        <v>501</v>
      </c>
      <c r="X497" s="33" t="s">
        <v>955</v>
      </c>
      <c r="Y497" s="32" t="e">
        <f t="array" ref="Y497">((($Z497)*
INDEX(Species_Attack,MATCH($N497,Species_Names,0))*
INDEX(Species_Tankiness,MATCH($N497,Species_Names,0)))/1000)</f>
        <v>#VALUE!</v>
      </c>
      <c r="Z497" s="33" t="s">
        <v>517</v>
      </c>
    </row>
    <row r="498" spans="1:26" ht="14.25" customHeight="1" x14ac:dyDescent="0.2">
      <c r="A498" s="86"/>
      <c r="B498" s="22" t="str">
        <f t="array" ref="B498">CONCATENATE(TEXT($M498,"000"),".",TEXT(INDEX(Quick_Number,MATCH($O498,Quick_Names,0)),"000"),".",TEXT(INDEX(Charge_Number,MATCH($P498,Charge_Names,0)),"000"))</f>
        <v>005.209.024</v>
      </c>
      <c r="C498" s="23" t="e">
        <f t="array" ref="C498">RANK($S498,IF(Combo_Species_Names=$N498,Combo_Gym_Offense),0)</f>
        <v>#VALUE!</v>
      </c>
      <c r="D498" s="24" t="e">
        <f t="array" ref="D498">$S498/MAX(IF(Combo_Species_Names=$N498,Combo_Gym_Offense))</f>
        <v>#VALUE!</v>
      </c>
      <c r="E498" s="23" t="e">
        <f t="array" ref="E498">RANK($Y498,IF(Combo_Species_Names=$N498,Combo_Gym_Defense),0)</f>
        <v>#VALUE!</v>
      </c>
      <c r="F498" s="25" t="e">
        <f t="array" ref="F498">$Y498/MAX(IF(Combo_Species_Names=$N498,Combo_Gym_Defense))</f>
        <v>#VALUE!</v>
      </c>
      <c r="G498" s="23" t="str">
        <f t="array" ref="G498">IF(OR(INDEX(Species_Availability,MATCH($N498,Species_Names,0))="No",INDEX(Species_Evo_Numbers,MATCH($N498,Species_Names,0))&lt;&gt;1),"N/A",RANK($R498,IF(NOT(ISNA(MATCH(Combo_Species_Names,IF(Species_Availability="Yes",IF(Species_Evo_Numbers=1,Species_Names)),0))),Combo_Duel_Ability),0))</f>
        <v>N/A</v>
      </c>
      <c r="H498" s="24" t="str">
        <f t="array" ref="H498">IF(OR(INDEX(Species_Availability,MATCH($N498,Species_Names,0))="No",INDEX(Species_Evo_Numbers,MATCH($N498,Species_Names,0))&lt;&gt;1),"N/A",$R498/MAX(IF(NOT(ISNA(MATCH(Combo_Species_Names,IF(Species_Availability="Yes",IF(Species_Evo_Numbers=1,Species_Names)),0))),Combo_Duel_Ability)))</f>
        <v>N/A</v>
      </c>
      <c r="I498" s="23" t="str">
        <f t="array" ref="I498">IF(OR(INDEX(Species_Availability,MATCH($N498,Species_Names,0))="No",INDEX(Species_Evo_Numbers,MATCH($N498,Species_Names,0))&lt;&gt;1),"N/A",RANK($S498,IF(NOT(ISNA(MATCH(Combo_Species_Names,IF(Species_Availability="Yes",IF(Species_Evo_Numbers=1,Species_Names)),0))),Combo_Gym_Offense),0))</f>
        <v>N/A</v>
      </c>
      <c r="J498" s="24" t="str">
        <f t="array" ref="J498">IF(OR(INDEX(Species_Availability,MATCH($N498,Species_Names,0))="No",INDEX(Species_Evo_Numbers,MATCH($N498,Species_Names,0))&lt;&gt;1),"N/A",$S498/MAX(IF(NOT(ISNA(MATCH(Combo_Species_Names,IF(Species_Availability="Yes",IF(Species_Evo_Numbers=1,Species_Names)),0))),Combo_Gym_Offense)))</f>
        <v>N/A</v>
      </c>
      <c r="K498" s="23" t="str">
        <f t="array" ref="K498">IF(OR(INDEX(Species_Availability,MATCH($N498,Species_Names,0))="No",INDEX(Species_Evo_Numbers,MATCH($N498,Species_Names,0))&lt;&gt;1),"N/A",RANK($Y498,IF(NOT(ISNA(MATCH(Combo_Species_Names,IF(Species_Availability="Yes",IF(Species_Evo_Numbers=1,Species_Names)),0))),Combo_Gym_Defense),0))</f>
        <v>N/A</v>
      </c>
      <c r="L498" s="24" t="str">
        <f t="array" ref="L498">IF(OR(INDEX(Species_Availability,MATCH($N498,Species_Names,0))="No",INDEX(Species_Evo_Numbers,MATCH($N498,Species_Names,0))&lt;&gt;1),"N/A",$Y498/MAX(IF(NOT(ISNA(MATCH(Combo_Species_Names,IF(Species_Availability="Yes",IF(Species_Evo_Numbers=1,Species_Names)),0))),Combo_Gym_Defense)))</f>
        <v>N/A</v>
      </c>
      <c r="M498" s="28">
        <f t="array" ref="M498">INDEX(Species_Pdex_Numbers,MATCH($N498,Species_Names,0))</f>
        <v>5</v>
      </c>
      <c r="N498" s="30" t="s">
        <v>78</v>
      </c>
      <c r="O498" s="31" t="s">
        <v>111</v>
      </c>
      <c r="P498" s="31" t="s">
        <v>200</v>
      </c>
      <c r="Q498" s="17" t="e">
        <f t="shared" si="14"/>
        <v>#VALUE!</v>
      </c>
      <c r="R498" s="32" t="e">
        <f t="array" ref="R498">IF(OR(AND(COUNTBLANK(Combo_Opponent_Type_1)=1,COUNTBLANK(Combo_Opponent_Type_2)=0),AND(AND(COUNTBLANK(Combo_Opponent_Type_1)=0,COUNTBLANK(Combo_Opponent_Type_2)=0),Combo_Opponent_Type_1=Combo_Opponent_Type_2)),
"Check Types",($S498*INDEX(Species_Tankiness,MATCH($N498,Species_Names,0)))/225)</f>
        <v>#VALUE!</v>
      </c>
      <c r="S498" s="32" t="e">
        <f t="array" ref="S498">IF(OR(AND(COUNTBLANK(Combo_Opponent_Type_1)=1,COUNTBLANK(Combo_Opponent_Type_2)=0),AND(AND(COUNTBLANK(Combo_Opponent_Type_1)=0,COUNTBLANK(Combo_Opponent_Type_2)=0),Combo_Opponent_Type_1=Combo_Opponent_Type_2)),
"Check Types",(
IF($W498&gt;=((1-Game_Weave_Human_Error)*$X498),$W498,$X498)*INDEX(Species_Attack,MATCH($N498,Species_Names,0)))/11)</f>
        <v>#VALUE!</v>
      </c>
      <c r="T498" s="33" t="e">
        <f t="shared" si="15"/>
        <v>#VALUE!</v>
      </c>
      <c r="U498" s="33">
        <f t="array" ref="U4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498,Quick_Names,0))),Type_Species)),0),1)*IF(COUNTBLANK(Combo_Opponent_Type_2)=0,INDEX(Type_Damage_Multipliers,MATCH(Combo_Opponent_Type_2,IF(Type_Move=(INDEX(Quick_Type,MATCH($O498,Quick_Names,0))),Type_Species)),0),1)*(IF(OR(INDEX(Quick_Type,MATCH($O498,Quick_Names,0))=INDEX(Species_Type_1,MATCH($N498,Species_Names,0)),INDEX(Quick_Type,MATCH($O498,Quick_Names,0))=INDEX(Species_Type_2,MATCH($N498,Species_Names,0))),Game_STAB_Multiplier,1)))</f>
        <v>1.25</v>
      </c>
      <c r="V498" s="33">
        <f t="array" ref="V4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498,Charge_Names,0))),Type_Species)),0),1)*IF(COUNTBLANK(Combo_Opponent_Type_2)=0,INDEX(Type_Damage_Multipliers,MATCH(Combo_Opponent_Type_2,IF(Type_Move=(INDEX(Charge_Type,MATCH($P498,Charge_Names,0))),Type_Species)),0),1)*
IF(OR(INDEX(Charge_Type,MATCH($P498,Charge_Names,0))=INDEX(Species_Type_1,MATCH($N498,Species_Names,0)),INDEX(Charge_Type,MATCH($P498,Charge_Names,0))=INDEX(Species_Type_2,MATCH($N498,Species_Names,0))),Game_STAB_Multiplier,1))</f>
        <v>1.25</v>
      </c>
      <c r="W498" s="33" t="s">
        <v>511</v>
      </c>
      <c r="X498" s="33" t="s">
        <v>560</v>
      </c>
      <c r="Y498" s="32" t="e">
        <f t="array" ref="Y498">((($Z498)*
INDEX(Species_Attack,MATCH($N498,Species_Names,0))*
INDEX(Species_Tankiness,MATCH($N498,Species_Names,0)))/1000)</f>
        <v>#VALUE!</v>
      </c>
      <c r="Z498" s="33" t="s">
        <v>561</v>
      </c>
    </row>
    <row r="499" spans="1:26" ht="14.25" customHeight="1" x14ac:dyDescent="0.2">
      <c r="A499" s="86"/>
      <c r="B499" s="22" t="str">
        <f t="array" ref="B499">CONCATENATE(TEXT($M499,"000"),".",TEXT(INDEX(Quick_Number,MATCH($O499,Quick_Names,0)),"000"),".",TEXT(INDEX(Charge_Number,MATCH($P499,Charge_Names,0)),"000"))</f>
        <v>079.230.108</v>
      </c>
      <c r="C499" s="23" t="e">
        <f t="array" ref="C499">RANK($S499,IF(Combo_Species_Names=$N499,Combo_Gym_Offense),0)</f>
        <v>#VALUE!</v>
      </c>
      <c r="D499" s="24" t="e">
        <f t="array" ref="D499">$S499/MAX(IF(Combo_Species_Names=$N499,Combo_Gym_Offense))</f>
        <v>#VALUE!</v>
      </c>
      <c r="E499" s="23" t="e">
        <f t="array" ref="E499">RANK($Y499,IF(Combo_Species_Names=$N499,Combo_Gym_Defense),0)</f>
        <v>#VALUE!</v>
      </c>
      <c r="F499" s="25" t="e">
        <f t="array" ref="F499">$Y499/MAX(IF(Combo_Species_Names=$N499,Combo_Gym_Defense))</f>
        <v>#VALUE!</v>
      </c>
      <c r="G499" s="23" t="str">
        <f t="array" ref="G499">IF(OR(INDEX(Species_Availability,MATCH($N499,Species_Names,0))="No",INDEX(Species_Evo_Numbers,MATCH($N499,Species_Names,0))&lt;&gt;1),"N/A",RANK($R499,IF(NOT(ISNA(MATCH(Combo_Species_Names,IF(Species_Availability="Yes",IF(Species_Evo_Numbers=1,Species_Names)),0))),Combo_Duel_Ability),0))</f>
        <v>N/A</v>
      </c>
      <c r="H499" s="24" t="str">
        <f t="array" ref="H499">IF(OR(INDEX(Species_Availability,MATCH($N499,Species_Names,0))="No",INDEX(Species_Evo_Numbers,MATCH($N499,Species_Names,0))&lt;&gt;1),"N/A",$R499/MAX(IF(NOT(ISNA(MATCH(Combo_Species_Names,IF(Species_Availability="Yes",IF(Species_Evo_Numbers=1,Species_Names)),0))),Combo_Duel_Ability)))</f>
        <v>N/A</v>
      </c>
      <c r="I499" s="23" t="str">
        <f t="array" ref="I499">IF(OR(INDEX(Species_Availability,MATCH($N499,Species_Names,0))="No",INDEX(Species_Evo_Numbers,MATCH($N499,Species_Names,0))&lt;&gt;1),"N/A",RANK($S499,IF(NOT(ISNA(MATCH(Combo_Species_Names,IF(Species_Availability="Yes",IF(Species_Evo_Numbers=1,Species_Names)),0))),Combo_Gym_Offense),0))</f>
        <v>N/A</v>
      </c>
      <c r="J499" s="24" t="str">
        <f t="array" ref="J499">IF(OR(INDEX(Species_Availability,MATCH($N499,Species_Names,0))="No",INDEX(Species_Evo_Numbers,MATCH($N499,Species_Names,0))&lt;&gt;1),"N/A",$S499/MAX(IF(NOT(ISNA(MATCH(Combo_Species_Names,IF(Species_Availability="Yes",IF(Species_Evo_Numbers=1,Species_Names)),0))),Combo_Gym_Offense)))</f>
        <v>N/A</v>
      </c>
      <c r="K499" s="23" t="str">
        <f t="array" ref="K499">IF(OR(INDEX(Species_Availability,MATCH($N499,Species_Names,0))="No",INDEX(Species_Evo_Numbers,MATCH($N499,Species_Names,0))&lt;&gt;1),"N/A",RANK($Y499,IF(NOT(ISNA(MATCH(Combo_Species_Names,IF(Species_Availability="Yes",IF(Species_Evo_Numbers=1,Species_Names)),0))),Combo_Gym_Defense),0))</f>
        <v>N/A</v>
      </c>
      <c r="L499" s="24" t="str">
        <f t="array" ref="L499">IF(OR(INDEX(Species_Availability,MATCH($N499,Species_Names,0))="No",INDEX(Species_Evo_Numbers,MATCH($N499,Species_Names,0))&lt;&gt;1),"N/A",$Y499/MAX(IF(NOT(ISNA(MATCH(Combo_Species_Names,IF(Species_Availability="Yes",IF(Species_Evo_Numbers=1,Species_Names)),0))),Combo_Gym_Defense)))</f>
        <v>N/A</v>
      </c>
      <c r="M499" s="28">
        <f t="array" ref="M499">INDEX(Species_Pdex_Numbers,MATCH($N499,Species_Names,0))</f>
        <v>79</v>
      </c>
      <c r="N499" s="30" t="s">
        <v>250</v>
      </c>
      <c r="O499" s="31" t="s">
        <v>65</v>
      </c>
      <c r="P499" s="31" t="s">
        <v>58</v>
      </c>
      <c r="Q499" s="17" t="e">
        <f t="shared" si="14"/>
        <v>#VALUE!</v>
      </c>
      <c r="R499" s="32" t="e">
        <f t="array" ref="R499">IF(OR(AND(COUNTBLANK(Combo_Opponent_Type_1)=1,COUNTBLANK(Combo_Opponent_Type_2)=0),AND(AND(COUNTBLANK(Combo_Opponent_Type_1)=0,COUNTBLANK(Combo_Opponent_Type_2)=0),Combo_Opponent_Type_1=Combo_Opponent_Type_2)),
"Check Types",($S499*INDEX(Species_Tankiness,MATCH($N499,Species_Names,0)))/225)</f>
        <v>#VALUE!</v>
      </c>
      <c r="S499" s="32" t="e">
        <f t="array" ref="S499">IF(OR(AND(COUNTBLANK(Combo_Opponent_Type_1)=1,COUNTBLANK(Combo_Opponent_Type_2)=0),AND(AND(COUNTBLANK(Combo_Opponent_Type_1)=0,COUNTBLANK(Combo_Opponent_Type_2)=0),Combo_Opponent_Type_1=Combo_Opponent_Type_2)),
"Check Types",(
IF($W499&gt;=((1-Game_Weave_Human_Error)*$X499),$W499,$X499)*INDEX(Species_Attack,MATCH($N499,Species_Names,0)))/11)</f>
        <v>#VALUE!</v>
      </c>
      <c r="T499" s="33" t="e">
        <f t="shared" si="15"/>
        <v>#VALUE!</v>
      </c>
      <c r="U499" s="33">
        <f t="array" ref="U4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499,Quick_Names,0))),Type_Species)),0),1)*IF(COUNTBLANK(Combo_Opponent_Type_2)=0,INDEX(Type_Damage_Multipliers,MATCH(Combo_Opponent_Type_2,IF(Type_Move=(INDEX(Quick_Type,MATCH($O499,Quick_Names,0))),Type_Species)),0),1)*(IF(OR(INDEX(Quick_Type,MATCH($O499,Quick_Names,0))=INDEX(Species_Type_1,MATCH($N499,Species_Names,0)),INDEX(Quick_Type,MATCH($O499,Quick_Names,0))=INDEX(Species_Type_2,MATCH($N499,Species_Names,0))),Game_STAB_Multiplier,1)))</f>
        <v>1.25</v>
      </c>
      <c r="V499" s="33">
        <f t="array" ref="V4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499,Charge_Names,0))),Type_Species)),0),1)*IF(COUNTBLANK(Combo_Opponent_Type_2)=0,INDEX(Type_Damage_Multipliers,MATCH(Combo_Opponent_Type_2,IF(Type_Move=(INDEX(Charge_Type,MATCH($P499,Charge_Names,0))),Type_Species)),0),1)*
IF(OR(INDEX(Charge_Type,MATCH($P499,Charge_Names,0))=INDEX(Species_Type_1,MATCH($N499,Species_Names,0)),INDEX(Charge_Type,MATCH($P499,Charge_Names,0))=INDEX(Species_Type_2,MATCH($N499,Species_Names,0))),Game_STAB_Multiplier,1))</f>
        <v>1.25</v>
      </c>
      <c r="W499" s="33" t="s">
        <v>412</v>
      </c>
      <c r="X499" s="33" t="s">
        <v>461</v>
      </c>
      <c r="Y499" s="32" t="e">
        <f t="array" ref="Y499">((($Z499)*
INDEX(Species_Attack,MATCH($N499,Species_Names,0))*
INDEX(Species_Tankiness,MATCH($N499,Species_Names,0)))/1000)</f>
        <v>#VALUE!</v>
      </c>
      <c r="Z499" s="33" t="s">
        <v>462</v>
      </c>
    </row>
    <row r="500" spans="1:26" ht="14.25" customHeight="1" x14ac:dyDescent="0.2">
      <c r="A500" s="86"/>
      <c r="B500" s="22" t="str">
        <f t="array" ref="B500">CONCATENATE(TEXT($M500,"000"),".",TEXT(INDEX(Quick_Number,MATCH($O500,Quick_Names,0)),"000"),".",TEXT(INDEX(Charge_Number,MATCH($P500,Charge_Names,0)),"000"))</f>
        <v>070.225.059</v>
      </c>
      <c r="C500" s="23" t="e">
        <f t="array" ref="C500">RANK($S500,IF(Combo_Species_Names=$N500,Combo_Gym_Offense),0)</f>
        <v>#VALUE!</v>
      </c>
      <c r="D500" s="24" t="e">
        <f t="array" ref="D500">$S500/MAX(IF(Combo_Species_Names=$N500,Combo_Gym_Offense))</f>
        <v>#VALUE!</v>
      </c>
      <c r="E500" s="23" t="e">
        <f t="array" ref="E500">RANK($Y500,IF(Combo_Species_Names=$N500,Combo_Gym_Defense),0)</f>
        <v>#VALUE!</v>
      </c>
      <c r="F500" s="25" t="e">
        <f t="array" ref="F500">$Y500/MAX(IF(Combo_Species_Names=$N500,Combo_Gym_Defense))</f>
        <v>#VALUE!</v>
      </c>
      <c r="G500" s="23" t="str">
        <f t="array" ref="G500">IF(OR(INDEX(Species_Availability,MATCH($N500,Species_Names,0))="No",INDEX(Species_Evo_Numbers,MATCH($N500,Species_Names,0))&lt;&gt;1),"N/A",RANK($R500,IF(NOT(ISNA(MATCH(Combo_Species_Names,IF(Species_Availability="Yes",IF(Species_Evo_Numbers=1,Species_Names)),0))),Combo_Duel_Ability),0))</f>
        <v>N/A</v>
      </c>
      <c r="H500" s="24" t="str">
        <f t="array" ref="H500">IF(OR(INDEX(Species_Availability,MATCH($N500,Species_Names,0))="No",INDEX(Species_Evo_Numbers,MATCH($N500,Species_Names,0))&lt;&gt;1),"N/A",$R500/MAX(IF(NOT(ISNA(MATCH(Combo_Species_Names,IF(Species_Availability="Yes",IF(Species_Evo_Numbers=1,Species_Names)),0))),Combo_Duel_Ability)))</f>
        <v>N/A</v>
      </c>
      <c r="I500" s="23" t="str">
        <f t="array" ref="I500">IF(OR(INDEX(Species_Availability,MATCH($N500,Species_Names,0))="No",INDEX(Species_Evo_Numbers,MATCH($N500,Species_Names,0))&lt;&gt;1),"N/A",RANK($S500,IF(NOT(ISNA(MATCH(Combo_Species_Names,IF(Species_Availability="Yes",IF(Species_Evo_Numbers=1,Species_Names)),0))),Combo_Gym_Offense),0))</f>
        <v>N/A</v>
      </c>
      <c r="J500" s="24" t="str">
        <f t="array" ref="J500">IF(OR(INDEX(Species_Availability,MATCH($N500,Species_Names,0))="No",INDEX(Species_Evo_Numbers,MATCH($N500,Species_Names,0))&lt;&gt;1),"N/A",$S500/MAX(IF(NOT(ISNA(MATCH(Combo_Species_Names,IF(Species_Availability="Yes",IF(Species_Evo_Numbers=1,Species_Names)),0))),Combo_Gym_Offense)))</f>
        <v>N/A</v>
      </c>
      <c r="K500" s="23" t="str">
        <f t="array" ref="K500">IF(OR(INDEX(Species_Availability,MATCH($N500,Species_Names,0))="No",INDEX(Species_Evo_Numbers,MATCH($N500,Species_Names,0))&lt;&gt;1),"N/A",RANK($Y500,IF(NOT(ISNA(MATCH(Combo_Species_Names,IF(Species_Availability="Yes",IF(Species_Evo_Numbers=1,Species_Names)),0))),Combo_Gym_Defense),0))</f>
        <v>N/A</v>
      </c>
      <c r="L500" s="24" t="str">
        <f t="array" ref="L500">IF(OR(INDEX(Species_Availability,MATCH($N500,Species_Names,0))="No",INDEX(Species_Evo_Numbers,MATCH($N500,Species_Names,0))&lt;&gt;1),"N/A",$Y500/MAX(IF(NOT(ISNA(MATCH(Combo_Species_Names,IF(Species_Availability="Yes",IF(Species_Evo_Numbers=1,Species_Names)),0))),Combo_Gym_Defense)))</f>
        <v>N/A</v>
      </c>
      <c r="M500" s="28">
        <f t="array" ref="M500">INDEX(Species_Pdex_Numbers,MATCH($N500,Species_Names,0))</f>
        <v>70</v>
      </c>
      <c r="N500" s="30" t="s">
        <v>231</v>
      </c>
      <c r="O500" s="31" t="s">
        <v>110</v>
      </c>
      <c r="P500" s="31" t="s">
        <v>213</v>
      </c>
      <c r="Q500" s="17" t="e">
        <f t="shared" si="14"/>
        <v>#VALUE!</v>
      </c>
      <c r="R500" s="32" t="e">
        <f t="array" ref="R500">IF(OR(AND(COUNTBLANK(Combo_Opponent_Type_1)=1,COUNTBLANK(Combo_Opponent_Type_2)=0),AND(AND(COUNTBLANK(Combo_Opponent_Type_1)=0,COUNTBLANK(Combo_Opponent_Type_2)=0),Combo_Opponent_Type_1=Combo_Opponent_Type_2)),
"Check Types",($S500*INDEX(Species_Tankiness,MATCH($N500,Species_Names,0)))/225)</f>
        <v>#VALUE!</v>
      </c>
      <c r="S500" s="32" t="e">
        <f t="array" ref="S500">IF(OR(AND(COUNTBLANK(Combo_Opponent_Type_1)=1,COUNTBLANK(Combo_Opponent_Type_2)=0),AND(AND(COUNTBLANK(Combo_Opponent_Type_1)=0,COUNTBLANK(Combo_Opponent_Type_2)=0),Combo_Opponent_Type_1=Combo_Opponent_Type_2)),
"Check Types",(
IF($W500&gt;=((1-Game_Weave_Human_Error)*$X500),$W500,$X500)*INDEX(Species_Attack,MATCH($N500,Species_Names,0)))/11)</f>
        <v>#VALUE!</v>
      </c>
      <c r="T500" s="33" t="e">
        <f t="shared" si="15"/>
        <v>#VALUE!</v>
      </c>
      <c r="U500" s="33">
        <f t="array" ref="U5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500,Quick_Names,0))),Type_Species)),0),1)*IF(COUNTBLANK(Combo_Opponent_Type_2)=0,INDEX(Type_Damage_Multipliers,MATCH(Combo_Opponent_Type_2,IF(Type_Move=(INDEX(Quick_Type,MATCH($O500,Quick_Names,0))),Type_Species)),0),1)*(IF(OR(INDEX(Quick_Type,MATCH($O500,Quick_Names,0))=INDEX(Species_Type_1,MATCH($N500,Species_Names,0)),INDEX(Quick_Type,MATCH($O500,Quick_Names,0))=INDEX(Species_Type_2,MATCH($N500,Species_Names,0))),Game_STAB_Multiplier,1)))</f>
        <v>1.25</v>
      </c>
      <c r="V500" s="33">
        <f t="array" ref="V5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500,Charge_Names,0))),Type_Species)),0),1)*IF(COUNTBLANK(Combo_Opponent_Type_2)=0,INDEX(Type_Damage_Multipliers,MATCH(Combo_Opponent_Type_2,IF(Type_Move=(INDEX(Charge_Type,MATCH($P500,Charge_Names,0))),Type_Species)),0),1)*
IF(OR(INDEX(Charge_Type,MATCH($P500,Charge_Names,0))=INDEX(Species_Type_1,MATCH($N500,Species_Names,0)),INDEX(Charge_Type,MATCH($P500,Charge_Names,0))=INDEX(Species_Type_2,MATCH($N500,Species_Names,0))),Game_STAB_Multiplier,1))</f>
        <v>1.25</v>
      </c>
      <c r="W500" s="33" t="s">
        <v>511</v>
      </c>
      <c r="X500" s="33" t="s">
        <v>956</v>
      </c>
      <c r="Y500" s="32" t="e">
        <f t="array" ref="Y500">((($Z500)*
INDEX(Species_Attack,MATCH($N500,Species_Names,0))*
INDEX(Species_Tankiness,MATCH($N500,Species_Names,0)))/1000)</f>
        <v>#VALUE!</v>
      </c>
      <c r="Z500" s="33" t="s">
        <v>681</v>
      </c>
    </row>
    <row r="501" spans="1:26" ht="14.25" customHeight="1" x14ac:dyDescent="0.2">
      <c r="A501" s="86"/>
      <c r="B501" s="22" t="str">
        <f t="array" ref="B501">CONCATENATE(TEXT($M501,"000"),".",TEXT(INDEX(Quick_Number,MATCH($O501,Quick_Names,0)),"000"),".",TEXT(INDEX(Charge_Number,MATCH($P501,Charge_Names,0)),"000"))</f>
        <v>033.236.090</v>
      </c>
      <c r="C501" s="23" t="e">
        <f t="array" ref="C501">RANK($S501,IF(Combo_Species_Names=$N501,Combo_Gym_Offense),0)</f>
        <v>#VALUE!</v>
      </c>
      <c r="D501" s="24" t="e">
        <f t="array" ref="D501">$S501/MAX(IF(Combo_Species_Names=$N501,Combo_Gym_Offense))</f>
        <v>#VALUE!</v>
      </c>
      <c r="E501" s="23" t="e">
        <f t="array" ref="E501">RANK($Y501,IF(Combo_Species_Names=$N501,Combo_Gym_Defense),0)</f>
        <v>#VALUE!</v>
      </c>
      <c r="F501" s="25" t="e">
        <f t="array" ref="F501">$Y501/MAX(IF(Combo_Species_Names=$N501,Combo_Gym_Defense))</f>
        <v>#VALUE!</v>
      </c>
      <c r="G501" s="23" t="str">
        <f t="array" ref="G501">IF(OR(INDEX(Species_Availability,MATCH($N501,Species_Names,0))="No",INDEX(Species_Evo_Numbers,MATCH($N501,Species_Names,0))&lt;&gt;1),"N/A",RANK($R501,IF(NOT(ISNA(MATCH(Combo_Species_Names,IF(Species_Availability="Yes",IF(Species_Evo_Numbers=1,Species_Names)),0))),Combo_Duel_Ability),0))</f>
        <v>N/A</v>
      </c>
      <c r="H501" s="24" t="str">
        <f t="array" ref="H501">IF(OR(INDEX(Species_Availability,MATCH($N501,Species_Names,0))="No",INDEX(Species_Evo_Numbers,MATCH($N501,Species_Names,0))&lt;&gt;1),"N/A",$R501/MAX(IF(NOT(ISNA(MATCH(Combo_Species_Names,IF(Species_Availability="Yes",IF(Species_Evo_Numbers=1,Species_Names)),0))),Combo_Duel_Ability)))</f>
        <v>N/A</v>
      </c>
      <c r="I501" s="23" t="str">
        <f t="array" ref="I501">IF(OR(INDEX(Species_Availability,MATCH($N501,Species_Names,0))="No",INDEX(Species_Evo_Numbers,MATCH($N501,Species_Names,0))&lt;&gt;1),"N/A",RANK($S501,IF(NOT(ISNA(MATCH(Combo_Species_Names,IF(Species_Availability="Yes",IF(Species_Evo_Numbers=1,Species_Names)),0))),Combo_Gym_Offense),0))</f>
        <v>N/A</v>
      </c>
      <c r="J501" s="24" t="str">
        <f t="array" ref="J501">IF(OR(INDEX(Species_Availability,MATCH($N501,Species_Names,0))="No",INDEX(Species_Evo_Numbers,MATCH($N501,Species_Names,0))&lt;&gt;1),"N/A",$S501/MAX(IF(NOT(ISNA(MATCH(Combo_Species_Names,IF(Species_Availability="Yes",IF(Species_Evo_Numbers=1,Species_Names)),0))),Combo_Gym_Offense)))</f>
        <v>N/A</v>
      </c>
      <c r="K501" s="23" t="str">
        <f t="array" ref="K501">IF(OR(INDEX(Species_Availability,MATCH($N501,Species_Names,0))="No",INDEX(Species_Evo_Numbers,MATCH($N501,Species_Names,0))&lt;&gt;1),"N/A",RANK($Y501,IF(NOT(ISNA(MATCH(Combo_Species_Names,IF(Species_Availability="Yes",IF(Species_Evo_Numbers=1,Species_Names)),0))),Combo_Gym_Defense),0))</f>
        <v>N/A</v>
      </c>
      <c r="L501" s="24" t="str">
        <f t="array" ref="L501">IF(OR(INDEX(Species_Availability,MATCH($N501,Species_Names,0))="No",INDEX(Species_Evo_Numbers,MATCH($N501,Species_Names,0))&lt;&gt;1),"N/A",$Y501/MAX(IF(NOT(ISNA(MATCH(Combo_Species_Names,IF(Species_Availability="Yes",IF(Species_Evo_Numbers=1,Species_Names)),0))),Combo_Gym_Defense)))</f>
        <v>N/A</v>
      </c>
      <c r="M501" s="28">
        <f t="array" ref="M501">INDEX(Species_Pdex_Numbers,MATCH($N501,Species_Names,0))</f>
        <v>33</v>
      </c>
      <c r="N501" s="30" t="s">
        <v>156</v>
      </c>
      <c r="O501" s="31" t="s">
        <v>101</v>
      </c>
      <c r="P501" s="31" t="s">
        <v>180</v>
      </c>
      <c r="Q501" s="17" t="e">
        <f t="shared" si="14"/>
        <v>#VALUE!</v>
      </c>
      <c r="R501" s="32" t="e">
        <f t="array" ref="R501">IF(OR(AND(COUNTBLANK(Combo_Opponent_Type_1)=1,COUNTBLANK(Combo_Opponent_Type_2)=0),AND(AND(COUNTBLANK(Combo_Opponent_Type_1)=0,COUNTBLANK(Combo_Opponent_Type_2)=0),Combo_Opponent_Type_1=Combo_Opponent_Type_2)),
"Check Types",($S501*INDEX(Species_Tankiness,MATCH($N501,Species_Names,0)))/225)</f>
        <v>#VALUE!</v>
      </c>
      <c r="S501" s="32" t="e">
        <f t="array" ref="S501">IF(OR(AND(COUNTBLANK(Combo_Opponent_Type_1)=1,COUNTBLANK(Combo_Opponent_Type_2)=0),AND(AND(COUNTBLANK(Combo_Opponent_Type_1)=0,COUNTBLANK(Combo_Opponent_Type_2)=0),Combo_Opponent_Type_1=Combo_Opponent_Type_2)),
"Check Types",(
IF($W501&gt;=((1-Game_Weave_Human_Error)*$X501),$W501,$X501)*INDEX(Species_Attack,MATCH($N501,Species_Names,0)))/11)</f>
        <v>#VALUE!</v>
      </c>
      <c r="T501" s="33" t="e">
        <f t="shared" si="15"/>
        <v>#VALUE!</v>
      </c>
      <c r="U501" s="33">
        <f t="array" ref="U5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501,Quick_Names,0))),Type_Species)),0),1)*IF(COUNTBLANK(Combo_Opponent_Type_2)=0,INDEX(Type_Damage_Multipliers,MATCH(Combo_Opponent_Type_2,IF(Type_Move=(INDEX(Quick_Type,MATCH($O501,Quick_Names,0))),Type_Species)),0),1)*(IF(OR(INDEX(Quick_Type,MATCH($O501,Quick_Names,0))=INDEX(Species_Type_1,MATCH($N501,Species_Names,0)),INDEX(Quick_Type,MATCH($O501,Quick_Names,0))=INDEX(Species_Type_2,MATCH($N501,Species_Names,0))),Game_STAB_Multiplier,1)))</f>
        <v>1.25</v>
      </c>
      <c r="V501" s="33">
        <f t="array" ref="V5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501,Charge_Names,0))),Type_Species)),0),1)*IF(COUNTBLANK(Combo_Opponent_Type_2)=0,INDEX(Type_Damage_Multipliers,MATCH(Combo_Opponent_Type_2,IF(Type_Move=(INDEX(Charge_Type,MATCH($P501,Charge_Names,0))),Type_Species)),0),1)*
IF(OR(INDEX(Charge_Type,MATCH($P501,Charge_Names,0))=INDEX(Species_Type_1,MATCH($N501,Species_Names,0)),INDEX(Charge_Type,MATCH($P501,Charge_Names,0))=INDEX(Species_Type_2,MATCH($N501,Species_Names,0))),Game_STAB_Multiplier,1))</f>
        <v>1.25</v>
      </c>
      <c r="W501" s="33" t="s">
        <v>738</v>
      </c>
      <c r="X501" s="33" t="s">
        <v>952</v>
      </c>
      <c r="Y501" s="32" t="e">
        <f t="array" ref="Y501">((($Z501)*
INDEX(Species_Attack,MATCH($N501,Species_Names,0))*
INDEX(Species_Tankiness,MATCH($N501,Species_Names,0)))/1000)</f>
        <v>#VALUE!</v>
      </c>
      <c r="Z501" s="33" t="s">
        <v>953</v>
      </c>
    </row>
    <row r="502" spans="1:26" ht="14.25" customHeight="1" x14ac:dyDescent="0.2">
      <c r="A502" s="86"/>
      <c r="B502" s="22" t="str">
        <f t="array" ref="B502">CONCATENATE(TEXT($M502,"000"),".",TEXT(INDEX(Quick_Number,MATCH($O502,Quick_Names,0)),"000"),".",TEXT(INDEX(Charge_Number,MATCH($P502,Charge_Names,0)),"000"))</f>
        <v>075.216.064</v>
      </c>
      <c r="C502" s="23" t="e">
        <f t="array" ref="C502">RANK($S502,IF(Combo_Species_Names=$N502,Combo_Gym_Offense),0)</f>
        <v>#VALUE!</v>
      </c>
      <c r="D502" s="24" t="e">
        <f t="array" ref="D502">$S502/MAX(IF(Combo_Species_Names=$N502,Combo_Gym_Offense))</f>
        <v>#VALUE!</v>
      </c>
      <c r="E502" s="23" t="e">
        <f t="array" ref="E502">RANK($Y502,IF(Combo_Species_Names=$N502,Combo_Gym_Defense),0)</f>
        <v>#VALUE!</v>
      </c>
      <c r="F502" s="25" t="e">
        <f t="array" ref="F502">$Y502/MAX(IF(Combo_Species_Names=$N502,Combo_Gym_Defense))</f>
        <v>#VALUE!</v>
      </c>
      <c r="G502" s="23" t="str">
        <f t="array" ref="G502">IF(OR(INDEX(Species_Availability,MATCH($N502,Species_Names,0))="No",INDEX(Species_Evo_Numbers,MATCH($N502,Species_Names,0))&lt;&gt;1),"N/A",RANK($R502,IF(NOT(ISNA(MATCH(Combo_Species_Names,IF(Species_Availability="Yes",IF(Species_Evo_Numbers=1,Species_Names)),0))),Combo_Duel_Ability),0))</f>
        <v>N/A</v>
      </c>
      <c r="H502" s="24" t="str">
        <f t="array" ref="H502">IF(OR(INDEX(Species_Availability,MATCH($N502,Species_Names,0))="No",INDEX(Species_Evo_Numbers,MATCH($N502,Species_Names,0))&lt;&gt;1),"N/A",$R502/MAX(IF(NOT(ISNA(MATCH(Combo_Species_Names,IF(Species_Availability="Yes",IF(Species_Evo_Numbers=1,Species_Names)),0))),Combo_Duel_Ability)))</f>
        <v>N/A</v>
      </c>
      <c r="I502" s="23" t="str">
        <f t="array" ref="I502">IF(OR(INDEX(Species_Availability,MATCH($N502,Species_Names,0))="No",INDEX(Species_Evo_Numbers,MATCH($N502,Species_Names,0))&lt;&gt;1),"N/A",RANK($S502,IF(NOT(ISNA(MATCH(Combo_Species_Names,IF(Species_Availability="Yes",IF(Species_Evo_Numbers=1,Species_Names)),0))),Combo_Gym_Offense),0))</f>
        <v>N/A</v>
      </c>
      <c r="J502" s="24" t="str">
        <f t="array" ref="J502">IF(OR(INDEX(Species_Availability,MATCH($N502,Species_Names,0))="No",INDEX(Species_Evo_Numbers,MATCH($N502,Species_Names,0))&lt;&gt;1),"N/A",$S502/MAX(IF(NOT(ISNA(MATCH(Combo_Species_Names,IF(Species_Availability="Yes",IF(Species_Evo_Numbers=1,Species_Names)),0))),Combo_Gym_Offense)))</f>
        <v>N/A</v>
      </c>
      <c r="K502" s="23" t="str">
        <f t="array" ref="K502">IF(OR(INDEX(Species_Availability,MATCH($N502,Species_Names,0))="No",INDEX(Species_Evo_Numbers,MATCH($N502,Species_Names,0))&lt;&gt;1),"N/A",RANK($Y502,IF(NOT(ISNA(MATCH(Combo_Species_Names,IF(Species_Availability="Yes",IF(Species_Evo_Numbers=1,Species_Names)),0))),Combo_Gym_Defense),0))</f>
        <v>N/A</v>
      </c>
      <c r="L502" s="24" t="str">
        <f t="array" ref="L502">IF(OR(INDEX(Species_Availability,MATCH($N502,Species_Names,0))="No",INDEX(Species_Evo_Numbers,MATCH($N502,Species_Names,0))&lt;&gt;1),"N/A",$Y502/MAX(IF(NOT(ISNA(MATCH(Combo_Species_Names,IF(Species_Availability="Yes",IF(Species_Evo_Numbers=1,Species_Names)),0))),Combo_Gym_Defense)))</f>
        <v>N/A</v>
      </c>
      <c r="M502" s="28">
        <f t="array" ref="M502">INDEX(Species_Pdex_Numbers,MATCH($N502,Species_Names,0))</f>
        <v>75</v>
      </c>
      <c r="N502" s="30" t="s">
        <v>242</v>
      </c>
      <c r="O502" s="31" t="s">
        <v>89</v>
      </c>
      <c r="P502" s="31" t="s">
        <v>222</v>
      </c>
      <c r="Q502" s="17" t="e">
        <f t="shared" si="14"/>
        <v>#VALUE!</v>
      </c>
      <c r="R502" s="32" t="e">
        <f t="array" ref="R502">IF(OR(AND(COUNTBLANK(Combo_Opponent_Type_1)=1,COUNTBLANK(Combo_Opponent_Type_2)=0),AND(AND(COUNTBLANK(Combo_Opponent_Type_1)=0,COUNTBLANK(Combo_Opponent_Type_2)=0),Combo_Opponent_Type_1=Combo_Opponent_Type_2)),
"Check Types",($S502*INDEX(Species_Tankiness,MATCH($N502,Species_Names,0)))/225)</f>
        <v>#VALUE!</v>
      </c>
      <c r="S502" s="32" t="e">
        <f t="array" ref="S502">IF(OR(AND(COUNTBLANK(Combo_Opponent_Type_1)=1,COUNTBLANK(Combo_Opponent_Type_2)=0),AND(AND(COUNTBLANK(Combo_Opponent_Type_1)=0,COUNTBLANK(Combo_Opponent_Type_2)=0),Combo_Opponent_Type_1=Combo_Opponent_Type_2)),
"Check Types",(
IF($W502&gt;=((1-Game_Weave_Human_Error)*$X502),$W502,$X502)*INDEX(Species_Attack,MATCH($N502,Species_Names,0)))/11)</f>
        <v>#VALUE!</v>
      </c>
      <c r="T502" s="33" t="e">
        <f t="shared" si="15"/>
        <v>#VALUE!</v>
      </c>
      <c r="U502" s="33">
        <f t="array" ref="U5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502,Quick_Names,0))),Type_Species)),0),1)*IF(COUNTBLANK(Combo_Opponent_Type_2)=0,INDEX(Type_Damage_Multipliers,MATCH(Combo_Opponent_Type_2,IF(Type_Move=(INDEX(Quick_Type,MATCH($O502,Quick_Names,0))),Type_Species)),0),1)*(IF(OR(INDEX(Quick_Type,MATCH($O502,Quick_Names,0))=INDEX(Species_Type_1,MATCH($N502,Species_Names,0)),INDEX(Quick_Type,MATCH($O502,Quick_Names,0))=INDEX(Species_Type_2,MATCH($N502,Species_Names,0))),Game_STAB_Multiplier,1)))</f>
        <v>1.25</v>
      </c>
      <c r="V502" s="33">
        <f t="array" ref="V5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502,Charge_Names,0))),Type_Species)),0),1)*IF(COUNTBLANK(Combo_Opponent_Type_2)=0,INDEX(Type_Damage_Multipliers,MATCH(Combo_Opponent_Type_2,IF(Type_Move=(INDEX(Charge_Type,MATCH($P502,Charge_Names,0))),Type_Species)),0),1)*
IF(OR(INDEX(Charge_Type,MATCH($P502,Charge_Names,0))=INDEX(Species_Type_1,MATCH($N502,Species_Names,0)),INDEX(Charge_Type,MATCH($P502,Charge_Names,0))=INDEX(Species_Type_2,MATCH($N502,Species_Names,0))),Game_STAB_Multiplier,1))</f>
        <v>1.25</v>
      </c>
      <c r="W502" s="33" t="s">
        <v>496</v>
      </c>
      <c r="X502" s="33" t="s">
        <v>581</v>
      </c>
      <c r="Y502" s="32" t="e">
        <f t="array" ref="Y502">((($Z502)*
INDEX(Species_Attack,MATCH($N502,Species_Names,0))*
INDEX(Species_Tankiness,MATCH($N502,Species_Names,0)))/1000)</f>
        <v>#VALUE!</v>
      </c>
      <c r="Z502" s="33" t="s">
        <v>609</v>
      </c>
    </row>
    <row r="503" spans="1:26" ht="14.25" customHeight="1" x14ac:dyDescent="0.2">
      <c r="A503" s="86"/>
      <c r="B503" s="22" t="str">
        <f t="array" ref="B503">CONCATENATE(TEXT($M503,"000"),".",TEXT(INDEX(Quick_Number,MATCH($O503,Quick_Names,0)),"000"),".",TEXT(INDEX(Charge_Number,MATCH($P503,Charge_Names,0)),"000"))</f>
        <v>033.224.090</v>
      </c>
      <c r="C503" s="23" t="e">
        <f t="array" ref="C503">RANK($S503,IF(Combo_Species_Names=$N503,Combo_Gym_Offense),0)</f>
        <v>#VALUE!</v>
      </c>
      <c r="D503" s="24" t="e">
        <f t="array" ref="D503">$S503/MAX(IF(Combo_Species_Names=$N503,Combo_Gym_Offense))</f>
        <v>#VALUE!</v>
      </c>
      <c r="E503" s="23" t="e">
        <f t="array" ref="E503">RANK($Y503,IF(Combo_Species_Names=$N503,Combo_Gym_Defense),0)</f>
        <v>#VALUE!</v>
      </c>
      <c r="F503" s="25" t="e">
        <f t="array" ref="F503">$Y503/MAX(IF(Combo_Species_Names=$N503,Combo_Gym_Defense))</f>
        <v>#VALUE!</v>
      </c>
      <c r="G503" s="23" t="str">
        <f t="array" ref="G503">IF(OR(INDEX(Species_Availability,MATCH($N503,Species_Names,0))="No",INDEX(Species_Evo_Numbers,MATCH($N503,Species_Names,0))&lt;&gt;1),"N/A",RANK($R503,IF(NOT(ISNA(MATCH(Combo_Species_Names,IF(Species_Availability="Yes",IF(Species_Evo_Numbers=1,Species_Names)),0))),Combo_Duel_Ability),0))</f>
        <v>N/A</v>
      </c>
      <c r="H503" s="24" t="str">
        <f t="array" ref="H503">IF(OR(INDEX(Species_Availability,MATCH($N503,Species_Names,0))="No",INDEX(Species_Evo_Numbers,MATCH($N503,Species_Names,0))&lt;&gt;1),"N/A",$R503/MAX(IF(NOT(ISNA(MATCH(Combo_Species_Names,IF(Species_Availability="Yes",IF(Species_Evo_Numbers=1,Species_Names)),0))),Combo_Duel_Ability)))</f>
        <v>N/A</v>
      </c>
      <c r="I503" s="23" t="str">
        <f t="array" ref="I503">IF(OR(INDEX(Species_Availability,MATCH($N503,Species_Names,0))="No",INDEX(Species_Evo_Numbers,MATCH($N503,Species_Names,0))&lt;&gt;1),"N/A",RANK($S503,IF(NOT(ISNA(MATCH(Combo_Species_Names,IF(Species_Availability="Yes",IF(Species_Evo_Numbers=1,Species_Names)),0))),Combo_Gym_Offense),0))</f>
        <v>N/A</v>
      </c>
      <c r="J503" s="24" t="str">
        <f t="array" ref="J503">IF(OR(INDEX(Species_Availability,MATCH($N503,Species_Names,0))="No",INDEX(Species_Evo_Numbers,MATCH($N503,Species_Names,0))&lt;&gt;1),"N/A",$S503/MAX(IF(NOT(ISNA(MATCH(Combo_Species_Names,IF(Species_Availability="Yes",IF(Species_Evo_Numbers=1,Species_Names)),0))),Combo_Gym_Offense)))</f>
        <v>N/A</v>
      </c>
      <c r="K503" s="23" t="str">
        <f t="array" ref="K503">IF(OR(INDEX(Species_Availability,MATCH($N503,Species_Names,0))="No",INDEX(Species_Evo_Numbers,MATCH($N503,Species_Names,0))&lt;&gt;1),"N/A",RANK($Y503,IF(NOT(ISNA(MATCH(Combo_Species_Names,IF(Species_Availability="Yes",IF(Species_Evo_Numbers=1,Species_Names)),0))),Combo_Gym_Defense),0))</f>
        <v>N/A</v>
      </c>
      <c r="L503" s="24" t="str">
        <f t="array" ref="L503">IF(OR(INDEX(Species_Availability,MATCH($N503,Species_Names,0))="No",INDEX(Species_Evo_Numbers,MATCH($N503,Species_Names,0))&lt;&gt;1),"N/A",$Y503/MAX(IF(NOT(ISNA(MATCH(Combo_Species_Names,IF(Species_Availability="Yes",IF(Species_Evo_Numbers=1,Species_Names)),0))),Combo_Gym_Defense)))</f>
        <v>N/A</v>
      </c>
      <c r="M503" s="28">
        <f t="array" ref="M503">INDEX(Species_Pdex_Numbers,MATCH($N503,Species_Names,0))</f>
        <v>33</v>
      </c>
      <c r="N503" s="30" t="s">
        <v>156</v>
      </c>
      <c r="O503" s="31" t="s">
        <v>77</v>
      </c>
      <c r="P503" s="31" t="s">
        <v>180</v>
      </c>
      <c r="Q503" s="17" t="e">
        <f t="shared" si="14"/>
        <v>#VALUE!</v>
      </c>
      <c r="R503" s="32" t="e">
        <f t="array" ref="R503">IF(OR(AND(COUNTBLANK(Combo_Opponent_Type_1)=1,COUNTBLANK(Combo_Opponent_Type_2)=0),AND(AND(COUNTBLANK(Combo_Opponent_Type_1)=0,COUNTBLANK(Combo_Opponent_Type_2)=0),Combo_Opponent_Type_1=Combo_Opponent_Type_2)),
"Check Types",($S503*INDEX(Species_Tankiness,MATCH($N503,Species_Names,0)))/225)</f>
        <v>#VALUE!</v>
      </c>
      <c r="S503" s="32" t="e">
        <f t="array" ref="S503">IF(OR(AND(COUNTBLANK(Combo_Opponent_Type_1)=1,COUNTBLANK(Combo_Opponent_Type_2)=0),AND(AND(COUNTBLANK(Combo_Opponent_Type_1)=0,COUNTBLANK(Combo_Opponent_Type_2)=0),Combo_Opponent_Type_1=Combo_Opponent_Type_2)),
"Check Types",(
IF($W503&gt;=((1-Game_Weave_Human_Error)*$X503),$W503,$X503)*INDEX(Species_Attack,MATCH($N503,Species_Names,0)))/11)</f>
        <v>#VALUE!</v>
      </c>
      <c r="T503" s="33" t="e">
        <f t="shared" si="15"/>
        <v>#VALUE!</v>
      </c>
      <c r="U503" s="33">
        <f t="array" ref="U5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503,Quick_Names,0))),Type_Species)),0),1)*IF(COUNTBLANK(Combo_Opponent_Type_2)=0,INDEX(Type_Damage_Multipliers,MATCH(Combo_Opponent_Type_2,IF(Type_Move=(INDEX(Quick_Type,MATCH($O503,Quick_Names,0))),Type_Species)),0),1)*(IF(OR(INDEX(Quick_Type,MATCH($O503,Quick_Names,0))=INDEX(Species_Type_1,MATCH($N503,Species_Names,0)),INDEX(Quick_Type,MATCH($O503,Quick_Names,0))=INDEX(Species_Type_2,MATCH($N503,Species_Names,0))),Game_STAB_Multiplier,1)))</f>
        <v>1.25</v>
      </c>
      <c r="V503" s="33">
        <f t="array" ref="V5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503,Charge_Names,0))),Type_Species)),0),1)*IF(COUNTBLANK(Combo_Opponent_Type_2)=0,INDEX(Type_Damage_Multipliers,MATCH(Combo_Opponent_Type_2,IF(Type_Move=(INDEX(Charge_Type,MATCH($P503,Charge_Names,0))),Type_Species)),0),1)*
IF(OR(INDEX(Charge_Type,MATCH($P503,Charge_Names,0))=INDEX(Species_Type_1,MATCH($N503,Species_Names,0)),INDEX(Charge_Type,MATCH($P503,Charge_Names,0))=INDEX(Species_Type_2,MATCH($N503,Species_Names,0))),Game_STAB_Multiplier,1))</f>
        <v>1.25</v>
      </c>
      <c r="W503" s="33" t="s">
        <v>446</v>
      </c>
      <c r="X503" s="33" t="s">
        <v>862</v>
      </c>
      <c r="Y503" s="32" t="e">
        <f t="array" ref="Y503">((($Z503)*
INDEX(Species_Attack,MATCH($N503,Species_Names,0))*
INDEX(Species_Tankiness,MATCH($N503,Species_Names,0)))/1000)</f>
        <v>#VALUE!</v>
      </c>
      <c r="Z503" s="33" t="s">
        <v>863</v>
      </c>
    </row>
    <row r="504" spans="1:26" ht="14.25" customHeight="1" x14ac:dyDescent="0.2">
      <c r="A504" s="86"/>
      <c r="B504" s="22" t="str">
        <f t="array" ref="B504">CONCATENATE(TEXT($M504,"000"),".",TEXT(INDEX(Quick_Number,MATCH($O504,Quick_Names,0)),"000"),".",TEXT(INDEX(Charge_Number,MATCH($P504,Charge_Names,0)),"000"))</f>
        <v>077.209.103</v>
      </c>
      <c r="C504" s="23" t="e">
        <f t="array" ref="C504">RANK($S504,IF(Combo_Species_Names=$N504,Combo_Gym_Offense),0)</f>
        <v>#VALUE!</v>
      </c>
      <c r="D504" s="24" t="e">
        <f t="array" ref="D504">$S504/MAX(IF(Combo_Species_Names=$N504,Combo_Gym_Offense))</f>
        <v>#VALUE!</v>
      </c>
      <c r="E504" s="23" t="e">
        <f t="array" ref="E504">RANK($Y504,IF(Combo_Species_Names=$N504,Combo_Gym_Defense),0)</f>
        <v>#VALUE!</v>
      </c>
      <c r="F504" s="25" t="e">
        <f t="array" ref="F504">$Y504/MAX(IF(Combo_Species_Names=$N504,Combo_Gym_Defense))</f>
        <v>#VALUE!</v>
      </c>
      <c r="G504" s="23" t="str">
        <f t="array" ref="G504">IF(OR(INDEX(Species_Availability,MATCH($N504,Species_Names,0))="No",INDEX(Species_Evo_Numbers,MATCH($N504,Species_Names,0))&lt;&gt;1),"N/A",RANK($R504,IF(NOT(ISNA(MATCH(Combo_Species_Names,IF(Species_Availability="Yes",IF(Species_Evo_Numbers=1,Species_Names)),0))),Combo_Duel_Ability),0))</f>
        <v>N/A</v>
      </c>
      <c r="H504" s="24" t="str">
        <f t="array" ref="H504">IF(OR(INDEX(Species_Availability,MATCH($N504,Species_Names,0))="No",INDEX(Species_Evo_Numbers,MATCH($N504,Species_Names,0))&lt;&gt;1),"N/A",$R504/MAX(IF(NOT(ISNA(MATCH(Combo_Species_Names,IF(Species_Availability="Yes",IF(Species_Evo_Numbers=1,Species_Names)),0))),Combo_Duel_Ability)))</f>
        <v>N/A</v>
      </c>
      <c r="I504" s="23" t="str">
        <f t="array" ref="I504">IF(OR(INDEX(Species_Availability,MATCH($N504,Species_Names,0))="No",INDEX(Species_Evo_Numbers,MATCH($N504,Species_Names,0))&lt;&gt;1),"N/A",RANK($S504,IF(NOT(ISNA(MATCH(Combo_Species_Names,IF(Species_Availability="Yes",IF(Species_Evo_Numbers=1,Species_Names)),0))),Combo_Gym_Offense),0))</f>
        <v>N/A</v>
      </c>
      <c r="J504" s="24" t="str">
        <f t="array" ref="J504">IF(OR(INDEX(Species_Availability,MATCH($N504,Species_Names,0))="No",INDEX(Species_Evo_Numbers,MATCH($N504,Species_Names,0))&lt;&gt;1),"N/A",$S504/MAX(IF(NOT(ISNA(MATCH(Combo_Species_Names,IF(Species_Availability="Yes",IF(Species_Evo_Numbers=1,Species_Names)),0))),Combo_Gym_Offense)))</f>
        <v>N/A</v>
      </c>
      <c r="K504" s="23" t="str">
        <f t="array" ref="K504">IF(OR(INDEX(Species_Availability,MATCH($N504,Species_Names,0))="No",INDEX(Species_Evo_Numbers,MATCH($N504,Species_Names,0))&lt;&gt;1),"N/A",RANK($Y504,IF(NOT(ISNA(MATCH(Combo_Species_Names,IF(Species_Availability="Yes",IF(Species_Evo_Numbers=1,Species_Names)),0))),Combo_Gym_Defense),0))</f>
        <v>N/A</v>
      </c>
      <c r="L504" s="24" t="str">
        <f t="array" ref="L504">IF(OR(INDEX(Species_Availability,MATCH($N504,Species_Names,0))="No",INDEX(Species_Evo_Numbers,MATCH($N504,Species_Names,0))&lt;&gt;1),"N/A",$Y504/MAX(IF(NOT(ISNA(MATCH(Combo_Species_Names,IF(Species_Availability="Yes",IF(Species_Evo_Numbers=1,Species_Names)),0))),Combo_Gym_Defense)))</f>
        <v>N/A</v>
      </c>
      <c r="M504" s="28">
        <f t="array" ref="M504">INDEX(Species_Pdex_Numbers,MATCH($N504,Species_Names,0))</f>
        <v>77</v>
      </c>
      <c r="N504" s="30" t="s">
        <v>246</v>
      </c>
      <c r="O504" s="31" t="s">
        <v>111</v>
      </c>
      <c r="P504" s="31" t="s">
        <v>163</v>
      </c>
      <c r="Q504" s="17" t="e">
        <f t="shared" si="14"/>
        <v>#VALUE!</v>
      </c>
      <c r="R504" s="32" t="e">
        <f t="array" ref="R504">IF(OR(AND(COUNTBLANK(Combo_Opponent_Type_1)=1,COUNTBLANK(Combo_Opponent_Type_2)=0),AND(AND(COUNTBLANK(Combo_Opponent_Type_1)=0,COUNTBLANK(Combo_Opponent_Type_2)=0),Combo_Opponent_Type_1=Combo_Opponent_Type_2)),
"Check Types",($S504*INDEX(Species_Tankiness,MATCH($N504,Species_Names,0)))/225)</f>
        <v>#VALUE!</v>
      </c>
      <c r="S504" s="32" t="e">
        <f t="array" ref="S504">IF(OR(AND(COUNTBLANK(Combo_Opponent_Type_1)=1,COUNTBLANK(Combo_Opponent_Type_2)=0),AND(AND(COUNTBLANK(Combo_Opponent_Type_1)=0,COUNTBLANK(Combo_Opponent_Type_2)=0),Combo_Opponent_Type_1=Combo_Opponent_Type_2)),
"Check Types",(
IF($W504&gt;=((1-Game_Weave_Human_Error)*$X504),$W504,$X504)*INDEX(Species_Attack,MATCH($N504,Species_Names,0)))/11)</f>
        <v>#VALUE!</v>
      </c>
      <c r="T504" s="33" t="e">
        <f t="shared" si="15"/>
        <v>#VALUE!</v>
      </c>
      <c r="U504" s="33">
        <f t="array" ref="U5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504,Quick_Names,0))),Type_Species)),0),1)*IF(COUNTBLANK(Combo_Opponent_Type_2)=0,INDEX(Type_Damage_Multipliers,MATCH(Combo_Opponent_Type_2,IF(Type_Move=(INDEX(Quick_Type,MATCH($O504,Quick_Names,0))),Type_Species)),0),1)*(IF(OR(INDEX(Quick_Type,MATCH($O504,Quick_Names,0))=INDEX(Species_Type_1,MATCH($N504,Species_Names,0)),INDEX(Quick_Type,MATCH($O504,Quick_Names,0))=INDEX(Species_Type_2,MATCH($N504,Species_Names,0))),Game_STAB_Multiplier,1)))</f>
        <v>1.25</v>
      </c>
      <c r="V504" s="33">
        <f t="array" ref="V5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504,Charge_Names,0))),Type_Species)),0),1)*IF(COUNTBLANK(Combo_Opponent_Type_2)=0,INDEX(Type_Damage_Multipliers,MATCH(Combo_Opponent_Type_2,IF(Type_Move=(INDEX(Charge_Type,MATCH($P504,Charge_Names,0))),Type_Species)),0),1)*
IF(OR(INDEX(Charge_Type,MATCH($P504,Charge_Names,0))=INDEX(Species_Type_1,MATCH($N504,Species_Names,0)),INDEX(Charge_Type,MATCH($P504,Charge_Names,0))=INDEX(Species_Type_2,MATCH($N504,Species_Names,0))),Game_STAB_Multiplier,1))</f>
        <v>1.25</v>
      </c>
      <c r="W504" s="33" t="s">
        <v>511</v>
      </c>
      <c r="X504" s="33" t="s">
        <v>508</v>
      </c>
      <c r="Y504" s="32" t="e">
        <f t="array" ref="Y504">((($Z504)*
INDEX(Species_Attack,MATCH($N504,Species_Names,0))*
INDEX(Species_Tankiness,MATCH($N504,Species_Names,0)))/1000)</f>
        <v>#VALUE!</v>
      </c>
      <c r="Z504" s="33" t="s">
        <v>543</v>
      </c>
    </row>
    <row r="505" spans="1:26" ht="14.25" customHeight="1" x14ac:dyDescent="0.2">
      <c r="A505" s="86"/>
      <c r="B505" s="22" t="str">
        <f t="array" ref="B505">CONCATENATE(TEXT($M505,"000"),".",TEXT(INDEX(Quick_Number,MATCH($O505,Quick_Names,0)),"000"),".",TEXT(INDEX(Charge_Number,MATCH($P505,Charge_Names,0)),"000"))</f>
        <v>005.220.115</v>
      </c>
      <c r="C505" s="23" t="e">
        <f t="array" ref="C505">RANK($S505,IF(Combo_Species_Names=$N505,Combo_Gym_Offense),0)</f>
        <v>#VALUE!</v>
      </c>
      <c r="D505" s="24" t="e">
        <f t="array" ref="D505">$S505/MAX(IF(Combo_Species_Names=$N505,Combo_Gym_Offense))</f>
        <v>#VALUE!</v>
      </c>
      <c r="E505" s="23" t="e">
        <f t="array" ref="E505">RANK($Y505,IF(Combo_Species_Names=$N505,Combo_Gym_Defense),0)</f>
        <v>#VALUE!</v>
      </c>
      <c r="F505" s="25" t="e">
        <f t="array" ref="F505">$Y505/MAX(IF(Combo_Species_Names=$N505,Combo_Gym_Defense))</f>
        <v>#VALUE!</v>
      </c>
      <c r="G505" s="23" t="str">
        <f t="array" ref="G505">IF(OR(INDEX(Species_Availability,MATCH($N505,Species_Names,0))="No",INDEX(Species_Evo_Numbers,MATCH($N505,Species_Names,0))&lt;&gt;1),"N/A",RANK($R505,IF(NOT(ISNA(MATCH(Combo_Species_Names,IF(Species_Availability="Yes",IF(Species_Evo_Numbers=1,Species_Names)),0))),Combo_Duel_Ability),0))</f>
        <v>N/A</v>
      </c>
      <c r="H505" s="24" t="str">
        <f t="array" ref="H505">IF(OR(INDEX(Species_Availability,MATCH($N505,Species_Names,0))="No",INDEX(Species_Evo_Numbers,MATCH($N505,Species_Names,0))&lt;&gt;1),"N/A",$R505/MAX(IF(NOT(ISNA(MATCH(Combo_Species_Names,IF(Species_Availability="Yes",IF(Species_Evo_Numbers=1,Species_Names)),0))),Combo_Duel_Ability)))</f>
        <v>N/A</v>
      </c>
      <c r="I505" s="23" t="str">
        <f t="array" ref="I505">IF(OR(INDEX(Species_Availability,MATCH($N505,Species_Names,0))="No",INDEX(Species_Evo_Numbers,MATCH($N505,Species_Names,0))&lt;&gt;1),"N/A",RANK($S505,IF(NOT(ISNA(MATCH(Combo_Species_Names,IF(Species_Availability="Yes",IF(Species_Evo_Numbers=1,Species_Names)),0))),Combo_Gym_Offense),0))</f>
        <v>N/A</v>
      </c>
      <c r="J505" s="24" t="str">
        <f t="array" ref="J505">IF(OR(INDEX(Species_Availability,MATCH($N505,Species_Names,0))="No",INDEX(Species_Evo_Numbers,MATCH($N505,Species_Names,0))&lt;&gt;1),"N/A",$S505/MAX(IF(NOT(ISNA(MATCH(Combo_Species_Names,IF(Species_Availability="Yes",IF(Species_Evo_Numbers=1,Species_Names)),0))),Combo_Gym_Offense)))</f>
        <v>N/A</v>
      </c>
      <c r="K505" s="23" t="str">
        <f t="array" ref="K505">IF(OR(INDEX(Species_Availability,MATCH($N505,Species_Names,0))="No",INDEX(Species_Evo_Numbers,MATCH($N505,Species_Names,0))&lt;&gt;1),"N/A",RANK($Y505,IF(NOT(ISNA(MATCH(Combo_Species_Names,IF(Species_Availability="Yes",IF(Species_Evo_Numbers=1,Species_Names)),0))),Combo_Gym_Defense),0))</f>
        <v>N/A</v>
      </c>
      <c r="L505" s="24" t="str">
        <f t="array" ref="L505">IF(OR(INDEX(Species_Availability,MATCH($N505,Species_Names,0))="No",INDEX(Species_Evo_Numbers,MATCH($N505,Species_Names,0))&lt;&gt;1),"N/A",$Y505/MAX(IF(NOT(ISNA(MATCH(Combo_Species_Names,IF(Species_Availability="Yes",IF(Species_Evo_Numbers=1,Species_Names)),0))),Combo_Gym_Defense)))</f>
        <v>N/A</v>
      </c>
      <c r="M505" s="28">
        <f t="array" ref="M505">INDEX(Species_Pdex_Numbers,MATCH($N505,Species_Names,0))</f>
        <v>5</v>
      </c>
      <c r="N505" s="30" t="s">
        <v>78</v>
      </c>
      <c r="O505" s="31" t="s">
        <v>64</v>
      </c>
      <c r="P505" s="31" t="s">
        <v>238</v>
      </c>
      <c r="Q505" s="17" t="e">
        <f t="shared" si="14"/>
        <v>#VALUE!</v>
      </c>
      <c r="R505" s="32" t="e">
        <f t="array" ref="R505">IF(OR(AND(COUNTBLANK(Combo_Opponent_Type_1)=1,COUNTBLANK(Combo_Opponent_Type_2)=0),AND(AND(COUNTBLANK(Combo_Opponent_Type_1)=0,COUNTBLANK(Combo_Opponent_Type_2)=0),Combo_Opponent_Type_1=Combo_Opponent_Type_2)),
"Check Types",($S505*INDEX(Species_Tankiness,MATCH($N505,Species_Names,0)))/225)</f>
        <v>#VALUE!</v>
      </c>
      <c r="S505" s="32" t="e">
        <f t="array" ref="S505">IF(OR(AND(COUNTBLANK(Combo_Opponent_Type_1)=1,COUNTBLANK(Combo_Opponent_Type_2)=0),AND(AND(COUNTBLANK(Combo_Opponent_Type_1)=0,COUNTBLANK(Combo_Opponent_Type_2)=0),Combo_Opponent_Type_1=Combo_Opponent_Type_2)),
"Check Types",(
IF($W505&gt;=((1-Game_Weave_Human_Error)*$X505),$W505,$X505)*INDEX(Species_Attack,MATCH($N505,Species_Names,0)))/11)</f>
        <v>#VALUE!</v>
      </c>
      <c r="T505" s="33" t="e">
        <f t="shared" si="15"/>
        <v>#VALUE!</v>
      </c>
      <c r="U505" s="33">
        <f t="array" ref="U5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505,Quick_Names,0))),Type_Species)),0),1)*IF(COUNTBLANK(Combo_Opponent_Type_2)=0,INDEX(Type_Damage_Multipliers,MATCH(Combo_Opponent_Type_2,IF(Type_Move=(INDEX(Quick_Type,MATCH($O505,Quick_Names,0))),Type_Species)),0),1)*(IF(OR(INDEX(Quick_Type,MATCH($O505,Quick_Names,0))=INDEX(Species_Type_1,MATCH($N505,Species_Names,0)),INDEX(Quick_Type,MATCH($O505,Quick_Names,0))=INDEX(Species_Type_2,MATCH($N505,Species_Names,0))),Game_STAB_Multiplier,1)))</f>
        <v>1</v>
      </c>
      <c r="V505" s="33">
        <f t="array" ref="V5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505,Charge_Names,0))),Type_Species)),0),1)*IF(COUNTBLANK(Combo_Opponent_Type_2)=0,INDEX(Type_Damage_Multipliers,MATCH(Combo_Opponent_Type_2,IF(Type_Move=(INDEX(Charge_Type,MATCH($P505,Charge_Names,0))),Type_Species)),0),1)*
IF(OR(INDEX(Charge_Type,MATCH($P505,Charge_Names,0))=INDEX(Species_Type_1,MATCH($N505,Species_Names,0)),INDEX(Charge_Type,MATCH($P505,Charge_Names,0))=INDEX(Species_Type_2,MATCH($N505,Species_Names,0))),Game_STAB_Multiplier,1))</f>
        <v>1.25</v>
      </c>
      <c r="W505" s="33" t="s">
        <v>453</v>
      </c>
      <c r="X505" s="33" t="s">
        <v>957</v>
      </c>
      <c r="Y505" s="32" t="e">
        <f t="array" ref="Y505">((($Z505)*
INDEX(Species_Attack,MATCH($N505,Species_Names,0))*
INDEX(Species_Tankiness,MATCH($N505,Species_Names,0)))/1000)</f>
        <v>#VALUE!</v>
      </c>
      <c r="Z505" s="33" t="s">
        <v>958</v>
      </c>
    </row>
    <row r="506" spans="1:26" ht="14.25" customHeight="1" x14ac:dyDescent="0.2">
      <c r="A506" s="86"/>
      <c r="B506" s="22" t="str">
        <f t="array" ref="B506">CONCATENATE(TEXT($M506,"000"),".",TEXT(INDEX(Quick_Number,MATCH($O506,Quick_Names,0)),"000"),".",TEXT(INDEX(Charge_Number,MATCH($P506,Charge_Names,0)),"000"))</f>
        <v>077.221.103</v>
      </c>
      <c r="C506" s="23" t="e">
        <f t="array" ref="C506">RANK($S506,IF(Combo_Species_Names=$N506,Combo_Gym_Offense),0)</f>
        <v>#VALUE!</v>
      </c>
      <c r="D506" s="24" t="e">
        <f t="array" ref="D506">$S506/MAX(IF(Combo_Species_Names=$N506,Combo_Gym_Offense))</f>
        <v>#VALUE!</v>
      </c>
      <c r="E506" s="23" t="e">
        <f t="array" ref="E506">RANK($Y506,IF(Combo_Species_Names=$N506,Combo_Gym_Defense),0)</f>
        <v>#VALUE!</v>
      </c>
      <c r="F506" s="25" t="e">
        <f t="array" ref="F506">$Y506/MAX(IF(Combo_Species_Names=$N506,Combo_Gym_Defense))</f>
        <v>#VALUE!</v>
      </c>
      <c r="G506" s="23" t="str">
        <f t="array" ref="G506">IF(OR(INDEX(Species_Availability,MATCH($N506,Species_Names,0))="No",INDEX(Species_Evo_Numbers,MATCH($N506,Species_Names,0))&lt;&gt;1),"N/A",RANK($R506,IF(NOT(ISNA(MATCH(Combo_Species_Names,IF(Species_Availability="Yes",IF(Species_Evo_Numbers=1,Species_Names)),0))),Combo_Duel_Ability),0))</f>
        <v>N/A</v>
      </c>
      <c r="H506" s="24" t="str">
        <f t="array" ref="H506">IF(OR(INDEX(Species_Availability,MATCH($N506,Species_Names,0))="No",INDEX(Species_Evo_Numbers,MATCH($N506,Species_Names,0))&lt;&gt;1),"N/A",$R506/MAX(IF(NOT(ISNA(MATCH(Combo_Species_Names,IF(Species_Availability="Yes",IF(Species_Evo_Numbers=1,Species_Names)),0))),Combo_Duel_Ability)))</f>
        <v>N/A</v>
      </c>
      <c r="I506" s="23" t="str">
        <f t="array" ref="I506">IF(OR(INDEX(Species_Availability,MATCH($N506,Species_Names,0))="No",INDEX(Species_Evo_Numbers,MATCH($N506,Species_Names,0))&lt;&gt;1),"N/A",RANK($S506,IF(NOT(ISNA(MATCH(Combo_Species_Names,IF(Species_Availability="Yes",IF(Species_Evo_Numbers=1,Species_Names)),0))),Combo_Gym_Offense),0))</f>
        <v>N/A</v>
      </c>
      <c r="J506" s="24" t="str">
        <f t="array" ref="J506">IF(OR(INDEX(Species_Availability,MATCH($N506,Species_Names,0))="No",INDEX(Species_Evo_Numbers,MATCH($N506,Species_Names,0))&lt;&gt;1),"N/A",$S506/MAX(IF(NOT(ISNA(MATCH(Combo_Species_Names,IF(Species_Availability="Yes",IF(Species_Evo_Numbers=1,Species_Names)),0))),Combo_Gym_Offense)))</f>
        <v>N/A</v>
      </c>
      <c r="K506" s="23" t="str">
        <f t="array" ref="K506">IF(OR(INDEX(Species_Availability,MATCH($N506,Species_Names,0))="No",INDEX(Species_Evo_Numbers,MATCH($N506,Species_Names,0))&lt;&gt;1),"N/A",RANK($Y506,IF(NOT(ISNA(MATCH(Combo_Species_Names,IF(Species_Availability="Yes",IF(Species_Evo_Numbers=1,Species_Names)),0))),Combo_Gym_Defense),0))</f>
        <v>N/A</v>
      </c>
      <c r="L506" s="24" t="str">
        <f t="array" ref="L506">IF(OR(INDEX(Species_Availability,MATCH($N506,Species_Names,0))="No",INDEX(Species_Evo_Numbers,MATCH($N506,Species_Names,0))&lt;&gt;1),"N/A",$Y506/MAX(IF(NOT(ISNA(MATCH(Combo_Species_Names,IF(Species_Availability="Yes",IF(Species_Evo_Numbers=1,Species_Names)),0))),Combo_Gym_Defense)))</f>
        <v>N/A</v>
      </c>
      <c r="M506" s="28">
        <f t="array" ref="M506">INDEX(Species_Pdex_Numbers,MATCH($N506,Species_Names,0))</f>
        <v>77</v>
      </c>
      <c r="N506" s="30" t="s">
        <v>246</v>
      </c>
      <c r="O506" s="31" t="s">
        <v>91</v>
      </c>
      <c r="P506" s="31" t="s">
        <v>163</v>
      </c>
      <c r="Q506" s="17" t="e">
        <f t="shared" si="14"/>
        <v>#VALUE!</v>
      </c>
      <c r="R506" s="32" t="e">
        <f t="array" ref="R506">IF(OR(AND(COUNTBLANK(Combo_Opponent_Type_1)=1,COUNTBLANK(Combo_Opponent_Type_2)=0),AND(AND(COUNTBLANK(Combo_Opponent_Type_1)=0,COUNTBLANK(Combo_Opponent_Type_2)=0),Combo_Opponent_Type_1=Combo_Opponent_Type_2)),
"Check Types",($S506*INDEX(Species_Tankiness,MATCH($N506,Species_Names,0)))/225)</f>
        <v>#VALUE!</v>
      </c>
      <c r="S506" s="32" t="e">
        <f t="array" ref="S506">IF(OR(AND(COUNTBLANK(Combo_Opponent_Type_1)=1,COUNTBLANK(Combo_Opponent_Type_2)=0),AND(AND(COUNTBLANK(Combo_Opponent_Type_1)=0,COUNTBLANK(Combo_Opponent_Type_2)=0),Combo_Opponent_Type_1=Combo_Opponent_Type_2)),
"Check Types",(
IF($W506&gt;=((1-Game_Weave_Human_Error)*$X506),$W506,$X506)*INDEX(Species_Attack,MATCH($N506,Species_Names,0)))/11)</f>
        <v>#VALUE!</v>
      </c>
      <c r="T506" s="33" t="e">
        <f t="shared" si="15"/>
        <v>#VALUE!</v>
      </c>
      <c r="U506" s="33">
        <f t="array" ref="U5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506,Quick_Names,0))),Type_Species)),0),1)*IF(COUNTBLANK(Combo_Opponent_Type_2)=0,INDEX(Type_Damage_Multipliers,MATCH(Combo_Opponent_Type_2,IF(Type_Move=(INDEX(Quick_Type,MATCH($O506,Quick_Names,0))),Type_Species)),0),1)*(IF(OR(INDEX(Quick_Type,MATCH($O506,Quick_Names,0))=INDEX(Species_Type_1,MATCH($N506,Species_Names,0)),INDEX(Quick_Type,MATCH($O506,Quick_Names,0))=INDEX(Species_Type_2,MATCH($N506,Species_Names,0))),Game_STAB_Multiplier,1)))</f>
        <v>1</v>
      </c>
      <c r="V506" s="33">
        <f t="array" ref="V5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506,Charge_Names,0))),Type_Species)),0),1)*IF(COUNTBLANK(Combo_Opponent_Type_2)=0,INDEX(Type_Damage_Multipliers,MATCH(Combo_Opponent_Type_2,IF(Type_Move=(INDEX(Charge_Type,MATCH($P506,Charge_Names,0))),Type_Species)),0),1)*
IF(OR(INDEX(Charge_Type,MATCH($P506,Charge_Names,0))=INDEX(Species_Type_1,MATCH($N506,Species_Names,0)),INDEX(Charge_Type,MATCH($P506,Charge_Names,0))=INDEX(Species_Type_2,MATCH($N506,Species_Names,0))),Game_STAB_Multiplier,1))</f>
        <v>1.25</v>
      </c>
      <c r="W506" s="33" t="s">
        <v>658</v>
      </c>
      <c r="X506" s="33" t="s">
        <v>959</v>
      </c>
      <c r="Y506" s="32" t="e">
        <f t="array" ref="Y506">((($Z506)*
INDEX(Species_Attack,MATCH($N506,Species_Names,0))*
INDEX(Species_Tankiness,MATCH($N506,Species_Names,0)))/1000)</f>
        <v>#VALUE!</v>
      </c>
      <c r="Z506" s="33" t="s">
        <v>960</v>
      </c>
    </row>
    <row r="507" spans="1:26" ht="14.25" customHeight="1" x14ac:dyDescent="0.2">
      <c r="A507" s="86"/>
      <c r="B507" s="22" t="str">
        <f t="array" ref="B507">CONCATENATE(TEXT($M507,"000"),".",TEXT(INDEX(Quick_Number,MATCH($O507,Quick_Names,0)),"000"),".",TEXT(INDEX(Charge_Number,MATCH($P507,Charge_Names,0)),"000"))</f>
        <v>008.202.057</v>
      </c>
      <c r="C507" s="23" t="e">
        <f t="array" ref="C507">RANK($S507,IF(Combo_Species_Names=$N507,Combo_Gym_Offense),0)</f>
        <v>#VALUE!</v>
      </c>
      <c r="D507" s="24" t="e">
        <f t="array" ref="D507">$S507/MAX(IF(Combo_Species_Names=$N507,Combo_Gym_Offense))</f>
        <v>#VALUE!</v>
      </c>
      <c r="E507" s="23" t="e">
        <f t="array" ref="E507">RANK($Y507,IF(Combo_Species_Names=$N507,Combo_Gym_Defense),0)</f>
        <v>#VALUE!</v>
      </c>
      <c r="F507" s="25" t="e">
        <f t="array" ref="F507">$Y507/MAX(IF(Combo_Species_Names=$N507,Combo_Gym_Defense))</f>
        <v>#VALUE!</v>
      </c>
      <c r="G507" s="23" t="str">
        <f t="array" ref="G507">IF(OR(INDEX(Species_Availability,MATCH($N507,Species_Names,0))="No",INDEX(Species_Evo_Numbers,MATCH($N507,Species_Names,0))&lt;&gt;1),"N/A",RANK($R507,IF(NOT(ISNA(MATCH(Combo_Species_Names,IF(Species_Availability="Yes",IF(Species_Evo_Numbers=1,Species_Names)),0))),Combo_Duel_Ability),0))</f>
        <v>N/A</v>
      </c>
      <c r="H507" s="24" t="str">
        <f t="array" ref="H507">IF(OR(INDEX(Species_Availability,MATCH($N507,Species_Names,0))="No",INDEX(Species_Evo_Numbers,MATCH($N507,Species_Names,0))&lt;&gt;1),"N/A",$R507/MAX(IF(NOT(ISNA(MATCH(Combo_Species_Names,IF(Species_Availability="Yes",IF(Species_Evo_Numbers=1,Species_Names)),0))),Combo_Duel_Ability)))</f>
        <v>N/A</v>
      </c>
      <c r="I507" s="23" t="str">
        <f t="array" ref="I507">IF(OR(INDEX(Species_Availability,MATCH($N507,Species_Names,0))="No",INDEX(Species_Evo_Numbers,MATCH($N507,Species_Names,0))&lt;&gt;1),"N/A",RANK($S507,IF(NOT(ISNA(MATCH(Combo_Species_Names,IF(Species_Availability="Yes",IF(Species_Evo_Numbers=1,Species_Names)),0))),Combo_Gym_Offense),0))</f>
        <v>N/A</v>
      </c>
      <c r="J507" s="24" t="str">
        <f t="array" ref="J507">IF(OR(INDEX(Species_Availability,MATCH($N507,Species_Names,0))="No",INDEX(Species_Evo_Numbers,MATCH($N507,Species_Names,0))&lt;&gt;1),"N/A",$S507/MAX(IF(NOT(ISNA(MATCH(Combo_Species_Names,IF(Species_Availability="Yes",IF(Species_Evo_Numbers=1,Species_Names)),0))),Combo_Gym_Offense)))</f>
        <v>N/A</v>
      </c>
      <c r="K507" s="23" t="str">
        <f t="array" ref="K507">IF(OR(INDEX(Species_Availability,MATCH($N507,Species_Names,0))="No",INDEX(Species_Evo_Numbers,MATCH($N507,Species_Names,0))&lt;&gt;1),"N/A",RANK($Y507,IF(NOT(ISNA(MATCH(Combo_Species_Names,IF(Species_Availability="Yes",IF(Species_Evo_Numbers=1,Species_Names)),0))),Combo_Gym_Defense),0))</f>
        <v>N/A</v>
      </c>
      <c r="L507" s="24" t="str">
        <f t="array" ref="L507">IF(OR(INDEX(Species_Availability,MATCH($N507,Species_Names,0))="No",INDEX(Species_Evo_Numbers,MATCH($N507,Species_Names,0))&lt;&gt;1),"N/A",$Y507/MAX(IF(NOT(ISNA(MATCH(Combo_Species_Names,IF(Species_Availability="Yes",IF(Species_Evo_Numbers=1,Species_Names)),0))),Combo_Gym_Defense)))</f>
        <v>N/A</v>
      </c>
      <c r="M507" s="28">
        <f t="array" ref="M507">INDEX(Species_Pdex_Numbers,MATCH($N507,Species_Names,0))</f>
        <v>8</v>
      </c>
      <c r="N507" s="30" t="s">
        <v>90</v>
      </c>
      <c r="O507" s="31" t="s">
        <v>59</v>
      </c>
      <c r="P507" s="31" t="s">
        <v>280</v>
      </c>
      <c r="Q507" s="17" t="e">
        <f t="shared" si="14"/>
        <v>#VALUE!</v>
      </c>
      <c r="R507" s="32" t="e">
        <f t="array" ref="R507">IF(OR(AND(COUNTBLANK(Combo_Opponent_Type_1)=1,COUNTBLANK(Combo_Opponent_Type_2)=0),AND(AND(COUNTBLANK(Combo_Opponent_Type_1)=0,COUNTBLANK(Combo_Opponent_Type_2)=0),Combo_Opponent_Type_1=Combo_Opponent_Type_2)),
"Check Types",($S507*INDEX(Species_Tankiness,MATCH($N507,Species_Names,0)))/225)</f>
        <v>#VALUE!</v>
      </c>
      <c r="S507" s="32" t="e">
        <f t="array" ref="S507">IF(OR(AND(COUNTBLANK(Combo_Opponent_Type_1)=1,COUNTBLANK(Combo_Opponent_Type_2)=0),AND(AND(COUNTBLANK(Combo_Opponent_Type_1)=0,COUNTBLANK(Combo_Opponent_Type_2)=0),Combo_Opponent_Type_1=Combo_Opponent_Type_2)),
"Check Types",(
IF($W507&gt;=((1-Game_Weave_Human_Error)*$X507),$W507,$X507)*INDEX(Species_Attack,MATCH($N507,Species_Names,0)))/11)</f>
        <v>#VALUE!</v>
      </c>
      <c r="T507" s="33" t="e">
        <f t="shared" si="15"/>
        <v>#VALUE!</v>
      </c>
      <c r="U507" s="33">
        <f t="array" ref="U5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507,Quick_Names,0))),Type_Species)),0),1)*IF(COUNTBLANK(Combo_Opponent_Type_2)=0,INDEX(Type_Damage_Multipliers,MATCH(Combo_Opponent_Type_2,IF(Type_Move=(INDEX(Quick_Type,MATCH($O507,Quick_Names,0))),Type_Species)),0),1)*(IF(OR(INDEX(Quick_Type,MATCH($O507,Quick_Names,0))=INDEX(Species_Type_1,MATCH($N507,Species_Names,0)),INDEX(Quick_Type,MATCH($O507,Quick_Names,0))=INDEX(Species_Type_2,MATCH($N507,Species_Names,0))),Game_STAB_Multiplier,1)))</f>
        <v>1</v>
      </c>
      <c r="V507" s="33">
        <f t="array" ref="V5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507,Charge_Names,0))),Type_Species)),0),1)*IF(COUNTBLANK(Combo_Opponent_Type_2)=0,INDEX(Type_Damage_Multipliers,MATCH(Combo_Opponent_Type_2,IF(Type_Move=(INDEX(Charge_Type,MATCH($P507,Charge_Names,0))),Type_Species)),0),1)*
IF(OR(INDEX(Charge_Type,MATCH($P507,Charge_Names,0))=INDEX(Species_Type_1,MATCH($N507,Species_Names,0)),INDEX(Charge_Type,MATCH($P507,Charge_Names,0))=INDEX(Species_Type_2,MATCH($N507,Species_Names,0))),Game_STAB_Multiplier,1))</f>
        <v>1.25</v>
      </c>
      <c r="W507" s="33" t="s">
        <v>453</v>
      </c>
      <c r="X507" s="33" t="s">
        <v>961</v>
      </c>
      <c r="Y507" s="32" t="e">
        <f t="array" ref="Y507">((($Z507)*
INDEX(Species_Attack,MATCH($N507,Species_Names,0))*
INDEX(Species_Tankiness,MATCH($N507,Species_Names,0)))/1000)</f>
        <v>#VALUE!</v>
      </c>
      <c r="Z507" s="33" t="s">
        <v>755</v>
      </c>
    </row>
    <row r="508" spans="1:26" ht="14.25" customHeight="1" x14ac:dyDescent="0.2">
      <c r="A508" s="86"/>
      <c r="B508" s="22" t="str">
        <f t="array" ref="B508">CONCATENATE(TEXT($M508,"000"),".",TEXT(INDEX(Quick_Number,MATCH($O508,Quick_Names,0)),"000"),".",TEXT(INDEX(Charge_Number,MATCH($P508,Charge_Names,0)),"000"))</f>
        <v>005.220.102</v>
      </c>
      <c r="C508" s="23" t="e">
        <f t="array" ref="C508">RANK($S508,IF(Combo_Species_Names=$N508,Combo_Gym_Offense),0)</f>
        <v>#VALUE!</v>
      </c>
      <c r="D508" s="24" t="e">
        <f t="array" ref="D508">$S508/MAX(IF(Combo_Species_Names=$N508,Combo_Gym_Offense))</f>
        <v>#VALUE!</v>
      </c>
      <c r="E508" s="23" t="e">
        <f t="array" ref="E508">RANK($Y508,IF(Combo_Species_Names=$N508,Combo_Gym_Defense),0)</f>
        <v>#VALUE!</v>
      </c>
      <c r="F508" s="25" t="e">
        <f t="array" ref="F508">$Y508/MAX(IF(Combo_Species_Names=$N508,Combo_Gym_Defense))</f>
        <v>#VALUE!</v>
      </c>
      <c r="G508" s="23" t="str">
        <f t="array" ref="G508">IF(OR(INDEX(Species_Availability,MATCH($N508,Species_Names,0))="No",INDEX(Species_Evo_Numbers,MATCH($N508,Species_Names,0))&lt;&gt;1),"N/A",RANK($R508,IF(NOT(ISNA(MATCH(Combo_Species_Names,IF(Species_Availability="Yes",IF(Species_Evo_Numbers=1,Species_Names)),0))),Combo_Duel_Ability),0))</f>
        <v>N/A</v>
      </c>
      <c r="H508" s="24" t="str">
        <f t="array" ref="H508">IF(OR(INDEX(Species_Availability,MATCH($N508,Species_Names,0))="No",INDEX(Species_Evo_Numbers,MATCH($N508,Species_Names,0))&lt;&gt;1),"N/A",$R508/MAX(IF(NOT(ISNA(MATCH(Combo_Species_Names,IF(Species_Availability="Yes",IF(Species_Evo_Numbers=1,Species_Names)),0))),Combo_Duel_Ability)))</f>
        <v>N/A</v>
      </c>
      <c r="I508" s="23" t="str">
        <f t="array" ref="I508">IF(OR(INDEX(Species_Availability,MATCH($N508,Species_Names,0))="No",INDEX(Species_Evo_Numbers,MATCH($N508,Species_Names,0))&lt;&gt;1),"N/A",RANK($S508,IF(NOT(ISNA(MATCH(Combo_Species_Names,IF(Species_Availability="Yes",IF(Species_Evo_Numbers=1,Species_Names)),0))),Combo_Gym_Offense),0))</f>
        <v>N/A</v>
      </c>
      <c r="J508" s="24" t="str">
        <f t="array" ref="J508">IF(OR(INDEX(Species_Availability,MATCH($N508,Species_Names,0))="No",INDEX(Species_Evo_Numbers,MATCH($N508,Species_Names,0))&lt;&gt;1),"N/A",$S508/MAX(IF(NOT(ISNA(MATCH(Combo_Species_Names,IF(Species_Availability="Yes",IF(Species_Evo_Numbers=1,Species_Names)),0))),Combo_Gym_Offense)))</f>
        <v>N/A</v>
      </c>
      <c r="K508" s="23" t="str">
        <f t="array" ref="K508">IF(OR(INDEX(Species_Availability,MATCH($N508,Species_Names,0))="No",INDEX(Species_Evo_Numbers,MATCH($N508,Species_Names,0))&lt;&gt;1),"N/A",RANK($Y508,IF(NOT(ISNA(MATCH(Combo_Species_Names,IF(Species_Availability="Yes",IF(Species_Evo_Numbers=1,Species_Names)),0))),Combo_Gym_Defense),0))</f>
        <v>N/A</v>
      </c>
      <c r="L508" s="24" t="str">
        <f t="array" ref="L508">IF(OR(INDEX(Species_Availability,MATCH($N508,Species_Names,0))="No",INDEX(Species_Evo_Numbers,MATCH($N508,Species_Names,0))&lt;&gt;1),"N/A",$Y508/MAX(IF(NOT(ISNA(MATCH(Combo_Species_Names,IF(Species_Availability="Yes",IF(Species_Evo_Numbers=1,Species_Names)),0))),Combo_Gym_Defense)))</f>
        <v>N/A</v>
      </c>
      <c r="M508" s="28">
        <f t="array" ref="M508">INDEX(Species_Pdex_Numbers,MATCH($N508,Species_Names,0))</f>
        <v>5</v>
      </c>
      <c r="N508" s="30" t="s">
        <v>78</v>
      </c>
      <c r="O508" s="31" t="s">
        <v>64</v>
      </c>
      <c r="P508" s="31" t="s">
        <v>239</v>
      </c>
      <c r="Q508" s="17" t="e">
        <f t="shared" si="14"/>
        <v>#VALUE!</v>
      </c>
      <c r="R508" s="32" t="e">
        <f t="array" ref="R508">IF(OR(AND(COUNTBLANK(Combo_Opponent_Type_1)=1,COUNTBLANK(Combo_Opponent_Type_2)=0),AND(AND(COUNTBLANK(Combo_Opponent_Type_1)=0,COUNTBLANK(Combo_Opponent_Type_2)=0),Combo_Opponent_Type_1=Combo_Opponent_Type_2)),
"Check Types",($S508*INDEX(Species_Tankiness,MATCH($N508,Species_Names,0)))/225)</f>
        <v>#VALUE!</v>
      </c>
      <c r="S508" s="32" t="e">
        <f t="array" ref="S508">IF(OR(AND(COUNTBLANK(Combo_Opponent_Type_1)=1,COUNTBLANK(Combo_Opponent_Type_2)=0),AND(AND(COUNTBLANK(Combo_Opponent_Type_1)=0,COUNTBLANK(Combo_Opponent_Type_2)=0),Combo_Opponent_Type_1=Combo_Opponent_Type_2)),
"Check Types",(
IF($W508&gt;=((1-Game_Weave_Human_Error)*$X508),$W508,$X508)*INDEX(Species_Attack,MATCH($N508,Species_Names,0)))/11)</f>
        <v>#VALUE!</v>
      </c>
      <c r="T508" s="33" t="e">
        <f t="shared" si="15"/>
        <v>#VALUE!</v>
      </c>
      <c r="U508" s="33">
        <f t="array" ref="U5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508,Quick_Names,0))),Type_Species)),0),1)*IF(COUNTBLANK(Combo_Opponent_Type_2)=0,INDEX(Type_Damage_Multipliers,MATCH(Combo_Opponent_Type_2,IF(Type_Move=(INDEX(Quick_Type,MATCH($O508,Quick_Names,0))),Type_Species)),0),1)*(IF(OR(INDEX(Quick_Type,MATCH($O508,Quick_Names,0))=INDEX(Species_Type_1,MATCH($N508,Species_Names,0)),INDEX(Quick_Type,MATCH($O508,Quick_Names,0))=INDEX(Species_Type_2,MATCH($N508,Species_Names,0))),Game_STAB_Multiplier,1)))</f>
        <v>1</v>
      </c>
      <c r="V508" s="33">
        <f t="array" ref="V5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508,Charge_Names,0))),Type_Species)),0),1)*IF(COUNTBLANK(Combo_Opponent_Type_2)=0,INDEX(Type_Damage_Multipliers,MATCH(Combo_Opponent_Type_2,IF(Type_Move=(INDEX(Charge_Type,MATCH($P508,Charge_Names,0))),Type_Species)),0),1)*
IF(OR(INDEX(Charge_Type,MATCH($P508,Charge_Names,0))=INDEX(Species_Type_1,MATCH($N508,Species_Names,0)),INDEX(Charge_Type,MATCH($P508,Charge_Names,0))=INDEX(Species_Type_2,MATCH($N508,Species_Names,0))),Game_STAB_Multiplier,1))</f>
        <v>1.25</v>
      </c>
      <c r="W508" s="33" t="s">
        <v>453</v>
      </c>
      <c r="X508" s="33" t="s">
        <v>722</v>
      </c>
      <c r="Y508" s="32" t="e">
        <f t="array" ref="Y508">((($Z508)*
INDEX(Species_Attack,MATCH($N508,Species_Names,0))*
INDEX(Species_Tankiness,MATCH($N508,Species_Names,0)))/1000)</f>
        <v>#VALUE!</v>
      </c>
      <c r="Z508" s="33" t="s">
        <v>958</v>
      </c>
    </row>
    <row r="509" spans="1:26" ht="14.25" customHeight="1" x14ac:dyDescent="0.2">
      <c r="A509" s="86"/>
      <c r="B509" s="22" t="str">
        <f t="array" ref="B509">CONCATENATE(TEXT($M509,"000"),".",TEXT(INDEX(Quick_Number,MATCH($O509,Quick_Names,0)),"000"),".",TEXT(INDEX(Charge_Number,MATCH($P509,Charge_Names,0)),"000"))</f>
        <v>005.209.115</v>
      </c>
      <c r="C509" s="23" t="e">
        <f t="array" ref="C509">RANK($S509,IF(Combo_Species_Names=$N509,Combo_Gym_Offense),0)</f>
        <v>#VALUE!</v>
      </c>
      <c r="D509" s="24" t="e">
        <f t="array" ref="D509">$S509/MAX(IF(Combo_Species_Names=$N509,Combo_Gym_Offense))</f>
        <v>#VALUE!</v>
      </c>
      <c r="E509" s="23" t="e">
        <f t="array" ref="E509">RANK($Y509,IF(Combo_Species_Names=$N509,Combo_Gym_Defense),0)</f>
        <v>#VALUE!</v>
      </c>
      <c r="F509" s="25" t="e">
        <f t="array" ref="F509">$Y509/MAX(IF(Combo_Species_Names=$N509,Combo_Gym_Defense))</f>
        <v>#VALUE!</v>
      </c>
      <c r="G509" s="23" t="str">
        <f t="array" ref="G509">IF(OR(INDEX(Species_Availability,MATCH($N509,Species_Names,0))="No",INDEX(Species_Evo_Numbers,MATCH($N509,Species_Names,0))&lt;&gt;1),"N/A",RANK($R509,IF(NOT(ISNA(MATCH(Combo_Species_Names,IF(Species_Availability="Yes",IF(Species_Evo_Numbers=1,Species_Names)),0))),Combo_Duel_Ability),0))</f>
        <v>N/A</v>
      </c>
      <c r="H509" s="24" t="str">
        <f t="array" ref="H509">IF(OR(INDEX(Species_Availability,MATCH($N509,Species_Names,0))="No",INDEX(Species_Evo_Numbers,MATCH($N509,Species_Names,0))&lt;&gt;1),"N/A",$R509/MAX(IF(NOT(ISNA(MATCH(Combo_Species_Names,IF(Species_Availability="Yes",IF(Species_Evo_Numbers=1,Species_Names)),0))),Combo_Duel_Ability)))</f>
        <v>N/A</v>
      </c>
      <c r="I509" s="23" t="str">
        <f t="array" ref="I509">IF(OR(INDEX(Species_Availability,MATCH($N509,Species_Names,0))="No",INDEX(Species_Evo_Numbers,MATCH($N509,Species_Names,0))&lt;&gt;1),"N/A",RANK($S509,IF(NOT(ISNA(MATCH(Combo_Species_Names,IF(Species_Availability="Yes",IF(Species_Evo_Numbers=1,Species_Names)),0))),Combo_Gym_Offense),0))</f>
        <v>N/A</v>
      </c>
      <c r="J509" s="24" t="str">
        <f t="array" ref="J509">IF(OR(INDEX(Species_Availability,MATCH($N509,Species_Names,0))="No",INDEX(Species_Evo_Numbers,MATCH($N509,Species_Names,0))&lt;&gt;1),"N/A",$S509/MAX(IF(NOT(ISNA(MATCH(Combo_Species_Names,IF(Species_Availability="Yes",IF(Species_Evo_Numbers=1,Species_Names)),0))),Combo_Gym_Offense)))</f>
        <v>N/A</v>
      </c>
      <c r="K509" s="23" t="str">
        <f t="array" ref="K509">IF(OR(INDEX(Species_Availability,MATCH($N509,Species_Names,0))="No",INDEX(Species_Evo_Numbers,MATCH($N509,Species_Names,0))&lt;&gt;1),"N/A",RANK($Y509,IF(NOT(ISNA(MATCH(Combo_Species_Names,IF(Species_Availability="Yes",IF(Species_Evo_Numbers=1,Species_Names)),0))),Combo_Gym_Defense),0))</f>
        <v>N/A</v>
      </c>
      <c r="L509" s="24" t="str">
        <f t="array" ref="L509">IF(OR(INDEX(Species_Availability,MATCH($N509,Species_Names,0))="No",INDEX(Species_Evo_Numbers,MATCH($N509,Species_Names,0))&lt;&gt;1),"N/A",$Y509/MAX(IF(NOT(ISNA(MATCH(Combo_Species_Names,IF(Species_Availability="Yes",IF(Species_Evo_Numbers=1,Species_Names)),0))),Combo_Gym_Defense)))</f>
        <v>N/A</v>
      </c>
      <c r="M509" s="28">
        <f t="array" ref="M509">INDEX(Species_Pdex_Numbers,MATCH($N509,Species_Names,0))</f>
        <v>5</v>
      </c>
      <c r="N509" s="30" t="s">
        <v>78</v>
      </c>
      <c r="O509" s="31" t="s">
        <v>111</v>
      </c>
      <c r="P509" s="31" t="s">
        <v>238</v>
      </c>
      <c r="Q509" s="17" t="e">
        <f t="shared" si="14"/>
        <v>#VALUE!</v>
      </c>
      <c r="R509" s="32" t="e">
        <f t="array" ref="R509">IF(OR(AND(COUNTBLANK(Combo_Opponent_Type_1)=1,COUNTBLANK(Combo_Opponent_Type_2)=0),AND(AND(COUNTBLANK(Combo_Opponent_Type_1)=0,COUNTBLANK(Combo_Opponent_Type_2)=0),Combo_Opponent_Type_1=Combo_Opponent_Type_2)),
"Check Types",($S509*INDEX(Species_Tankiness,MATCH($N509,Species_Names,0)))/225)</f>
        <v>#VALUE!</v>
      </c>
      <c r="S509" s="32" t="e">
        <f t="array" ref="S509">IF(OR(AND(COUNTBLANK(Combo_Opponent_Type_1)=1,COUNTBLANK(Combo_Opponent_Type_2)=0),AND(AND(COUNTBLANK(Combo_Opponent_Type_1)=0,COUNTBLANK(Combo_Opponent_Type_2)=0),Combo_Opponent_Type_1=Combo_Opponent_Type_2)),
"Check Types",(
IF($W509&gt;=((1-Game_Weave_Human_Error)*$X509),$W509,$X509)*INDEX(Species_Attack,MATCH($N509,Species_Names,0)))/11)</f>
        <v>#VALUE!</v>
      </c>
      <c r="T509" s="33" t="e">
        <f t="shared" si="15"/>
        <v>#VALUE!</v>
      </c>
      <c r="U509" s="33">
        <f t="array" ref="U5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509,Quick_Names,0))),Type_Species)),0),1)*IF(COUNTBLANK(Combo_Opponent_Type_2)=0,INDEX(Type_Damage_Multipliers,MATCH(Combo_Opponent_Type_2,IF(Type_Move=(INDEX(Quick_Type,MATCH($O509,Quick_Names,0))),Type_Species)),0),1)*(IF(OR(INDEX(Quick_Type,MATCH($O509,Quick_Names,0))=INDEX(Species_Type_1,MATCH($N509,Species_Names,0)),INDEX(Quick_Type,MATCH($O509,Quick_Names,0))=INDEX(Species_Type_2,MATCH($N509,Species_Names,0))),Game_STAB_Multiplier,1)))</f>
        <v>1.25</v>
      </c>
      <c r="V509" s="33">
        <f t="array" ref="V5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509,Charge_Names,0))),Type_Species)),0),1)*IF(COUNTBLANK(Combo_Opponent_Type_2)=0,INDEX(Type_Damage_Multipliers,MATCH(Combo_Opponent_Type_2,IF(Type_Move=(INDEX(Charge_Type,MATCH($P509,Charge_Names,0))),Type_Species)),0),1)*
IF(OR(INDEX(Charge_Type,MATCH($P509,Charge_Names,0))=INDEX(Species_Type_1,MATCH($N509,Species_Names,0)),INDEX(Charge_Type,MATCH($P509,Charge_Names,0))=INDEX(Species_Type_2,MATCH($N509,Species_Names,0))),Game_STAB_Multiplier,1))</f>
        <v>1.25</v>
      </c>
      <c r="W509" s="33" t="s">
        <v>511</v>
      </c>
      <c r="X509" s="33" t="s">
        <v>727</v>
      </c>
      <c r="Y509" s="32" t="e">
        <f t="array" ref="Y509">((($Z509)*
INDEX(Species_Attack,MATCH($N509,Species_Names,0))*
INDEX(Species_Tankiness,MATCH($N509,Species_Names,0)))/1000)</f>
        <v>#VALUE!</v>
      </c>
      <c r="Z509" s="33" t="s">
        <v>728</v>
      </c>
    </row>
    <row r="510" spans="1:26" ht="14.25" customHeight="1" x14ac:dyDescent="0.2">
      <c r="A510" s="86"/>
      <c r="B510" s="22" t="str">
        <f t="array" ref="B510">CONCATENATE(TEXT($M510,"000"),".",TEXT(INDEX(Quick_Number,MATCH($O510,Quick_Names,0)),"000"),".",TEXT(INDEX(Charge_Number,MATCH($P510,Charge_Names,0)),"000"))</f>
        <v>005.209.102</v>
      </c>
      <c r="C510" s="23" t="e">
        <f t="array" ref="C510">RANK($S510,IF(Combo_Species_Names=$N510,Combo_Gym_Offense),0)</f>
        <v>#VALUE!</v>
      </c>
      <c r="D510" s="24" t="e">
        <f t="array" ref="D510">$S510/MAX(IF(Combo_Species_Names=$N510,Combo_Gym_Offense))</f>
        <v>#VALUE!</v>
      </c>
      <c r="E510" s="23" t="e">
        <f t="array" ref="E510">RANK($Y510,IF(Combo_Species_Names=$N510,Combo_Gym_Defense),0)</f>
        <v>#VALUE!</v>
      </c>
      <c r="F510" s="25" t="e">
        <f t="array" ref="F510">$Y510/MAX(IF(Combo_Species_Names=$N510,Combo_Gym_Defense))</f>
        <v>#VALUE!</v>
      </c>
      <c r="G510" s="23" t="str">
        <f t="array" ref="G510">IF(OR(INDEX(Species_Availability,MATCH($N510,Species_Names,0))="No",INDEX(Species_Evo_Numbers,MATCH($N510,Species_Names,0))&lt;&gt;1),"N/A",RANK($R510,IF(NOT(ISNA(MATCH(Combo_Species_Names,IF(Species_Availability="Yes",IF(Species_Evo_Numbers=1,Species_Names)),0))),Combo_Duel_Ability),0))</f>
        <v>N/A</v>
      </c>
      <c r="H510" s="24" t="str">
        <f t="array" ref="H510">IF(OR(INDEX(Species_Availability,MATCH($N510,Species_Names,0))="No",INDEX(Species_Evo_Numbers,MATCH($N510,Species_Names,0))&lt;&gt;1),"N/A",$R510/MAX(IF(NOT(ISNA(MATCH(Combo_Species_Names,IF(Species_Availability="Yes",IF(Species_Evo_Numbers=1,Species_Names)),0))),Combo_Duel_Ability)))</f>
        <v>N/A</v>
      </c>
      <c r="I510" s="23" t="str">
        <f t="array" ref="I510">IF(OR(INDEX(Species_Availability,MATCH($N510,Species_Names,0))="No",INDEX(Species_Evo_Numbers,MATCH($N510,Species_Names,0))&lt;&gt;1),"N/A",RANK($S510,IF(NOT(ISNA(MATCH(Combo_Species_Names,IF(Species_Availability="Yes",IF(Species_Evo_Numbers=1,Species_Names)),0))),Combo_Gym_Offense),0))</f>
        <v>N/A</v>
      </c>
      <c r="J510" s="24" t="str">
        <f t="array" ref="J510">IF(OR(INDEX(Species_Availability,MATCH($N510,Species_Names,0))="No",INDEX(Species_Evo_Numbers,MATCH($N510,Species_Names,0))&lt;&gt;1),"N/A",$S510/MAX(IF(NOT(ISNA(MATCH(Combo_Species_Names,IF(Species_Availability="Yes",IF(Species_Evo_Numbers=1,Species_Names)),0))),Combo_Gym_Offense)))</f>
        <v>N/A</v>
      </c>
      <c r="K510" s="23" t="str">
        <f t="array" ref="K510">IF(OR(INDEX(Species_Availability,MATCH($N510,Species_Names,0))="No",INDEX(Species_Evo_Numbers,MATCH($N510,Species_Names,0))&lt;&gt;1),"N/A",RANK($Y510,IF(NOT(ISNA(MATCH(Combo_Species_Names,IF(Species_Availability="Yes",IF(Species_Evo_Numbers=1,Species_Names)),0))),Combo_Gym_Defense),0))</f>
        <v>N/A</v>
      </c>
      <c r="L510" s="24" t="str">
        <f t="array" ref="L510">IF(OR(INDEX(Species_Availability,MATCH($N510,Species_Names,0))="No",INDEX(Species_Evo_Numbers,MATCH($N510,Species_Names,0))&lt;&gt;1),"N/A",$Y510/MAX(IF(NOT(ISNA(MATCH(Combo_Species_Names,IF(Species_Availability="Yes",IF(Species_Evo_Numbers=1,Species_Names)),0))),Combo_Gym_Defense)))</f>
        <v>N/A</v>
      </c>
      <c r="M510" s="28">
        <f t="array" ref="M510">INDEX(Species_Pdex_Numbers,MATCH($N510,Species_Names,0))</f>
        <v>5</v>
      </c>
      <c r="N510" s="30" t="s">
        <v>78</v>
      </c>
      <c r="O510" s="31" t="s">
        <v>111</v>
      </c>
      <c r="P510" s="31" t="s">
        <v>239</v>
      </c>
      <c r="Q510" s="17" t="e">
        <f t="shared" si="14"/>
        <v>#VALUE!</v>
      </c>
      <c r="R510" s="32" t="e">
        <f t="array" ref="R510">IF(OR(AND(COUNTBLANK(Combo_Opponent_Type_1)=1,COUNTBLANK(Combo_Opponent_Type_2)=0),AND(AND(COUNTBLANK(Combo_Opponent_Type_1)=0,COUNTBLANK(Combo_Opponent_Type_2)=0),Combo_Opponent_Type_1=Combo_Opponent_Type_2)),
"Check Types",($S510*INDEX(Species_Tankiness,MATCH($N510,Species_Names,0)))/225)</f>
        <v>#VALUE!</v>
      </c>
      <c r="S510" s="32" t="e">
        <f t="array" ref="S510">IF(OR(AND(COUNTBLANK(Combo_Opponent_Type_1)=1,COUNTBLANK(Combo_Opponent_Type_2)=0),AND(AND(COUNTBLANK(Combo_Opponent_Type_1)=0,COUNTBLANK(Combo_Opponent_Type_2)=0),Combo_Opponent_Type_1=Combo_Opponent_Type_2)),
"Check Types",(
IF($W510&gt;=((1-Game_Weave_Human_Error)*$X510),$W510,$X510)*INDEX(Species_Attack,MATCH($N510,Species_Names,0)))/11)</f>
        <v>#VALUE!</v>
      </c>
      <c r="T510" s="33" t="e">
        <f t="shared" si="15"/>
        <v>#VALUE!</v>
      </c>
      <c r="U510" s="33">
        <f t="array" ref="U5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510,Quick_Names,0))),Type_Species)),0),1)*IF(COUNTBLANK(Combo_Opponent_Type_2)=0,INDEX(Type_Damage_Multipliers,MATCH(Combo_Opponent_Type_2,IF(Type_Move=(INDEX(Quick_Type,MATCH($O510,Quick_Names,0))),Type_Species)),0),1)*(IF(OR(INDEX(Quick_Type,MATCH($O510,Quick_Names,0))=INDEX(Species_Type_1,MATCH($N510,Species_Names,0)),INDEX(Quick_Type,MATCH($O510,Quick_Names,0))=INDEX(Species_Type_2,MATCH($N510,Species_Names,0))),Game_STAB_Multiplier,1)))</f>
        <v>1.25</v>
      </c>
      <c r="V510" s="33">
        <f t="array" ref="V5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510,Charge_Names,0))),Type_Species)),0),1)*IF(COUNTBLANK(Combo_Opponent_Type_2)=0,INDEX(Type_Damage_Multipliers,MATCH(Combo_Opponent_Type_2,IF(Type_Move=(INDEX(Charge_Type,MATCH($P510,Charge_Names,0))),Type_Species)),0),1)*
IF(OR(INDEX(Charge_Type,MATCH($P510,Charge_Names,0))=INDEX(Species_Type_1,MATCH($N510,Species_Names,0)),INDEX(Charge_Type,MATCH($P510,Charge_Names,0))=INDEX(Species_Type_2,MATCH($N510,Species_Names,0))),Game_STAB_Multiplier,1))</f>
        <v>1.25</v>
      </c>
      <c r="W510" s="33" t="s">
        <v>511</v>
      </c>
      <c r="X510" s="33" t="s">
        <v>749</v>
      </c>
      <c r="Y510" s="32" t="e">
        <f t="array" ref="Y510">((($Z510)*
INDEX(Species_Attack,MATCH($N510,Species_Names,0))*
INDEX(Species_Tankiness,MATCH($N510,Species_Names,0)))/1000)</f>
        <v>#VALUE!</v>
      </c>
      <c r="Z510" s="33" t="s">
        <v>728</v>
      </c>
    </row>
    <row r="511" spans="1:26" ht="14.25" customHeight="1" x14ac:dyDescent="0.2">
      <c r="A511" s="86"/>
      <c r="B511" s="22" t="str">
        <f t="array" ref="B511">CONCATENATE(TEXT($M511,"000"),".",TEXT(INDEX(Quick_Number,MATCH($O511,Quick_Names,0)),"000"),".",TEXT(INDEX(Charge_Number,MATCH($P511,Charge_Names,0)),"000"))</f>
        <v>088.225.090</v>
      </c>
      <c r="C511" s="23" t="e">
        <f t="array" ref="C511">RANK($S511,IF(Combo_Species_Names=$N511,Combo_Gym_Offense),0)</f>
        <v>#VALUE!</v>
      </c>
      <c r="D511" s="24" t="e">
        <f t="array" ref="D511">$S511/MAX(IF(Combo_Species_Names=$N511,Combo_Gym_Offense))</f>
        <v>#VALUE!</v>
      </c>
      <c r="E511" s="23" t="e">
        <f t="array" ref="E511">RANK($Y511,IF(Combo_Species_Names=$N511,Combo_Gym_Defense),0)</f>
        <v>#VALUE!</v>
      </c>
      <c r="F511" s="25" t="e">
        <f t="array" ref="F511">$Y511/MAX(IF(Combo_Species_Names=$N511,Combo_Gym_Defense))</f>
        <v>#VALUE!</v>
      </c>
      <c r="G511" s="23" t="str">
        <f t="array" ref="G511">IF(OR(INDEX(Species_Availability,MATCH($N511,Species_Names,0))="No",INDEX(Species_Evo_Numbers,MATCH($N511,Species_Names,0))&lt;&gt;1),"N/A",RANK($R511,IF(NOT(ISNA(MATCH(Combo_Species_Names,IF(Species_Availability="Yes",IF(Species_Evo_Numbers=1,Species_Names)),0))),Combo_Duel_Ability),0))</f>
        <v>N/A</v>
      </c>
      <c r="H511" s="24" t="str">
        <f t="array" ref="H511">IF(OR(INDEX(Species_Availability,MATCH($N511,Species_Names,0))="No",INDEX(Species_Evo_Numbers,MATCH($N511,Species_Names,0))&lt;&gt;1),"N/A",$R511/MAX(IF(NOT(ISNA(MATCH(Combo_Species_Names,IF(Species_Availability="Yes",IF(Species_Evo_Numbers=1,Species_Names)),0))),Combo_Duel_Ability)))</f>
        <v>N/A</v>
      </c>
      <c r="I511" s="23" t="str">
        <f t="array" ref="I511">IF(OR(INDEX(Species_Availability,MATCH($N511,Species_Names,0))="No",INDEX(Species_Evo_Numbers,MATCH($N511,Species_Names,0))&lt;&gt;1),"N/A",RANK($S511,IF(NOT(ISNA(MATCH(Combo_Species_Names,IF(Species_Availability="Yes",IF(Species_Evo_Numbers=1,Species_Names)),0))),Combo_Gym_Offense),0))</f>
        <v>N/A</v>
      </c>
      <c r="J511" s="24" t="str">
        <f t="array" ref="J511">IF(OR(INDEX(Species_Availability,MATCH($N511,Species_Names,0))="No",INDEX(Species_Evo_Numbers,MATCH($N511,Species_Names,0))&lt;&gt;1),"N/A",$S511/MAX(IF(NOT(ISNA(MATCH(Combo_Species_Names,IF(Species_Availability="Yes",IF(Species_Evo_Numbers=1,Species_Names)),0))),Combo_Gym_Offense)))</f>
        <v>N/A</v>
      </c>
      <c r="K511" s="23" t="str">
        <f t="array" ref="K511">IF(OR(INDEX(Species_Availability,MATCH($N511,Species_Names,0))="No",INDEX(Species_Evo_Numbers,MATCH($N511,Species_Names,0))&lt;&gt;1),"N/A",RANK($Y511,IF(NOT(ISNA(MATCH(Combo_Species_Names,IF(Species_Availability="Yes",IF(Species_Evo_Numbers=1,Species_Names)),0))),Combo_Gym_Defense),0))</f>
        <v>N/A</v>
      </c>
      <c r="L511" s="24" t="str">
        <f t="array" ref="L511">IF(OR(INDEX(Species_Availability,MATCH($N511,Species_Names,0))="No",INDEX(Species_Evo_Numbers,MATCH($N511,Species_Names,0))&lt;&gt;1),"N/A",$Y511/MAX(IF(NOT(ISNA(MATCH(Combo_Species_Names,IF(Species_Availability="Yes",IF(Species_Evo_Numbers=1,Species_Names)),0))),Combo_Gym_Defense)))</f>
        <v>N/A</v>
      </c>
      <c r="M511" s="28">
        <f t="array" ref="M511">INDEX(Species_Pdex_Numbers,MATCH($N511,Species_Names,0))</f>
        <v>88</v>
      </c>
      <c r="N511" s="30" t="s">
        <v>270</v>
      </c>
      <c r="O511" s="31" t="s">
        <v>110</v>
      </c>
      <c r="P511" s="31" t="s">
        <v>180</v>
      </c>
      <c r="Q511" s="17" t="e">
        <f t="shared" si="14"/>
        <v>#VALUE!</v>
      </c>
      <c r="R511" s="32" t="e">
        <f t="array" ref="R511">IF(OR(AND(COUNTBLANK(Combo_Opponent_Type_1)=1,COUNTBLANK(Combo_Opponent_Type_2)=0),AND(AND(COUNTBLANK(Combo_Opponent_Type_1)=0,COUNTBLANK(Combo_Opponent_Type_2)=0),Combo_Opponent_Type_1=Combo_Opponent_Type_2)),
"Check Types",($S511*INDEX(Species_Tankiness,MATCH($N511,Species_Names,0)))/225)</f>
        <v>#VALUE!</v>
      </c>
      <c r="S511" s="32" t="e">
        <f t="array" ref="S511">IF(OR(AND(COUNTBLANK(Combo_Opponent_Type_1)=1,COUNTBLANK(Combo_Opponent_Type_2)=0),AND(AND(COUNTBLANK(Combo_Opponent_Type_1)=0,COUNTBLANK(Combo_Opponent_Type_2)=0),Combo_Opponent_Type_1=Combo_Opponent_Type_2)),
"Check Types",(
IF($W511&gt;=((1-Game_Weave_Human_Error)*$X511),$W511,$X511)*INDEX(Species_Attack,MATCH($N511,Species_Names,0)))/11)</f>
        <v>#VALUE!</v>
      </c>
      <c r="T511" s="33" t="e">
        <f t="shared" si="15"/>
        <v>#VALUE!</v>
      </c>
      <c r="U511" s="33">
        <f t="array" ref="U5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511,Quick_Names,0))),Type_Species)),0),1)*IF(COUNTBLANK(Combo_Opponent_Type_2)=0,INDEX(Type_Damage_Multipliers,MATCH(Combo_Opponent_Type_2,IF(Type_Move=(INDEX(Quick_Type,MATCH($O511,Quick_Names,0))),Type_Species)),0),1)*(IF(OR(INDEX(Quick_Type,MATCH($O511,Quick_Names,0))=INDEX(Species_Type_1,MATCH($N511,Species_Names,0)),INDEX(Quick_Type,MATCH($O511,Quick_Names,0))=INDEX(Species_Type_2,MATCH($N511,Species_Names,0))),Game_STAB_Multiplier,1)))</f>
        <v>1.25</v>
      </c>
      <c r="V511" s="33">
        <f t="array" ref="V5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511,Charge_Names,0))),Type_Species)),0),1)*IF(COUNTBLANK(Combo_Opponent_Type_2)=0,INDEX(Type_Damage_Multipliers,MATCH(Combo_Opponent_Type_2,IF(Type_Move=(INDEX(Charge_Type,MATCH($P511,Charge_Names,0))),Type_Species)),0),1)*
IF(OR(INDEX(Charge_Type,MATCH($P511,Charge_Names,0))=INDEX(Species_Type_1,MATCH($N511,Species_Names,0)),INDEX(Charge_Type,MATCH($P511,Charge_Names,0))=INDEX(Species_Type_2,MATCH($N511,Species_Names,0))),Game_STAB_Multiplier,1))</f>
        <v>1.25</v>
      </c>
      <c r="W511" s="33" t="s">
        <v>511</v>
      </c>
      <c r="X511" s="33" t="s">
        <v>514</v>
      </c>
      <c r="Y511" s="32" t="e">
        <f t="array" ref="Y511">((($Z511)*
INDEX(Species_Attack,MATCH($N511,Species_Names,0))*
INDEX(Species_Tankiness,MATCH($N511,Species_Names,0)))/1000)</f>
        <v>#VALUE!</v>
      </c>
      <c r="Z511" s="33" t="s">
        <v>603</v>
      </c>
    </row>
    <row r="512" spans="1:26" ht="14.25" customHeight="1" x14ac:dyDescent="0.2">
      <c r="A512" s="86"/>
      <c r="B512" s="22" t="str">
        <f t="array" ref="B512">CONCATENATE(TEXT($M512,"000"),".",TEXT(INDEX(Quick_Number,MATCH($O512,Quick_Names,0)),"000"),".",TEXT(INDEX(Charge_Number,MATCH($P512,Charge_Names,0)),"000"))</f>
        <v>075.227.064</v>
      </c>
      <c r="C512" s="23" t="e">
        <f t="array" ref="C512">RANK($S512,IF(Combo_Species_Names=$N512,Combo_Gym_Offense),0)</f>
        <v>#VALUE!</v>
      </c>
      <c r="D512" s="24" t="e">
        <f t="array" ref="D512">$S512/MAX(IF(Combo_Species_Names=$N512,Combo_Gym_Offense))</f>
        <v>#VALUE!</v>
      </c>
      <c r="E512" s="23" t="e">
        <f t="array" ref="E512">RANK($Y512,IF(Combo_Species_Names=$N512,Combo_Gym_Defense),0)</f>
        <v>#VALUE!</v>
      </c>
      <c r="F512" s="25" t="e">
        <f t="array" ref="F512">$Y512/MAX(IF(Combo_Species_Names=$N512,Combo_Gym_Defense))</f>
        <v>#VALUE!</v>
      </c>
      <c r="G512" s="23" t="str">
        <f t="array" ref="G512">IF(OR(INDEX(Species_Availability,MATCH($N512,Species_Names,0))="No",INDEX(Species_Evo_Numbers,MATCH($N512,Species_Names,0))&lt;&gt;1),"N/A",RANK($R512,IF(NOT(ISNA(MATCH(Combo_Species_Names,IF(Species_Availability="Yes",IF(Species_Evo_Numbers=1,Species_Names)),0))),Combo_Duel_Ability),0))</f>
        <v>N/A</v>
      </c>
      <c r="H512" s="24" t="str">
        <f t="array" ref="H512">IF(OR(INDEX(Species_Availability,MATCH($N512,Species_Names,0))="No",INDEX(Species_Evo_Numbers,MATCH($N512,Species_Names,0))&lt;&gt;1),"N/A",$R512/MAX(IF(NOT(ISNA(MATCH(Combo_Species_Names,IF(Species_Availability="Yes",IF(Species_Evo_Numbers=1,Species_Names)),0))),Combo_Duel_Ability)))</f>
        <v>N/A</v>
      </c>
      <c r="I512" s="23" t="str">
        <f t="array" ref="I512">IF(OR(INDEX(Species_Availability,MATCH($N512,Species_Names,0))="No",INDEX(Species_Evo_Numbers,MATCH($N512,Species_Names,0))&lt;&gt;1),"N/A",RANK($S512,IF(NOT(ISNA(MATCH(Combo_Species_Names,IF(Species_Availability="Yes",IF(Species_Evo_Numbers=1,Species_Names)),0))),Combo_Gym_Offense),0))</f>
        <v>N/A</v>
      </c>
      <c r="J512" s="24" t="str">
        <f t="array" ref="J512">IF(OR(INDEX(Species_Availability,MATCH($N512,Species_Names,0))="No",INDEX(Species_Evo_Numbers,MATCH($N512,Species_Names,0))&lt;&gt;1),"N/A",$S512/MAX(IF(NOT(ISNA(MATCH(Combo_Species_Names,IF(Species_Availability="Yes",IF(Species_Evo_Numbers=1,Species_Names)),0))),Combo_Gym_Offense)))</f>
        <v>N/A</v>
      </c>
      <c r="K512" s="23" t="str">
        <f t="array" ref="K512">IF(OR(INDEX(Species_Availability,MATCH($N512,Species_Names,0))="No",INDEX(Species_Evo_Numbers,MATCH($N512,Species_Names,0))&lt;&gt;1),"N/A",RANK($Y512,IF(NOT(ISNA(MATCH(Combo_Species_Names,IF(Species_Availability="Yes",IF(Species_Evo_Numbers=1,Species_Names)),0))),Combo_Gym_Defense),0))</f>
        <v>N/A</v>
      </c>
      <c r="L512" s="24" t="str">
        <f t="array" ref="L512">IF(OR(INDEX(Species_Availability,MATCH($N512,Species_Names,0))="No",INDEX(Species_Evo_Numbers,MATCH($N512,Species_Names,0))&lt;&gt;1),"N/A",$Y512/MAX(IF(NOT(ISNA(MATCH(Combo_Species_Names,IF(Species_Availability="Yes",IF(Species_Evo_Numbers=1,Species_Names)),0))),Combo_Gym_Defense)))</f>
        <v>N/A</v>
      </c>
      <c r="M512" s="28">
        <f t="array" ref="M512">INDEX(Species_Pdex_Numbers,MATCH($N512,Species_Names,0))</f>
        <v>75</v>
      </c>
      <c r="N512" s="30" t="s">
        <v>242</v>
      </c>
      <c r="O512" s="31" t="s">
        <v>112</v>
      </c>
      <c r="P512" s="31" t="s">
        <v>222</v>
      </c>
      <c r="Q512" s="17" t="e">
        <f t="shared" si="14"/>
        <v>#VALUE!</v>
      </c>
      <c r="R512" s="32" t="e">
        <f t="array" ref="R512">IF(OR(AND(COUNTBLANK(Combo_Opponent_Type_1)=1,COUNTBLANK(Combo_Opponent_Type_2)=0),AND(AND(COUNTBLANK(Combo_Opponent_Type_1)=0,COUNTBLANK(Combo_Opponent_Type_2)=0),Combo_Opponent_Type_1=Combo_Opponent_Type_2)),
"Check Types",($S512*INDEX(Species_Tankiness,MATCH($N512,Species_Names,0)))/225)</f>
        <v>#VALUE!</v>
      </c>
      <c r="S512" s="32" t="e">
        <f t="array" ref="S512">IF(OR(AND(COUNTBLANK(Combo_Opponent_Type_1)=1,COUNTBLANK(Combo_Opponent_Type_2)=0),AND(AND(COUNTBLANK(Combo_Opponent_Type_1)=0,COUNTBLANK(Combo_Opponent_Type_2)=0),Combo_Opponent_Type_1=Combo_Opponent_Type_2)),
"Check Types",(
IF($W512&gt;=((1-Game_Weave_Human_Error)*$X512),$W512,$X512)*INDEX(Species_Attack,MATCH($N512,Species_Names,0)))/11)</f>
        <v>#VALUE!</v>
      </c>
      <c r="T512" s="33" t="e">
        <f t="shared" si="15"/>
        <v>#VALUE!</v>
      </c>
      <c r="U512" s="33">
        <f t="array" ref="U5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512,Quick_Names,0))),Type_Species)),0),1)*IF(COUNTBLANK(Combo_Opponent_Type_2)=0,INDEX(Type_Damage_Multipliers,MATCH(Combo_Opponent_Type_2,IF(Type_Move=(INDEX(Quick_Type,MATCH($O512,Quick_Names,0))),Type_Species)),0),1)*(IF(OR(INDEX(Quick_Type,MATCH($O512,Quick_Names,0))=INDEX(Species_Type_1,MATCH($N512,Species_Names,0)),INDEX(Quick_Type,MATCH($O512,Quick_Names,0))=INDEX(Species_Type_2,MATCH($N512,Species_Names,0))),Game_STAB_Multiplier,1)))</f>
        <v>1.25</v>
      </c>
      <c r="V512" s="33">
        <f t="array" ref="V5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512,Charge_Names,0))),Type_Species)),0),1)*IF(COUNTBLANK(Combo_Opponent_Type_2)=0,INDEX(Type_Damage_Multipliers,MATCH(Combo_Opponent_Type_2,IF(Type_Move=(INDEX(Charge_Type,MATCH($P512,Charge_Names,0))),Type_Species)),0),1)*
IF(OR(INDEX(Charge_Type,MATCH($P512,Charge_Names,0))=INDEX(Species_Type_1,MATCH($N512,Species_Names,0)),INDEX(Charge_Type,MATCH($P512,Charge_Names,0))=INDEX(Species_Type_2,MATCH($N512,Species_Names,0))),Game_STAB_Multiplier,1))</f>
        <v>1.25</v>
      </c>
      <c r="W512" s="33" t="s">
        <v>548</v>
      </c>
      <c r="X512" s="33" t="s">
        <v>674</v>
      </c>
      <c r="Y512" s="32" t="e">
        <f t="array" ref="Y512">((($Z512)*
INDEX(Species_Attack,MATCH($N512,Species_Names,0))*
INDEX(Species_Tankiness,MATCH($N512,Species_Names,0)))/1000)</f>
        <v>#VALUE!</v>
      </c>
      <c r="Z512" s="33" t="s">
        <v>587</v>
      </c>
    </row>
    <row r="513" spans="1:26" ht="14.25" customHeight="1" x14ac:dyDescent="0.2">
      <c r="A513" s="86"/>
      <c r="B513" s="22" t="str">
        <f t="array" ref="B513">CONCATENATE(TEXT($M513,"000"),".",TEXT(INDEX(Quick_Number,MATCH($O513,Quick_Names,0)),"000"),".",TEXT(INDEX(Charge_Number,MATCH($P513,Charge_Names,0)),"000"))</f>
        <v>079.235.108</v>
      </c>
      <c r="C513" s="23" t="e">
        <f t="array" ref="C513">RANK($S513,IF(Combo_Species_Names=$N513,Combo_Gym_Offense),0)</f>
        <v>#VALUE!</v>
      </c>
      <c r="D513" s="24" t="e">
        <f t="array" ref="D513">$S513/MAX(IF(Combo_Species_Names=$N513,Combo_Gym_Offense))</f>
        <v>#VALUE!</v>
      </c>
      <c r="E513" s="23" t="e">
        <f t="array" ref="E513">RANK($Y513,IF(Combo_Species_Names=$N513,Combo_Gym_Defense),0)</f>
        <v>#VALUE!</v>
      </c>
      <c r="F513" s="25" t="e">
        <f t="array" ref="F513">$Y513/MAX(IF(Combo_Species_Names=$N513,Combo_Gym_Defense))</f>
        <v>#VALUE!</v>
      </c>
      <c r="G513" s="23" t="str">
        <f t="array" ref="G513">IF(OR(INDEX(Species_Availability,MATCH($N513,Species_Names,0))="No",INDEX(Species_Evo_Numbers,MATCH($N513,Species_Names,0))&lt;&gt;1),"N/A",RANK($R513,IF(NOT(ISNA(MATCH(Combo_Species_Names,IF(Species_Availability="Yes",IF(Species_Evo_Numbers=1,Species_Names)),0))),Combo_Duel_Ability),0))</f>
        <v>N/A</v>
      </c>
      <c r="H513" s="24" t="str">
        <f t="array" ref="H513">IF(OR(INDEX(Species_Availability,MATCH($N513,Species_Names,0))="No",INDEX(Species_Evo_Numbers,MATCH($N513,Species_Names,0))&lt;&gt;1),"N/A",$R513/MAX(IF(NOT(ISNA(MATCH(Combo_Species_Names,IF(Species_Availability="Yes",IF(Species_Evo_Numbers=1,Species_Names)),0))),Combo_Duel_Ability)))</f>
        <v>N/A</v>
      </c>
      <c r="I513" s="23" t="str">
        <f t="array" ref="I513">IF(OR(INDEX(Species_Availability,MATCH($N513,Species_Names,0))="No",INDEX(Species_Evo_Numbers,MATCH($N513,Species_Names,0))&lt;&gt;1),"N/A",RANK($S513,IF(NOT(ISNA(MATCH(Combo_Species_Names,IF(Species_Availability="Yes",IF(Species_Evo_Numbers=1,Species_Names)),0))),Combo_Gym_Offense),0))</f>
        <v>N/A</v>
      </c>
      <c r="J513" s="24" t="str">
        <f t="array" ref="J513">IF(OR(INDEX(Species_Availability,MATCH($N513,Species_Names,0))="No",INDEX(Species_Evo_Numbers,MATCH($N513,Species_Names,0))&lt;&gt;1),"N/A",$S513/MAX(IF(NOT(ISNA(MATCH(Combo_Species_Names,IF(Species_Availability="Yes",IF(Species_Evo_Numbers=1,Species_Names)),0))),Combo_Gym_Offense)))</f>
        <v>N/A</v>
      </c>
      <c r="K513" s="23" t="str">
        <f t="array" ref="K513">IF(OR(INDEX(Species_Availability,MATCH($N513,Species_Names,0))="No",INDEX(Species_Evo_Numbers,MATCH($N513,Species_Names,0))&lt;&gt;1),"N/A",RANK($Y513,IF(NOT(ISNA(MATCH(Combo_Species_Names,IF(Species_Availability="Yes",IF(Species_Evo_Numbers=1,Species_Names)),0))),Combo_Gym_Defense),0))</f>
        <v>N/A</v>
      </c>
      <c r="L513" s="24" t="str">
        <f t="array" ref="L513">IF(OR(INDEX(Species_Availability,MATCH($N513,Species_Names,0))="No",INDEX(Species_Evo_Numbers,MATCH($N513,Species_Names,0))&lt;&gt;1),"N/A",$Y513/MAX(IF(NOT(ISNA(MATCH(Combo_Species_Names,IF(Species_Availability="Yes",IF(Species_Evo_Numbers=1,Species_Names)),0))),Combo_Gym_Defense)))</f>
        <v>N/A</v>
      </c>
      <c r="M513" s="28">
        <f t="array" ref="M513">INDEX(Species_Pdex_Numbers,MATCH($N513,Species_Names,0))</f>
        <v>79</v>
      </c>
      <c r="N513" s="30" t="s">
        <v>250</v>
      </c>
      <c r="O513" s="31" t="s">
        <v>108</v>
      </c>
      <c r="P513" s="31" t="s">
        <v>58</v>
      </c>
      <c r="Q513" s="17" t="e">
        <f t="shared" si="14"/>
        <v>#VALUE!</v>
      </c>
      <c r="R513" s="32" t="e">
        <f t="array" ref="R513">IF(OR(AND(COUNTBLANK(Combo_Opponent_Type_1)=1,COUNTBLANK(Combo_Opponent_Type_2)=0),AND(AND(COUNTBLANK(Combo_Opponent_Type_1)=0,COUNTBLANK(Combo_Opponent_Type_2)=0),Combo_Opponent_Type_1=Combo_Opponent_Type_2)),
"Check Types",($S513*INDEX(Species_Tankiness,MATCH($N513,Species_Names,0)))/225)</f>
        <v>#VALUE!</v>
      </c>
      <c r="S513" s="32" t="e">
        <f t="array" ref="S513">IF(OR(AND(COUNTBLANK(Combo_Opponent_Type_1)=1,COUNTBLANK(Combo_Opponent_Type_2)=0),AND(AND(COUNTBLANK(Combo_Opponent_Type_1)=0,COUNTBLANK(Combo_Opponent_Type_2)=0),Combo_Opponent_Type_1=Combo_Opponent_Type_2)),
"Check Types",(
IF($W513&gt;=((1-Game_Weave_Human_Error)*$X513),$W513,$X513)*INDEX(Species_Attack,MATCH($N513,Species_Names,0)))/11)</f>
        <v>#VALUE!</v>
      </c>
      <c r="T513" s="33" t="e">
        <f t="shared" si="15"/>
        <v>#VALUE!</v>
      </c>
      <c r="U513" s="33">
        <f t="array" ref="U5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513,Quick_Names,0))),Type_Species)),0),1)*IF(COUNTBLANK(Combo_Opponent_Type_2)=0,INDEX(Type_Damage_Multipliers,MATCH(Combo_Opponent_Type_2,IF(Type_Move=(INDEX(Quick_Type,MATCH($O513,Quick_Names,0))),Type_Species)),0),1)*(IF(OR(INDEX(Quick_Type,MATCH($O513,Quick_Names,0))=INDEX(Species_Type_1,MATCH($N513,Species_Names,0)),INDEX(Quick_Type,MATCH($O513,Quick_Names,0))=INDEX(Species_Type_2,MATCH($N513,Species_Names,0))),Game_STAB_Multiplier,1)))</f>
        <v>1.25</v>
      </c>
      <c r="V513" s="33">
        <f t="array" ref="V5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513,Charge_Names,0))),Type_Species)),0),1)*IF(COUNTBLANK(Combo_Opponent_Type_2)=0,INDEX(Type_Damage_Multipliers,MATCH(Combo_Opponent_Type_2,IF(Type_Move=(INDEX(Charge_Type,MATCH($P513,Charge_Names,0))),Type_Species)),0),1)*
IF(OR(INDEX(Charge_Type,MATCH($P513,Charge_Names,0))=INDEX(Species_Type_1,MATCH($N513,Species_Names,0)),INDEX(Charge_Type,MATCH($P513,Charge_Names,0))=INDEX(Species_Type_2,MATCH($N513,Species_Names,0))),Game_STAB_Multiplier,1))</f>
        <v>1.25</v>
      </c>
      <c r="W513" s="33" t="s">
        <v>467</v>
      </c>
      <c r="X513" s="33" t="s">
        <v>495</v>
      </c>
      <c r="Y513" s="32" t="e">
        <f t="array" ref="Y513">((($Z513)*
INDEX(Species_Attack,MATCH($N513,Species_Names,0))*
INDEX(Species_Tankiness,MATCH($N513,Species_Names,0)))/1000)</f>
        <v>#VALUE!</v>
      </c>
      <c r="Z513" s="33" t="s">
        <v>440</v>
      </c>
    </row>
    <row r="514" spans="1:26" ht="14.25" customHeight="1" x14ac:dyDescent="0.2">
      <c r="A514" s="86"/>
      <c r="B514" s="22" t="str">
        <f t="array" ref="B514">CONCATENATE(TEXT($M514,"000"),".",TEXT(INDEX(Quick_Number,MATCH($O514,Quick_Names,0)),"000"),".",TEXT(INDEX(Charge_Number,MATCH($P514,Charge_Names,0)),"000"))</f>
        <v>075.216.026</v>
      </c>
      <c r="C514" s="23" t="e">
        <f t="array" ref="C514">RANK($S514,IF(Combo_Species_Names=$N514,Combo_Gym_Offense),0)</f>
        <v>#VALUE!</v>
      </c>
      <c r="D514" s="24" t="e">
        <f t="array" ref="D514">$S514/MAX(IF(Combo_Species_Names=$N514,Combo_Gym_Offense))</f>
        <v>#VALUE!</v>
      </c>
      <c r="E514" s="23" t="e">
        <f t="array" ref="E514">RANK($Y514,IF(Combo_Species_Names=$N514,Combo_Gym_Defense),0)</f>
        <v>#VALUE!</v>
      </c>
      <c r="F514" s="25" t="e">
        <f t="array" ref="F514">$Y514/MAX(IF(Combo_Species_Names=$N514,Combo_Gym_Defense))</f>
        <v>#VALUE!</v>
      </c>
      <c r="G514" s="23" t="str">
        <f t="array" ref="G514">IF(OR(INDEX(Species_Availability,MATCH($N514,Species_Names,0))="No",INDEX(Species_Evo_Numbers,MATCH($N514,Species_Names,0))&lt;&gt;1),"N/A",RANK($R514,IF(NOT(ISNA(MATCH(Combo_Species_Names,IF(Species_Availability="Yes",IF(Species_Evo_Numbers=1,Species_Names)),0))),Combo_Duel_Ability),0))</f>
        <v>N/A</v>
      </c>
      <c r="H514" s="24" t="str">
        <f t="array" ref="H514">IF(OR(INDEX(Species_Availability,MATCH($N514,Species_Names,0))="No",INDEX(Species_Evo_Numbers,MATCH($N514,Species_Names,0))&lt;&gt;1),"N/A",$R514/MAX(IF(NOT(ISNA(MATCH(Combo_Species_Names,IF(Species_Availability="Yes",IF(Species_Evo_Numbers=1,Species_Names)),0))),Combo_Duel_Ability)))</f>
        <v>N/A</v>
      </c>
      <c r="I514" s="23" t="str">
        <f t="array" ref="I514">IF(OR(INDEX(Species_Availability,MATCH($N514,Species_Names,0))="No",INDEX(Species_Evo_Numbers,MATCH($N514,Species_Names,0))&lt;&gt;1),"N/A",RANK($S514,IF(NOT(ISNA(MATCH(Combo_Species_Names,IF(Species_Availability="Yes",IF(Species_Evo_Numbers=1,Species_Names)),0))),Combo_Gym_Offense),0))</f>
        <v>N/A</v>
      </c>
      <c r="J514" s="24" t="str">
        <f t="array" ref="J514">IF(OR(INDEX(Species_Availability,MATCH($N514,Species_Names,0))="No",INDEX(Species_Evo_Numbers,MATCH($N514,Species_Names,0))&lt;&gt;1),"N/A",$S514/MAX(IF(NOT(ISNA(MATCH(Combo_Species_Names,IF(Species_Availability="Yes",IF(Species_Evo_Numbers=1,Species_Names)),0))),Combo_Gym_Offense)))</f>
        <v>N/A</v>
      </c>
      <c r="K514" s="23" t="str">
        <f t="array" ref="K514">IF(OR(INDEX(Species_Availability,MATCH($N514,Species_Names,0))="No",INDEX(Species_Evo_Numbers,MATCH($N514,Species_Names,0))&lt;&gt;1),"N/A",RANK($Y514,IF(NOT(ISNA(MATCH(Combo_Species_Names,IF(Species_Availability="Yes",IF(Species_Evo_Numbers=1,Species_Names)),0))),Combo_Gym_Defense),0))</f>
        <v>N/A</v>
      </c>
      <c r="L514" s="24" t="str">
        <f t="array" ref="L514">IF(OR(INDEX(Species_Availability,MATCH($N514,Species_Names,0))="No",INDEX(Species_Evo_Numbers,MATCH($N514,Species_Names,0))&lt;&gt;1),"N/A",$Y514/MAX(IF(NOT(ISNA(MATCH(Combo_Species_Names,IF(Species_Availability="Yes",IF(Species_Evo_Numbers=1,Species_Names)),0))),Combo_Gym_Defense)))</f>
        <v>N/A</v>
      </c>
      <c r="M514" s="28">
        <f t="array" ref="M514">INDEX(Species_Pdex_Numbers,MATCH($N514,Species_Names,0))</f>
        <v>75</v>
      </c>
      <c r="N514" s="30" t="s">
        <v>242</v>
      </c>
      <c r="O514" s="31" t="s">
        <v>89</v>
      </c>
      <c r="P514" s="31" t="s">
        <v>264</v>
      </c>
      <c r="Q514" s="17" t="e">
        <f t="shared" si="14"/>
        <v>#VALUE!</v>
      </c>
      <c r="R514" s="32" t="e">
        <f t="array" ref="R514">IF(OR(AND(COUNTBLANK(Combo_Opponent_Type_1)=1,COUNTBLANK(Combo_Opponent_Type_2)=0),AND(AND(COUNTBLANK(Combo_Opponent_Type_1)=0,COUNTBLANK(Combo_Opponent_Type_2)=0),Combo_Opponent_Type_1=Combo_Opponent_Type_2)),
"Check Types",($S514*INDEX(Species_Tankiness,MATCH($N514,Species_Names,0)))/225)</f>
        <v>#VALUE!</v>
      </c>
      <c r="S514" s="32" t="e">
        <f t="array" ref="S514">IF(OR(AND(COUNTBLANK(Combo_Opponent_Type_1)=1,COUNTBLANK(Combo_Opponent_Type_2)=0),AND(AND(COUNTBLANK(Combo_Opponent_Type_1)=0,COUNTBLANK(Combo_Opponent_Type_2)=0),Combo_Opponent_Type_1=Combo_Opponent_Type_2)),
"Check Types",(
IF($W514&gt;=((1-Game_Weave_Human_Error)*$X514),$W514,$X514)*INDEX(Species_Attack,MATCH($N514,Species_Names,0)))/11)</f>
        <v>#VALUE!</v>
      </c>
      <c r="T514" s="33" t="e">
        <f t="shared" si="15"/>
        <v>#VALUE!</v>
      </c>
      <c r="U514" s="33">
        <f t="array" ref="U5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514,Quick_Names,0))),Type_Species)),0),1)*IF(COUNTBLANK(Combo_Opponent_Type_2)=0,INDEX(Type_Damage_Multipliers,MATCH(Combo_Opponent_Type_2,IF(Type_Move=(INDEX(Quick_Type,MATCH($O514,Quick_Names,0))),Type_Species)),0),1)*(IF(OR(INDEX(Quick_Type,MATCH($O514,Quick_Names,0))=INDEX(Species_Type_1,MATCH($N514,Species_Names,0)),INDEX(Quick_Type,MATCH($O514,Quick_Names,0))=INDEX(Species_Type_2,MATCH($N514,Species_Names,0))),Game_STAB_Multiplier,1)))</f>
        <v>1.25</v>
      </c>
      <c r="V514" s="33">
        <f t="array" ref="V5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514,Charge_Names,0))),Type_Species)),0),1)*IF(COUNTBLANK(Combo_Opponent_Type_2)=0,INDEX(Type_Damage_Multipliers,MATCH(Combo_Opponent_Type_2,IF(Type_Move=(INDEX(Charge_Type,MATCH($P514,Charge_Names,0))),Type_Species)),0),1)*
IF(OR(INDEX(Charge_Type,MATCH($P514,Charge_Names,0))=INDEX(Species_Type_1,MATCH($N514,Species_Names,0)),INDEX(Charge_Type,MATCH($P514,Charge_Names,0))=INDEX(Species_Type_2,MATCH($N514,Species_Names,0))),Game_STAB_Multiplier,1))</f>
        <v>1.25</v>
      </c>
      <c r="W514" s="33" t="s">
        <v>496</v>
      </c>
      <c r="X514" s="33" t="s">
        <v>962</v>
      </c>
      <c r="Y514" s="32" t="e">
        <f t="array" ref="Y514">((($Z514)*
INDEX(Species_Attack,MATCH($N514,Species_Names,0))*
INDEX(Species_Tankiness,MATCH($N514,Species_Names,0)))/1000)</f>
        <v>#VALUE!</v>
      </c>
      <c r="Z514" s="33" t="s">
        <v>447</v>
      </c>
    </row>
    <row r="515" spans="1:26" ht="14.25" customHeight="1" x14ac:dyDescent="0.2">
      <c r="A515" s="86"/>
      <c r="B515" s="22" t="str">
        <f t="array" ref="B515">CONCATENATE(TEXT($M515,"000"),".",TEXT(INDEX(Quick_Number,MATCH($O515,Quick_Names,0)),"000"),".",TEXT(INDEX(Charge_Number,MATCH($P515,Charge_Names,0)),"000"))</f>
        <v>035.222.087</v>
      </c>
      <c r="C515" s="23" t="e">
        <f t="array" ref="C515">RANK($S515,IF(Combo_Species_Names=$N515,Combo_Gym_Offense),0)</f>
        <v>#VALUE!</v>
      </c>
      <c r="D515" s="24" t="e">
        <f t="array" ref="D515">$S515/MAX(IF(Combo_Species_Names=$N515,Combo_Gym_Offense))</f>
        <v>#VALUE!</v>
      </c>
      <c r="E515" s="23" t="e">
        <f t="array" ref="E515">RANK($Y515,IF(Combo_Species_Names=$N515,Combo_Gym_Defense),0)</f>
        <v>#VALUE!</v>
      </c>
      <c r="F515" s="25" t="e">
        <f t="array" ref="F515">$Y515/MAX(IF(Combo_Species_Names=$N515,Combo_Gym_Defense))</f>
        <v>#VALUE!</v>
      </c>
      <c r="G515" s="23" t="str">
        <f t="array" ref="G515">IF(OR(INDEX(Species_Availability,MATCH($N515,Species_Names,0))="No",INDEX(Species_Evo_Numbers,MATCH($N515,Species_Names,0))&lt;&gt;1),"N/A",RANK($R515,IF(NOT(ISNA(MATCH(Combo_Species_Names,IF(Species_Availability="Yes",IF(Species_Evo_Numbers=1,Species_Names)),0))),Combo_Duel_Ability),0))</f>
        <v>N/A</v>
      </c>
      <c r="H515" s="24" t="str">
        <f t="array" ref="H515">IF(OR(INDEX(Species_Availability,MATCH($N515,Species_Names,0))="No",INDEX(Species_Evo_Numbers,MATCH($N515,Species_Names,0))&lt;&gt;1),"N/A",$R515/MAX(IF(NOT(ISNA(MATCH(Combo_Species_Names,IF(Species_Availability="Yes",IF(Species_Evo_Numbers=1,Species_Names)),0))),Combo_Duel_Ability)))</f>
        <v>N/A</v>
      </c>
      <c r="I515" s="23" t="str">
        <f t="array" ref="I515">IF(OR(INDEX(Species_Availability,MATCH($N515,Species_Names,0))="No",INDEX(Species_Evo_Numbers,MATCH($N515,Species_Names,0))&lt;&gt;1),"N/A",RANK($S515,IF(NOT(ISNA(MATCH(Combo_Species_Names,IF(Species_Availability="Yes",IF(Species_Evo_Numbers=1,Species_Names)),0))),Combo_Gym_Offense),0))</f>
        <v>N/A</v>
      </c>
      <c r="J515" s="24" t="str">
        <f t="array" ref="J515">IF(OR(INDEX(Species_Availability,MATCH($N515,Species_Names,0))="No",INDEX(Species_Evo_Numbers,MATCH($N515,Species_Names,0))&lt;&gt;1),"N/A",$S515/MAX(IF(NOT(ISNA(MATCH(Combo_Species_Names,IF(Species_Availability="Yes",IF(Species_Evo_Numbers=1,Species_Names)),0))),Combo_Gym_Offense)))</f>
        <v>N/A</v>
      </c>
      <c r="K515" s="23" t="str">
        <f t="array" ref="K515">IF(OR(INDEX(Species_Availability,MATCH($N515,Species_Names,0))="No",INDEX(Species_Evo_Numbers,MATCH($N515,Species_Names,0))&lt;&gt;1),"N/A",RANK($Y515,IF(NOT(ISNA(MATCH(Combo_Species_Names,IF(Species_Availability="Yes",IF(Species_Evo_Numbers=1,Species_Names)),0))),Combo_Gym_Defense),0))</f>
        <v>N/A</v>
      </c>
      <c r="L515" s="24" t="str">
        <f t="array" ref="L515">IF(OR(INDEX(Species_Availability,MATCH($N515,Species_Names,0))="No",INDEX(Species_Evo_Numbers,MATCH($N515,Species_Names,0))&lt;&gt;1),"N/A",$Y515/MAX(IF(NOT(ISNA(MATCH(Combo_Species_Names,IF(Species_Availability="Yes",IF(Species_Evo_Numbers=1,Species_Names)),0))),Combo_Gym_Defense)))</f>
        <v>N/A</v>
      </c>
      <c r="M515" s="28">
        <f t="array" ref="M515">INDEX(Species_Pdex_Numbers,MATCH($N515,Species_Names,0))</f>
        <v>35</v>
      </c>
      <c r="N515" s="30" t="s">
        <v>161</v>
      </c>
      <c r="O515" s="31" t="s">
        <v>32</v>
      </c>
      <c r="P515" s="31" t="s">
        <v>185</v>
      </c>
      <c r="Q515" s="17" t="e">
        <f t="shared" si="14"/>
        <v>#VALUE!</v>
      </c>
      <c r="R515" s="32" t="e">
        <f t="array" ref="R515">IF(OR(AND(COUNTBLANK(Combo_Opponent_Type_1)=1,COUNTBLANK(Combo_Opponent_Type_2)=0),AND(AND(COUNTBLANK(Combo_Opponent_Type_1)=0,COUNTBLANK(Combo_Opponent_Type_2)=0),Combo_Opponent_Type_1=Combo_Opponent_Type_2)),
"Check Types",($S515*INDEX(Species_Tankiness,MATCH($N515,Species_Names,0)))/225)</f>
        <v>#VALUE!</v>
      </c>
      <c r="S515" s="32" t="e">
        <f t="array" ref="S515">IF(OR(AND(COUNTBLANK(Combo_Opponent_Type_1)=1,COUNTBLANK(Combo_Opponent_Type_2)=0),AND(AND(COUNTBLANK(Combo_Opponent_Type_1)=0,COUNTBLANK(Combo_Opponent_Type_2)=0),Combo_Opponent_Type_1=Combo_Opponent_Type_2)),
"Check Types",(
IF($W515&gt;=((1-Game_Weave_Human_Error)*$X515),$W515,$X515)*INDEX(Species_Attack,MATCH($N515,Species_Names,0)))/11)</f>
        <v>#VALUE!</v>
      </c>
      <c r="T515" s="33" t="e">
        <f t="shared" si="15"/>
        <v>#VALUE!</v>
      </c>
      <c r="U515" s="33">
        <f t="array" ref="U5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515,Quick_Names,0))),Type_Species)),0),1)*IF(COUNTBLANK(Combo_Opponent_Type_2)=0,INDEX(Type_Damage_Multipliers,MATCH(Combo_Opponent_Type_2,IF(Type_Move=(INDEX(Quick_Type,MATCH($O515,Quick_Names,0))),Type_Species)),0),1)*(IF(OR(INDEX(Quick_Type,MATCH($O515,Quick_Names,0))=INDEX(Species_Type_1,MATCH($N515,Species_Names,0)),INDEX(Quick_Type,MATCH($O515,Quick_Names,0))=INDEX(Species_Type_2,MATCH($N515,Species_Names,0))),Game_STAB_Multiplier,1)))</f>
        <v>1</v>
      </c>
      <c r="V515" s="33">
        <f t="array" ref="V5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515,Charge_Names,0))),Type_Species)),0),1)*IF(COUNTBLANK(Combo_Opponent_Type_2)=0,INDEX(Type_Damage_Multipliers,MATCH(Combo_Opponent_Type_2,IF(Type_Move=(INDEX(Charge_Type,MATCH($P515,Charge_Names,0))),Type_Species)),0),1)*
IF(OR(INDEX(Charge_Type,MATCH($P515,Charge_Names,0))=INDEX(Species_Type_1,MATCH($N515,Species_Names,0)),INDEX(Charge_Type,MATCH($P515,Charge_Names,0))=INDEX(Species_Type_2,MATCH($N515,Species_Names,0))),Game_STAB_Multiplier,1))</f>
        <v>1.25</v>
      </c>
      <c r="W515" s="33" t="s">
        <v>536</v>
      </c>
      <c r="X515" s="33" t="s">
        <v>537</v>
      </c>
      <c r="Y515" s="32" t="e">
        <f t="array" ref="Y515">((($Z515)*
INDEX(Species_Attack,MATCH($N515,Species_Names,0))*
INDEX(Species_Tankiness,MATCH($N515,Species_Names,0)))/1000)</f>
        <v>#VALUE!</v>
      </c>
      <c r="Z515" s="33" t="s">
        <v>538</v>
      </c>
    </row>
    <row r="516" spans="1:26" ht="14.25" customHeight="1" x14ac:dyDescent="0.2">
      <c r="A516" s="86"/>
      <c r="B516" s="22" t="str">
        <f t="array" ref="B516">CONCATENATE(TEXT($M516,"000"),".",TEXT(INDEX(Quick_Number,MATCH($O516,Quick_Names,0)),"000"),".",TEXT(INDEX(Charge_Number,MATCH($P516,Charge_Names,0)),"000"))</f>
        <v>079.230.060</v>
      </c>
      <c r="C516" s="23" t="e">
        <f t="array" ref="C516">RANK($S516,IF(Combo_Species_Names=$N516,Combo_Gym_Offense),0)</f>
        <v>#VALUE!</v>
      </c>
      <c r="D516" s="24" t="e">
        <f t="array" ref="D516">$S516/MAX(IF(Combo_Species_Names=$N516,Combo_Gym_Offense))</f>
        <v>#VALUE!</v>
      </c>
      <c r="E516" s="23" t="e">
        <f t="array" ref="E516">RANK($Y516,IF(Combo_Species_Names=$N516,Combo_Gym_Defense),0)</f>
        <v>#VALUE!</v>
      </c>
      <c r="F516" s="25" t="e">
        <f t="array" ref="F516">$Y516/MAX(IF(Combo_Species_Names=$N516,Combo_Gym_Defense))</f>
        <v>#VALUE!</v>
      </c>
      <c r="G516" s="23" t="str">
        <f t="array" ref="G516">IF(OR(INDEX(Species_Availability,MATCH($N516,Species_Names,0))="No",INDEX(Species_Evo_Numbers,MATCH($N516,Species_Names,0))&lt;&gt;1),"N/A",RANK($R516,IF(NOT(ISNA(MATCH(Combo_Species_Names,IF(Species_Availability="Yes",IF(Species_Evo_Numbers=1,Species_Names)),0))),Combo_Duel_Ability),0))</f>
        <v>N/A</v>
      </c>
      <c r="H516" s="24" t="str">
        <f t="array" ref="H516">IF(OR(INDEX(Species_Availability,MATCH($N516,Species_Names,0))="No",INDEX(Species_Evo_Numbers,MATCH($N516,Species_Names,0))&lt;&gt;1),"N/A",$R516/MAX(IF(NOT(ISNA(MATCH(Combo_Species_Names,IF(Species_Availability="Yes",IF(Species_Evo_Numbers=1,Species_Names)),0))),Combo_Duel_Ability)))</f>
        <v>N/A</v>
      </c>
      <c r="I516" s="23" t="str">
        <f t="array" ref="I516">IF(OR(INDEX(Species_Availability,MATCH($N516,Species_Names,0))="No",INDEX(Species_Evo_Numbers,MATCH($N516,Species_Names,0))&lt;&gt;1),"N/A",RANK($S516,IF(NOT(ISNA(MATCH(Combo_Species_Names,IF(Species_Availability="Yes",IF(Species_Evo_Numbers=1,Species_Names)),0))),Combo_Gym_Offense),0))</f>
        <v>N/A</v>
      </c>
      <c r="J516" s="24" t="str">
        <f t="array" ref="J516">IF(OR(INDEX(Species_Availability,MATCH($N516,Species_Names,0))="No",INDEX(Species_Evo_Numbers,MATCH($N516,Species_Names,0))&lt;&gt;1),"N/A",$S516/MAX(IF(NOT(ISNA(MATCH(Combo_Species_Names,IF(Species_Availability="Yes",IF(Species_Evo_Numbers=1,Species_Names)),0))),Combo_Gym_Offense)))</f>
        <v>N/A</v>
      </c>
      <c r="K516" s="23" t="str">
        <f t="array" ref="K516">IF(OR(INDEX(Species_Availability,MATCH($N516,Species_Names,0))="No",INDEX(Species_Evo_Numbers,MATCH($N516,Species_Names,0))&lt;&gt;1),"N/A",RANK($Y516,IF(NOT(ISNA(MATCH(Combo_Species_Names,IF(Species_Availability="Yes",IF(Species_Evo_Numbers=1,Species_Names)),0))),Combo_Gym_Defense),0))</f>
        <v>N/A</v>
      </c>
      <c r="L516" s="24" t="str">
        <f t="array" ref="L516">IF(OR(INDEX(Species_Availability,MATCH($N516,Species_Names,0))="No",INDEX(Species_Evo_Numbers,MATCH($N516,Species_Names,0))&lt;&gt;1),"N/A",$Y516/MAX(IF(NOT(ISNA(MATCH(Combo_Species_Names,IF(Species_Availability="Yes",IF(Species_Evo_Numbers=1,Species_Names)),0))),Combo_Gym_Defense)))</f>
        <v>N/A</v>
      </c>
      <c r="M516" s="28">
        <f t="array" ref="M516">INDEX(Species_Pdex_Numbers,MATCH($N516,Species_Names,0))</f>
        <v>79</v>
      </c>
      <c r="N516" s="30" t="s">
        <v>250</v>
      </c>
      <c r="O516" s="31" t="s">
        <v>65</v>
      </c>
      <c r="P516" s="31" t="s">
        <v>232</v>
      </c>
      <c r="Q516" s="17" t="e">
        <f t="shared" si="14"/>
        <v>#VALUE!</v>
      </c>
      <c r="R516" s="32" t="e">
        <f t="array" ref="R516">IF(OR(AND(COUNTBLANK(Combo_Opponent_Type_1)=1,COUNTBLANK(Combo_Opponent_Type_2)=0),AND(AND(COUNTBLANK(Combo_Opponent_Type_1)=0,COUNTBLANK(Combo_Opponent_Type_2)=0),Combo_Opponent_Type_1=Combo_Opponent_Type_2)),
"Check Types",($S516*INDEX(Species_Tankiness,MATCH($N516,Species_Names,0)))/225)</f>
        <v>#VALUE!</v>
      </c>
      <c r="S516" s="32" t="e">
        <f t="array" ref="S516">IF(OR(AND(COUNTBLANK(Combo_Opponent_Type_1)=1,COUNTBLANK(Combo_Opponent_Type_2)=0),AND(AND(COUNTBLANK(Combo_Opponent_Type_1)=0,COUNTBLANK(Combo_Opponent_Type_2)=0),Combo_Opponent_Type_1=Combo_Opponent_Type_2)),
"Check Types",(
IF($W516&gt;=((1-Game_Weave_Human_Error)*$X516),$W516,$X516)*INDEX(Species_Attack,MATCH($N516,Species_Names,0)))/11)</f>
        <v>#VALUE!</v>
      </c>
      <c r="T516" s="33" t="e">
        <f t="shared" si="15"/>
        <v>#VALUE!</v>
      </c>
      <c r="U516" s="33">
        <f t="array" ref="U5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516,Quick_Names,0))),Type_Species)),0),1)*IF(COUNTBLANK(Combo_Opponent_Type_2)=0,INDEX(Type_Damage_Multipliers,MATCH(Combo_Opponent_Type_2,IF(Type_Move=(INDEX(Quick_Type,MATCH($O516,Quick_Names,0))),Type_Species)),0),1)*(IF(OR(INDEX(Quick_Type,MATCH($O516,Quick_Names,0))=INDEX(Species_Type_1,MATCH($N516,Species_Names,0)),INDEX(Quick_Type,MATCH($O516,Quick_Names,0))=INDEX(Species_Type_2,MATCH($N516,Species_Names,0))),Game_STAB_Multiplier,1)))</f>
        <v>1.25</v>
      </c>
      <c r="V516" s="33">
        <f t="array" ref="V5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516,Charge_Names,0))),Type_Species)),0),1)*IF(COUNTBLANK(Combo_Opponent_Type_2)=0,INDEX(Type_Damage_Multipliers,MATCH(Combo_Opponent_Type_2,IF(Type_Move=(INDEX(Charge_Type,MATCH($P516,Charge_Names,0))),Type_Species)),0),1)*
IF(OR(INDEX(Charge_Type,MATCH($P516,Charge_Names,0))=INDEX(Species_Type_1,MATCH($N516,Species_Names,0)),INDEX(Charge_Type,MATCH($P516,Charge_Names,0))=INDEX(Species_Type_2,MATCH($N516,Species_Names,0))),Game_STAB_Multiplier,1))</f>
        <v>1.25</v>
      </c>
      <c r="W516" s="33" t="s">
        <v>412</v>
      </c>
      <c r="X516" s="33" t="s">
        <v>963</v>
      </c>
      <c r="Y516" s="32" t="e">
        <f t="array" ref="Y516">((($Z516)*
INDEX(Species_Attack,MATCH($N516,Species_Names,0))*
INDEX(Species_Tankiness,MATCH($N516,Species_Names,0)))/1000)</f>
        <v>#VALUE!</v>
      </c>
      <c r="Z516" s="33" t="s">
        <v>964</v>
      </c>
    </row>
    <row r="517" spans="1:26" ht="14.25" customHeight="1" x14ac:dyDescent="0.2">
      <c r="A517" s="86"/>
      <c r="B517" s="22" t="str">
        <f t="array" ref="B517">CONCATENATE(TEXT($M517,"000"),".",TEXT(INDEX(Quick_Number,MATCH($O517,Quick_Names,0)),"000"),".",TEXT(INDEX(Charge_Number,MATCH($P517,Charge_Names,0)),"000"))</f>
        <v>079.230.105</v>
      </c>
      <c r="C517" s="23" t="e">
        <f t="array" ref="C517">RANK($S517,IF(Combo_Species_Names=$N517,Combo_Gym_Offense),0)</f>
        <v>#VALUE!</v>
      </c>
      <c r="D517" s="24" t="e">
        <f t="array" ref="D517">$S517/MAX(IF(Combo_Species_Names=$N517,Combo_Gym_Offense))</f>
        <v>#VALUE!</v>
      </c>
      <c r="E517" s="23" t="e">
        <f t="array" ref="E517">RANK($Y517,IF(Combo_Species_Names=$N517,Combo_Gym_Defense),0)</f>
        <v>#VALUE!</v>
      </c>
      <c r="F517" s="25" t="e">
        <f t="array" ref="F517">$Y517/MAX(IF(Combo_Species_Names=$N517,Combo_Gym_Defense))</f>
        <v>#VALUE!</v>
      </c>
      <c r="G517" s="23" t="str">
        <f t="array" ref="G517">IF(OR(INDEX(Species_Availability,MATCH($N517,Species_Names,0))="No",INDEX(Species_Evo_Numbers,MATCH($N517,Species_Names,0))&lt;&gt;1),"N/A",RANK($R517,IF(NOT(ISNA(MATCH(Combo_Species_Names,IF(Species_Availability="Yes",IF(Species_Evo_Numbers=1,Species_Names)),0))),Combo_Duel_Ability),0))</f>
        <v>N/A</v>
      </c>
      <c r="H517" s="24" t="str">
        <f t="array" ref="H517">IF(OR(INDEX(Species_Availability,MATCH($N517,Species_Names,0))="No",INDEX(Species_Evo_Numbers,MATCH($N517,Species_Names,0))&lt;&gt;1),"N/A",$R517/MAX(IF(NOT(ISNA(MATCH(Combo_Species_Names,IF(Species_Availability="Yes",IF(Species_Evo_Numbers=1,Species_Names)),0))),Combo_Duel_Ability)))</f>
        <v>N/A</v>
      </c>
      <c r="I517" s="23" t="str">
        <f t="array" ref="I517">IF(OR(INDEX(Species_Availability,MATCH($N517,Species_Names,0))="No",INDEX(Species_Evo_Numbers,MATCH($N517,Species_Names,0))&lt;&gt;1),"N/A",RANK($S517,IF(NOT(ISNA(MATCH(Combo_Species_Names,IF(Species_Availability="Yes",IF(Species_Evo_Numbers=1,Species_Names)),0))),Combo_Gym_Offense),0))</f>
        <v>N/A</v>
      </c>
      <c r="J517" s="24" t="str">
        <f t="array" ref="J517">IF(OR(INDEX(Species_Availability,MATCH($N517,Species_Names,0))="No",INDEX(Species_Evo_Numbers,MATCH($N517,Species_Names,0))&lt;&gt;1),"N/A",$S517/MAX(IF(NOT(ISNA(MATCH(Combo_Species_Names,IF(Species_Availability="Yes",IF(Species_Evo_Numbers=1,Species_Names)),0))),Combo_Gym_Offense)))</f>
        <v>N/A</v>
      </c>
      <c r="K517" s="23" t="str">
        <f t="array" ref="K517">IF(OR(INDEX(Species_Availability,MATCH($N517,Species_Names,0))="No",INDEX(Species_Evo_Numbers,MATCH($N517,Species_Names,0))&lt;&gt;1),"N/A",RANK($Y517,IF(NOT(ISNA(MATCH(Combo_Species_Names,IF(Species_Availability="Yes",IF(Species_Evo_Numbers=1,Species_Names)),0))),Combo_Gym_Defense),0))</f>
        <v>N/A</v>
      </c>
      <c r="L517" s="24" t="str">
        <f t="array" ref="L517">IF(OR(INDEX(Species_Availability,MATCH($N517,Species_Names,0))="No",INDEX(Species_Evo_Numbers,MATCH($N517,Species_Names,0))&lt;&gt;1),"N/A",$Y517/MAX(IF(NOT(ISNA(MATCH(Combo_Species_Names,IF(Species_Availability="Yes",IF(Species_Evo_Numbers=1,Species_Names)),0))),Combo_Gym_Defense)))</f>
        <v>N/A</v>
      </c>
      <c r="M517" s="28">
        <f t="array" ref="M517">INDEX(Species_Pdex_Numbers,MATCH($N517,Species_Names,0))</f>
        <v>79</v>
      </c>
      <c r="N517" s="30" t="s">
        <v>250</v>
      </c>
      <c r="O517" s="31" t="s">
        <v>65</v>
      </c>
      <c r="P517" s="31" t="s">
        <v>281</v>
      </c>
      <c r="Q517" s="17" t="e">
        <f t="shared" si="14"/>
        <v>#VALUE!</v>
      </c>
      <c r="R517" s="32" t="e">
        <f t="array" ref="R517">IF(OR(AND(COUNTBLANK(Combo_Opponent_Type_1)=1,COUNTBLANK(Combo_Opponent_Type_2)=0),AND(AND(COUNTBLANK(Combo_Opponent_Type_1)=0,COUNTBLANK(Combo_Opponent_Type_2)=0),Combo_Opponent_Type_1=Combo_Opponent_Type_2)),
"Check Types",($S517*INDEX(Species_Tankiness,MATCH($N517,Species_Names,0)))/225)</f>
        <v>#VALUE!</v>
      </c>
      <c r="S517" s="32" t="e">
        <f t="array" ref="S517">IF(OR(AND(COUNTBLANK(Combo_Opponent_Type_1)=1,COUNTBLANK(Combo_Opponent_Type_2)=0),AND(AND(COUNTBLANK(Combo_Opponent_Type_1)=0,COUNTBLANK(Combo_Opponent_Type_2)=0),Combo_Opponent_Type_1=Combo_Opponent_Type_2)),
"Check Types",(
IF($W517&gt;=((1-Game_Weave_Human_Error)*$X517),$W517,$X517)*INDEX(Species_Attack,MATCH($N517,Species_Names,0)))/11)</f>
        <v>#VALUE!</v>
      </c>
      <c r="T517" s="33" t="e">
        <f t="shared" si="15"/>
        <v>#VALUE!</v>
      </c>
      <c r="U517" s="33">
        <f t="array" ref="U5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517,Quick_Names,0))),Type_Species)),0),1)*IF(COUNTBLANK(Combo_Opponent_Type_2)=0,INDEX(Type_Damage_Multipliers,MATCH(Combo_Opponent_Type_2,IF(Type_Move=(INDEX(Quick_Type,MATCH($O517,Quick_Names,0))),Type_Species)),0),1)*(IF(OR(INDEX(Quick_Type,MATCH($O517,Quick_Names,0))=INDEX(Species_Type_1,MATCH($N517,Species_Names,0)),INDEX(Quick_Type,MATCH($O517,Quick_Names,0))=INDEX(Species_Type_2,MATCH($N517,Species_Names,0))),Game_STAB_Multiplier,1)))</f>
        <v>1.25</v>
      </c>
      <c r="V517" s="33">
        <f t="array" ref="V5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517,Charge_Names,0))),Type_Species)),0),1)*IF(COUNTBLANK(Combo_Opponent_Type_2)=0,INDEX(Type_Damage_Multipliers,MATCH(Combo_Opponent_Type_2,IF(Type_Move=(INDEX(Charge_Type,MATCH($P517,Charge_Names,0))),Type_Species)),0),1)*
IF(OR(INDEX(Charge_Type,MATCH($P517,Charge_Names,0))=INDEX(Species_Type_1,MATCH($N517,Species_Names,0)),INDEX(Charge_Type,MATCH($P517,Charge_Names,0))=INDEX(Species_Type_2,MATCH($N517,Species_Names,0))),Game_STAB_Multiplier,1))</f>
        <v>1.25</v>
      </c>
      <c r="W517" s="33" t="s">
        <v>412</v>
      </c>
      <c r="X517" s="33" t="s">
        <v>465</v>
      </c>
      <c r="Y517" s="32" t="e">
        <f t="array" ref="Y517">((($Z517)*
INDEX(Species_Attack,MATCH($N517,Species_Names,0))*
INDEX(Species_Tankiness,MATCH($N517,Species_Names,0)))/1000)</f>
        <v>#VALUE!</v>
      </c>
      <c r="Z517" s="33" t="s">
        <v>466</v>
      </c>
    </row>
    <row r="518" spans="1:26" ht="14.25" customHeight="1" x14ac:dyDescent="0.2">
      <c r="A518" s="86"/>
      <c r="B518" s="22" t="str">
        <f t="array" ref="B518">CONCATENATE(TEXT($M518,"000"),".",TEXT(INDEX(Quick_Number,MATCH($O518,Quick_Names,0)),"000"),".",TEXT(INDEX(Charge_Number,MATCH($P518,Charge_Names,0)),"000"))</f>
        <v>030.236.026</v>
      </c>
      <c r="C518" s="23" t="e">
        <f t="array" ref="C518">RANK($S518,IF(Combo_Species_Names=$N518,Combo_Gym_Offense),0)</f>
        <v>#VALUE!</v>
      </c>
      <c r="D518" s="24" t="e">
        <f t="array" ref="D518">$S518/MAX(IF(Combo_Species_Names=$N518,Combo_Gym_Offense))</f>
        <v>#VALUE!</v>
      </c>
      <c r="E518" s="23" t="e">
        <f t="array" ref="E518">RANK($Y518,IF(Combo_Species_Names=$N518,Combo_Gym_Defense),0)</f>
        <v>#VALUE!</v>
      </c>
      <c r="F518" s="25" t="e">
        <f t="array" ref="F518">$Y518/MAX(IF(Combo_Species_Names=$N518,Combo_Gym_Defense))</f>
        <v>#VALUE!</v>
      </c>
      <c r="G518" s="23" t="str">
        <f t="array" ref="G518">IF(OR(INDEX(Species_Availability,MATCH($N518,Species_Names,0))="No",INDEX(Species_Evo_Numbers,MATCH($N518,Species_Names,0))&lt;&gt;1),"N/A",RANK($R518,IF(NOT(ISNA(MATCH(Combo_Species_Names,IF(Species_Availability="Yes",IF(Species_Evo_Numbers=1,Species_Names)),0))),Combo_Duel_Ability),0))</f>
        <v>N/A</v>
      </c>
      <c r="H518" s="24" t="str">
        <f t="array" ref="H518">IF(OR(INDEX(Species_Availability,MATCH($N518,Species_Names,0))="No",INDEX(Species_Evo_Numbers,MATCH($N518,Species_Names,0))&lt;&gt;1),"N/A",$R518/MAX(IF(NOT(ISNA(MATCH(Combo_Species_Names,IF(Species_Availability="Yes",IF(Species_Evo_Numbers=1,Species_Names)),0))),Combo_Duel_Ability)))</f>
        <v>N/A</v>
      </c>
      <c r="I518" s="23" t="str">
        <f t="array" ref="I518">IF(OR(INDEX(Species_Availability,MATCH($N518,Species_Names,0))="No",INDEX(Species_Evo_Numbers,MATCH($N518,Species_Names,0))&lt;&gt;1),"N/A",RANK($S518,IF(NOT(ISNA(MATCH(Combo_Species_Names,IF(Species_Availability="Yes",IF(Species_Evo_Numbers=1,Species_Names)),0))),Combo_Gym_Offense),0))</f>
        <v>N/A</v>
      </c>
      <c r="J518" s="24" t="str">
        <f t="array" ref="J518">IF(OR(INDEX(Species_Availability,MATCH($N518,Species_Names,0))="No",INDEX(Species_Evo_Numbers,MATCH($N518,Species_Names,0))&lt;&gt;1),"N/A",$S518/MAX(IF(NOT(ISNA(MATCH(Combo_Species_Names,IF(Species_Availability="Yes",IF(Species_Evo_Numbers=1,Species_Names)),0))),Combo_Gym_Offense)))</f>
        <v>N/A</v>
      </c>
      <c r="K518" s="23" t="str">
        <f t="array" ref="K518">IF(OR(INDEX(Species_Availability,MATCH($N518,Species_Names,0))="No",INDEX(Species_Evo_Numbers,MATCH($N518,Species_Names,0))&lt;&gt;1),"N/A",RANK($Y518,IF(NOT(ISNA(MATCH(Combo_Species_Names,IF(Species_Availability="Yes",IF(Species_Evo_Numbers=1,Species_Names)),0))),Combo_Gym_Defense),0))</f>
        <v>N/A</v>
      </c>
      <c r="L518" s="24" t="str">
        <f t="array" ref="L518">IF(OR(INDEX(Species_Availability,MATCH($N518,Species_Names,0))="No",INDEX(Species_Evo_Numbers,MATCH($N518,Species_Names,0))&lt;&gt;1),"N/A",$Y518/MAX(IF(NOT(ISNA(MATCH(Combo_Species_Names,IF(Species_Availability="Yes",IF(Species_Evo_Numbers=1,Species_Names)),0))),Combo_Gym_Defense)))</f>
        <v>N/A</v>
      </c>
      <c r="M518" s="28">
        <f t="array" ref="M518">INDEX(Species_Pdex_Numbers,MATCH($N518,Species_Names,0))</f>
        <v>30</v>
      </c>
      <c r="N518" s="30" t="s">
        <v>150</v>
      </c>
      <c r="O518" s="31" t="s">
        <v>101</v>
      </c>
      <c r="P518" s="31" t="s">
        <v>264</v>
      </c>
      <c r="Q518" s="17" t="e">
        <f t="shared" ref="Q518:Q581" si="16">IF(OR(AND(COUNTBLANK(Combo_Opponent_Type_1)=1,COUNTBLANK(Combo_Opponent_Type_2)=0),AND(AND(COUNTBLANK(Combo_Opponent_Type_1)=0,COUNTBLANK(Combo_Opponent_Type_2)=0),Combo_Opponent_Type_1=Combo_Opponent_Type_2)),
"Check Types",IF($W518&gt;=((1-Game_Weave_Human_Error)*$X518),"Quick Only","Weave"))</f>
        <v>#VALUE!</v>
      </c>
      <c r="R518" s="32" t="e">
        <f t="array" ref="R518">IF(OR(AND(COUNTBLANK(Combo_Opponent_Type_1)=1,COUNTBLANK(Combo_Opponent_Type_2)=0),AND(AND(COUNTBLANK(Combo_Opponent_Type_1)=0,COUNTBLANK(Combo_Opponent_Type_2)=0),Combo_Opponent_Type_1=Combo_Opponent_Type_2)),
"Check Types",($S518*INDEX(Species_Tankiness,MATCH($N518,Species_Names,0)))/225)</f>
        <v>#VALUE!</v>
      </c>
      <c r="S518" s="32" t="e">
        <f t="array" ref="S518">IF(OR(AND(COUNTBLANK(Combo_Opponent_Type_1)=1,COUNTBLANK(Combo_Opponent_Type_2)=0),AND(AND(COUNTBLANK(Combo_Opponent_Type_1)=0,COUNTBLANK(Combo_Opponent_Type_2)=0),Combo_Opponent_Type_1=Combo_Opponent_Type_2)),
"Check Types",(
IF($W518&gt;=((1-Game_Weave_Human_Error)*$X518),$W518,$X518)*INDEX(Species_Attack,MATCH($N518,Species_Names,0)))/11)</f>
        <v>#VALUE!</v>
      </c>
      <c r="T518" s="33" t="e">
        <f t="shared" ref="T518:T581" si="17">IF(OR(AND(COUNTBLANK(Combo_Opponent_Type_1)=1,COUNTBLANK(Combo_Opponent_Type_2)=0),AND(AND(COUNTBLANK(Combo_Opponent_Type_1)=0,COUNTBLANK(Combo_Opponent_Type_2)=0),Combo_Opponent_Type_1=Combo_Opponent_Type_2)),
"Check Types",IF($W518&gt;=((1-Game_Weave_Human_Error)*$X518),$W518,$X518))</f>
        <v>#VALUE!</v>
      </c>
      <c r="U518" s="33">
        <f t="array" ref="U5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518,Quick_Names,0))),Type_Species)),0),1)*IF(COUNTBLANK(Combo_Opponent_Type_2)=0,INDEX(Type_Damage_Multipliers,MATCH(Combo_Opponent_Type_2,IF(Type_Move=(INDEX(Quick_Type,MATCH($O518,Quick_Names,0))),Type_Species)),0),1)*(IF(OR(INDEX(Quick_Type,MATCH($O518,Quick_Names,0))=INDEX(Species_Type_1,MATCH($N518,Species_Names,0)),INDEX(Quick_Type,MATCH($O518,Quick_Names,0))=INDEX(Species_Type_2,MATCH($N518,Species_Names,0))),Game_STAB_Multiplier,1)))</f>
        <v>1.25</v>
      </c>
      <c r="V518" s="33">
        <f t="array" ref="V5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518,Charge_Names,0))),Type_Species)),0),1)*IF(COUNTBLANK(Combo_Opponent_Type_2)=0,INDEX(Type_Damage_Multipliers,MATCH(Combo_Opponent_Type_2,IF(Type_Move=(INDEX(Charge_Type,MATCH($P518,Charge_Names,0))),Type_Species)),0),1)*
IF(OR(INDEX(Charge_Type,MATCH($P518,Charge_Names,0))=INDEX(Species_Type_1,MATCH($N518,Species_Names,0)),INDEX(Charge_Type,MATCH($P518,Charge_Names,0))=INDEX(Species_Type_2,MATCH($N518,Species_Names,0))),Game_STAB_Multiplier,1))</f>
        <v>1</v>
      </c>
      <c r="W518" s="33" t="s">
        <v>738</v>
      </c>
      <c r="X518" s="33" t="s">
        <v>644</v>
      </c>
      <c r="Y518" s="32" t="e">
        <f t="array" ref="Y518">((($Z518)*
INDEX(Species_Attack,MATCH($N518,Species_Names,0))*
INDEX(Species_Tankiness,MATCH($N518,Species_Names,0)))/1000)</f>
        <v>#VALUE!</v>
      </c>
      <c r="Z518" s="33" t="s">
        <v>965</v>
      </c>
    </row>
    <row r="519" spans="1:26" ht="14.25" customHeight="1" x14ac:dyDescent="0.2">
      <c r="A519" s="86"/>
      <c r="B519" s="22" t="str">
        <f t="array" ref="B519">CONCATENATE(TEXT($M519,"000"),".",TEXT(INDEX(Quick_Number,MATCH($O519,Quick_Names,0)),"000"),".",TEXT(INDEX(Charge_Number,MATCH($P519,Charge_Names,0)),"000"))</f>
        <v>030.236.050</v>
      </c>
      <c r="C519" s="23" t="e">
        <f t="array" ref="C519">RANK($S519,IF(Combo_Species_Names=$N519,Combo_Gym_Offense),0)</f>
        <v>#VALUE!</v>
      </c>
      <c r="D519" s="24" t="e">
        <f t="array" ref="D519">$S519/MAX(IF(Combo_Species_Names=$N519,Combo_Gym_Offense))</f>
        <v>#VALUE!</v>
      </c>
      <c r="E519" s="23" t="e">
        <f t="array" ref="E519">RANK($Y519,IF(Combo_Species_Names=$N519,Combo_Gym_Defense),0)</f>
        <v>#VALUE!</v>
      </c>
      <c r="F519" s="25" t="e">
        <f t="array" ref="F519">$Y519/MAX(IF(Combo_Species_Names=$N519,Combo_Gym_Defense))</f>
        <v>#VALUE!</v>
      </c>
      <c r="G519" s="23" t="str">
        <f t="array" ref="G519">IF(OR(INDEX(Species_Availability,MATCH($N519,Species_Names,0))="No",INDEX(Species_Evo_Numbers,MATCH($N519,Species_Names,0))&lt;&gt;1),"N/A",RANK($R519,IF(NOT(ISNA(MATCH(Combo_Species_Names,IF(Species_Availability="Yes",IF(Species_Evo_Numbers=1,Species_Names)),0))),Combo_Duel_Ability),0))</f>
        <v>N/A</v>
      </c>
      <c r="H519" s="24" t="str">
        <f t="array" ref="H519">IF(OR(INDEX(Species_Availability,MATCH($N519,Species_Names,0))="No",INDEX(Species_Evo_Numbers,MATCH($N519,Species_Names,0))&lt;&gt;1),"N/A",$R519/MAX(IF(NOT(ISNA(MATCH(Combo_Species_Names,IF(Species_Availability="Yes",IF(Species_Evo_Numbers=1,Species_Names)),0))),Combo_Duel_Ability)))</f>
        <v>N/A</v>
      </c>
      <c r="I519" s="23" t="str">
        <f t="array" ref="I519">IF(OR(INDEX(Species_Availability,MATCH($N519,Species_Names,0))="No",INDEX(Species_Evo_Numbers,MATCH($N519,Species_Names,0))&lt;&gt;1),"N/A",RANK($S519,IF(NOT(ISNA(MATCH(Combo_Species_Names,IF(Species_Availability="Yes",IF(Species_Evo_Numbers=1,Species_Names)),0))),Combo_Gym_Offense),0))</f>
        <v>N/A</v>
      </c>
      <c r="J519" s="24" t="str">
        <f t="array" ref="J519">IF(OR(INDEX(Species_Availability,MATCH($N519,Species_Names,0))="No",INDEX(Species_Evo_Numbers,MATCH($N519,Species_Names,0))&lt;&gt;1),"N/A",$S519/MAX(IF(NOT(ISNA(MATCH(Combo_Species_Names,IF(Species_Availability="Yes",IF(Species_Evo_Numbers=1,Species_Names)),0))),Combo_Gym_Offense)))</f>
        <v>N/A</v>
      </c>
      <c r="K519" s="23" t="str">
        <f t="array" ref="K519">IF(OR(INDEX(Species_Availability,MATCH($N519,Species_Names,0))="No",INDEX(Species_Evo_Numbers,MATCH($N519,Species_Names,0))&lt;&gt;1),"N/A",RANK($Y519,IF(NOT(ISNA(MATCH(Combo_Species_Names,IF(Species_Availability="Yes",IF(Species_Evo_Numbers=1,Species_Names)),0))),Combo_Gym_Defense),0))</f>
        <v>N/A</v>
      </c>
      <c r="L519" s="24" t="str">
        <f t="array" ref="L519">IF(OR(INDEX(Species_Availability,MATCH($N519,Species_Names,0))="No",INDEX(Species_Evo_Numbers,MATCH($N519,Species_Names,0))&lt;&gt;1),"N/A",$Y519/MAX(IF(NOT(ISNA(MATCH(Combo_Species_Names,IF(Species_Availability="Yes",IF(Species_Evo_Numbers=1,Species_Names)),0))),Combo_Gym_Defense)))</f>
        <v>N/A</v>
      </c>
      <c r="M519" s="28">
        <f t="array" ref="M519">INDEX(Species_Pdex_Numbers,MATCH($N519,Species_Names,0))</f>
        <v>30</v>
      </c>
      <c r="N519" s="30" t="s">
        <v>150</v>
      </c>
      <c r="O519" s="31" t="s">
        <v>101</v>
      </c>
      <c r="P519" s="31" t="s">
        <v>285</v>
      </c>
      <c r="Q519" s="17" t="e">
        <f t="shared" si="16"/>
        <v>#VALUE!</v>
      </c>
      <c r="R519" s="32" t="e">
        <f t="array" ref="R519">IF(OR(AND(COUNTBLANK(Combo_Opponent_Type_1)=1,COUNTBLANK(Combo_Opponent_Type_2)=0),AND(AND(COUNTBLANK(Combo_Opponent_Type_1)=0,COUNTBLANK(Combo_Opponent_Type_2)=0),Combo_Opponent_Type_1=Combo_Opponent_Type_2)),
"Check Types",($S519*INDEX(Species_Tankiness,MATCH($N519,Species_Names,0)))/225)</f>
        <v>#VALUE!</v>
      </c>
      <c r="S519" s="32" t="e">
        <f t="array" ref="S519">IF(OR(AND(COUNTBLANK(Combo_Opponent_Type_1)=1,COUNTBLANK(Combo_Opponent_Type_2)=0),AND(AND(COUNTBLANK(Combo_Opponent_Type_1)=0,COUNTBLANK(Combo_Opponent_Type_2)=0),Combo_Opponent_Type_1=Combo_Opponent_Type_2)),
"Check Types",(
IF($W519&gt;=((1-Game_Weave_Human_Error)*$X519),$W519,$X519)*INDEX(Species_Attack,MATCH($N519,Species_Names,0)))/11)</f>
        <v>#VALUE!</v>
      </c>
      <c r="T519" s="33" t="e">
        <f t="shared" si="17"/>
        <v>#VALUE!</v>
      </c>
      <c r="U519" s="33">
        <f t="array" ref="U5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519,Quick_Names,0))),Type_Species)),0),1)*IF(COUNTBLANK(Combo_Opponent_Type_2)=0,INDEX(Type_Damage_Multipliers,MATCH(Combo_Opponent_Type_2,IF(Type_Move=(INDEX(Quick_Type,MATCH($O519,Quick_Names,0))),Type_Species)),0),1)*(IF(OR(INDEX(Quick_Type,MATCH($O519,Quick_Names,0))=INDEX(Species_Type_1,MATCH($N519,Species_Names,0)),INDEX(Quick_Type,MATCH($O519,Quick_Names,0))=INDEX(Species_Type_2,MATCH($N519,Species_Names,0))),Game_STAB_Multiplier,1)))</f>
        <v>1.25</v>
      </c>
      <c r="V519" s="33">
        <f t="array" ref="V5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519,Charge_Names,0))),Type_Species)),0),1)*IF(COUNTBLANK(Combo_Opponent_Type_2)=0,INDEX(Type_Damage_Multipliers,MATCH(Combo_Opponent_Type_2,IF(Type_Move=(INDEX(Charge_Type,MATCH($P519,Charge_Names,0))),Type_Species)),0),1)*
IF(OR(INDEX(Charge_Type,MATCH($P519,Charge_Names,0))=INDEX(Species_Type_1,MATCH($N519,Species_Names,0)),INDEX(Charge_Type,MATCH($P519,Charge_Names,0))=INDEX(Species_Type_2,MATCH($N519,Species_Names,0))),Game_STAB_Multiplier,1))</f>
        <v>1.25</v>
      </c>
      <c r="W519" s="33" t="s">
        <v>738</v>
      </c>
      <c r="X519" s="33" t="s">
        <v>966</v>
      </c>
      <c r="Y519" s="32" t="e">
        <f t="array" ref="Y519">((($Z519)*
INDEX(Species_Attack,MATCH($N519,Species_Names,0))*
INDEX(Species_Tankiness,MATCH($N519,Species_Names,0)))/1000)</f>
        <v>#VALUE!</v>
      </c>
      <c r="Z519" s="33" t="s">
        <v>914</v>
      </c>
    </row>
    <row r="520" spans="1:26" ht="14.25" customHeight="1" x14ac:dyDescent="0.2">
      <c r="A520" s="86"/>
      <c r="B520" s="22" t="str">
        <f t="array" ref="B520">CONCATENATE(TEXT($M520,"000"),".",TEXT(INDEX(Quick_Number,MATCH($O520,Quick_Names,0)),"000"),".",TEXT(INDEX(Charge_Number,MATCH($P520,Charge_Names,0)),"000"))</f>
        <v>061.237.106</v>
      </c>
      <c r="C520" s="23" t="e">
        <f t="array" ref="C520">RANK($S520,IF(Combo_Species_Names=$N520,Combo_Gym_Offense),0)</f>
        <v>#VALUE!</v>
      </c>
      <c r="D520" s="24" t="e">
        <f t="array" ref="D520">$S520/MAX(IF(Combo_Species_Names=$N520,Combo_Gym_Offense))</f>
        <v>#VALUE!</v>
      </c>
      <c r="E520" s="23" t="e">
        <f t="array" ref="E520">RANK($Y520,IF(Combo_Species_Names=$N520,Combo_Gym_Defense),0)</f>
        <v>#VALUE!</v>
      </c>
      <c r="F520" s="25" t="e">
        <f t="array" ref="F520">$Y520/MAX(IF(Combo_Species_Names=$N520,Combo_Gym_Defense))</f>
        <v>#VALUE!</v>
      </c>
      <c r="G520" s="23" t="str">
        <f t="array" ref="G520">IF(OR(INDEX(Species_Availability,MATCH($N520,Species_Names,0))="No",INDEX(Species_Evo_Numbers,MATCH($N520,Species_Names,0))&lt;&gt;1),"N/A",RANK($R520,IF(NOT(ISNA(MATCH(Combo_Species_Names,IF(Species_Availability="Yes",IF(Species_Evo_Numbers=1,Species_Names)),0))),Combo_Duel_Ability),0))</f>
        <v>N/A</v>
      </c>
      <c r="H520" s="24" t="str">
        <f t="array" ref="H520">IF(OR(INDEX(Species_Availability,MATCH($N520,Species_Names,0))="No",INDEX(Species_Evo_Numbers,MATCH($N520,Species_Names,0))&lt;&gt;1),"N/A",$R520/MAX(IF(NOT(ISNA(MATCH(Combo_Species_Names,IF(Species_Availability="Yes",IF(Species_Evo_Numbers=1,Species_Names)),0))),Combo_Duel_Ability)))</f>
        <v>N/A</v>
      </c>
      <c r="I520" s="23" t="str">
        <f t="array" ref="I520">IF(OR(INDEX(Species_Availability,MATCH($N520,Species_Names,0))="No",INDEX(Species_Evo_Numbers,MATCH($N520,Species_Names,0))&lt;&gt;1),"N/A",RANK($S520,IF(NOT(ISNA(MATCH(Combo_Species_Names,IF(Species_Availability="Yes",IF(Species_Evo_Numbers=1,Species_Names)),0))),Combo_Gym_Offense),0))</f>
        <v>N/A</v>
      </c>
      <c r="J520" s="24" t="str">
        <f t="array" ref="J520">IF(OR(INDEX(Species_Availability,MATCH($N520,Species_Names,0))="No",INDEX(Species_Evo_Numbers,MATCH($N520,Species_Names,0))&lt;&gt;1),"N/A",$S520/MAX(IF(NOT(ISNA(MATCH(Combo_Species_Names,IF(Species_Availability="Yes",IF(Species_Evo_Numbers=1,Species_Names)),0))),Combo_Gym_Offense)))</f>
        <v>N/A</v>
      </c>
      <c r="K520" s="23" t="str">
        <f t="array" ref="K520">IF(OR(INDEX(Species_Availability,MATCH($N520,Species_Names,0))="No",INDEX(Species_Evo_Numbers,MATCH($N520,Species_Names,0))&lt;&gt;1),"N/A",RANK($Y520,IF(NOT(ISNA(MATCH(Combo_Species_Names,IF(Species_Availability="Yes",IF(Species_Evo_Numbers=1,Species_Names)),0))),Combo_Gym_Defense),0))</f>
        <v>N/A</v>
      </c>
      <c r="L520" s="24" t="str">
        <f t="array" ref="L520">IF(OR(INDEX(Species_Availability,MATCH($N520,Species_Names,0))="No",INDEX(Species_Evo_Numbers,MATCH($N520,Species_Names,0))&lt;&gt;1),"N/A",$Y520/MAX(IF(NOT(ISNA(MATCH(Combo_Species_Names,IF(Species_Availability="Yes",IF(Species_Evo_Numbers=1,Species_Names)),0))),Combo_Gym_Defense)))</f>
        <v>N/A</v>
      </c>
      <c r="M520" s="28">
        <f t="array" ref="M520">INDEX(Species_Pdex_Numbers,MATCH($N520,Species_Names,0))</f>
        <v>61</v>
      </c>
      <c r="N520" s="30" t="s">
        <v>212</v>
      </c>
      <c r="O520" s="31" t="s">
        <v>92</v>
      </c>
      <c r="P520" s="31" t="s">
        <v>251</v>
      </c>
      <c r="Q520" s="17" t="e">
        <f t="shared" si="16"/>
        <v>#VALUE!</v>
      </c>
      <c r="R520" s="32" t="e">
        <f t="array" ref="R520">IF(OR(AND(COUNTBLANK(Combo_Opponent_Type_1)=1,COUNTBLANK(Combo_Opponent_Type_2)=0),AND(AND(COUNTBLANK(Combo_Opponent_Type_1)=0,COUNTBLANK(Combo_Opponent_Type_2)=0),Combo_Opponent_Type_1=Combo_Opponent_Type_2)),
"Check Types",($S520*INDEX(Species_Tankiness,MATCH($N520,Species_Names,0)))/225)</f>
        <v>#VALUE!</v>
      </c>
      <c r="S520" s="32" t="e">
        <f t="array" ref="S520">IF(OR(AND(COUNTBLANK(Combo_Opponent_Type_1)=1,COUNTBLANK(Combo_Opponent_Type_2)=0),AND(AND(COUNTBLANK(Combo_Opponent_Type_1)=0,COUNTBLANK(Combo_Opponent_Type_2)=0),Combo_Opponent_Type_1=Combo_Opponent_Type_2)),
"Check Types",(
IF($W520&gt;=((1-Game_Weave_Human_Error)*$X520),$W520,$X520)*INDEX(Species_Attack,MATCH($N520,Species_Names,0)))/11)</f>
        <v>#VALUE!</v>
      </c>
      <c r="T520" s="33" t="e">
        <f t="shared" si="17"/>
        <v>#VALUE!</v>
      </c>
      <c r="U520" s="33">
        <f t="array" ref="U5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520,Quick_Names,0))),Type_Species)),0),1)*IF(COUNTBLANK(Combo_Opponent_Type_2)=0,INDEX(Type_Damage_Multipliers,MATCH(Combo_Opponent_Type_2,IF(Type_Move=(INDEX(Quick_Type,MATCH($O520,Quick_Names,0))),Type_Species)),0),1)*(IF(OR(INDEX(Quick_Type,MATCH($O520,Quick_Names,0))=INDEX(Species_Type_1,MATCH($N520,Species_Names,0)),INDEX(Quick_Type,MATCH($O520,Quick_Names,0))=INDEX(Species_Type_2,MATCH($N520,Species_Names,0))),Game_STAB_Multiplier,1)))</f>
        <v>1.25</v>
      </c>
      <c r="V520" s="33">
        <f t="array" ref="V5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520,Charge_Names,0))),Type_Species)),0),1)*IF(COUNTBLANK(Combo_Opponent_Type_2)=0,INDEX(Type_Damage_Multipliers,MATCH(Combo_Opponent_Type_2,IF(Type_Move=(INDEX(Charge_Type,MATCH($P520,Charge_Names,0))),Type_Species)),0),1)*
IF(OR(INDEX(Charge_Type,MATCH($P520,Charge_Names,0))=INDEX(Species_Type_1,MATCH($N520,Species_Names,0)),INDEX(Charge_Type,MATCH($P520,Charge_Names,0))=INDEX(Species_Type_2,MATCH($N520,Species_Names,0))),Game_STAB_Multiplier,1))</f>
        <v>1.25</v>
      </c>
      <c r="W520" s="33" t="s">
        <v>481</v>
      </c>
      <c r="X520" s="33" t="s">
        <v>967</v>
      </c>
      <c r="Y520" s="32" t="e">
        <f t="array" ref="Y520">((($Z520)*
INDEX(Species_Attack,MATCH($N520,Species_Names,0))*
INDEX(Species_Tankiness,MATCH($N520,Species_Names,0)))/1000)</f>
        <v>#VALUE!</v>
      </c>
      <c r="Z520" s="33" t="s">
        <v>968</v>
      </c>
    </row>
    <row r="521" spans="1:26" ht="14.25" customHeight="1" x14ac:dyDescent="0.2">
      <c r="A521" s="86"/>
      <c r="B521" s="22" t="str">
        <f t="array" ref="B521">CONCATENATE(TEXT($M521,"000"),".",TEXT(INDEX(Quick_Number,MATCH($O521,Quick_Names,0)),"000"),".",TEXT(INDEX(Charge_Number,MATCH($P521,Charge_Names,0)),"000"))</f>
        <v>088.233.090</v>
      </c>
      <c r="C521" s="23" t="e">
        <f t="array" ref="C521">RANK($S521,IF(Combo_Species_Names=$N521,Combo_Gym_Offense),0)</f>
        <v>#VALUE!</v>
      </c>
      <c r="D521" s="24" t="e">
        <f t="array" ref="D521">$S521/MAX(IF(Combo_Species_Names=$N521,Combo_Gym_Offense))</f>
        <v>#VALUE!</v>
      </c>
      <c r="E521" s="23" t="e">
        <f t="array" ref="E521">RANK($Y521,IF(Combo_Species_Names=$N521,Combo_Gym_Defense),0)</f>
        <v>#VALUE!</v>
      </c>
      <c r="F521" s="25" t="e">
        <f t="array" ref="F521">$Y521/MAX(IF(Combo_Species_Names=$N521,Combo_Gym_Defense))</f>
        <v>#VALUE!</v>
      </c>
      <c r="G521" s="23" t="str">
        <f t="array" ref="G521">IF(OR(INDEX(Species_Availability,MATCH($N521,Species_Names,0))="No",INDEX(Species_Evo_Numbers,MATCH($N521,Species_Names,0))&lt;&gt;1),"N/A",RANK($R521,IF(NOT(ISNA(MATCH(Combo_Species_Names,IF(Species_Availability="Yes",IF(Species_Evo_Numbers=1,Species_Names)),0))),Combo_Duel_Ability),0))</f>
        <v>N/A</v>
      </c>
      <c r="H521" s="24" t="str">
        <f t="array" ref="H521">IF(OR(INDEX(Species_Availability,MATCH($N521,Species_Names,0))="No",INDEX(Species_Evo_Numbers,MATCH($N521,Species_Names,0))&lt;&gt;1),"N/A",$R521/MAX(IF(NOT(ISNA(MATCH(Combo_Species_Names,IF(Species_Availability="Yes",IF(Species_Evo_Numbers=1,Species_Names)),0))),Combo_Duel_Ability)))</f>
        <v>N/A</v>
      </c>
      <c r="I521" s="23" t="str">
        <f t="array" ref="I521">IF(OR(INDEX(Species_Availability,MATCH($N521,Species_Names,0))="No",INDEX(Species_Evo_Numbers,MATCH($N521,Species_Names,0))&lt;&gt;1),"N/A",RANK($S521,IF(NOT(ISNA(MATCH(Combo_Species_Names,IF(Species_Availability="Yes",IF(Species_Evo_Numbers=1,Species_Names)),0))),Combo_Gym_Offense),0))</f>
        <v>N/A</v>
      </c>
      <c r="J521" s="24" t="str">
        <f t="array" ref="J521">IF(OR(INDEX(Species_Availability,MATCH($N521,Species_Names,0))="No",INDEX(Species_Evo_Numbers,MATCH($N521,Species_Names,0))&lt;&gt;1),"N/A",$S521/MAX(IF(NOT(ISNA(MATCH(Combo_Species_Names,IF(Species_Availability="Yes",IF(Species_Evo_Numbers=1,Species_Names)),0))),Combo_Gym_Offense)))</f>
        <v>N/A</v>
      </c>
      <c r="K521" s="23" t="str">
        <f t="array" ref="K521">IF(OR(INDEX(Species_Availability,MATCH($N521,Species_Names,0))="No",INDEX(Species_Evo_Numbers,MATCH($N521,Species_Names,0))&lt;&gt;1),"N/A",RANK($Y521,IF(NOT(ISNA(MATCH(Combo_Species_Names,IF(Species_Availability="Yes",IF(Species_Evo_Numbers=1,Species_Names)),0))),Combo_Gym_Defense),0))</f>
        <v>N/A</v>
      </c>
      <c r="L521" s="24" t="str">
        <f t="array" ref="L521">IF(OR(INDEX(Species_Availability,MATCH($N521,Species_Names,0))="No",INDEX(Species_Evo_Numbers,MATCH($N521,Species_Names,0))&lt;&gt;1),"N/A",$Y521/MAX(IF(NOT(ISNA(MATCH(Combo_Species_Names,IF(Species_Availability="Yes",IF(Species_Evo_Numbers=1,Species_Names)),0))),Combo_Gym_Defense)))</f>
        <v>N/A</v>
      </c>
      <c r="M521" s="28">
        <f t="array" ref="M521">INDEX(Species_Pdex_Numbers,MATCH($N521,Species_Names,0))</f>
        <v>88</v>
      </c>
      <c r="N521" s="30" t="s">
        <v>270</v>
      </c>
      <c r="O521" s="31" t="s">
        <v>84</v>
      </c>
      <c r="P521" s="31" t="s">
        <v>180</v>
      </c>
      <c r="Q521" s="17" t="e">
        <f t="shared" si="16"/>
        <v>#VALUE!</v>
      </c>
      <c r="R521" s="32" t="e">
        <f t="array" ref="R521">IF(OR(AND(COUNTBLANK(Combo_Opponent_Type_1)=1,COUNTBLANK(Combo_Opponent_Type_2)=0),AND(AND(COUNTBLANK(Combo_Opponent_Type_1)=0,COUNTBLANK(Combo_Opponent_Type_2)=0),Combo_Opponent_Type_1=Combo_Opponent_Type_2)),
"Check Types",($S521*INDEX(Species_Tankiness,MATCH($N521,Species_Names,0)))/225)</f>
        <v>#VALUE!</v>
      </c>
      <c r="S521" s="32" t="e">
        <f t="array" ref="S521">IF(OR(AND(COUNTBLANK(Combo_Opponent_Type_1)=1,COUNTBLANK(Combo_Opponent_Type_2)=0),AND(AND(COUNTBLANK(Combo_Opponent_Type_1)=0,COUNTBLANK(Combo_Opponent_Type_2)=0),Combo_Opponent_Type_1=Combo_Opponent_Type_2)),
"Check Types",(
IF($W521&gt;=((1-Game_Weave_Human_Error)*$X521),$W521,$X521)*INDEX(Species_Attack,MATCH($N521,Species_Names,0)))/11)</f>
        <v>#VALUE!</v>
      </c>
      <c r="T521" s="33" t="e">
        <f t="shared" si="17"/>
        <v>#VALUE!</v>
      </c>
      <c r="U521" s="33">
        <f t="array" ref="U5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521,Quick_Names,0))),Type_Species)),0),1)*IF(COUNTBLANK(Combo_Opponent_Type_2)=0,INDEX(Type_Damage_Multipliers,MATCH(Combo_Opponent_Type_2,IF(Type_Move=(INDEX(Quick_Type,MATCH($O521,Quick_Names,0))),Type_Species)),0),1)*(IF(OR(INDEX(Quick_Type,MATCH($O521,Quick_Names,0))=INDEX(Species_Type_1,MATCH($N521,Species_Names,0)),INDEX(Quick_Type,MATCH($O521,Quick_Names,0))=INDEX(Species_Type_2,MATCH($N521,Species_Names,0))),Game_STAB_Multiplier,1)))</f>
        <v>1</v>
      </c>
      <c r="V521" s="33">
        <f t="array" ref="V5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521,Charge_Names,0))),Type_Species)),0),1)*IF(COUNTBLANK(Combo_Opponent_Type_2)=0,INDEX(Type_Damage_Multipliers,MATCH(Combo_Opponent_Type_2,IF(Type_Move=(INDEX(Charge_Type,MATCH($P521,Charge_Names,0))),Type_Species)),0),1)*
IF(OR(INDEX(Charge_Type,MATCH($P521,Charge_Names,0))=INDEX(Species_Type_1,MATCH($N521,Species_Names,0)),INDEX(Charge_Type,MATCH($P521,Charge_Names,0))=INDEX(Species_Type_2,MATCH($N521,Species_Names,0))),Game_STAB_Multiplier,1))</f>
        <v>1.25</v>
      </c>
      <c r="W521" s="33" t="s">
        <v>660</v>
      </c>
      <c r="X521" s="33" t="s">
        <v>512</v>
      </c>
      <c r="Y521" s="32" t="e">
        <f t="array" ref="Y521">((($Z521)*
INDEX(Species_Attack,MATCH($N521,Species_Names,0))*
INDEX(Species_Tankiness,MATCH($N521,Species_Names,0)))/1000)</f>
        <v>#VALUE!</v>
      </c>
      <c r="Z521" s="33" t="s">
        <v>969</v>
      </c>
    </row>
    <row r="522" spans="1:26" ht="14.25" customHeight="1" x14ac:dyDescent="0.2">
      <c r="A522" s="86"/>
      <c r="B522" s="22" t="str">
        <f t="array" ref="B522">CONCATENATE(TEXT($M522,"000"),".",TEXT(INDEX(Quick_Number,MATCH($O522,Quick_Names,0)),"000"),".",TEXT(INDEX(Charge_Number,MATCH($P522,Charge_Names,0)),"000"))</f>
        <v>086.230.058</v>
      </c>
      <c r="C522" s="23" t="e">
        <f t="array" ref="C522">RANK($S522,IF(Combo_Species_Names=$N522,Combo_Gym_Offense),0)</f>
        <v>#VALUE!</v>
      </c>
      <c r="D522" s="24" t="e">
        <f t="array" ref="D522">$S522/MAX(IF(Combo_Species_Names=$N522,Combo_Gym_Offense))</f>
        <v>#VALUE!</v>
      </c>
      <c r="E522" s="23" t="e">
        <f t="array" ref="E522">RANK($Y522,IF(Combo_Species_Names=$N522,Combo_Gym_Defense),0)</f>
        <v>#VALUE!</v>
      </c>
      <c r="F522" s="25" t="e">
        <f t="array" ref="F522">$Y522/MAX(IF(Combo_Species_Names=$N522,Combo_Gym_Defense))</f>
        <v>#VALUE!</v>
      </c>
      <c r="G522" s="23" t="str">
        <f t="array" ref="G522">IF(OR(INDEX(Species_Availability,MATCH($N522,Species_Names,0))="No",INDEX(Species_Evo_Numbers,MATCH($N522,Species_Names,0))&lt;&gt;1),"N/A",RANK($R522,IF(NOT(ISNA(MATCH(Combo_Species_Names,IF(Species_Availability="Yes",IF(Species_Evo_Numbers=1,Species_Names)),0))),Combo_Duel_Ability),0))</f>
        <v>N/A</v>
      </c>
      <c r="H522" s="24" t="str">
        <f t="array" ref="H522">IF(OR(INDEX(Species_Availability,MATCH($N522,Species_Names,0))="No",INDEX(Species_Evo_Numbers,MATCH($N522,Species_Names,0))&lt;&gt;1),"N/A",$R522/MAX(IF(NOT(ISNA(MATCH(Combo_Species_Names,IF(Species_Availability="Yes",IF(Species_Evo_Numbers=1,Species_Names)),0))),Combo_Duel_Ability)))</f>
        <v>N/A</v>
      </c>
      <c r="I522" s="23" t="str">
        <f t="array" ref="I522">IF(OR(INDEX(Species_Availability,MATCH($N522,Species_Names,0))="No",INDEX(Species_Evo_Numbers,MATCH($N522,Species_Names,0))&lt;&gt;1),"N/A",RANK($S522,IF(NOT(ISNA(MATCH(Combo_Species_Names,IF(Species_Availability="Yes",IF(Species_Evo_Numbers=1,Species_Names)),0))),Combo_Gym_Offense),0))</f>
        <v>N/A</v>
      </c>
      <c r="J522" s="24" t="str">
        <f t="array" ref="J522">IF(OR(INDEX(Species_Availability,MATCH($N522,Species_Names,0))="No",INDEX(Species_Evo_Numbers,MATCH($N522,Species_Names,0))&lt;&gt;1),"N/A",$S522/MAX(IF(NOT(ISNA(MATCH(Combo_Species_Names,IF(Species_Availability="Yes",IF(Species_Evo_Numbers=1,Species_Names)),0))),Combo_Gym_Offense)))</f>
        <v>N/A</v>
      </c>
      <c r="K522" s="23" t="str">
        <f t="array" ref="K522">IF(OR(INDEX(Species_Availability,MATCH($N522,Species_Names,0))="No",INDEX(Species_Evo_Numbers,MATCH($N522,Species_Names,0))&lt;&gt;1),"N/A",RANK($Y522,IF(NOT(ISNA(MATCH(Combo_Species_Names,IF(Species_Availability="Yes",IF(Species_Evo_Numbers=1,Species_Names)),0))),Combo_Gym_Defense),0))</f>
        <v>N/A</v>
      </c>
      <c r="L522" s="24" t="str">
        <f t="array" ref="L522">IF(OR(INDEX(Species_Availability,MATCH($N522,Species_Names,0))="No",INDEX(Species_Evo_Numbers,MATCH($N522,Species_Names,0))&lt;&gt;1),"N/A",$Y522/MAX(IF(NOT(ISNA(MATCH(Combo_Species_Names,IF(Species_Availability="Yes",IF(Species_Evo_Numbers=1,Species_Names)),0))),Combo_Gym_Defense)))</f>
        <v>N/A</v>
      </c>
      <c r="M522" s="28">
        <f t="array" ref="M522">INDEX(Species_Pdex_Numbers,MATCH($N522,Species_Names,0))</f>
        <v>86</v>
      </c>
      <c r="N522" s="30" t="s">
        <v>265</v>
      </c>
      <c r="O522" s="31" t="s">
        <v>65</v>
      </c>
      <c r="P522" s="31" t="s">
        <v>198</v>
      </c>
      <c r="Q522" s="17" t="e">
        <f t="shared" si="16"/>
        <v>#VALUE!</v>
      </c>
      <c r="R522" s="32" t="e">
        <f t="array" ref="R522">IF(OR(AND(COUNTBLANK(Combo_Opponent_Type_1)=1,COUNTBLANK(Combo_Opponent_Type_2)=0),AND(AND(COUNTBLANK(Combo_Opponent_Type_1)=0,COUNTBLANK(Combo_Opponent_Type_2)=0),Combo_Opponent_Type_1=Combo_Opponent_Type_2)),
"Check Types",($S522*INDEX(Species_Tankiness,MATCH($N522,Species_Names,0)))/225)</f>
        <v>#VALUE!</v>
      </c>
      <c r="S522" s="32" t="e">
        <f t="array" ref="S522">IF(OR(AND(COUNTBLANK(Combo_Opponent_Type_1)=1,COUNTBLANK(Combo_Opponent_Type_2)=0),AND(AND(COUNTBLANK(Combo_Opponent_Type_1)=0,COUNTBLANK(Combo_Opponent_Type_2)=0),Combo_Opponent_Type_1=Combo_Opponent_Type_2)),
"Check Types",(
IF($W522&gt;=((1-Game_Weave_Human_Error)*$X522),$W522,$X522)*INDEX(Species_Attack,MATCH($N522,Species_Names,0)))/11)</f>
        <v>#VALUE!</v>
      </c>
      <c r="T522" s="33" t="e">
        <f t="shared" si="17"/>
        <v>#VALUE!</v>
      </c>
      <c r="U522" s="33">
        <f t="array" ref="U5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522,Quick_Names,0))),Type_Species)),0),1)*IF(COUNTBLANK(Combo_Opponent_Type_2)=0,INDEX(Type_Damage_Multipliers,MATCH(Combo_Opponent_Type_2,IF(Type_Move=(INDEX(Quick_Type,MATCH($O522,Quick_Names,0))),Type_Species)),0),1)*(IF(OR(INDEX(Quick_Type,MATCH($O522,Quick_Names,0))=INDEX(Species_Type_1,MATCH($N522,Species_Names,0)),INDEX(Quick_Type,MATCH($O522,Quick_Names,0))=INDEX(Species_Type_2,MATCH($N522,Species_Names,0))),Game_STAB_Multiplier,1)))</f>
        <v>1.25</v>
      </c>
      <c r="V522" s="33">
        <f t="array" ref="V5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522,Charge_Names,0))),Type_Species)),0),1)*IF(COUNTBLANK(Combo_Opponent_Type_2)=0,INDEX(Type_Damage_Multipliers,MATCH(Combo_Opponent_Type_2,IF(Type_Move=(INDEX(Charge_Type,MATCH($P522,Charge_Names,0))),Type_Species)),0),1)*
IF(OR(INDEX(Charge_Type,MATCH($P522,Charge_Names,0))=INDEX(Species_Type_1,MATCH($N522,Species_Names,0)),INDEX(Charge_Type,MATCH($P522,Charge_Names,0))=INDEX(Species_Type_2,MATCH($N522,Species_Names,0))),Game_STAB_Multiplier,1))</f>
        <v>1.25</v>
      </c>
      <c r="W522" s="33" t="s">
        <v>412</v>
      </c>
      <c r="X522" s="33" t="s">
        <v>444</v>
      </c>
      <c r="Y522" s="32" t="e">
        <f t="array" ref="Y522">((($Z522)*
INDEX(Species_Attack,MATCH($N522,Species_Names,0))*
INDEX(Species_Tankiness,MATCH($N522,Species_Names,0)))/1000)</f>
        <v>#VALUE!</v>
      </c>
      <c r="Z522" s="33" t="s">
        <v>445</v>
      </c>
    </row>
    <row r="523" spans="1:26" ht="14.25" customHeight="1" x14ac:dyDescent="0.2">
      <c r="A523" s="86"/>
      <c r="B523" s="22" t="str">
        <f t="array" ref="B523">CONCATENATE(TEXT($M523,"000"),".",TEXT(INDEX(Quick_Number,MATCH($O523,Quick_Names,0)),"000"),".",TEXT(INDEX(Charge_Number,MATCH($P523,Charge_Names,0)),"000"))</f>
        <v>033.224.026</v>
      </c>
      <c r="C523" s="23" t="e">
        <f t="array" ref="C523">RANK($S523,IF(Combo_Species_Names=$N523,Combo_Gym_Offense),0)</f>
        <v>#VALUE!</v>
      </c>
      <c r="D523" s="24" t="e">
        <f t="array" ref="D523">$S523/MAX(IF(Combo_Species_Names=$N523,Combo_Gym_Offense))</f>
        <v>#VALUE!</v>
      </c>
      <c r="E523" s="23" t="e">
        <f t="array" ref="E523">RANK($Y523,IF(Combo_Species_Names=$N523,Combo_Gym_Defense),0)</f>
        <v>#VALUE!</v>
      </c>
      <c r="F523" s="25" t="e">
        <f t="array" ref="F523">$Y523/MAX(IF(Combo_Species_Names=$N523,Combo_Gym_Defense))</f>
        <v>#VALUE!</v>
      </c>
      <c r="G523" s="23" t="str">
        <f t="array" ref="G523">IF(OR(INDEX(Species_Availability,MATCH($N523,Species_Names,0))="No",INDEX(Species_Evo_Numbers,MATCH($N523,Species_Names,0))&lt;&gt;1),"N/A",RANK($R523,IF(NOT(ISNA(MATCH(Combo_Species_Names,IF(Species_Availability="Yes",IF(Species_Evo_Numbers=1,Species_Names)),0))),Combo_Duel_Ability),0))</f>
        <v>N/A</v>
      </c>
      <c r="H523" s="24" t="str">
        <f t="array" ref="H523">IF(OR(INDEX(Species_Availability,MATCH($N523,Species_Names,0))="No",INDEX(Species_Evo_Numbers,MATCH($N523,Species_Names,0))&lt;&gt;1),"N/A",$R523/MAX(IF(NOT(ISNA(MATCH(Combo_Species_Names,IF(Species_Availability="Yes",IF(Species_Evo_Numbers=1,Species_Names)),0))),Combo_Duel_Ability)))</f>
        <v>N/A</v>
      </c>
      <c r="I523" s="23" t="str">
        <f t="array" ref="I523">IF(OR(INDEX(Species_Availability,MATCH($N523,Species_Names,0))="No",INDEX(Species_Evo_Numbers,MATCH($N523,Species_Names,0))&lt;&gt;1),"N/A",RANK($S523,IF(NOT(ISNA(MATCH(Combo_Species_Names,IF(Species_Availability="Yes",IF(Species_Evo_Numbers=1,Species_Names)),0))),Combo_Gym_Offense),0))</f>
        <v>N/A</v>
      </c>
      <c r="J523" s="24" t="str">
        <f t="array" ref="J523">IF(OR(INDEX(Species_Availability,MATCH($N523,Species_Names,0))="No",INDEX(Species_Evo_Numbers,MATCH($N523,Species_Names,0))&lt;&gt;1),"N/A",$S523/MAX(IF(NOT(ISNA(MATCH(Combo_Species_Names,IF(Species_Availability="Yes",IF(Species_Evo_Numbers=1,Species_Names)),0))),Combo_Gym_Offense)))</f>
        <v>N/A</v>
      </c>
      <c r="K523" s="23" t="str">
        <f t="array" ref="K523">IF(OR(INDEX(Species_Availability,MATCH($N523,Species_Names,0))="No",INDEX(Species_Evo_Numbers,MATCH($N523,Species_Names,0))&lt;&gt;1),"N/A",RANK($Y523,IF(NOT(ISNA(MATCH(Combo_Species_Names,IF(Species_Availability="Yes",IF(Species_Evo_Numbers=1,Species_Names)),0))),Combo_Gym_Defense),0))</f>
        <v>N/A</v>
      </c>
      <c r="L523" s="24" t="str">
        <f t="array" ref="L523">IF(OR(INDEX(Species_Availability,MATCH($N523,Species_Names,0))="No",INDEX(Species_Evo_Numbers,MATCH($N523,Species_Names,0))&lt;&gt;1),"N/A",$Y523/MAX(IF(NOT(ISNA(MATCH(Combo_Species_Names,IF(Species_Availability="Yes",IF(Species_Evo_Numbers=1,Species_Names)),0))),Combo_Gym_Defense)))</f>
        <v>N/A</v>
      </c>
      <c r="M523" s="28">
        <f t="array" ref="M523">INDEX(Species_Pdex_Numbers,MATCH($N523,Species_Names,0))</f>
        <v>33</v>
      </c>
      <c r="N523" s="30" t="s">
        <v>156</v>
      </c>
      <c r="O523" s="31" t="s">
        <v>77</v>
      </c>
      <c r="P523" s="31" t="s">
        <v>264</v>
      </c>
      <c r="Q523" s="17" t="e">
        <f t="shared" si="16"/>
        <v>#VALUE!</v>
      </c>
      <c r="R523" s="32" t="e">
        <f t="array" ref="R523">IF(OR(AND(COUNTBLANK(Combo_Opponent_Type_1)=1,COUNTBLANK(Combo_Opponent_Type_2)=0),AND(AND(COUNTBLANK(Combo_Opponent_Type_1)=0,COUNTBLANK(Combo_Opponent_Type_2)=0),Combo_Opponent_Type_1=Combo_Opponent_Type_2)),
"Check Types",($S523*INDEX(Species_Tankiness,MATCH($N523,Species_Names,0)))/225)</f>
        <v>#VALUE!</v>
      </c>
      <c r="S523" s="32" t="e">
        <f t="array" ref="S523">IF(OR(AND(COUNTBLANK(Combo_Opponent_Type_1)=1,COUNTBLANK(Combo_Opponent_Type_2)=0),AND(AND(COUNTBLANK(Combo_Opponent_Type_1)=0,COUNTBLANK(Combo_Opponent_Type_2)=0),Combo_Opponent_Type_1=Combo_Opponent_Type_2)),
"Check Types",(
IF($W523&gt;=((1-Game_Weave_Human_Error)*$X523),$W523,$X523)*INDEX(Species_Attack,MATCH($N523,Species_Names,0)))/11)</f>
        <v>#VALUE!</v>
      </c>
      <c r="T523" s="33" t="e">
        <f t="shared" si="17"/>
        <v>#VALUE!</v>
      </c>
      <c r="U523" s="33">
        <f t="array" ref="U5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523,Quick_Names,0))),Type_Species)),0),1)*IF(COUNTBLANK(Combo_Opponent_Type_2)=0,INDEX(Type_Damage_Multipliers,MATCH(Combo_Opponent_Type_2,IF(Type_Move=(INDEX(Quick_Type,MATCH($O523,Quick_Names,0))),Type_Species)),0),1)*(IF(OR(INDEX(Quick_Type,MATCH($O523,Quick_Names,0))=INDEX(Species_Type_1,MATCH($N523,Species_Names,0)),INDEX(Quick_Type,MATCH($O523,Quick_Names,0))=INDEX(Species_Type_2,MATCH($N523,Species_Names,0))),Game_STAB_Multiplier,1)))</f>
        <v>1.25</v>
      </c>
      <c r="V523" s="33">
        <f t="array" ref="V5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523,Charge_Names,0))),Type_Species)),0),1)*IF(COUNTBLANK(Combo_Opponent_Type_2)=0,INDEX(Type_Damage_Multipliers,MATCH(Combo_Opponent_Type_2,IF(Type_Move=(INDEX(Charge_Type,MATCH($P523,Charge_Names,0))),Type_Species)),0),1)*
IF(OR(INDEX(Charge_Type,MATCH($P523,Charge_Names,0))=INDEX(Species_Type_1,MATCH($N523,Species_Names,0)),INDEX(Charge_Type,MATCH($P523,Charge_Names,0))=INDEX(Species_Type_2,MATCH($N523,Species_Names,0))),Game_STAB_Multiplier,1))</f>
        <v>1</v>
      </c>
      <c r="W523" s="33" t="s">
        <v>446</v>
      </c>
      <c r="X523" s="33" t="s">
        <v>970</v>
      </c>
      <c r="Y523" s="32" t="e">
        <f t="array" ref="Y523">((($Z523)*
INDEX(Species_Attack,MATCH($N523,Species_Names,0))*
INDEX(Species_Tankiness,MATCH($N523,Species_Names,0)))/1000)</f>
        <v>#VALUE!</v>
      </c>
      <c r="Z523" s="33" t="s">
        <v>847</v>
      </c>
    </row>
    <row r="524" spans="1:26" ht="14.25" customHeight="1" x14ac:dyDescent="0.2">
      <c r="A524" s="86"/>
      <c r="B524" s="22" t="str">
        <f t="array" ref="B524">CONCATENATE(TEXT($M524,"000"),".",TEXT(INDEX(Quick_Number,MATCH($O524,Quick_Names,0)),"000"),".",TEXT(INDEX(Charge_Number,MATCH($P524,Charge_Names,0)),"000"))</f>
        <v>033.224.126</v>
      </c>
      <c r="C524" s="23" t="e">
        <f t="array" ref="C524">RANK($S524,IF(Combo_Species_Names=$N524,Combo_Gym_Offense),0)</f>
        <v>#VALUE!</v>
      </c>
      <c r="D524" s="24" t="e">
        <f t="array" ref="D524">$S524/MAX(IF(Combo_Species_Names=$N524,Combo_Gym_Offense))</f>
        <v>#VALUE!</v>
      </c>
      <c r="E524" s="23" t="e">
        <f t="array" ref="E524">RANK($Y524,IF(Combo_Species_Names=$N524,Combo_Gym_Defense),0)</f>
        <v>#VALUE!</v>
      </c>
      <c r="F524" s="25" t="e">
        <f t="array" ref="F524">$Y524/MAX(IF(Combo_Species_Names=$N524,Combo_Gym_Defense))</f>
        <v>#VALUE!</v>
      </c>
      <c r="G524" s="23" t="str">
        <f t="array" ref="G524">IF(OR(INDEX(Species_Availability,MATCH($N524,Species_Names,0))="No",INDEX(Species_Evo_Numbers,MATCH($N524,Species_Names,0))&lt;&gt;1),"N/A",RANK($R524,IF(NOT(ISNA(MATCH(Combo_Species_Names,IF(Species_Availability="Yes",IF(Species_Evo_Numbers=1,Species_Names)),0))),Combo_Duel_Ability),0))</f>
        <v>N/A</v>
      </c>
      <c r="H524" s="24" t="str">
        <f t="array" ref="H524">IF(OR(INDEX(Species_Availability,MATCH($N524,Species_Names,0))="No",INDEX(Species_Evo_Numbers,MATCH($N524,Species_Names,0))&lt;&gt;1),"N/A",$R524/MAX(IF(NOT(ISNA(MATCH(Combo_Species_Names,IF(Species_Availability="Yes",IF(Species_Evo_Numbers=1,Species_Names)),0))),Combo_Duel_Ability)))</f>
        <v>N/A</v>
      </c>
      <c r="I524" s="23" t="str">
        <f t="array" ref="I524">IF(OR(INDEX(Species_Availability,MATCH($N524,Species_Names,0))="No",INDEX(Species_Evo_Numbers,MATCH($N524,Species_Names,0))&lt;&gt;1),"N/A",RANK($S524,IF(NOT(ISNA(MATCH(Combo_Species_Names,IF(Species_Availability="Yes",IF(Species_Evo_Numbers=1,Species_Names)),0))),Combo_Gym_Offense),0))</f>
        <v>N/A</v>
      </c>
      <c r="J524" s="24" t="str">
        <f t="array" ref="J524">IF(OR(INDEX(Species_Availability,MATCH($N524,Species_Names,0))="No",INDEX(Species_Evo_Numbers,MATCH($N524,Species_Names,0))&lt;&gt;1),"N/A",$S524/MAX(IF(NOT(ISNA(MATCH(Combo_Species_Names,IF(Species_Availability="Yes",IF(Species_Evo_Numbers=1,Species_Names)),0))),Combo_Gym_Offense)))</f>
        <v>N/A</v>
      </c>
      <c r="K524" s="23" t="str">
        <f t="array" ref="K524">IF(OR(INDEX(Species_Availability,MATCH($N524,Species_Names,0))="No",INDEX(Species_Evo_Numbers,MATCH($N524,Species_Names,0))&lt;&gt;1),"N/A",RANK($Y524,IF(NOT(ISNA(MATCH(Combo_Species_Names,IF(Species_Availability="Yes",IF(Species_Evo_Numbers=1,Species_Names)),0))),Combo_Gym_Defense),0))</f>
        <v>N/A</v>
      </c>
      <c r="L524" s="24" t="str">
        <f t="array" ref="L524">IF(OR(INDEX(Species_Availability,MATCH($N524,Species_Names,0))="No",INDEX(Species_Evo_Numbers,MATCH($N524,Species_Names,0))&lt;&gt;1),"N/A",$Y524/MAX(IF(NOT(ISNA(MATCH(Combo_Species_Names,IF(Species_Availability="Yes",IF(Species_Evo_Numbers=1,Species_Names)),0))),Combo_Gym_Defense)))</f>
        <v>N/A</v>
      </c>
      <c r="M524" s="28">
        <f t="array" ref="M524">INDEX(Species_Pdex_Numbers,MATCH($N524,Species_Names,0))</f>
        <v>33</v>
      </c>
      <c r="N524" s="30" t="s">
        <v>156</v>
      </c>
      <c r="O524" s="31" t="s">
        <v>77</v>
      </c>
      <c r="P524" s="31" t="s">
        <v>275</v>
      </c>
      <c r="Q524" s="17" t="e">
        <f t="shared" si="16"/>
        <v>#VALUE!</v>
      </c>
      <c r="R524" s="32" t="e">
        <f t="array" ref="R524">IF(OR(AND(COUNTBLANK(Combo_Opponent_Type_1)=1,COUNTBLANK(Combo_Opponent_Type_2)=0),AND(AND(COUNTBLANK(Combo_Opponent_Type_1)=0,COUNTBLANK(Combo_Opponent_Type_2)=0),Combo_Opponent_Type_1=Combo_Opponent_Type_2)),
"Check Types",($S524*INDEX(Species_Tankiness,MATCH($N524,Species_Names,0)))/225)</f>
        <v>#VALUE!</v>
      </c>
      <c r="S524" s="32" t="e">
        <f t="array" ref="S524">IF(OR(AND(COUNTBLANK(Combo_Opponent_Type_1)=1,COUNTBLANK(Combo_Opponent_Type_2)=0),AND(AND(COUNTBLANK(Combo_Opponent_Type_1)=0,COUNTBLANK(Combo_Opponent_Type_2)=0),Combo_Opponent_Type_1=Combo_Opponent_Type_2)),
"Check Types",(
IF($W524&gt;=((1-Game_Weave_Human_Error)*$X524),$W524,$X524)*INDEX(Species_Attack,MATCH($N524,Species_Names,0)))/11)</f>
        <v>#VALUE!</v>
      </c>
      <c r="T524" s="33" t="e">
        <f t="shared" si="17"/>
        <v>#VALUE!</v>
      </c>
      <c r="U524" s="33">
        <f t="array" ref="U5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524,Quick_Names,0))),Type_Species)),0),1)*IF(COUNTBLANK(Combo_Opponent_Type_2)=0,INDEX(Type_Damage_Multipliers,MATCH(Combo_Opponent_Type_2,IF(Type_Move=(INDEX(Quick_Type,MATCH($O524,Quick_Names,0))),Type_Species)),0),1)*(IF(OR(INDEX(Quick_Type,MATCH($O524,Quick_Names,0))=INDEX(Species_Type_1,MATCH($N524,Species_Names,0)),INDEX(Quick_Type,MATCH($O524,Quick_Names,0))=INDEX(Species_Type_2,MATCH($N524,Species_Names,0))),Game_STAB_Multiplier,1)))</f>
        <v>1.25</v>
      </c>
      <c r="V524" s="33">
        <f t="array" ref="V5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524,Charge_Names,0))),Type_Species)),0),1)*IF(COUNTBLANK(Combo_Opponent_Type_2)=0,INDEX(Type_Damage_Multipliers,MATCH(Combo_Opponent_Type_2,IF(Type_Move=(INDEX(Charge_Type,MATCH($P524,Charge_Names,0))),Type_Species)),0),1)*
IF(OR(INDEX(Charge_Type,MATCH($P524,Charge_Names,0))=INDEX(Species_Type_1,MATCH($N524,Species_Names,0)),INDEX(Charge_Type,MATCH($P524,Charge_Names,0))=INDEX(Species_Type_2,MATCH($N524,Species_Names,0))),Game_STAB_Multiplier,1))</f>
        <v>1</v>
      </c>
      <c r="W524" s="33" t="s">
        <v>446</v>
      </c>
      <c r="X524" s="33" t="s">
        <v>856</v>
      </c>
      <c r="Y524" s="32" t="e">
        <f t="array" ref="Y524">((($Z524)*
INDEX(Species_Attack,MATCH($N524,Species_Names,0))*
INDEX(Species_Tankiness,MATCH($N524,Species_Names,0)))/1000)</f>
        <v>#VALUE!</v>
      </c>
      <c r="Z524" s="33" t="s">
        <v>971</v>
      </c>
    </row>
    <row r="525" spans="1:26" ht="14.25" customHeight="1" x14ac:dyDescent="0.2">
      <c r="A525" s="86"/>
      <c r="B525" s="22" t="str">
        <f t="array" ref="B525">CONCATENATE(TEXT($M525,"000"),".",TEXT(INDEX(Quick_Number,MATCH($O525,Quick_Names,0)),"000"),".",TEXT(INDEX(Charge_Number,MATCH($P525,Charge_Names,0)),"000"))</f>
        <v>075.227.026</v>
      </c>
      <c r="C525" s="23" t="e">
        <f t="array" ref="C525">RANK($S525,IF(Combo_Species_Names=$N525,Combo_Gym_Offense),0)</f>
        <v>#VALUE!</v>
      </c>
      <c r="D525" s="24" t="e">
        <f t="array" ref="D525">$S525/MAX(IF(Combo_Species_Names=$N525,Combo_Gym_Offense))</f>
        <v>#VALUE!</v>
      </c>
      <c r="E525" s="23" t="e">
        <f t="array" ref="E525">RANK($Y525,IF(Combo_Species_Names=$N525,Combo_Gym_Defense),0)</f>
        <v>#VALUE!</v>
      </c>
      <c r="F525" s="25" t="e">
        <f t="array" ref="F525">$Y525/MAX(IF(Combo_Species_Names=$N525,Combo_Gym_Defense))</f>
        <v>#VALUE!</v>
      </c>
      <c r="G525" s="23" t="str">
        <f t="array" ref="G525">IF(OR(INDEX(Species_Availability,MATCH($N525,Species_Names,0))="No",INDEX(Species_Evo_Numbers,MATCH($N525,Species_Names,0))&lt;&gt;1),"N/A",RANK($R525,IF(NOT(ISNA(MATCH(Combo_Species_Names,IF(Species_Availability="Yes",IF(Species_Evo_Numbers=1,Species_Names)),0))),Combo_Duel_Ability),0))</f>
        <v>N/A</v>
      </c>
      <c r="H525" s="24" t="str">
        <f t="array" ref="H525">IF(OR(INDEX(Species_Availability,MATCH($N525,Species_Names,0))="No",INDEX(Species_Evo_Numbers,MATCH($N525,Species_Names,0))&lt;&gt;1),"N/A",$R525/MAX(IF(NOT(ISNA(MATCH(Combo_Species_Names,IF(Species_Availability="Yes",IF(Species_Evo_Numbers=1,Species_Names)),0))),Combo_Duel_Ability)))</f>
        <v>N/A</v>
      </c>
      <c r="I525" s="23" t="str">
        <f t="array" ref="I525">IF(OR(INDEX(Species_Availability,MATCH($N525,Species_Names,0))="No",INDEX(Species_Evo_Numbers,MATCH($N525,Species_Names,0))&lt;&gt;1),"N/A",RANK($S525,IF(NOT(ISNA(MATCH(Combo_Species_Names,IF(Species_Availability="Yes",IF(Species_Evo_Numbers=1,Species_Names)),0))),Combo_Gym_Offense),0))</f>
        <v>N/A</v>
      </c>
      <c r="J525" s="24" t="str">
        <f t="array" ref="J525">IF(OR(INDEX(Species_Availability,MATCH($N525,Species_Names,0))="No",INDEX(Species_Evo_Numbers,MATCH($N525,Species_Names,0))&lt;&gt;1),"N/A",$S525/MAX(IF(NOT(ISNA(MATCH(Combo_Species_Names,IF(Species_Availability="Yes",IF(Species_Evo_Numbers=1,Species_Names)),0))),Combo_Gym_Offense)))</f>
        <v>N/A</v>
      </c>
      <c r="K525" s="23" t="str">
        <f t="array" ref="K525">IF(OR(INDEX(Species_Availability,MATCH($N525,Species_Names,0))="No",INDEX(Species_Evo_Numbers,MATCH($N525,Species_Names,0))&lt;&gt;1),"N/A",RANK($Y525,IF(NOT(ISNA(MATCH(Combo_Species_Names,IF(Species_Availability="Yes",IF(Species_Evo_Numbers=1,Species_Names)),0))),Combo_Gym_Defense),0))</f>
        <v>N/A</v>
      </c>
      <c r="L525" s="24" t="str">
        <f t="array" ref="L525">IF(OR(INDEX(Species_Availability,MATCH($N525,Species_Names,0))="No",INDEX(Species_Evo_Numbers,MATCH($N525,Species_Names,0))&lt;&gt;1),"N/A",$Y525/MAX(IF(NOT(ISNA(MATCH(Combo_Species_Names,IF(Species_Availability="Yes",IF(Species_Evo_Numbers=1,Species_Names)),0))),Combo_Gym_Defense)))</f>
        <v>N/A</v>
      </c>
      <c r="M525" s="28">
        <f t="array" ref="M525">INDEX(Species_Pdex_Numbers,MATCH($N525,Species_Names,0))</f>
        <v>75</v>
      </c>
      <c r="N525" s="30" t="s">
        <v>242</v>
      </c>
      <c r="O525" s="31" t="s">
        <v>112</v>
      </c>
      <c r="P525" s="31" t="s">
        <v>264</v>
      </c>
      <c r="Q525" s="17" t="e">
        <f t="shared" si="16"/>
        <v>#VALUE!</v>
      </c>
      <c r="R525" s="32" t="e">
        <f t="array" ref="R525">IF(OR(AND(COUNTBLANK(Combo_Opponent_Type_1)=1,COUNTBLANK(Combo_Opponent_Type_2)=0),AND(AND(COUNTBLANK(Combo_Opponent_Type_1)=0,COUNTBLANK(Combo_Opponent_Type_2)=0),Combo_Opponent_Type_1=Combo_Opponent_Type_2)),
"Check Types",($S525*INDEX(Species_Tankiness,MATCH($N525,Species_Names,0)))/225)</f>
        <v>#VALUE!</v>
      </c>
      <c r="S525" s="32" t="e">
        <f t="array" ref="S525">IF(OR(AND(COUNTBLANK(Combo_Opponent_Type_1)=1,COUNTBLANK(Combo_Opponent_Type_2)=0),AND(AND(COUNTBLANK(Combo_Opponent_Type_1)=0,COUNTBLANK(Combo_Opponent_Type_2)=0),Combo_Opponent_Type_1=Combo_Opponent_Type_2)),
"Check Types",(
IF($W525&gt;=((1-Game_Weave_Human_Error)*$X525),$W525,$X525)*INDEX(Species_Attack,MATCH($N525,Species_Names,0)))/11)</f>
        <v>#VALUE!</v>
      </c>
      <c r="T525" s="33" t="e">
        <f t="shared" si="17"/>
        <v>#VALUE!</v>
      </c>
      <c r="U525" s="33">
        <f t="array" ref="U5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525,Quick_Names,0))),Type_Species)),0),1)*IF(COUNTBLANK(Combo_Opponent_Type_2)=0,INDEX(Type_Damage_Multipliers,MATCH(Combo_Opponent_Type_2,IF(Type_Move=(INDEX(Quick_Type,MATCH($O525,Quick_Names,0))),Type_Species)),0),1)*(IF(OR(INDEX(Quick_Type,MATCH($O525,Quick_Names,0))=INDEX(Species_Type_1,MATCH($N525,Species_Names,0)),INDEX(Quick_Type,MATCH($O525,Quick_Names,0))=INDEX(Species_Type_2,MATCH($N525,Species_Names,0))),Game_STAB_Multiplier,1)))</f>
        <v>1.25</v>
      </c>
      <c r="V525" s="33">
        <f t="array" ref="V5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525,Charge_Names,0))),Type_Species)),0),1)*IF(COUNTBLANK(Combo_Opponent_Type_2)=0,INDEX(Type_Damage_Multipliers,MATCH(Combo_Opponent_Type_2,IF(Type_Move=(INDEX(Charge_Type,MATCH($P525,Charge_Names,0))),Type_Species)),0),1)*
IF(OR(INDEX(Charge_Type,MATCH($P525,Charge_Names,0))=INDEX(Species_Type_1,MATCH($N525,Species_Names,0)),INDEX(Charge_Type,MATCH($P525,Charge_Names,0))=INDEX(Species_Type_2,MATCH($N525,Species_Names,0))),Game_STAB_Multiplier,1))</f>
        <v>1.25</v>
      </c>
      <c r="W525" s="33" t="s">
        <v>548</v>
      </c>
      <c r="X525" s="33" t="s">
        <v>719</v>
      </c>
      <c r="Y525" s="32" t="e">
        <f t="array" ref="Y525">((($Z525)*
INDEX(Species_Attack,MATCH($N525,Species_Names,0))*
INDEX(Species_Tankiness,MATCH($N525,Species_Names,0)))/1000)</f>
        <v>#VALUE!</v>
      </c>
      <c r="Z525" s="33" t="s">
        <v>972</v>
      </c>
    </row>
    <row r="526" spans="1:26" ht="14.25" customHeight="1" x14ac:dyDescent="0.2">
      <c r="A526" s="86"/>
      <c r="B526" s="22" t="str">
        <f t="array" ref="B526">CONCATENATE(TEXT($M526,"000"),".",TEXT(INDEX(Quick_Number,MATCH($O526,Quick_Names,0)),"000"),".",TEXT(INDEX(Charge_Number,MATCH($P526,Charge_Names,0)),"000"))</f>
        <v>093.213.090</v>
      </c>
      <c r="C526" s="23" t="e">
        <f t="array" ref="C526">RANK($S526,IF(Combo_Species_Names=$N526,Combo_Gym_Offense),0)</f>
        <v>#VALUE!</v>
      </c>
      <c r="D526" s="24" t="e">
        <f t="array" ref="D526">$S526/MAX(IF(Combo_Species_Names=$N526,Combo_Gym_Offense))</f>
        <v>#VALUE!</v>
      </c>
      <c r="E526" s="23" t="e">
        <f t="array" ref="E526">RANK($Y526,IF(Combo_Species_Names=$N526,Combo_Gym_Defense),0)</f>
        <v>#VALUE!</v>
      </c>
      <c r="F526" s="25" t="e">
        <f t="array" ref="F526">$Y526/MAX(IF(Combo_Species_Names=$N526,Combo_Gym_Defense))</f>
        <v>#VALUE!</v>
      </c>
      <c r="G526" s="23" t="str">
        <f t="array" ref="G526">IF(OR(INDEX(Species_Availability,MATCH($N526,Species_Names,0))="No",INDEX(Species_Evo_Numbers,MATCH($N526,Species_Names,0))&lt;&gt;1),"N/A",RANK($R526,IF(NOT(ISNA(MATCH(Combo_Species_Names,IF(Species_Availability="Yes",IF(Species_Evo_Numbers=1,Species_Names)),0))),Combo_Duel_Ability),0))</f>
        <v>N/A</v>
      </c>
      <c r="H526" s="24" t="str">
        <f t="array" ref="H526">IF(OR(INDEX(Species_Availability,MATCH($N526,Species_Names,0))="No",INDEX(Species_Evo_Numbers,MATCH($N526,Species_Names,0))&lt;&gt;1),"N/A",$R526/MAX(IF(NOT(ISNA(MATCH(Combo_Species_Names,IF(Species_Availability="Yes",IF(Species_Evo_Numbers=1,Species_Names)),0))),Combo_Duel_Ability)))</f>
        <v>N/A</v>
      </c>
      <c r="I526" s="23" t="str">
        <f t="array" ref="I526">IF(OR(INDEX(Species_Availability,MATCH($N526,Species_Names,0))="No",INDEX(Species_Evo_Numbers,MATCH($N526,Species_Names,0))&lt;&gt;1),"N/A",RANK($S526,IF(NOT(ISNA(MATCH(Combo_Species_Names,IF(Species_Availability="Yes",IF(Species_Evo_Numbers=1,Species_Names)),0))),Combo_Gym_Offense),0))</f>
        <v>N/A</v>
      </c>
      <c r="J526" s="24" t="str">
        <f t="array" ref="J526">IF(OR(INDEX(Species_Availability,MATCH($N526,Species_Names,0))="No",INDEX(Species_Evo_Numbers,MATCH($N526,Species_Names,0))&lt;&gt;1),"N/A",$S526/MAX(IF(NOT(ISNA(MATCH(Combo_Species_Names,IF(Species_Availability="Yes",IF(Species_Evo_Numbers=1,Species_Names)),0))),Combo_Gym_Offense)))</f>
        <v>N/A</v>
      </c>
      <c r="K526" s="23" t="str">
        <f t="array" ref="K526">IF(OR(INDEX(Species_Availability,MATCH($N526,Species_Names,0))="No",INDEX(Species_Evo_Numbers,MATCH($N526,Species_Names,0))&lt;&gt;1),"N/A",RANK($Y526,IF(NOT(ISNA(MATCH(Combo_Species_Names,IF(Species_Availability="Yes",IF(Species_Evo_Numbers=1,Species_Names)),0))),Combo_Gym_Defense),0))</f>
        <v>N/A</v>
      </c>
      <c r="L526" s="24" t="str">
        <f t="array" ref="L526">IF(OR(INDEX(Species_Availability,MATCH($N526,Species_Names,0))="No",INDEX(Species_Evo_Numbers,MATCH($N526,Species_Names,0))&lt;&gt;1),"N/A",$Y526/MAX(IF(NOT(ISNA(MATCH(Combo_Species_Names,IF(Species_Availability="Yes",IF(Species_Evo_Numbers=1,Species_Names)),0))),Combo_Gym_Defense)))</f>
        <v>N/A</v>
      </c>
      <c r="M526" s="28">
        <f t="array" ref="M526">INDEX(Species_Pdex_Numbers,MATCH($N526,Species_Names,0))</f>
        <v>93</v>
      </c>
      <c r="N526" s="30" t="s">
        <v>282</v>
      </c>
      <c r="O526" s="31" t="s">
        <v>74</v>
      </c>
      <c r="P526" s="31" t="s">
        <v>180</v>
      </c>
      <c r="Q526" s="17" t="e">
        <f t="shared" si="16"/>
        <v>#VALUE!</v>
      </c>
      <c r="R526" s="32" t="e">
        <f t="array" ref="R526">IF(OR(AND(COUNTBLANK(Combo_Opponent_Type_1)=1,COUNTBLANK(Combo_Opponent_Type_2)=0),AND(AND(COUNTBLANK(Combo_Opponent_Type_1)=0,COUNTBLANK(Combo_Opponent_Type_2)=0),Combo_Opponent_Type_1=Combo_Opponent_Type_2)),
"Check Types",($S526*INDEX(Species_Tankiness,MATCH($N526,Species_Names,0)))/225)</f>
        <v>#VALUE!</v>
      </c>
      <c r="S526" s="32" t="e">
        <f t="array" ref="S526">IF(OR(AND(COUNTBLANK(Combo_Opponent_Type_1)=1,COUNTBLANK(Combo_Opponent_Type_2)=0),AND(AND(COUNTBLANK(Combo_Opponent_Type_1)=0,COUNTBLANK(Combo_Opponent_Type_2)=0),Combo_Opponent_Type_1=Combo_Opponent_Type_2)),
"Check Types",(
IF($W526&gt;=((1-Game_Weave_Human_Error)*$X526),$W526,$X526)*INDEX(Species_Attack,MATCH($N526,Species_Names,0)))/11)</f>
        <v>#VALUE!</v>
      </c>
      <c r="T526" s="33" t="e">
        <f t="shared" si="17"/>
        <v>#VALUE!</v>
      </c>
      <c r="U526" s="33">
        <f t="array" ref="U5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526,Quick_Names,0))),Type_Species)),0),1)*IF(COUNTBLANK(Combo_Opponent_Type_2)=0,INDEX(Type_Damage_Multipliers,MATCH(Combo_Opponent_Type_2,IF(Type_Move=(INDEX(Quick_Type,MATCH($O526,Quick_Names,0))),Type_Species)),0),1)*(IF(OR(INDEX(Quick_Type,MATCH($O526,Quick_Names,0))=INDEX(Species_Type_1,MATCH($N526,Species_Names,0)),INDEX(Quick_Type,MATCH($O526,Quick_Names,0))=INDEX(Species_Type_2,MATCH($N526,Species_Names,0))),Game_STAB_Multiplier,1)))</f>
        <v>1.25</v>
      </c>
      <c r="V526" s="33">
        <f t="array" ref="V5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526,Charge_Names,0))),Type_Species)),0),1)*IF(COUNTBLANK(Combo_Opponent_Type_2)=0,INDEX(Type_Damage_Multipliers,MATCH(Combo_Opponent_Type_2,IF(Type_Move=(INDEX(Charge_Type,MATCH($P526,Charge_Names,0))),Type_Species)),0),1)*
IF(OR(INDEX(Charge_Type,MATCH($P526,Charge_Names,0))=INDEX(Species_Type_1,MATCH($N526,Species_Names,0)),INDEX(Charge_Type,MATCH($P526,Charge_Names,0))=INDEX(Species_Type_2,MATCH($N526,Species_Names,0))),Game_STAB_Multiplier,1))</f>
        <v>1.25</v>
      </c>
      <c r="W526" s="33" t="s">
        <v>710</v>
      </c>
      <c r="X526" s="33" t="s">
        <v>526</v>
      </c>
      <c r="Y526" s="32" t="e">
        <f t="array" ref="Y526">((($Z526)*
INDEX(Species_Attack,MATCH($N526,Species_Names,0))*
INDEX(Species_Tankiness,MATCH($N526,Species_Names,0)))/1000)</f>
        <v>#VALUE!</v>
      </c>
      <c r="Z526" s="33" t="s">
        <v>973</v>
      </c>
    </row>
    <row r="527" spans="1:26" ht="14.25" customHeight="1" x14ac:dyDescent="0.2">
      <c r="A527" s="86"/>
      <c r="B527" s="22" t="str">
        <f t="array" ref="B527">CONCATENATE(TEXT($M527,"000"),".",TEXT(INDEX(Quick_Number,MATCH($O527,Quick_Names,0)),"000"),".",TEXT(INDEX(Charge_Number,MATCH($P527,Charge_Names,0)),"000"))</f>
        <v>061.216.106</v>
      </c>
      <c r="C527" s="23" t="e">
        <f t="array" ref="C527">RANK($S527,IF(Combo_Species_Names=$N527,Combo_Gym_Offense),0)</f>
        <v>#VALUE!</v>
      </c>
      <c r="D527" s="24" t="e">
        <f t="array" ref="D527">$S527/MAX(IF(Combo_Species_Names=$N527,Combo_Gym_Offense))</f>
        <v>#VALUE!</v>
      </c>
      <c r="E527" s="23" t="e">
        <f t="array" ref="E527">RANK($Y527,IF(Combo_Species_Names=$N527,Combo_Gym_Defense),0)</f>
        <v>#VALUE!</v>
      </c>
      <c r="F527" s="25" t="e">
        <f t="array" ref="F527">$Y527/MAX(IF(Combo_Species_Names=$N527,Combo_Gym_Defense))</f>
        <v>#VALUE!</v>
      </c>
      <c r="G527" s="23" t="str">
        <f t="array" ref="G527">IF(OR(INDEX(Species_Availability,MATCH($N527,Species_Names,0))="No",INDEX(Species_Evo_Numbers,MATCH($N527,Species_Names,0))&lt;&gt;1),"N/A",RANK($R527,IF(NOT(ISNA(MATCH(Combo_Species_Names,IF(Species_Availability="Yes",IF(Species_Evo_Numbers=1,Species_Names)),0))),Combo_Duel_Ability),0))</f>
        <v>N/A</v>
      </c>
      <c r="H527" s="24" t="str">
        <f t="array" ref="H527">IF(OR(INDEX(Species_Availability,MATCH($N527,Species_Names,0))="No",INDEX(Species_Evo_Numbers,MATCH($N527,Species_Names,0))&lt;&gt;1),"N/A",$R527/MAX(IF(NOT(ISNA(MATCH(Combo_Species_Names,IF(Species_Availability="Yes",IF(Species_Evo_Numbers=1,Species_Names)),0))),Combo_Duel_Ability)))</f>
        <v>N/A</v>
      </c>
      <c r="I527" s="23" t="str">
        <f t="array" ref="I527">IF(OR(INDEX(Species_Availability,MATCH($N527,Species_Names,0))="No",INDEX(Species_Evo_Numbers,MATCH($N527,Species_Names,0))&lt;&gt;1),"N/A",RANK($S527,IF(NOT(ISNA(MATCH(Combo_Species_Names,IF(Species_Availability="Yes",IF(Species_Evo_Numbers=1,Species_Names)),0))),Combo_Gym_Offense),0))</f>
        <v>N/A</v>
      </c>
      <c r="J527" s="24" t="str">
        <f t="array" ref="J527">IF(OR(INDEX(Species_Availability,MATCH($N527,Species_Names,0))="No",INDEX(Species_Evo_Numbers,MATCH($N527,Species_Names,0))&lt;&gt;1),"N/A",$S527/MAX(IF(NOT(ISNA(MATCH(Combo_Species_Names,IF(Species_Availability="Yes",IF(Species_Evo_Numbers=1,Species_Names)),0))),Combo_Gym_Offense)))</f>
        <v>N/A</v>
      </c>
      <c r="K527" s="23" t="str">
        <f t="array" ref="K527">IF(OR(INDEX(Species_Availability,MATCH($N527,Species_Names,0))="No",INDEX(Species_Evo_Numbers,MATCH($N527,Species_Names,0))&lt;&gt;1),"N/A",RANK($Y527,IF(NOT(ISNA(MATCH(Combo_Species_Names,IF(Species_Availability="Yes",IF(Species_Evo_Numbers=1,Species_Names)),0))),Combo_Gym_Defense),0))</f>
        <v>N/A</v>
      </c>
      <c r="L527" s="24" t="str">
        <f t="array" ref="L527">IF(OR(INDEX(Species_Availability,MATCH($N527,Species_Names,0))="No",INDEX(Species_Evo_Numbers,MATCH($N527,Species_Names,0))&lt;&gt;1),"N/A",$Y527/MAX(IF(NOT(ISNA(MATCH(Combo_Species_Names,IF(Species_Availability="Yes",IF(Species_Evo_Numbers=1,Species_Names)),0))),Combo_Gym_Defense)))</f>
        <v>N/A</v>
      </c>
      <c r="M527" s="28">
        <f t="array" ref="M527">INDEX(Species_Pdex_Numbers,MATCH($N527,Species_Names,0))</f>
        <v>61</v>
      </c>
      <c r="N527" s="30" t="s">
        <v>212</v>
      </c>
      <c r="O527" s="31" t="s">
        <v>89</v>
      </c>
      <c r="P527" s="31" t="s">
        <v>251</v>
      </c>
      <c r="Q527" s="17" t="e">
        <f t="shared" si="16"/>
        <v>#VALUE!</v>
      </c>
      <c r="R527" s="32" t="e">
        <f t="array" ref="R527">IF(OR(AND(COUNTBLANK(Combo_Opponent_Type_1)=1,COUNTBLANK(Combo_Opponent_Type_2)=0),AND(AND(COUNTBLANK(Combo_Opponent_Type_1)=0,COUNTBLANK(Combo_Opponent_Type_2)=0),Combo_Opponent_Type_1=Combo_Opponent_Type_2)),
"Check Types",($S527*INDEX(Species_Tankiness,MATCH($N527,Species_Names,0)))/225)</f>
        <v>#VALUE!</v>
      </c>
      <c r="S527" s="32" t="e">
        <f t="array" ref="S527">IF(OR(AND(COUNTBLANK(Combo_Opponent_Type_1)=1,COUNTBLANK(Combo_Opponent_Type_2)=0),AND(AND(COUNTBLANK(Combo_Opponent_Type_1)=0,COUNTBLANK(Combo_Opponent_Type_2)=0),Combo_Opponent_Type_1=Combo_Opponent_Type_2)),
"Check Types",(
IF($W527&gt;=((1-Game_Weave_Human_Error)*$X527),$W527,$X527)*INDEX(Species_Attack,MATCH($N527,Species_Names,0)))/11)</f>
        <v>#VALUE!</v>
      </c>
      <c r="T527" s="33" t="e">
        <f t="shared" si="17"/>
        <v>#VALUE!</v>
      </c>
      <c r="U527" s="33">
        <f t="array" ref="U5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527,Quick_Names,0))),Type_Species)),0),1)*IF(COUNTBLANK(Combo_Opponent_Type_2)=0,INDEX(Type_Damage_Multipliers,MATCH(Combo_Opponent_Type_2,IF(Type_Move=(INDEX(Quick_Type,MATCH($O527,Quick_Names,0))),Type_Species)),0),1)*(IF(OR(INDEX(Quick_Type,MATCH($O527,Quick_Names,0))=INDEX(Species_Type_1,MATCH($N527,Species_Names,0)),INDEX(Quick_Type,MATCH($O527,Quick_Names,0))=INDEX(Species_Type_2,MATCH($N527,Species_Names,0))),Game_STAB_Multiplier,1)))</f>
        <v>1</v>
      </c>
      <c r="V527" s="33">
        <f t="array" ref="V5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527,Charge_Names,0))),Type_Species)),0),1)*IF(COUNTBLANK(Combo_Opponent_Type_2)=0,INDEX(Type_Damage_Multipliers,MATCH(Combo_Opponent_Type_2,IF(Type_Move=(INDEX(Charge_Type,MATCH($P527,Charge_Names,0))),Type_Species)),0),1)*
IF(OR(INDEX(Charge_Type,MATCH($P527,Charge_Names,0))=INDEX(Species_Type_1,MATCH($N527,Species_Names,0)),INDEX(Charge_Type,MATCH($P527,Charge_Names,0))=INDEX(Species_Type_2,MATCH($N527,Species_Names,0))),Game_STAB_Multiplier,1))</f>
        <v>1.25</v>
      </c>
      <c r="W527" s="33" t="s">
        <v>518</v>
      </c>
      <c r="X527" s="33" t="s">
        <v>974</v>
      </c>
      <c r="Y527" s="32" t="e">
        <f t="array" ref="Y527">((($Z527)*
INDEX(Species_Attack,MATCH($N527,Species_Names,0))*
INDEX(Species_Tankiness,MATCH($N527,Species_Names,0)))/1000)</f>
        <v>#VALUE!</v>
      </c>
      <c r="Z527" s="33" t="s">
        <v>792</v>
      </c>
    </row>
    <row r="528" spans="1:26" ht="14.25" customHeight="1" x14ac:dyDescent="0.2">
      <c r="A528" s="86"/>
      <c r="B528" s="22" t="str">
        <f t="array" ref="B528">CONCATENATE(TEXT($M528,"000"),".",TEXT(INDEX(Quick_Number,MATCH($O528,Quick_Names,0)),"000"),".",TEXT(INDEX(Charge_Number,MATCH($P528,Charge_Names,0)),"000"))</f>
        <v>061.237.053</v>
      </c>
      <c r="C528" s="23" t="e">
        <f t="array" ref="C528">RANK($S528,IF(Combo_Species_Names=$N528,Combo_Gym_Offense),0)</f>
        <v>#VALUE!</v>
      </c>
      <c r="D528" s="24" t="e">
        <f t="array" ref="D528">$S528/MAX(IF(Combo_Species_Names=$N528,Combo_Gym_Offense))</f>
        <v>#VALUE!</v>
      </c>
      <c r="E528" s="23" t="e">
        <f t="array" ref="E528">RANK($Y528,IF(Combo_Species_Names=$N528,Combo_Gym_Defense),0)</f>
        <v>#VALUE!</v>
      </c>
      <c r="F528" s="25" t="e">
        <f t="array" ref="F528">$Y528/MAX(IF(Combo_Species_Names=$N528,Combo_Gym_Defense))</f>
        <v>#VALUE!</v>
      </c>
      <c r="G528" s="23" t="str">
        <f t="array" ref="G528">IF(OR(INDEX(Species_Availability,MATCH($N528,Species_Names,0))="No",INDEX(Species_Evo_Numbers,MATCH($N528,Species_Names,0))&lt;&gt;1),"N/A",RANK($R528,IF(NOT(ISNA(MATCH(Combo_Species_Names,IF(Species_Availability="Yes",IF(Species_Evo_Numbers=1,Species_Names)),0))),Combo_Duel_Ability),0))</f>
        <v>N/A</v>
      </c>
      <c r="H528" s="24" t="str">
        <f t="array" ref="H528">IF(OR(INDEX(Species_Availability,MATCH($N528,Species_Names,0))="No",INDEX(Species_Evo_Numbers,MATCH($N528,Species_Names,0))&lt;&gt;1),"N/A",$R528/MAX(IF(NOT(ISNA(MATCH(Combo_Species_Names,IF(Species_Availability="Yes",IF(Species_Evo_Numbers=1,Species_Names)),0))),Combo_Duel_Ability)))</f>
        <v>N/A</v>
      </c>
      <c r="I528" s="23" t="str">
        <f t="array" ref="I528">IF(OR(INDEX(Species_Availability,MATCH($N528,Species_Names,0))="No",INDEX(Species_Evo_Numbers,MATCH($N528,Species_Names,0))&lt;&gt;1),"N/A",RANK($S528,IF(NOT(ISNA(MATCH(Combo_Species_Names,IF(Species_Availability="Yes",IF(Species_Evo_Numbers=1,Species_Names)),0))),Combo_Gym_Offense),0))</f>
        <v>N/A</v>
      </c>
      <c r="J528" s="24" t="str">
        <f t="array" ref="J528">IF(OR(INDEX(Species_Availability,MATCH($N528,Species_Names,0))="No",INDEX(Species_Evo_Numbers,MATCH($N528,Species_Names,0))&lt;&gt;1),"N/A",$S528/MAX(IF(NOT(ISNA(MATCH(Combo_Species_Names,IF(Species_Availability="Yes",IF(Species_Evo_Numbers=1,Species_Names)),0))),Combo_Gym_Offense)))</f>
        <v>N/A</v>
      </c>
      <c r="K528" s="23" t="str">
        <f t="array" ref="K528">IF(OR(INDEX(Species_Availability,MATCH($N528,Species_Names,0))="No",INDEX(Species_Evo_Numbers,MATCH($N528,Species_Names,0))&lt;&gt;1),"N/A",RANK($Y528,IF(NOT(ISNA(MATCH(Combo_Species_Names,IF(Species_Availability="Yes",IF(Species_Evo_Numbers=1,Species_Names)),0))),Combo_Gym_Defense),0))</f>
        <v>N/A</v>
      </c>
      <c r="L528" s="24" t="str">
        <f t="array" ref="L528">IF(OR(INDEX(Species_Availability,MATCH($N528,Species_Names,0))="No",INDEX(Species_Evo_Numbers,MATCH($N528,Species_Names,0))&lt;&gt;1),"N/A",$Y528/MAX(IF(NOT(ISNA(MATCH(Combo_Species_Names,IF(Species_Availability="Yes",IF(Species_Evo_Numbers=1,Species_Names)),0))),Combo_Gym_Defense)))</f>
        <v>N/A</v>
      </c>
      <c r="M528" s="28">
        <f t="array" ref="M528">INDEX(Species_Pdex_Numbers,MATCH($N528,Species_Names,0))</f>
        <v>61</v>
      </c>
      <c r="N528" s="30" t="s">
        <v>212</v>
      </c>
      <c r="O528" s="31" t="s">
        <v>92</v>
      </c>
      <c r="P528" s="31" t="s">
        <v>289</v>
      </c>
      <c r="Q528" s="17" t="e">
        <f t="shared" si="16"/>
        <v>#VALUE!</v>
      </c>
      <c r="R528" s="32" t="e">
        <f t="array" ref="R528">IF(OR(AND(COUNTBLANK(Combo_Opponent_Type_1)=1,COUNTBLANK(Combo_Opponent_Type_2)=0),AND(AND(COUNTBLANK(Combo_Opponent_Type_1)=0,COUNTBLANK(Combo_Opponent_Type_2)=0),Combo_Opponent_Type_1=Combo_Opponent_Type_2)),
"Check Types",($S528*INDEX(Species_Tankiness,MATCH($N528,Species_Names,0)))/225)</f>
        <v>#VALUE!</v>
      </c>
      <c r="S528" s="32" t="e">
        <f t="array" ref="S528">IF(OR(AND(COUNTBLANK(Combo_Opponent_Type_1)=1,COUNTBLANK(Combo_Opponent_Type_2)=0),AND(AND(COUNTBLANK(Combo_Opponent_Type_1)=0,COUNTBLANK(Combo_Opponent_Type_2)=0),Combo_Opponent_Type_1=Combo_Opponent_Type_2)),
"Check Types",(
IF($W528&gt;=((1-Game_Weave_Human_Error)*$X528),$W528,$X528)*INDEX(Species_Attack,MATCH($N528,Species_Names,0)))/11)</f>
        <v>#VALUE!</v>
      </c>
      <c r="T528" s="33" t="e">
        <f t="shared" si="17"/>
        <v>#VALUE!</v>
      </c>
      <c r="U528" s="33">
        <f t="array" ref="U5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528,Quick_Names,0))),Type_Species)),0),1)*IF(COUNTBLANK(Combo_Opponent_Type_2)=0,INDEX(Type_Damage_Multipliers,MATCH(Combo_Opponent_Type_2,IF(Type_Move=(INDEX(Quick_Type,MATCH($O528,Quick_Names,0))),Type_Species)),0),1)*(IF(OR(INDEX(Quick_Type,MATCH($O528,Quick_Names,0))=INDEX(Species_Type_1,MATCH($N528,Species_Names,0)),INDEX(Quick_Type,MATCH($O528,Quick_Names,0))=INDEX(Species_Type_2,MATCH($N528,Species_Names,0))),Game_STAB_Multiplier,1)))</f>
        <v>1.25</v>
      </c>
      <c r="V528" s="33">
        <f t="array" ref="V5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528,Charge_Names,0))),Type_Species)),0),1)*IF(COUNTBLANK(Combo_Opponent_Type_2)=0,INDEX(Type_Damage_Multipliers,MATCH(Combo_Opponent_Type_2,IF(Type_Move=(INDEX(Charge_Type,MATCH($P528,Charge_Names,0))),Type_Species)),0),1)*
IF(OR(INDEX(Charge_Type,MATCH($P528,Charge_Names,0))=INDEX(Species_Type_1,MATCH($N528,Species_Names,0)),INDEX(Charge_Type,MATCH($P528,Charge_Names,0))=INDEX(Species_Type_2,MATCH($N528,Species_Names,0))),Game_STAB_Multiplier,1))</f>
        <v>1.25</v>
      </c>
      <c r="W528" s="33" t="s">
        <v>481</v>
      </c>
      <c r="X528" s="33" t="s">
        <v>975</v>
      </c>
      <c r="Y528" s="32" t="e">
        <f t="array" ref="Y528">((($Z528)*
INDEX(Species_Attack,MATCH($N528,Species_Names,0))*
INDEX(Species_Tankiness,MATCH($N528,Species_Names,0)))/1000)</f>
        <v>#VALUE!</v>
      </c>
      <c r="Z528" s="33" t="s">
        <v>976</v>
      </c>
    </row>
    <row r="529" spans="1:26" ht="14.25" customHeight="1" x14ac:dyDescent="0.2">
      <c r="A529" s="86"/>
      <c r="B529" s="22" t="str">
        <f t="array" ref="B529">CONCATENATE(TEXT($M529,"000"),".",TEXT(INDEX(Quick_Number,MATCH($O529,Quick_Names,0)),"000"),".",TEXT(INDEX(Charge_Number,MATCH($P529,Charge_Names,0)),"000"))</f>
        <v>061.237.096</v>
      </c>
      <c r="C529" s="23" t="e">
        <f t="array" ref="C529">RANK($S529,IF(Combo_Species_Names=$N529,Combo_Gym_Offense),0)</f>
        <v>#VALUE!</v>
      </c>
      <c r="D529" s="24" t="e">
        <f t="array" ref="D529">$S529/MAX(IF(Combo_Species_Names=$N529,Combo_Gym_Offense))</f>
        <v>#VALUE!</v>
      </c>
      <c r="E529" s="23" t="e">
        <f t="array" ref="E529">RANK($Y529,IF(Combo_Species_Names=$N529,Combo_Gym_Defense),0)</f>
        <v>#VALUE!</v>
      </c>
      <c r="F529" s="25" t="e">
        <f t="array" ref="F529">$Y529/MAX(IF(Combo_Species_Names=$N529,Combo_Gym_Defense))</f>
        <v>#VALUE!</v>
      </c>
      <c r="G529" s="23" t="str">
        <f t="array" ref="G529">IF(OR(INDEX(Species_Availability,MATCH($N529,Species_Names,0))="No",INDEX(Species_Evo_Numbers,MATCH($N529,Species_Names,0))&lt;&gt;1),"N/A",RANK($R529,IF(NOT(ISNA(MATCH(Combo_Species_Names,IF(Species_Availability="Yes",IF(Species_Evo_Numbers=1,Species_Names)),0))),Combo_Duel_Ability),0))</f>
        <v>N/A</v>
      </c>
      <c r="H529" s="24" t="str">
        <f t="array" ref="H529">IF(OR(INDEX(Species_Availability,MATCH($N529,Species_Names,0))="No",INDEX(Species_Evo_Numbers,MATCH($N529,Species_Names,0))&lt;&gt;1),"N/A",$R529/MAX(IF(NOT(ISNA(MATCH(Combo_Species_Names,IF(Species_Availability="Yes",IF(Species_Evo_Numbers=1,Species_Names)),0))),Combo_Duel_Ability)))</f>
        <v>N/A</v>
      </c>
      <c r="I529" s="23" t="str">
        <f t="array" ref="I529">IF(OR(INDEX(Species_Availability,MATCH($N529,Species_Names,0))="No",INDEX(Species_Evo_Numbers,MATCH($N529,Species_Names,0))&lt;&gt;1),"N/A",RANK($S529,IF(NOT(ISNA(MATCH(Combo_Species_Names,IF(Species_Availability="Yes",IF(Species_Evo_Numbers=1,Species_Names)),0))),Combo_Gym_Offense),0))</f>
        <v>N/A</v>
      </c>
      <c r="J529" s="24" t="str">
        <f t="array" ref="J529">IF(OR(INDEX(Species_Availability,MATCH($N529,Species_Names,0))="No",INDEX(Species_Evo_Numbers,MATCH($N529,Species_Names,0))&lt;&gt;1),"N/A",$S529/MAX(IF(NOT(ISNA(MATCH(Combo_Species_Names,IF(Species_Availability="Yes",IF(Species_Evo_Numbers=1,Species_Names)),0))),Combo_Gym_Offense)))</f>
        <v>N/A</v>
      </c>
      <c r="K529" s="23" t="str">
        <f t="array" ref="K529">IF(OR(INDEX(Species_Availability,MATCH($N529,Species_Names,0))="No",INDEX(Species_Evo_Numbers,MATCH($N529,Species_Names,0))&lt;&gt;1),"N/A",RANK($Y529,IF(NOT(ISNA(MATCH(Combo_Species_Names,IF(Species_Availability="Yes",IF(Species_Evo_Numbers=1,Species_Names)),0))),Combo_Gym_Defense),0))</f>
        <v>N/A</v>
      </c>
      <c r="L529" s="24" t="str">
        <f t="array" ref="L529">IF(OR(INDEX(Species_Availability,MATCH($N529,Species_Names,0))="No",INDEX(Species_Evo_Numbers,MATCH($N529,Species_Names,0))&lt;&gt;1),"N/A",$Y529/MAX(IF(NOT(ISNA(MATCH(Combo_Species_Names,IF(Species_Availability="Yes",IF(Species_Evo_Numbers=1,Species_Names)),0))),Combo_Gym_Defense)))</f>
        <v>N/A</v>
      </c>
      <c r="M529" s="28">
        <f t="array" ref="M529">INDEX(Species_Pdex_Numbers,MATCH($N529,Species_Names,0))</f>
        <v>61</v>
      </c>
      <c r="N529" s="30" t="s">
        <v>212</v>
      </c>
      <c r="O529" s="31" t="s">
        <v>92</v>
      </c>
      <c r="P529" s="31" t="s">
        <v>271</v>
      </c>
      <c r="Q529" s="17" t="e">
        <f t="shared" si="16"/>
        <v>#VALUE!</v>
      </c>
      <c r="R529" s="32" t="e">
        <f t="array" ref="R529">IF(OR(AND(COUNTBLANK(Combo_Opponent_Type_1)=1,COUNTBLANK(Combo_Opponent_Type_2)=0),AND(AND(COUNTBLANK(Combo_Opponent_Type_1)=0,COUNTBLANK(Combo_Opponent_Type_2)=0),Combo_Opponent_Type_1=Combo_Opponent_Type_2)),
"Check Types",($S529*INDEX(Species_Tankiness,MATCH($N529,Species_Names,0)))/225)</f>
        <v>#VALUE!</v>
      </c>
      <c r="S529" s="32" t="e">
        <f t="array" ref="S529">IF(OR(AND(COUNTBLANK(Combo_Opponent_Type_1)=1,COUNTBLANK(Combo_Opponent_Type_2)=0),AND(AND(COUNTBLANK(Combo_Opponent_Type_1)=0,COUNTBLANK(Combo_Opponent_Type_2)=0),Combo_Opponent_Type_1=Combo_Opponent_Type_2)),
"Check Types",(
IF($W529&gt;=((1-Game_Weave_Human_Error)*$X529),$W529,$X529)*INDEX(Species_Attack,MATCH($N529,Species_Names,0)))/11)</f>
        <v>#VALUE!</v>
      </c>
      <c r="T529" s="33" t="e">
        <f t="shared" si="17"/>
        <v>#VALUE!</v>
      </c>
      <c r="U529" s="33">
        <f t="array" ref="U5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529,Quick_Names,0))),Type_Species)),0),1)*IF(COUNTBLANK(Combo_Opponent_Type_2)=0,INDEX(Type_Damage_Multipliers,MATCH(Combo_Opponent_Type_2,IF(Type_Move=(INDEX(Quick_Type,MATCH($O529,Quick_Names,0))),Type_Species)),0),1)*(IF(OR(INDEX(Quick_Type,MATCH($O529,Quick_Names,0))=INDEX(Species_Type_1,MATCH($N529,Species_Names,0)),INDEX(Quick_Type,MATCH($O529,Quick_Names,0))=INDEX(Species_Type_2,MATCH($N529,Species_Names,0))),Game_STAB_Multiplier,1)))</f>
        <v>1.25</v>
      </c>
      <c r="V529" s="33">
        <f t="array" ref="V5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529,Charge_Names,0))),Type_Species)),0),1)*IF(COUNTBLANK(Combo_Opponent_Type_2)=0,INDEX(Type_Damage_Multipliers,MATCH(Combo_Opponent_Type_2,IF(Type_Move=(INDEX(Charge_Type,MATCH($P529,Charge_Names,0))),Type_Species)),0),1)*
IF(OR(INDEX(Charge_Type,MATCH($P529,Charge_Names,0))=INDEX(Species_Type_1,MATCH($N529,Species_Names,0)),INDEX(Charge_Type,MATCH($P529,Charge_Names,0))=INDEX(Species_Type_2,MATCH($N529,Species_Names,0))),Game_STAB_Multiplier,1))</f>
        <v>1</v>
      </c>
      <c r="W529" s="33" t="s">
        <v>481</v>
      </c>
      <c r="X529" s="33" t="s">
        <v>652</v>
      </c>
      <c r="Y529" s="32" t="e">
        <f t="array" ref="Y529">((($Z529)*
INDEX(Species_Attack,MATCH($N529,Species_Names,0))*
INDEX(Species_Tankiness,MATCH($N529,Species_Names,0)))/1000)</f>
        <v>#VALUE!</v>
      </c>
      <c r="Z529" s="33" t="s">
        <v>977</v>
      </c>
    </row>
    <row r="530" spans="1:26" ht="14.25" customHeight="1" x14ac:dyDescent="0.2">
      <c r="A530" s="86"/>
      <c r="B530" s="22" t="str">
        <f t="array" ref="B530">CONCATENATE(TEXT($M530,"000"),".",TEXT(INDEX(Quick_Number,MATCH($O530,Quick_Names,0)),"000"),".",TEXT(INDEX(Charge_Number,MATCH($P530,Charge_Names,0)),"000"))</f>
        <v>093.212.090</v>
      </c>
      <c r="C530" s="23" t="e">
        <f t="array" ref="C530">RANK($S530,IF(Combo_Species_Names=$N530,Combo_Gym_Offense),0)</f>
        <v>#VALUE!</v>
      </c>
      <c r="D530" s="24" t="e">
        <f t="array" ref="D530">$S530/MAX(IF(Combo_Species_Names=$N530,Combo_Gym_Offense))</f>
        <v>#VALUE!</v>
      </c>
      <c r="E530" s="23" t="e">
        <f t="array" ref="E530">RANK($Y530,IF(Combo_Species_Names=$N530,Combo_Gym_Defense),0)</f>
        <v>#VALUE!</v>
      </c>
      <c r="F530" s="25" t="e">
        <f t="array" ref="F530">$Y530/MAX(IF(Combo_Species_Names=$N530,Combo_Gym_Defense))</f>
        <v>#VALUE!</v>
      </c>
      <c r="G530" s="23" t="str">
        <f t="array" ref="G530">IF(OR(INDEX(Species_Availability,MATCH($N530,Species_Names,0))="No",INDEX(Species_Evo_Numbers,MATCH($N530,Species_Names,0))&lt;&gt;1),"N/A",RANK($R530,IF(NOT(ISNA(MATCH(Combo_Species_Names,IF(Species_Availability="Yes",IF(Species_Evo_Numbers=1,Species_Names)),0))),Combo_Duel_Ability),0))</f>
        <v>N/A</v>
      </c>
      <c r="H530" s="24" t="str">
        <f t="array" ref="H530">IF(OR(INDEX(Species_Availability,MATCH($N530,Species_Names,0))="No",INDEX(Species_Evo_Numbers,MATCH($N530,Species_Names,0))&lt;&gt;1),"N/A",$R530/MAX(IF(NOT(ISNA(MATCH(Combo_Species_Names,IF(Species_Availability="Yes",IF(Species_Evo_Numbers=1,Species_Names)),0))),Combo_Duel_Ability)))</f>
        <v>N/A</v>
      </c>
      <c r="I530" s="23" t="str">
        <f t="array" ref="I530">IF(OR(INDEX(Species_Availability,MATCH($N530,Species_Names,0))="No",INDEX(Species_Evo_Numbers,MATCH($N530,Species_Names,0))&lt;&gt;1),"N/A",RANK($S530,IF(NOT(ISNA(MATCH(Combo_Species_Names,IF(Species_Availability="Yes",IF(Species_Evo_Numbers=1,Species_Names)),0))),Combo_Gym_Offense),0))</f>
        <v>N/A</v>
      </c>
      <c r="J530" s="24" t="str">
        <f t="array" ref="J530">IF(OR(INDEX(Species_Availability,MATCH($N530,Species_Names,0))="No",INDEX(Species_Evo_Numbers,MATCH($N530,Species_Names,0))&lt;&gt;1),"N/A",$S530/MAX(IF(NOT(ISNA(MATCH(Combo_Species_Names,IF(Species_Availability="Yes",IF(Species_Evo_Numbers=1,Species_Names)),0))),Combo_Gym_Offense)))</f>
        <v>N/A</v>
      </c>
      <c r="K530" s="23" t="str">
        <f t="array" ref="K530">IF(OR(INDEX(Species_Availability,MATCH($N530,Species_Names,0))="No",INDEX(Species_Evo_Numbers,MATCH($N530,Species_Names,0))&lt;&gt;1),"N/A",RANK($Y530,IF(NOT(ISNA(MATCH(Combo_Species_Names,IF(Species_Availability="Yes",IF(Species_Evo_Numbers=1,Species_Names)),0))),Combo_Gym_Defense),0))</f>
        <v>N/A</v>
      </c>
      <c r="L530" s="24" t="str">
        <f t="array" ref="L530">IF(OR(INDEX(Species_Availability,MATCH($N530,Species_Names,0))="No",INDEX(Species_Evo_Numbers,MATCH($N530,Species_Names,0))&lt;&gt;1),"N/A",$Y530/MAX(IF(NOT(ISNA(MATCH(Combo_Species_Names,IF(Species_Availability="Yes",IF(Species_Evo_Numbers=1,Species_Names)),0))),Combo_Gym_Defense)))</f>
        <v>N/A</v>
      </c>
      <c r="M530" s="28">
        <f t="array" ref="M530">INDEX(Species_Pdex_Numbers,MATCH($N530,Species_Names,0))</f>
        <v>93</v>
      </c>
      <c r="N530" s="30" t="s">
        <v>282</v>
      </c>
      <c r="O530" s="31" t="s">
        <v>105</v>
      </c>
      <c r="P530" s="31" t="s">
        <v>180</v>
      </c>
      <c r="Q530" s="17" t="e">
        <f t="shared" si="16"/>
        <v>#VALUE!</v>
      </c>
      <c r="R530" s="32" t="e">
        <f t="array" ref="R530">IF(OR(AND(COUNTBLANK(Combo_Opponent_Type_1)=1,COUNTBLANK(Combo_Opponent_Type_2)=0),AND(AND(COUNTBLANK(Combo_Opponent_Type_1)=0,COUNTBLANK(Combo_Opponent_Type_2)=0),Combo_Opponent_Type_1=Combo_Opponent_Type_2)),
"Check Types",($S530*INDEX(Species_Tankiness,MATCH($N530,Species_Names,0)))/225)</f>
        <v>#VALUE!</v>
      </c>
      <c r="S530" s="32" t="e">
        <f t="array" ref="S530">IF(OR(AND(COUNTBLANK(Combo_Opponent_Type_1)=1,COUNTBLANK(Combo_Opponent_Type_2)=0),AND(AND(COUNTBLANK(Combo_Opponent_Type_1)=0,COUNTBLANK(Combo_Opponent_Type_2)=0),Combo_Opponent_Type_1=Combo_Opponent_Type_2)),
"Check Types",(
IF($W530&gt;=((1-Game_Weave_Human_Error)*$X530),$W530,$X530)*INDEX(Species_Attack,MATCH($N530,Species_Names,0)))/11)</f>
        <v>#VALUE!</v>
      </c>
      <c r="T530" s="33" t="e">
        <f t="shared" si="17"/>
        <v>#VALUE!</v>
      </c>
      <c r="U530" s="33">
        <f t="array" ref="U5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530,Quick_Names,0))),Type_Species)),0),1)*IF(COUNTBLANK(Combo_Opponent_Type_2)=0,INDEX(Type_Damage_Multipliers,MATCH(Combo_Opponent_Type_2,IF(Type_Move=(INDEX(Quick_Type,MATCH($O530,Quick_Names,0))),Type_Species)),0),1)*(IF(OR(INDEX(Quick_Type,MATCH($O530,Quick_Names,0))=INDEX(Species_Type_1,MATCH($N530,Species_Names,0)),INDEX(Quick_Type,MATCH($O530,Quick_Names,0))=INDEX(Species_Type_2,MATCH($N530,Species_Names,0))),Game_STAB_Multiplier,1)))</f>
        <v>1.25</v>
      </c>
      <c r="V530" s="33">
        <f t="array" ref="V5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530,Charge_Names,0))),Type_Species)),0),1)*IF(COUNTBLANK(Combo_Opponent_Type_2)=0,INDEX(Type_Damage_Multipliers,MATCH(Combo_Opponent_Type_2,IF(Type_Move=(INDEX(Charge_Type,MATCH($P530,Charge_Names,0))),Type_Species)),0),1)*
IF(OR(INDEX(Charge_Type,MATCH($P530,Charge_Names,0))=INDEX(Species_Type_1,MATCH($N530,Species_Names,0)),INDEX(Charge_Type,MATCH($P530,Charge_Names,0))=INDEX(Species_Type_2,MATCH($N530,Species_Names,0))),Game_STAB_Multiplier,1))</f>
        <v>1.25</v>
      </c>
      <c r="W530" s="33" t="s">
        <v>622</v>
      </c>
      <c r="X530" s="33" t="s">
        <v>978</v>
      </c>
      <c r="Y530" s="32" t="e">
        <f t="array" ref="Y530">((($Z530)*
INDEX(Species_Attack,MATCH($N530,Species_Names,0))*
INDEX(Species_Tankiness,MATCH($N530,Species_Names,0)))/1000)</f>
        <v>#VALUE!</v>
      </c>
      <c r="Z530" s="33" t="s">
        <v>979</v>
      </c>
    </row>
    <row r="531" spans="1:26" ht="14.25" customHeight="1" x14ac:dyDescent="0.2">
      <c r="A531" s="86"/>
      <c r="B531" s="22" t="str">
        <f t="array" ref="B531">CONCATENATE(TEXT($M531,"000"),".",TEXT(INDEX(Quick_Number,MATCH($O531,Quick_Names,0)),"000"),".",TEXT(INDEX(Charge_Number,MATCH($P531,Charge_Names,0)),"000"))</f>
        <v>035.222.131</v>
      </c>
      <c r="C531" s="23" t="e">
        <f t="array" ref="C531">RANK($S531,IF(Combo_Species_Names=$N531,Combo_Gym_Offense),0)</f>
        <v>#VALUE!</v>
      </c>
      <c r="D531" s="24" t="e">
        <f t="array" ref="D531">$S531/MAX(IF(Combo_Species_Names=$N531,Combo_Gym_Offense))</f>
        <v>#VALUE!</v>
      </c>
      <c r="E531" s="23" t="e">
        <f t="array" ref="E531">RANK($Y531,IF(Combo_Species_Names=$N531,Combo_Gym_Defense),0)</f>
        <v>#VALUE!</v>
      </c>
      <c r="F531" s="25" t="e">
        <f t="array" ref="F531">$Y531/MAX(IF(Combo_Species_Names=$N531,Combo_Gym_Defense))</f>
        <v>#VALUE!</v>
      </c>
      <c r="G531" s="23" t="str">
        <f t="array" ref="G531">IF(OR(INDEX(Species_Availability,MATCH($N531,Species_Names,0))="No",INDEX(Species_Evo_Numbers,MATCH($N531,Species_Names,0))&lt;&gt;1),"N/A",RANK($R531,IF(NOT(ISNA(MATCH(Combo_Species_Names,IF(Species_Availability="Yes",IF(Species_Evo_Numbers=1,Species_Names)),0))),Combo_Duel_Ability),0))</f>
        <v>N/A</v>
      </c>
      <c r="H531" s="24" t="str">
        <f t="array" ref="H531">IF(OR(INDEX(Species_Availability,MATCH($N531,Species_Names,0))="No",INDEX(Species_Evo_Numbers,MATCH($N531,Species_Names,0))&lt;&gt;1),"N/A",$R531/MAX(IF(NOT(ISNA(MATCH(Combo_Species_Names,IF(Species_Availability="Yes",IF(Species_Evo_Numbers=1,Species_Names)),0))),Combo_Duel_Ability)))</f>
        <v>N/A</v>
      </c>
      <c r="I531" s="23" t="str">
        <f t="array" ref="I531">IF(OR(INDEX(Species_Availability,MATCH($N531,Species_Names,0))="No",INDEX(Species_Evo_Numbers,MATCH($N531,Species_Names,0))&lt;&gt;1),"N/A",RANK($S531,IF(NOT(ISNA(MATCH(Combo_Species_Names,IF(Species_Availability="Yes",IF(Species_Evo_Numbers=1,Species_Names)),0))),Combo_Gym_Offense),0))</f>
        <v>N/A</v>
      </c>
      <c r="J531" s="24" t="str">
        <f t="array" ref="J531">IF(OR(INDEX(Species_Availability,MATCH($N531,Species_Names,0))="No",INDEX(Species_Evo_Numbers,MATCH($N531,Species_Names,0))&lt;&gt;1),"N/A",$S531/MAX(IF(NOT(ISNA(MATCH(Combo_Species_Names,IF(Species_Availability="Yes",IF(Species_Evo_Numbers=1,Species_Names)),0))),Combo_Gym_Offense)))</f>
        <v>N/A</v>
      </c>
      <c r="K531" s="23" t="str">
        <f t="array" ref="K531">IF(OR(INDEX(Species_Availability,MATCH($N531,Species_Names,0))="No",INDEX(Species_Evo_Numbers,MATCH($N531,Species_Names,0))&lt;&gt;1),"N/A",RANK($Y531,IF(NOT(ISNA(MATCH(Combo_Species_Names,IF(Species_Availability="Yes",IF(Species_Evo_Numbers=1,Species_Names)),0))),Combo_Gym_Defense),0))</f>
        <v>N/A</v>
      </c>
      <c r="L531" s="24" t="str">
        <f t="array" ref="L531">IF(OR(INDEX(Species_Availability,MATCH($N531,Species_Names,0))="No",INDEX(Species_Evo_Numbers,MATCH($N531,Species_Names,0))&lt;&gt;1),"N/A",$Y531/MAX(IF(NOT(ISNA(MATCH(Combo_Species_Names,IF(Species_Availability="Yes",IF(Species_Evo_Numbers=1,Species_Names)),0))),Combo_Gym_Defense)))</f>
        <v>N/A</v>
      </c>
      <c r="M531" s="28">
        <f t="array" ref="M531">INDEX(Species_Pdex_Numbers,MATCH($N531,Species_Names,0))</f>
        <v>35</v>
      </c>
      <c r="N531" s="30" t="s">
        <v>161</v>
      </c>
      <c r="O531" s="31" t="s">
        <v>32</v>
      </c>
      <c r="P531" s="31" t="s">
        <v>151</v>
      </c>
      <c r="Q531" s="17" t="e">
        <f t="shared" si="16"/>
        <v>#VALUE!</v>
      </c>
      <c r="R531" s="32" t="e">
        <f t="array" ref="R531">IF(OR(AND(COUNTBLANK(Combo_Opponent_Type_1)=1,COUNTBLANK(Combo_Opponent_Type_2)=0),AND(AND(COUNTBLANK(Combo_Opponent_Type_1)=0,COUNTBLANK(Combo_Opponent_Type_2)=0),Combo_Opponent_Type_1=Combo_Opponent_Type_2)),
"Check Types",($S531*INDEX(Species_Tankiness,MATCH($N531,Species_Names,0)))/225)</f>
        <v>#VALUE!</v>
      </c>
      <c r="S531" s="32" t="e">
        <f t="array" ref="S531">IF(OR(AND(COUNTBLANK(Combo_Opponent_Type_1)=1,COUNTBLANK(Combo_Opponent_Type_2)=0),AND(AND(COUNTBLANK(Combo_Opponent_Type_1)=0,COUNTBLANK(Combo_Opponent_Type_2)=0),Combo_Opponent_Type_1=Combo_Opponent_Type_2)),
"Check Types",(
IF($W531&gt;=((1-Game_Weave_Human_Error)*$X531),$W531,$X531)*INDEX(Species_Attack,MATCH($N531,Species_Names,0)))/11)</f>
        <v>#VALUE!</v>
      </c>
      <c r="T531" s="33" t="e">
        <f t="shared" si="17"/>
        <v>#VALUE!</v>
      </c>
      <c r="U531" s="33">
        <f t="array" ref="U5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531,Quick_Names,0))),Type_Species)),0),1)*IF(COUNTBLANK(Combo_Opponent_Type_2)=0,INDEX(Type_Damage_Multipliers,MATCH(Combo_Opponent_Type_2,IF(Type_Move=(INDEX(Quick_Type,MATCH($O531,Quick_Names,0))),Type_Species)),0),1)*(IF(OR(INDEX(Quick_Type,MATCH($O531,Quick_Names,0))=INDEX(Species_Type_1,MATCH($N531,Species_Names,0)),INDEX(Quick_Type,MATCH($O531,Quick_Names,0))=INDEX(Species_Type_2,MATCH($N531,Species_Names,0))),Game_STAB_Multiplier,1)))</f>
        <v>1</v>
      </c>
      <c r="V531" s="33">
        <f t="array" ref="V5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531,Charge_Names,0))),Type_Species)),0),1)*IF(COUNTBLANK(Combo_Opponent_Type_2)=0,INDEX(Type_Damage_Multipliers,MATCH(Combo_Opponent_Type_2,IF(Type_Move=(INDEX(Charge_Type,MATCH($P531,Charge_Names,0))),Type_Species)),0),1)*
IF(OR(INDEX(Charge_Type,MATCH($P531,Charge_Names,0))=INDEX(Species_Type_1,MATCH($N531,Species_Names,0)),INDEX(Charge_Type,MATCH($P531,Charge_Names,0))=INDEX(Species_Type_2,MATCH($N531,Species_Names,0))),Game_STAB_Multiplier,1))</f>
        <v>1</v>
      </c>
      <c r="W531" s="33" t="s">
        <v>536</v>
      </c>
      <c r="X531" s="33" t="s">
        <v>980</v>
      </c>
      <c r="Y531" s="32" t="e">
        <f t="array" ref="Y531">((($Z531)*
INDEX(Species_Attack,MATCH($N531,Species_Names,0))*
INDEX(Species_Tankiness,MATCH($N531,Species_Names,0)))/1000)</f>
        <v>#VALUE!</v>
      </c>
      <c r="Z531" s="33" t="s">
        <v>981</v>
      </c>
    </row>
    <row r="532" spans="1:26" ht="14.25" customHeight="1" x14ac:dyDescent="0.2">
      <c r="A532" s="86"/>
      <c r="B532" s="22" t="str">
        <f t="array" ref="B532">CONCATENATE(TEXT($M532,"000"),".",TEXT(INDEX(Quick_Number,MATCH($O532,Quick_Names,0)),"000"),".",TEXT(INDEX(Charge_Number,MATCH($P532,Charge_Names,0)),"000"))</f>
        <v>030.202.026</v>
      </c>
      <c r="C532" s="23" t="e">
        <f t="array" ref="C532">RANK($S532,IF(Combo_Species_Names=$N532,Combo_Gym_Offense),0)</f>
        <v>#VALUE!</v>
      </c>
      <c r="D532" s="24" t="e">
        <f t="array" ref="D532">$S532/MAX(IF(Combo_Species_Names=$N532,Combo_Gym_Offense))</f>
        <v>#VALUE!</v>
      </c>
      <c r="E532" s="23" t="e">
        <f t="array" ref="E532">RANK($Y532,IF(Combo_Species_Names=$N532,Combo_Gym_Defense),0)</f>
        <v>#VALUE!</v>
      </c>
      <c r="F532" s="25" t="e">
        <f t="array" ref="F532">$Y532/MAX(IF(Combo_Species_Names=$N532,Combo_Gym_Defense))</f>
        <v>#VALUE!</v>
      </c>
      <c r="G532" s="23" t="str">
        <f t="array" ref="G532">IF(OR(INDEX(Species_Availability,MATCH($N532,Species_Names,0))="No",INDEX(Species_Evo_Numbers,MATCH($N532,Species_Names,0))&lt;&gt;1),"N/A",RANK($R532,IF(NOT(ISNA(MATCH(Combo_Species_Names,IF(Species_Availability="Yes",IF(Species_Evo_Numbers=1,Species_Names)),0))),Combo_Duel_Ability),0))</f>
        <v>N/A</v>
      </c>
      <c r="H532" s="24" t="str">
        <f t="array" ref="H532">IF(OR(INDEX(Species_Availability,MATCH($N532,Species_Names,0))="No",INDEX(Species_Evo_Numbers,MATCH($N532,Species_Names,0))&lt;&gt;1),"N/A",$R532/MAX(IF(NOT(ISNA(MATCH(Combo_Species_Names,IF(Species_Availability="Yes",IF(Species_Evo_Numbers=1,Species_Names)),0))),Combo_Duel_Ability)))</f>
        <v>N/A</v>
      </c>
      <c r="I532" s="23" t="str">
        <f t="array" ref="I532">IF(OR(INDEX(Species_Availability,MATCH($N532,Species_Names,0))="No",INDEX(Species_Evo_Numbers,MATCH($N532,Species_Names,0))&lt;&gt;1),"N/A",RANK($S532,IF(NOT(ISNA(MATCH(Combo_Species_Names,IF(Species_Availability="Yes",IF(Species_Evo_Numbers=1,Species_Names)),0))),Combo_Gym_Offense),0))</f>
        <v>N/A</v>
      </c>
      <c r="J532" s="24" t="str">
        <f t="array" ref="J532">IF(OR(INDEX(Species_Availability,MATCH($N532,Species_Names,0))="No",INDEX(Species_Evo_Numbers,MATCH($N532,Species_Names,0))&lt;&gt;1),"N/A",$S532/MAX(IF(NOT(ISNA(MATCH(Combo_Species_Names,IF(Species_Availability="Yes",IF(Species_Evo_Numbers=1,Species_Names)),0))),Combo_Gym_Offense)))</f>
        <v>N/A</v>
      </c>
      <c r="K532" s="23" t="str">
        <f t="array" ref="K532">IF(OR(INDEX(Species_Availability,MATCH($N532,Species_Names,0))="No",INDEX(Species_Evo_Numbers,MATCH($N532,Species_Names,0))&lt;&gt;1),"N/A",RANK($Y532,IF(NOT(ISNA(MATCH(Combo_Species_Names,IF(Species_Availability="Yes",IF(Species_Evo_Numbers=1,Species_Names)),0))),Combo_Gym_Defense),0))</f>
        <v>N/A</v>
      </c>
      <c r="L532" s="24" t="str">
        <f t="array" ref="L532">IF(OR(INDEX(Species_Availability,MATCH($N532,Species_Names,0))="No",INDEX(Species_Evo_Numbers,MATCH($N532,Species_Names,0))&lt;&gt;1),"N/A",$Y532/MAX(IF(NOT(ISNA(MATCH(Combo_Species_Names,IF(Species_Availability="Yes",IF(Species_Evo_Numbers=1,Species_Names)),0))),Combo_Gym_Defense)))</f>
        <v>N/A</v>
      </c>
      <c r="M532" s="28">
        <f t="array" ref="M532">INDEX(Species_Pdex_Numbers,MATCH($N532,Species_Names,0))</f>
        <v>30</v>
      </c>
      <c r="N532" s="30" t="s">
        <v>150</v>
      </c>
      <c r="O532" s="31" t="s">
        <v>59</v>
      </c>
      <c r="P532" s="31" t="s">
        <v>264</v>
      </c>
      <c r="Q532" s="17" t="e">
        <f t="shared" si="16"/>
        <v>#VALUE!</v>
      </c>
      <c r="R532" s="32" t="e">
        <f t="array" ref="R532">IF(OR(AND(COUNTBLANK(Combo_Opponent_Type_1)=1,COUNTBLANK(Combo_Opponent_Type_2)=0),AND(AND(COUNTBLANK(Combo_Opponent_Type_1)=0,COUNTBLANK(Combo_Opponent_Type_2)=0),Combo_Opponent_Type_1=Combo_Opponent_Type_2)),
"Check Types",($S532*INDEX(Species_Tankiness,MATCH($N532,Species_Names,0)))/225)</f>
        <v>#VALUE!</v>
      </c>
      <c r="S532" s="32" t="e">
        <f t="array" ref="S532">IF(OR(AND(COUNTBLANK(Combo_Opponent_Type_1)=1,COUNTBLANK(Combo_Opponent_Type_2)=0),AND(AND(COUNTBLANK(Combo_Opponent_Type_1)=0,COUNTBLANK(Combo_Opponent_Type_2)=0),Combo_Opponent_Type_1=Combo_Opponent_Type_2)),
"Check Types",(
IF($W532&gt;=((1-Game_Weave_Human_Error)*$X532),$W532,$X532)*INDEX(Species_Attack,MATCH($N532,Species_Names,0)))/11)</f>
        <v>#VALUE!</v>
      </c>
      <c r="T532" s="33" t="e">
        <f t="shared" si="17"/>
        <v>#VALUE!</v>
      </c>
      <c r="U532" s="33">
        <f t="array" ref="U5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532,Quick_Names,0))),Type_Species)),0),1)*IF(COUNTBLANK(Combo_Opponent_Type_2)=0,INDEX(Type_Damage_Multipliers,MATCH(Combo_Opponent_Type_2,IF(Type_Move=(INDEX(Quick_Type,MATCH($O532,Quick_Names,0))),Type_Species)),0),1)*(IF(OR(INDEX(Quick_Type,MATCH($O532,Quick_Names,0))=INDEX(Species_Type_1,MATCH($N532,Species_Names,0)),INDEX(Quick_Type,MATCH($O532,Quick_Names,0))=INDEX(Species_Type_2,MATCH($N532,Species_Names,0))),Game_STAB_Multiplier,1)))</f>
        <v>1</v>
      </c>
      <c r="V532" s="33">
        <f t="array" ref="V5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532,Charge_Names,0))),Type_Species)),0),1)*IF(COUNTBLANK(Combo_Opponent_Type_2)=0,INDEX(Type_Damage_Multipliers,MATCH(Combo_Opponent_Type_2,IF(Type_Move=(INDEX(Charge_Type,MATCH($P532,Charge_Names,0))),Type_Species)),0),1)*
IF(OR(INDEX(Charge_Type,MATCH($P532,Charge_Names,0))=INDEX(Species_Type_1,MATCH($N532,Species_Names,0)),INDEX(Charge_Type,MATCH($P532,Charge_Names,0))=INDEX(Species_Type_2,MATCH($N532,Species_Names,0))),Game_STAB_Multiplier,1))</f>
        <v>1</v>
      </c>
      <c r="W532" s="33" t="s">
        <v>453</v>
      </c>
      <c r="X532" s="33" t="s">
        <v>915</v>
      </c>
      <c r="Y532" s="32" t="e">
        <f t="array" ref="Y532">((($Z532)*
INDEX(Species_Attack,MATCH($N532,Species_Names,0))*
INDEX(Species_Tankiness,MATCH($N532,Species_Names,0)))/1000)</f>
        <v>#VALUE!</v>
      </c>
      <c r="Z532" s="33" t="s">
        <v>916</v>
      </c>
    </row>
    <row r="533" spans="1:26" ht="14.25" customHeight="1" x14ac:dyDescent="0.2">
      <c r="A533" s="86"/>
      <c r="B533" s="22" t="str">
        <f t="array" ref="B533">CONCATENATE(TEXT($M533,"000"),".",TEXT(INDEX(Quick_Number,MATCH($O533,Quick_Names,0)),"000"),".",TEXT(INDEX(Charge_Number,MATCH($P533,Charge_Names,0)),"000"))</f>
        <v>030.202.050</v>
      </c>
      <c r="C533" s="23" t="e">
        <f t="array" ref="C533">RANK($S533,IF(Combo_Species_Names=$N533,Combo_Gym_Offense),0)</f>
        <v>#VALUE!</v>
      </c>
      <c r="D533" s="24" t="e">
        <f t="array" ref="D533">$S533/MAX(IF(Combo_Species_Names=$N533,Combo_Gym_Offense))</f>
        <v>#VALUE!</v>
      </c>
      <c r="E533" s="23" t="e">
        <f t="array" ref="E533">RANK($Y533,IF(Combo_Species_Names=$N533,Combo_Gym_Defense),0)</f>
        <v>#VALUE!</v>
      </c>
      <c r="F533" s="25" t="e">
        <f t="array" ref="F533">$Y533/MAX(IF(Combo_Species_Names=$N533,Combo_Gym_Defense))</f>
        <v>#VALUE!</v>
      </c>
      <c r="G533" s="23" t="str">
        <f t="array" ref="G533">IF(OR(INDEX(Species_Availability,MATCH($N533,Species_Names,0))="No",INDEX(Species_Evo_Numbers,MATCH($N533,Species_Names,0))&lt;&gt;1),"N/A",RANK($R533,IF(NOT(ISNA(MATCH(Combo_Species_Names,IF(Species_Availability="Yes",IF(Species_Evo_Numbers=1,Species_Names)),0))),Combo_Duel_Ability),0))</f>
        <v>N/A</v>
      </c>
      <c r="H533" s="24" t="str">
        <f t="array" ref="H533">IF(OR(INDEX(Species_Availability,MATCH($N533,Species_Names,0))="No",INDEX(Species_Evo_Numbers,MATCH($N533,Species_Names,0))&lt;&gt;1),"N/A",$R533/MAX(IF(NOT(ISNA(MATCH(Combo_Species_Names,IF(Species_Availability="Yes",IF(Species_Evo_Numbers=1,Species_Names)),0))),Combo_Duel_Ability)))</f>
        <v>N/A</v>
      </c>
      <c r="I533" s="23" t="str">
        <f t="array" ref="I533">IF(OR(INDEX(Species_Availability,MATCH($N533,Species_Names,0))="No",INDEX(Species_Evo_Numbers,MATCH($N533,Species_Names,0))&lt;&gt;1),"N/A",RANK($S533,IF(NOT(ISNA(MATCH(Combo_Species_Names,IF(Species_Availability="Yes",IF(Species_Evo_Numbers=1,Species_Names)),0))),Combo_Gym_Offense),0))</f>
        <v>N/A</v>
      </c>
      <c r="J533" s="24" t="str">
        <f t="array" ref="J533">IF(OR(INDEX(Species_Availability,MATCH($N533,Species_Names,0))="No",INDEX(Species_Evo_Numbers,MATCH($N533,Species_Names,0))&lt;&gt;1),"N/A",$S533/MAX(IF(NOT(ISNA(MATCH(Combo_Species_Names,IF(Species_Availability="Yes",IF(Species_Evo_Numbers=1,Species_Names)),0))),Combo_Gym_Offense)))</f>
        <v>N/A</v>
      </c>
      <c r="K533" s="23" t="str">
        <f t="array" ref="K533">IF(OR(INDEX(Species_Availability,MATCH($N533,Species_Names,0))="No",INDEX(Species_Evo_Numbers,MATCH($N533,Species_Names,0))&lt;&gt;1),"N/A",RANK($Y533,IF(NOT(ISNA(MATCH(Combo_Species_Names,IF(Species_Availability="Yes",IF(Species_Evo_Numbers=1,Species_Names)),0))),Combo_Gym_Defense),0))</f>
        <v>N/A</v>
      </c>
      <c r="L533" s="24" t="str">
        <f t="array" ref="L533">IF(OR(INDEX(Species_Availability,MATCH($N533,Species_Names,0))="No",INDEX(Species_Evo_Numbers,MATCH($N533,Species_Names,0))&lt;&gt;1),"N/A",$Y533/MAX(IF(NOT(ISNA(MATCH(Combo_Species_Names,IF(Species_Availability="Yes",IF(Species_Evo_Numbers=1,Species_Names)),0))),Combo_Gym_Defense)))</f>
        <v>N/A</v>
      </c>
      <c r="M533" s="28">
        <f t="array" ref="M533">INDEX(Species_Pdex_Numbers,MATCH($N533,Species_Names,0))</f>
        <v>30</v>
      </c>
      <c r="N533" s="30" t="s">
        <v>150</v>
      </c>
      <c r="O533" s="31" t="s">
        <v>59</v>
      </c>
      <c r="P533" s="31" t="s">
        <v>285</v>
      </c>
      <c r="Q533" s="17" t="e">
        <f t="shared" si="16"/>
        <v>#VALUE!</v>
      </c>
      <c r="R533" s="32" t="e">
        <f t="array" ref="R533">IF(OR(AND(COUNTBLANK(Combo_Opponent_Type_1)=1,COUNTBLANK(Combo_Opponent_Type_2)=0),AND(AND(COUNTBLANK(Combo_Opponent_Type_1)=0,COUNTBLANK(Combo_Opponent_Type_2)=0),Combo_Opponent_Type_1=Combo_Opponent_Type_2)),
"Check Types",($S533*INDEX(Species_Tankiness,MATCH($N533,Species_Names,0)))/225)</f>
        <v>#VALUE!</v>
      </c>
      <c r="S533" s="32" t="e">
        <f t="array" ref="S533">IF(OR(AND(COUNTBLANK(Combo_Opponent_Type_1)=1,COUNTBLANK(Combo_Opponent_Type_2)=0),AND(AND(COUNTBLANK(Combo_Opponent_Type_1)=0,COUNTBLANK(Combo_Opponent_Type_2)=0),Combo_Opponent_Type_1=Combo_Opponent_Type_2)),
"Check Types",(
IF($W533&gt;=((1-Game_Weave_Human_Error)*$X533),$W533,$X533)*INDEX(Species_Attack,MATCH($N533,Species_Names,0)))/11)</f>
        <v>#VALUE!</v>
      </c>
      <c r="T533" s="33" t="e">
        <f t="shared" si="17"/>
        <v>#VALUE!</v>
      </c>
      <c r="U533" s="33">
        <f t="array" ref="U5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533,Quick_Names,0))),Type_Species)),0),1)*IF(COUNTBLANK(Combo_Opponent_Type_2)=0,INDEX(Type_Damage_Multipliers,MATCH(Combo_Opponent_Type_2,IF(Type_Move=(INDEX(Quick_Type,MATCH($O533,Quick_Names,0))),Type_Species)),0),1)*(IF(OR(INDEX(Quick_Type,MATCH($O533,Quick_Names,0))=INDEX(Species_Type_1,MATCH($N533,Species_Names,0)),INDEX(Quick_Type,MATCH($O533,Quick_Names,0))=INDEX(Species_Type_2,MATCH($N533,Species_Names,0))),Game_STAB_Multiplier,1)))</f>
        <v>1</v>
      </c>
      <c r="V533" s="33">
        <f t="array" ref="V5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533,Charge_Names,0))),Type_Species)),0),1)*IF(COUNTBLANK(Combo_Opponent_Type_2)=0,INDEX(Type_Damage_Multipliers,MATCH(Combo_Opponent_Type_2,IF(Type_Move=(INDEX(Charge_Type,MATCH($P533,Charge_Names,0))),Type_Species)),0),1)*
IF(OR(INDEX(Charge_Type,MATCH($P533,Charge_Names,0))=INDEX(Species_Type_1,MATCH($N533,Species_Names,0)),INDEX(Charge_Type,MATCH($P533,Charge_Names,0))=INDEX(Species_Type_2,MATCH($N533,Species_Names,0))),Game_STAB_Multiplier,1))</f>
        <v>1.25</v>
      </c>
      <c r="W533" s="33" t="s">
        <v>453</v>
      </c>
      <c r="X533" s="33" t="s">
        <v>796</v>
      </c>
      <c r="Y533" s="32" t="e">
        <f t="array" ref="Y533">((($Z533)*
INDEX(Species_Attack,MATCH($N533,Species_Names,0))*
INDEX(Species_Tankiness,MATCH($N533,Species_Names,0)))/1000)</f>
        <v>#VALUE!</v>
      </c>
      <c r="Z533" s="33" t="s">
        <v>755</v>
      </c>
    </row>
    <row r="534" spans="1:26" ht="14.25" customHeight="1" x14ac:dyDescent="0.2">
      <c r="A534" s="86"/>
      <c r="B534" s="22" t="str">
        <f t="array" ref="B534">CONCATENATE(TEXT($M534,"000"),".",TEXT(INDEX(Quick_Number,MATCH($O534,Quick_Names,0)),"000"),".",TEXT(INDEX(Charge_Number,MATCH($P534,Charge_Names,0)),"000"))</f>
        <v>058.202.024</v>
      </c>
      <c r="C534" s="23" t="e">
        <f t="array" ref="C534">RANK($S534,IF(Combo_Species_Names=$N534,Combo_Gym_Offense),0)</f>
        <v>#VALUE!</v>
      </c>
      <c r="D534" s="24" t="e">
        <f t="array" ref="D534">$S534/MAX(IF(Combo_Species_Names=$N534,Combo_Gym_Offense))</f>
        <v>#VALUE!</v>
      </c>
      <c r="E534" s="23" t="e">
        <f t="array" ref="E534">RANK($Y534,IF(Combo_Species_Names=$N534,Combo_Gym_Defense),0)</f>
        <v>#VALUE!</v>
      </c>
      <c r="F534" s="25" t="e">
        <f t="array" ref="F534">$Y534/MAX(IF(Combo_Species_Names=$N534,Combo_Gym_Defense))</f>
        <v>#VALUE!</v>
      </c>
      <c r="G534" s="23" t="str">
        <f t="array" ref="G534">IF(OR(INDEX(Species_Availability,MATCH($N534,Species_Names,0))="No",INDEX(Species_Evo_Numbers,MATCH($N534,Species_Names,0))&lt;&gt;1),"N/A",RANK($R534,IF(NOT(ISNA(MATCH(Combo_Species_Names,IF(Species_Availability="Yes",IF(Species_Evo_Numbers=1,Species_Names)),0))),Combo_Duel_Ability),0))</f>
        <v>N/A</v>
      </c>
      <c r="H534" s="24" t="str">
        <f t="array" ref="H534">IF(OR(INDEX(Species_Availability,MATCH($N534,Species_Names,0))="No",INDEX(Species_Evo_Numbers,MATCH($N534,Species_Names,0))&lt;&gt;1),"N/A",$R534/MAX(IF(NOT(ISNA(MATCH(Combo_Species_Names,IF(Species_Availability="Yes",IF(Species_Evo_Numbers=1,Species_Names)),0))),Combo_Duel_Ability)))</f>
        <v>N/A</v>
      </c>
      <c r="I534" s="23" t="str">
        <f t="array" ref="I534">IF(OR(INDEX(Species_Availability,MATCH($N534,Species_Names,0))="No",INDEX(Species_Evo_Numbers,MATCH($N534,Species_Names,0))&lt;&gt;1),"N/A",RANK($S534,IF(NOT(ISNA(MATCH(Combo_Species_Names,IF(Species_Availability="Yes",IF(Species_Evo_Numbers=1,Species_Names)),0))),Combo_Gym_Offense),0))</f>
        <v>N/A</v>
      </c>
      <c r="J534" s="24" t="str">
        <f t="array" ref="J534">IF(OR(INDEX(Species_Availability,MATCH($N534,Species_Names,0))="No",INDEX(Species_Evo_Numbers,MATCH($N534,Species_Names,0))&lt;&gt;1),"N/A",$S534/MAX(IF(NOT(ISNA(MATCH(Combo_Species_Names,IF(Species_Availability="Yes",IF(Species_Evo_Numbers=1,Species_Names)),0))),Combo_Gym_Offense)))</f>
        <v>N/A</v>
      </c>
      <c r="K534" s="23" t="str">
        <f t="array" ref="K534">IF(OR(INDEX(Species_Availability,MATCH($N534,Species_Names,0))="No",INDEX(Species_Evo_Numbers,MATCH($N534,Species_Names,0))&lt;&gt;1),"N/A",RANK($Y534,IF(NOT(ISNA(MATCH(Combo_Species_Names,IF(Species_Availability="Yes",IF(Species_Evo_Numbers=1,Species_Names)),0))),Combo_Gym_Defense),0))</f>
        <v>N/A</v>
      </c>
      <c r="L534" s="24" t="str">
        <f t="array" ref="L534">IF(OR(INDEX(Species_Availability,MATCH($N534,Species_Names,0))="No",INDEX(Species_Evo_Numbers,MATCH($N534,Species_Names,0))&lt;&gt;1),"N/A",$Y534/MAX(IF(NOT(ISNA(MATCH(Combo_Species_Names,IF(Species_Availability="Yes",IF(Species_Evo_Numbers=1,Species_Names)),0))),Combo_Gym_Defense)))</f>
        <v>N/A</v>
      </c>
      <c r="M534" s="28">
        <f t="array" ref="M534">INDEX(Species_Pdex_Numbers,MATCH($N534,Species_Names,0))</f>
        <v>58</v>
      </c>
      <c r="N534" s="30" t="s">
        <v>205</v>
      </c>
      <c r="O534" s="31" t="s">
        <v>59</v>
      </c>
      <c r="P534" s="31" t="s">
        <v>200</v>
      </c>
      <c r="Q534" s="17" t="e">
        <f t="shared" si="16"/>
        <v>#VALUE!</v>
      </c>
      <c r="R534" s="32" t="e">
        <f t="array" ref="R534">IF(OR(AND(COUNTBLANK(Combo_Opponent_Type_1)=1,COUNTBLANK(Combo_Opponent_Type_2)=0),AND(AND(COUNTBLANK(Combo_Opponent_Type_1)=0,COUNTBLANK(Combo_Opponent_Type_2)=0),Combo_Opponent_Type_1=Combo_Opponent_Type_2)),
"Check Types",($S534*INDEX(Species_Tankiness,MATCH($N534,Species_Names,0)))/225)</f>
        <v>#VALUE!</v>
      </c>
      <c r="S534" s="32" t="e">
        <f t="array" ref="S534">IF(OR(AND(COUNTBLANK(Combo_Opponent_Type_1)=1,COUNTBLANK(Combo_Opponent_Type_2)=0),AND(AND(COUNTBLANK(Combo_Opponent_Type_1)=0,COUNTBLANK(Combo_Opponent_Type_2)=0),Combo_Opponent_Type_1=Combo_Opponent_Type_2)),
"Check Types",(
IF($W534&gt;=((1-Game_Weave_Human_Error)*$X534),$W534,$X534)*INDEX(Species_Attack,MATCH($N534,Species_Names,0)))/11)</f>
        <v>#VALUE!</v>
      </c>
      <c r="T534" s="33" t="e">
        <f t="shared" si="17"/>
        <v>#VALUE!</v>
      </c>
      <c r="U534" s="33">
        <f t="array" ref="U5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534,Quick_Names,0))),Type_Species)),0),1)*IF(COUNTBLANK(Combo_Opponent_Type_2)=0,INDEX(Type_Damage_Multipliers,MATCH(Combo_Opponent_Type_2,IF(Type_Move=(INDEX(Quick_Type,MATCH($O534,Quick_Names,0))),Type_Species)),0),1)*(IF(OR(INDEX(Quick_Type,MATCH($O534,Quick_Names,0))=INDEX(Species_Type_1,MATCH($N534,Species_Names,0)),INDEX(Quick_Type,MATCH($O534,Quick_Names,0))=INDEX(Species_Type_2,MATCH($N534,Species_Names,0))),Game_STAB_Multiplier,1)))</f>
        <v>1</v>
      </c>
      <c r="V534" s="33">
        <f t="array" ref="V5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534,Charge_Names,0))),Type_Species)),0),1)*IF(COUNTBLANK(Combo_Opponent_Type_2)=0,INDEX(Type_Damage_Multipliers,MATCH(Combo_Opponent_Type_2,IF(Type_Move=(INDEX(Charge_Type,MATCH($P534,Charge_Names,0))),Type_Species)),0),1)*
IF(OR(INDEX(Charge_Type,MATCH($P534,Charge_Names,0))=INDEX(Species_Type_1,MATCH($N534,Species_Names,0)),INDEX(Charge_Type,MATCH($P534,Charge_Names,0))=INDEX(Species_Type_2,MATCH($N534,Species_Names,0))),Game_STAB_Multiplier,1))</f>
        <v>1.25</v>
      </c>
      <c r="W534" s="33" t="s">
        <v>453</v>
      </c>
      <c r="X534" s="33" t="s">
        <v>472</v>
      </c>
      <c r="Y534" s="32" t="e">
        <f t="array" ref="Y534">((($Z534)*
INDEX(Species_Attack,MATCH($N534,Species_Names,0))*
INDEX(Species_Tankiness,MATCH($N534,Species_Names,0)))/1000)</f>
        <v>#VALUE!</v>
      </c>
      <c r="Z534" s="33" t="s">
        <v>473</v>
      </c>
    </row>
    <row r="535" spans="1:26" ht="14.25" customHeight="1" x14ac:dyDescent="0.2">
      <c r="A535" s="86"/>
      <c r="B535" s="22" t="str">
        <f t="array" ref="B535">CONCATENATE(TEXT($M535,"000"),".",TEXT(INDEX(Quick_Number,MATCH($O535,Quick_Names,0)),"000"),".",TEXT(INDEX(Charge_Number,MATCH($P535,Charge_Names,0)),"000"))</f>
        <v>079.235.060</v>
      </c>
      <c r="C535" s="23" t="e">
        <f t="array" ref="C535">RANK($S535,IF(Combo_Species_Names=$N535,Combo_Gym_Offense),0)</f>
        <v>#VALUE!</v>
      </c>
      <c r="D535" s="24" t="e">
        <f t="array" ref="D535">$S535/MAX(IF(Combo_Species_Names=$N535,Combo_Gym_Offense))</f>
        <v>#VALUE!</v>
      </c>
      <c r="E535" s="23" t="e">
        <f t="array" ref="E535">RANK($Y535,IF(Combo_Species_Names=$N535,Combo_Gym_Defense),0)</f>
        <v>#VALUE!</v>
      </c>
      <c r="F535" s="25" t="e">
        <f t="array" ref="F535">$Y535/MAX(IF(Combo_Species_Names=$N535,Combo_Gym_Defense))</f>
        <v>#VALUE!</v>
      </c>
      <c r="G535" s="23" t="str">
        <f t="array" ref="G535">IF(OR(INDEX(Species_Availability,MATCH($N535,Species_Names,0))="No",INDEX(Species_Evo_Numbers,MATCH($N535,Species_Names,0))&lt;&gt;1),"N/A",RANK($R535,IF(NOT(ISNA(MATCH(Combo_Species_Names,IF(Species_Availability="Yes",IF(Species_Evo_Numbers=1,Species_Names)),0))),Combo_Duel_Ability),0))</f>
        <v>N/A</v>
      </c>
      <c r="H535" s="24" t="str">
        <f t="array" ref="H535">IF(OR(INDEX(Species_Availability,MATCH($N535,Species_Names,0))="No",INDEX(Species_Evo_Numbers,MATCH($N535,Species_Names,0))&lt;&gt;1),"N/A",$R535/MAX(IF(NOT(ISNA(MATCH(Combo_Species_Names,IF(Species_Availability="Yes",IF(Species_Evo_Numbers=1,Species_Names)),0))),Combo_Duel_Ability)))</f>
        <v>N/A</v>
      </c>
      <c r="I535" s="23" t="str">
        <f t="array" ref="I535">IF(OR(INDEX(Species_Availability,MATCH($N535,Species_Names,0))="No",INDEX(Species_Evo_Numbers,MATCH($N535,Species_Names,0))&lt;&gt;1),"N/A",RANK($S535,IF(NOT(ISNA(MATCH(Combo_Species_Names,IF(Species_Availability="Yes",IF(Species_Evo_Numbers=1,Species_Names)),0))),Combo_Gym_Offense),0))</f>
        <v>N/A</v>
      </c>
      <c r="J535" s="24" t="str">
        <f t="array" ref="J535">IF(OR(INDEX(Species_Availability,MATCH($N535,Species_Names,0))="No",INDEX(Species_Evo_Numbers,MATCH($N535,Species_Names,0))&lt;&gt;1),"N/A",$S535/MAX(IF(NOT(ISNA(MATCH(Combo_Species_Names,IF(Species_Availability="Yes",IF(Species_Evo_Numbers=1,Species_Names)),0))),Combo_Gym_Offense)))</f>
        <v>N/A</v>
      </c>
      <c r="K535" s="23" t="str">
        <f t="array" ref="K535">IF(OR(INDEX(Species_Availability,MATCH($N535,Species_Names,0))="No",INDEX(Species_Evo_Numbers,MATCH($N535,Species_Names,0))&lt;&gt;1),"N/A",RANK($Y535,IF(NOT(ISNA(MATCH(Combo_Species_Names,IF(Species_Availability="Yes",IF(Species_Evo_Numbers=1,Species_Names)),0))),Combo_Gym_Defense),0))</f>
        <v>N/A</v>
      </c>
      <c r="L535" s="24" t="str">
        <f t="array" ref="L535">IF(OR(INDEX(Species_Availability,MATCH($N535,Species_Names,0))="No",INDEX(Species_Evo_Numbers,MATCH($N535,Species_Names,0))&lt;&gt;1),"N/A",$Y535/MAX(IF(NOT(ISNA(MATCH(Combo_Species_Names,IF(Species_Availability="Yes",IF(Species_Evo_Numbers=1,Species_Names)),0))),Combo_Gym_Defense)))</f>
        <v>N/A</v>
      </c>
      <c r="M535" s="28">
        <f t="array" ref="M535">INDEX(Species_Pdex_Numbers,MATCH($N535,Species_Names,0))</f>
        <v>79</v>
      </c>
      <c r="N535" s="30" t="s">
        <v>250</v>
      </c>
      <c r="O535" s="31" t="s">
        <v>108</v>
      </c>
      <c r="P535" s="31" t="s">
        <v>232</v>
      </c>
      <c r="Q535" s="17" t="e">
        <f t="shared" si="16"/>
        <v>#VALUE!</v>
      </c>
      <c r="R535" s="32" t="e">
        <f t="array" ref="R535">IF(OR(AND(COUNTBLANK(Combo_Opponent_Type_1)=1,COUNTBLANK(Combo_Opponent_Type_2)=0),AND(AND(COUNTBLANK(Combo_Opponent_Type_1)=0,COUNTBLANK(Combo_Opponent_Type_2)=0),Combo_Opponent_Type_1=Combo_Opponent_Type_2)),
"Check Types",($S535*INDEX(Species_Tankiness,MATCH($N535,Species_Names,0)))/225)</f>
        <v>#VALUE!</v>
      </c>
      <c r="S535" s="32" t="e">
        <f t="array" ref="S535">IF(OR(AND(COUNTBLANK(Combo_Opponent_Type_1)=1,COUNTBLANK(Combo_Opponent_Type_2)=0),AND(AND(COUNTBLANK(Combo_Opponent_Type_1)=0,COUNTBLANK(Combo_Opponent_Type_2)=0),Combo_Opponent_Type_1=Combo_Opponent_Type_2)),
"Check Types",(
IF($W535&gt;=((1-Game_Weave_Human_Error)*$X535),$W535,$X535)*INDEX(Species_Attack,MATCH($N535,Species_Names,0)))/11)</f>
        <v>#VALUE!</v>
      </c>
      <c r="T535" s="33" t="e">
        <f t="shared" si="17"/>
        <v>#VALUE!</v>
      </c>
      <c r="U535" s="33">
        <f t="array" ref="U5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535,Quick_Names,0))),Type_Species)),0),1)*IF(COUNTBLANK(Combo_Opponent_Type_2)=0,INDEX(Type_Damage_Multipliers,MATCH(Combo_Opponent_Type_2,IF(Type_Move=(INDEX(Quick_Type,MATCH($O535,Quick_Names,0))),Type_Species)),0),1)*(IF(OR(INDEX(Quick_Type,MATCH($O535,Quick_Names,0))=INDEX(Species_Type_1,MATCH($N535,Species_Names,0)),INDEX(Quick_Type,MATCH($O535,Quick_Names,0))=INDEX(Species_Type_2,MATCH($N535,Species_Names,0))),Game_STAB_Multiplier,1)))</f>
        <v>1.25</v>
      </c>
      <c r="V535" s="33">
        <f t="array" ref="V5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535,Charge_Names,0))),Type_Species)),0),1)*IF(COUNTBLANK(Combo_Opponent_Type_2)=0,INDEX(Type_Damage_Multipliers,MATCH(Combo_Opponent_Type_2,IF(Type_Move=(INDEX(Charge_Type,MATCH($P535,Charge_Names,0))),Type_Species)),0),1)*
IF(OR(INDEX(Charge_Type,MATCH($P535,Charge_Names,0))=INDEX(Species_Type_1,MATCH($N535,Species_Names,0)),INDEX(Charge_Type,MATCH($P535,Charge_Names,0))=INDEX(Species_Type_2,MATCH($N535,Species_Names,0))),Game_STAB_Multiplier,1))</f>
        <v>1.25</v>
      </c>
      <c r="W535" s="33" t="s">
        <v>467</v>
      </c>
      <c r="X535" s="33" t="s">
        <v>650</v>
      </c>
      <c r="Y535" s="32" t="e">
        <f t="array" ref="Y535">((($Z535)*
INDEX(Species_Attack,MATCH($N535,Species_Names,0))*
INDEX(Species_Tankiness,MATCH($N535,Species_Names,0)))/1000)</f>
        <v>#VALUE!</v>
      </c>
      <c r="Z535" s="33" t="s">
        <v>651</v>
      </c>
    </row>
    <row r="536" spans="1:26" ht="14.25" customHeight="1" x14ac:dyDescent="0.2">
      <c r="A536" s="86"/>
      <c r="B536" s="22" t="str">
        <f t="array" ref="B536">CONCATENATE(TEXT($M536,"000"),".",TEXT(INDEX(Quick_Number,MATCH($O536,Quick_Names,0)),"000"),".",TEXT(INDEX(Charge_Number,MATCH($P536,Charge_Names,0)),"000"))</f>
        <v>017.210.121</v>
      </c>
      <c r="C536" s="23" t="e">
        <f t="array" ref="C536">RANK($S536,IF(Combo_Species_Names=$N536,Combo_Gym_Offense),0)</f>
        <v>#VALUE!</v>
      </c>
      <c r="D536" s="24" t="e">
        <f t="array" ref="D536">$S536/MAX(IF(Combo_Species_Names=$N536,Combo_Gym_Offense))</f>
        <v>#VALUE!</v>
      </c>
      <c r="E536" s="23" t="e">
        <f t="array" ref="E536">RANK($Y536,IF(Combo_Species_Names=$N536,Combo_Gym_Defense),0)</f>
        <v>#VALUE!</v>
      </c>
      <c r="F536" s="25" t="e">
        <f t="array" ref="F536">$Y536/MAX(IF(Combo_Species_Names=$N536,Combo_Gym_Defense))</f>
        <v>#VALUE!</v>
      </c>
      <c r="G536" s="23" t="str">
        <f t="array" ref="G536">IF(OR(INDEX(Species_Availability,MATCH($N536,Species_Names,0))="No",INDEX(Species_Evo_Numbers,MATCH($N536,Species_Names,0))&lt;&gt;1),"N/A",RANK($R536,IF(NOT(ISNA(MATCH(Combo_Species_Names,IF(Species_Availability="Yes",IF(Species_Evo_Numbers=1,Species_Names)),0))),Combo_Duel_Ability),0))</f>
        <v>N/A</v>
      </c>
      <c r="H536" s="24" t="str">
        <f t="array" ref="H536">IF(OR(INDEX(Species_Availability,MATCH($N536,Species_Names,0))="No",INDEX(Species_Evo_Numbers,MATCH($N536,Species_Names,0))&lt;&gt;1),"N/A",$R536/MAX(IF(NOT(ISNA(MATCH(Combo_Species_Names,IF(Species_Availability="Yes",IF(Species_Evo_Numbers=1,Species_Names)),0))),Combo_Duel_Ability)))</f>
        <v>N/A</v>
      </c>
      <c r="I536" s="23" t="str">
        <f t="array" ref="I536">IF(OR(INDEX(Species_Availability,MATCH($N536,Species_Names,0))="No",INDEX(Species_Evo_Numbers,MATCH($N536,Species_Names,0))&lt;&gt;1),"N/A",RANK($S536,IF(NOT(ISNA(MATCH(Combo_Species_Names,IF(Species_Availability="Yes",IF(Species_Evo_Numbers=1,Species_Names)),0))),Combo_Gym_Offense),0))</f>
        <v>N/A</v>
      </c>
      <c r="J536" s="24" t="str">
        <f t="array" ref="J536">IF(OR(INDEX(Species_Availability,MATCH($N536,Species_Names,0))="No",INDEX(Species_Evo_Numbers,MATCH($N536,Species_Names,0))&lt;&gt;1),"N/A",$S536/MAX(IF(NOT(ISNA(MATCH(Combo_Species_Names,IF(Species_Availability="Yes",IF(Species_Evo_Numbers=1,Species_Names)),0))),Combo_Gym_Offense)))</f>
        <v>N/A</v>
      </c>
      <c r="K536" s="23" t="str">
        <f t="array" ref="K536">IF(OR(INDEX(Species_Availability,MATCH($N536,Species_Names,0))="No",INDEX(Species_Evo_Numbers,MATCH($N536,Species_Names,0))&lt;&gt;1),"N/A",RANK($Y536,IF(NOT(ISNA(MATCH(Combo_Species_Names,IF(Species_Availability="Yes",IF(Species_Evo_Numbers=1,Species_Names)),0))),Combo_Gym_Defense),0))</f>
        <v>N/A</v>
      </c>
      <c r="L536" s="24" t="str">
        <f t="array" ref="L536">IF(OR(INDEX(Species_Availability,MATCH($N536,Species_Names,0))="No",INDEX(Species_Evo_Numbers,MATCH($N536,Species_Names,0))&lt;&gt;1),"N/A",$Y536/MAX(IF(NOT(ISNA(MATCH(Combo_Species_Names,IF(Species_Availability="Yes",IF(Species_Evo_Numbers=1,Species_Names)),0))),Combo_Gym_Defense)))</f>
        <v>N/A</v>
      </c>
      <c r="M536" s="28">
        <f t="array" ref="M536">INDEX(Species_Pdex_Numbers,MATCH($N536,Species_Names,0))</f>
        <v>17</v>
      </c>
      <c r="N536" s="30" t="s">
        <v>125</v>
      </c>
      <c r="O536" s="31" t="s">
        <v>69</v>
      </c>
      <c r="P536" s="31" t="s">
        <v>294</v>
      </c>
      <c r="Q536" s="17" t="e">
        <f t="shared" si="16"/>
        <v>#VALUE!</v>
      </c>
      <c r="R536" s="32" t="e">
        <f t="array" ref="R536">IF(OR(AND(COUNTBLANK(Combo_Opponent_Type_1)=1,COUNTBLANK(Combo_Opponent_Type_2)=0),AND(AND(COUNTBLANK(Combo_Opponent_Type_1)=0,COUNTBLANK(Combo_Opponent_Type_2)=0),Combo_Opponent_Type_1=Combo_Opponent_Type_2)),
"Check Types",($S536*INDEX(Species_Tankiness,MATCH($N536,Species_Names,0)))/225)</f>
        <v>#VALUE!</v>
      </c>
      <c r="S536" s="32" t="e">
        <f t="array" ref="S536">IF(OR(AND(COUNTBLANK(Combo_Opponent_Type_1)=1,COUNTBLANK(Combo_Opponent_Type_2)=0),AND(AND(COUNTBLANK(Combo_Opponent_Type_1)=0,COUNTBLANK(Combo_Opponent_Type_2)=0),Combo_Opponent_Type_1=Combo_Opponent_Type_2)),
"Check Types",(
IF($W536&gt;=((1-Game_Weave_Human_Error)*$X536),$W536,$X536)*INDEX(Species_Attack,MATCH($N536,Species_Names,0)))/11)</f>
        <v>#VALUE!</v>
      </c>
      <c r="T536" s="33" t="e">
        <f t="shared" si="17"/>
        <v>#VALUE!</v>
      </c>
      <c r="U536" s="33">
        <f t="array" ref="U5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536,Quick_Names,0))),Type_Species)),0),1)*IF(COUNTBLANK(Combo_Opponent_Type_2)=0,INDEX(Type_Damage_Multipliers,MATCH(Combo_Opponent_Type_2,IF(Type_Move=(INDEX(Quick_Type,MATCH($O536,Quick_Names,0))),Type_Species)),0),1)*(IF(OR(INDEX(Quick_Type,MATCH($O536,Quick_Names,0))=INDEX(Species_Type_1,MATCH($N536,Species_Names,0)),INDEX(Quick_Type,MATCH($O536,Quick_Names,0))=INDEX(Species_Type_2,MATCH($N536,Species_Names,0))),Game_STAB_Multiplier,1)))</f>
        <v>1.25</v>
      </c>
      <c r="V536" s="33">
        <f t="array" ref="V5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536,Charge_Names,0))),Type_Species)),0),1)*IF(COUNTBLANK(Combo_Opponent_Type_2)=0,INDEX(Type_Damage_Multipliers,MATCH(Combo_Opponent_Type_2,IF(Type_Move=(INDEX(Charge_Type,MATCH($P536,Charge_Names,0))),Type_Species)),0),1)*
IF(OR(INDEX(Charge_Type,MATCH($P536,Charge_Names,0))=INDEX(Species_Type_1,MATCH($N536,Species_Names,0)),INDEX(Charge_Type,MATCH($P536,Charge_Names,0))=INDEX(Species_Type_2,MATCH($N536,Species_Names,0))),Game_STAB_Multiplier,1))</f>
        <v>1.25</v>
      </c>
      <c r="W536" s="33" t="s">
        <v>489</v>
      </c>
      <c r="X536" s="33" t="s">
        <v>670</v>
      </c>
      <c r="Y536" s="32" t="e">
        <f t="array" ref="Y536">((($Z536)*
INDEX(Species_Attack,MATCH($N536,Species_Names,0))*
INDEX(Species_Tankiness,MATCH($N536,Species_Names,0)))/1000)</f>
        <v>#VALUE!</v>
      </c>
      <c r="Z536" s="33" t="s">
        <v>671</v>
      </c>
    </row>
    <row r="537" spans="1:26" ht="14.25" customHeight="1" x14ac:dyDescent="0.2">
      <c r="A537" s="86"/>
      <c r="B537" s="22" t="str">
        <f t="array" ref="B537">CONCATENATE(TEXT($M537,"000"),".",TEXT(INDEX(Quick_Number,MATCH($O537,Quick_Names,0)),"000"),".",TEXT(INDEX(Charge_Number,MATCH($P537,Charge_Names,0)),"000"))</f>
        <v>017.210.045</v>
      </c>
      <c r="C537" s="23" t="e">
        <f t="array" ref="C537">RANK($S537,IF(Combo_Species_Names=$N537,Combo_Gym_Offense),0)</f>
        <v>#VALUE!</v>
      </c>
      <c r="D537" s="24" t="e">
        <f t="array" ref="D537">$S537/MAX(IF(Combo_Species_Names=$N537,Combo_Gym_Offense))</f>
        <v>#VALUE!</v>
      </c>
      <c r="E537" s="23" t="e">
        <f t="array" ref="E537">RANK($Y537,IF(Combo_Species_Names=$N537,Combo_Gym_Defense),0)</f>
        <v>#VALUE!</v>
      </c>
      <c r="F537" s="25" t="e">
        <f t="array" ref="F537">$Y537/MAX(IF(Combo_Species_Names=$N537,Combo_Gym_Defense))</f>
        <v>#VALUE!</v>
      </c>
      <c r="G537" s="23" t="str">
        <f t="array" ref="G537">IF(OR(INDEX(Species_Availability,MATCH($N537,Species_Names,0))="No",INDEX(Species_Evo_Numbers,MATCH($N537,Species_Names,0))&lt;&gt;1),"N/A",RANK($R537,IF(NOT(ISNA(MATCH(Combo_Species_Names,IF(Species_Availability="Yes",IF(Species_Evo_Numbers=1,Species_Names)),0))),Combo_Duel_Ability),0))</f>
        <v>N/A</v>
      </c>
      <c r="H537" s="24" t="str">
        <f t="array" ref="H537">IF(OR(INDEX(Species_Availability,MATCH($N537,Species_Names,0))="No",INDEX(Species_Evo_Numbers,MATCH($N537,Species_Names,0))&lt;&gt;1),"N/A",$R537/MAX(IF(NOT(ISNA(MATCH(Combo_Species_Names,IF(Species_Availability="Yes",IF(Species_Evo_Numbers=1,Species_Names)),0))),Combo_Duel_Ability)))</f>
        <v>N/A</v>
      </c>
      <c r="I537" s="23" t="str">
        <f t="array" ref="I537">IF(OR(INDEX(Species_Availability,MATCH($N537,Species_Names,0))="No",INDEX(Species_Evo_Numbers,MATCH($N537,Species_Names,0))&lt;&gt;1),"N/A",RANK($S537,IF(NOT(ISNA(MATCH(Combo_Species_Names,IF(Species_Availability="Yes",IF(Species_Evo_Numbers=1,Species_Names)),0))),Combo_Gym_Offense),0))</f>
        <v>N/A</v>
      </c>
      <c r="J537" s="24" t="str">
        <f t="array" ref="J537">IF(OR(INDEX(Species_Availability,MATCH($N537,Species_Names,0))="No",INDEX(Species_Evo_Numbers,MATCH($N537,Species_Names,0))&lt;&gt;1),"N/A",$S537/MAX(IF(NOT(ISNA(MATCH(Combo_Species_Names,IF(Species_Availability="Yes",IF(Species_Evo_Numbers=1,Species_Names)),0))),Combo_Gym_Offense)))</f>
        <v>N/A</v>
      </c>
      <c r="K537" s="23" t="str">
        <f t="array" ref="K537">IF(OR(INDEX(Species_Availability,MATCH($N537,Species_Names,0))="No",INDEX(Species_Evo_Numbers,MATCH($N537,Species_Names,0))&lt;&gt;1),"N/A",RANK($Y537,IF(NOT(ISNA(MATCH(Combo_Species_Names,IF(Species_Availability="Yes",IF(Species_Evo_Numbers=1,Species_Names)),0))),Combo_Gym_Defense),0))</f>
        <v>N/A</v>
      </c>
      <c r="L537" s="24" t="str">
        <f t="array" ref="L537">IF(OR(INDEX(Species_Availability,MATCH($N537,Species_Names,0))="No",INDEX(Species_Evo_Numbers,MATCH($N537,Species_Names,0))&lt;&gt;1),"N/A",$Y537/MAX(IF(NOT(ISNA(MATCH(Combo_Species_Names,IF(Species_Availability="Yes",IF(Species_Evo_Numbers=1,Species_Names)),0))),Combo_Gym_Defense)))</f>
        <v>N/A</v>
      </c>
      <c r="M537" s="28">
        <f t="array" ref="M537">INDEX(Species_Pdex_Numbers,MATCH($N537,Species_Names,0))</f>
        <v>17</v>
      </c>
      <c r="N537" s="30" t="s">
        <v>125</v>
      </c>
      <c r="O537" s="31" t="s">
        <v>69</v>
      </c>
      <c r="P537" s="31" t="s">
        <v>287</v>
      </c>
      <c r="Q537" s="17" t="e">
        <f t="shared" si="16"/>
        <v>#VALUE!</v>
      </c>
      <c r="R537" s="32" t="e">
        <f t="array" ref="R537">IF(OR(AND(COUNTBLANK(Combo_Opponent_Type_1)=1,COUNTBLANK(Combo_Opponent_Type_2)=0),AND(AND(COUNTBLANK(Combo_Opponent_Type_1)=0,COUNTBLANK(Combo_Opponent_Type_2)=0),Combo_Opponent_Type_1=Combo_Opponent_Type_2)),
"Check Types",($S537*INDEX(Species_Tankiness,MATCH($N537,Species_Names,0)))/225)</f>
        <v>#VALUE!</v>
      </c>
      <c r="S537" s="32" t="e">
        <f t="array" ref="S537">IF(OR(AND(COUNTBLANK(Combo_Opponent_Type_1)=1,COUNTBLANK(Combo_Opponent_Type_2)=0),AND(AND(COUNTBLANK(Combo_Opponent_Type_1)=0,COUNTBLANK(Combo_Opponent_Type_2)=0),Combo_Opponent_Type_1=Combo_Opponent_Type_2)),
"Check Types",(
IF($W537&gt;=((1-Game_Weave_Human_Error)*$X537),$W537,$X537)*INDEX(Species_Attack,MATCH($N537,Species_Names,0)))/11)</f>
        <v>#VALUE!</v>
      </c>
      <c r="T537" s="33" t="e">
        <f t="shared" si="17"/>
        <v>#VALUE!</v>
      </c>
      <c r="U537" s="33">
        <f t="array" ref="U5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537,Quick_Names,0))),Type_Species)),0),1)*IF(COUNTBLANK(Combo_Opponent_Type_2)=0,INDEX(Type_Damage_Multipliers,MATCH(Combo_Opponent_Type_2,IF(Type_Move=(INDEX(Quick_Type,MATCH($O537,Quick_Names,0))),Type_Species)),0),1)*(IF(OR(INDEX(Quick_Type,MATCH($O537,Quick_Names,0))=INDEX(Species_Type_1,MATCH($N537,Species_Names,0)),INDEX(Quick_Type,MATCH($O537,Quick_Names,0))=INDEX(Species_Type_2,MATCH($N537,Species_Names,0))),Game_STAB_Multiplier,1)))</f>
        <v>1.25</v>
      </c>
      <c r="V537" s="33">
        <f t="array" ref="V5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537,Charge_Names,0))),Type_Species)),0),1)*IF(COUNTBLANK(Combo_Opponent_Type_2)=0,INDEX(Type_Damage_Multipliers,MATCH(Combo_Opponent_Type_2,IF(Type_Move=(INDEX(Charge_Type,MATCH($P537,Charge_Names,0))),Type_Species)),0),1)*
IF(OR(INDEX(Charge_Type,MATCH($P537,Charge_Names,0))=INDEX(Species_Type_1,MATCH($N537,Species_Names,0)),INDEX(Charge_Type,MATCH($P537,Charge_Names,0))=INDEX(Species_Type_2,MATCH($N537,Species_Names,0))),Game_STAB_Multiplier,1))</f>
        <v>1.25</v>
      </c>
      <c r="W537" s="33" t="s">
        <v>489</v>
      </c>
      <c r="X537" s="33" t="s">
        <v>672</v>
      </c>
      <c r="Y537" s="32" t="e">
        <f t="array" ref="Y537">((($Z537)*
INDEX(Species_Attack,MATCH($N537,Species_Names,0))*
INDEX(Species_Tankiness,MATCH($N537,Species_Names,0)))/1000)</f>
        <v>#VALUE!</v>
      </c>
      <c r="Z537" s="33" t="s">
        <v>673</v>
      </c>
    </row>
    <row r="538" spans="1:26" ht="14.25" customHeight="1" x14ac:dyDescent="0.2">
      <c r="A538" s="86"/>
      <c r="B538" s="22" t="str">
        <f t="array" ref="B538">CONCATENATE(TEXT($M538,"000"),".",TEXT(INDEX(Quick_Number,MATCH($O538,Quick_Names,0)),"000"),".",TEXT(INDEX(Charge_Number,MATCH($P538,Charge_Names,0)),"000"))</f>
        <v>017.210.080</v>
      </c>
      <c r="C538" s="23" t="e">
        <f t="array" ref="C538">RANK($S538,IF(Combo_Species_Names=$N538,Combo_Gym_Offense),0)</f>
        <v>#VALUE!</v>
      </c>
      <c r="D538" s="24" t="e">
        <f t="array" ref="D538">$S538/MAX(IF(Combo_Species_Names=$N538,Combo_Gym_Offense))</f>
        <v>#VALUE!</v>
      </c>
      <c r="E538" s="23" t="e">
        <f t="array" ref="E538">RANK($Y538,IF(Combo_Species_Names=$N538,Combo_Gym_Defense),0)</f>
        <v>#VALUE!</v>
      </c>
      <c r="F538" s="25" t="e">
        <f t="array" ref="F538">$Y538/MAX(IF(Combo_Species_Names=$N538,Combo_Gym_Defense))</f>
        <v>#VALUE!</v>
      </c>
      <c r="G538" s="23" t="str">
        <f t="array" ref="G538">IF(OR(INDEX(Species_Availability,MATCH($N538,Species_Names,0))="No",INDEX(Species_Evo_Numbers,MATCH($N538,Species_Names,0))&lt;&gt;1),"N/A",RANK($R538,IF(NOT(ISNA(MATCH(Combo_Species_Names,IF(Species_Availability="Yes",IF(Species_Evo_Numbers=1,Species_Names)),0))),Combo_Duel_Ability),0))</f>
        <v>N/A</v>
      </c>
      <c r="H538" s="24" t="str">
        <f t="array" ref="H538">IF(OR(INDEX(Species_Availability,MATCH($N538,Species_Names,0))="No",INDEX(Species_Evo_Numbers,MATCH($N538,Species_Names,0))&lt;&gt;1),"N/A",$R538/MAX(IF(NOT(ISNA(MATCH(Combo_Species_Names,IF(Species_Availability="Yes",IF(Species_Evo_Numbers=1,Species_Names)),0))),Combo_Duel_Ability)))</f>
        <v>N/A</v>
      </c>
      <c r="I538" s="23" t="str">
        <f t="array" ref="I538">IF(OR(INDEX(Species_Availability,MATCH($N538,Species_Names,0))="No",INDEX(Species_Evo_Numbers,MATCH($N538,Species_Names,0))&lt;&gt;1),"N/A",RANK($S538,IF(NOT(ISNA(MATCH(Combo_Species_Names,IF(Species_Availability="Yes",IF(Species_Evo_Numbers=1,Species_Names)),0))),Combo_Gym_Offense),0))</f>
        <v>N/A</v>
      </c>
      <c r="J538" s="24" t="str">
        <f t="array" ref="J538">IF(OR(INDEX(Species_Availability,MATCH($N538,Species_Names,0))="No",INDEX(Species_Evo_Numbers,MATCH($N538,Species_Names,0))&lt;&gt;1),"N/A",$S538/MAX(IF(NOT(ISNA(MATCH(Combo_Species_Names,IF(Species_Availability="Yes",IF(Species_Evo_Numbers=1,Species_Names)),0))),Combo_Gym_Offense)))</f>
        <v>N/A</v>
      </c>
      <c r="K538" s="23" t="str">
        <f t="array" ref="K538">IF(OR(INDEX(Species_Availability,MATCH($N538,Species_Names,0))="No",INDEX(Species_Evo_Numbers,MATCH($N538,Species_Names,0))&lt;&gt;1),"N/A",RANK($Y538,IF(NOT(ISNA(MATCH(Combo_Species_Names,IF(Species_Availability="Yes",IF(Species_Evo_Numbers=1,Species_Names)),0))),Combo_Gym_Defense),0))</f>
        <v>N/A</v>
      </c>
      <c r="L538" s="24" t="str">
        <f t="array" ref="L538">IF(OR(INDEX(Species_Availability,MATCH($N538,Species_Names,0))="No",INDEX(Species_Evo_Numbers,MATCH($N538,Species_Names,0))&lt;&gt;1),"N/A",$Y538/MAX(IF(NOT(ISNA(MATCH(Combo_Species_Names,IF(Species_Availability="Yes",IF(Species_Evo_Numbers=1,Species_Names)),0))),Combo_Gym_Defense)))</f>
        <v>N/A</v>
      </c>
      <c r="M538" s="28">
        <f t="array" ref="M538">INDEX(Species_Pdex_Numbers,MATCH($N538,Species_Names,0))</f>
        <v>17</v>
      </c>
      <c r="N538" s="30" t="s">
        <v>125</v>
      </c>
      <c r="O538" s="31" t="s">
        <v>69</v>
      </c>
      <c r="P538" s="31" t="s">
        <v>302</v>
      </c>
      <c r="Q538" s="17" t="e">
        <f t="shared" si="16"/>
        <v>#VALUE!</v>
      </c>
      <c r="R538" s="32" t="e">
        <f t="array" ref="R538">IF(OR(AND(COUNTBLANK(Combo_Opponent_Type_1)=1,COUNTBLANK(Combo_Opponent_Type_2)=0),AND(AND(COUNTBLANK(Combo_Opponent_Type_1)=0,COUNTBLANK(Combo_Opponent_Type_2)=0),Combo_Opponent_Type_1=Combo_Opponent_Type_2)),
"Check Types",($S538*INDEX(Species_Tankiness,MATCH($N538,Species_Names,0)))/225)</f>
        <v>#VALUE!</v>
      </c>
      <c r="S538" s="32" t="e">
        <f t="array" ref="S538">IF(OR(AND(COUNTBLANK(Combo_Opponent_Type_1)=1,COUNTBLANK(Combo_Opponent_Type_2)=0),AND(AND(COUNTBLANK(Combo_Opponent_Type_1)=0,COUNTBLANK(Combo_Opponent_Type_2)=0),Combo_Opponent_Type_1=Combo_Opponent_Type_2)),
"Check Types",(
IF($W538&gt;=((1-Game_Weave_Human_Error)*$X538),$W538,$X538)*INDEX(Species_Attack,MATCH($N538,Species_Names,0)))/11)</f>
        <v>#VALUE!</v>
      </c>
      <c r="T538" s="33" t="e">
        <f t="shared" si="17"/>
        <v>#VALUE!</v>
      </c>
      <c r="U538" s="33">
        <f t="array" ref="U5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538,Quick_Names,0))),Type_Species)),0),1)*IF(COUNTBLANK(Combo_Opponent_Type_2)=0,INDEX(Type_Damage_Multipliers,MATCH(Combo_Opponent_Type_2,IF(Type_Move=(INDEX(Quick_Type,MATCH($O538,Quick_Names,0))),Type_Species)),0),1)*(IF(OR(INDEX(Quick_Type,MATCH($O538,Quick_Names,0))=INDEX(Species_Type_1,MATCH($N538,Species_Names,0)),INDEX(Quick_Type,MATCH($O538,Quick_Names,0))=INDEX(Species_Type_2,MATCH($N538,Species_Names,0))),Game_STAB_Multiplier,1)))</f>
        <v>1.25</v>
      </c>
      <c r="V538" s="33">
        <f t="array" ref="V5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538,Charge_Names,0))),Type_Species)),0),1)*IF(COUNTBLANK(Combo_Opponent_Type_2)=0,INDEX(Type_Damage_Multipliers,MATCH(Combo_Opponent_Type_2,IF(Type_Move=(INDEX(Charge_Type,MATCH($P538,Charge_Names,0))),Type_Species)),0),1)*
IF(OR(INDEX(Charge_Type,MATCH($P538,Charge_Names,0))=INDEX(Species_Type_1,MATCH($N538,Species_Names,0)),INDEX(Charge_Type,MATCH($P538,Charge_Names,0))=INDEX(Species_Type_2,MATCH($N538,Species_Names,0))),Game_STAB_Multiplier,1))</f>
        <v>1</v>
      </c>
      <c r="W538" s="33" t="s">
        <v>489</v>
      </c>
      <c r="X538" s="33" t="s">
        <v>982</v>
      </c>
      <c r="Y538" s="32" t="e">
        <f t="array" ref="Y538">((($Z538)*
INDEX(Species_Attack,MATCH($N538,Species_Names,0))*
INDEX(Species_Tankiness,MATCH($N538,Species_Names,0)))/1000)</f>
        <v>#VALUE!</v>
      </c>
      <c r="Z538" s="33" t="s">
        <v>983</v>
      </c>
    </row>
    <row r="539" spans="1:26" ht="14.25" customHeight="1" x14ac:dyDescent="0.2">
      <c r="A539" s="86"/>
      <c r="B539" s="22" t="str">
        <f t="array" ref="B539">CONCATENATE(TEXT($M539,"000"),".",TEXT(INDEX(Quick_Number,MATCH($O539,Quick_Names,0)),"000"),".",TEXT(INDEX(Charge_Number,MATCH($P539,Charge_Names,0)),"000"))</f>
        <v>096.222.108</v>
      </c>
      <c r="C539" s="23" t="e">
        <f t="array" ref="C539">RANK($S539,IF(Combo_Species_Names=$N539,Combo_Gym_Offense),0)</f>
        <v>#VALUE!</v>
      </c>
      <c r="D539" s="24" t="e">
        <f t="array" ref="D539">$S539/MAX(IF(Combo_Species_Names=$N539,Combo_Gym_Offense))</f>
        <v>#VALUE!</v>
      </c>
      <c r="E539" s="23" t="e">
        <f t="array" ref="E539">RANK($Y539,IF(Combo_Species_Names=$N539,Combo_Gym_Defense),0)</f>
        <v>#VALUE!</v>
      </c>
      <c r="F539" s="25" t="e">
        <f t="array" ref="F539">$Y539/MAX(IF(Combo_Species_Names=$N539,Combo_Gym_Defense))</f>
        <v>#VALUE!</v>
      </c>
      <c r="G539" s="23" t="str">
        <f t="array" ref="G539">IF(OR(INDEX(Species_Availability,MATCH($N539,Species_Names,0))="No",INDEX(Species_Evo_Numbers,MATCH($N539,Species_Names,0))&lt;&gt;1),"N/A",RANK($R539,IF(NOT(ISNA(MATCH(Combo_Species_Names,IF(Species_Availability="Yes",IF(Species_Evo_Numbers=1,Species_Names)),0))),Combo_Duel_Ability),0))</f>
        <v>N/A</v>
      </c>
      <c r="H539" s="24" t="str">
        <f t="array" ref="H539">IF(OR(INDEX(Species_Availability,MATCH($N539,Species_Names,0))="No",INDEX(Species_Evo_Numbers,MATCH($N539,Species_Names,0))&lt;&gt;1),"N/A",$R539/MAX(IF(NOT(ISNA(MATCH(Combo_Species_Names,IF(Species_Availability="Yes",IF(Species_Evo_Numbers=1,Species_Names)),0))),Combo_Duel_Ability)))</f>
        <v>N/A</v>
      </c>
      <c r="I539" s="23" t="str">
        <f t="array" ref="I539">IF(OR(INDEX(Species_Availability,MATCH($N539,Species_Names,0))="No",INDEX(Species_Evo_Numbers,MATCH($N539,Species_Names,0))&lt;&gt;1),"N/A",RANK($S539,IF(NOT(ISNA(MATCH(Combo_Species_Names,IF(Species_Availability="Yes",IF(Species_Evo_Numbers=1,Species_Names)),0))),Combo_Gym_Offense),0))</f>
        <v>N/A</v>
      </c>
      <c r="J539" s="24" t="str">
        <f t="array" ref="J539">IF(OR(INDEX(Species_Availability,MATCH($N539,Species_Names,0))="No",INDEX(Species_Evo_Numbers,MATCH($N539,Species_Names,0))&lt;&gt;1),"N/A",$S539/MAX(IF(NOT(ISNA(MATCH(Combo_Species_Names,IF(Species_Availability="Yes",IF(Species_Evo_Numbers=1,Species_Names)),0))),Combo_Gym_Offense)))</f>
        <v>N/A</v>
      </c>
      <c r="K539" s="23" t="str">
        <f t="array" ref="K539">IF(OR(INDEX(Species_Availability,MATCH($N539,Species_Names,0))="No",INDEX(Species_Evo_Numbers,MATCH($N539,Species_Names,0))&lt;&gt;1),"N/A",RANK($Y539,IF(NOT(ISNA(MATCH(Combo_Species_Names,IF(Species_Availability="Yes",IF(Species_Evo_Numbers=1,Species_Names)),0))),Combo_Gym_Defense),0))</f>
        <v>N/A</v>
      </c>
      <c r="L539" s="24" t="str">
        <f t="array" ref="L539">IF(OR(INDEX(Species_Availability,MATCH($N539,Species_Names,0))="No",INDEX(Species_Evo_Numbers,MATCH($N539,Species_Names,0))&lt;&gt;1),"N/A",$Y539/MAX(IF(NOT(ISNA(MATCH(Combo_Species_Names,IF(Species_Availability="Yes",IF(Species_Evo_Numbers=1,Species_Names)),0))),Combo_Gym_Defense)))</f>
        <v>N/A</v>
      </c>
      <c r="M539" s="28">
        <f t="array" ref="M539">INDEX(Species_Pdex_Numbers,MATCH($N539,Species_Names,0))</f>
        <v>96</v>
      </c>
      <c r="N539" s="30" t="s">
        <v>290</v>
      </c>
      <c r="O539" s="31" t="s">
        <v>32</v>
      </c>
      <c r="P539" s="31" t="s">
        <v>58</v>
      </c>
      <c r="Q539" s="17" t="e">
        <f t="shared" si="16"/>
        <v>#VALUE!</v>
      </c>
      <c r="R539" s="32" t="e">
        <f t="array" ref="R539">IF(OR(AND(COUNTBLANK(Combo_Opponent_Type_1)=1,COUNTBLANK(Combo_Opponent_Type_2)=0),AND(AND(COUNTBLANK(Combo_Opponent_Type_1)=0,COUNTBLANK(Combo_Opponent_Type_2)=0),Combo_Opponent_Type_1=Combo_Opponent_Type_2)),
"Check Types",($S539*INDEX(Species_Tankiness,MATCH($N539,Species_Names,0)))/225)</f>
        <v>#VALUE!</v>
      </c>
      <c r="S539" s="32" t="e">
        <f t="array" ref="S539">IF(OR(AND(COUNTBLANK(Combo_Opponent_Type_1)=1,COUNTBLANK(Combo_Opponent_Type_2)=0),AND(AND(COUNTBLANK(Combo_Opponent_Type_1)=0,COUNTBLANK(Combo_Opponent_Type_2)=0),Combo_Opponent_Type_1=Combo_Opponent_Type_2)),
"Check Types",(
IF($W539&gt;=((1-Game_Weave_Human_Error)*$X539),$W539,$X539)*INDEX(Species_Attack,MATCH($N539,Species_Names,0)))/11)</f>
        <v>#VALUE!</v>
      </c>
      <c r="T539" s="33" t="e">
        <f t="shared" si="17"/>
        <v>#VALUE!</v>
      </c>
      <c r="U539" s="33">
        <f t="array" ref="U5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539,Quick_Names,0))),Type_Species)),0),1)*IF(COUNTBLANK(Combo_Opponent_Type_2)=0,INDEX(Type_Damage_Multipliers,MATCH(Combo_Opponent_Type_2,IF(Type_Move=(INDEX(Quick_Type,MATCH($O539,Quick_Names,0))),Type_Species)),0),1)*(IF(OR(INDEX(Quick_Type,MATCH($O539,Quick_Names,0))=INDEX(Species_Type_1,MATCH($N539,Species_Names,0)),INDEX(Quick_Type,MATCH($O539,Quick_Names,0))=INDEX(Species_Type_2,MATCH($N539,Species_Names,0))),Game_STAB_Multiplier,1)))</f>
        <v>1</v>
      </c>
      <c r="V539" s="33">
        <f t="array" ref="V5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539,Charge_Names,0))),Type_Species)),0),1)*IF(COUNTBLANK(Combo_Opponent_Type_2)=0,INDEX(Type_Damage_Multipliers,MATCH(Combo_Opponent_Type_2,IF(Type_Move=(INDEX(Charge_Type,MATCH($P539,Charge_Names,0))),Type_Species)),0),1)*
IF(OR(INDEX(Charge_Type,MATCH($P539,Charge_Names,0))=INDEX(Species_Type_1,MATCH($N539,Species_Names,0)),INDEX(Charge_Type,MATCH($P539,Charge_Names,0))=INDEX(Species_Type_2,MATCH($N539,Species_Names,0))),Game_STAB_Multiplier,1))</f>
        <v>1.25</v>
      </c>
      <c r="W539" s="33" t="s">
        <v>536</v>
      </c>
      <c r="X539" s="33" t="s">
        <v>944</v>
      </c>
      <c r="Y539" s="32" t="e">
        <f t="array" ref="Y539">((($Z539)*
INDEX(Species_Attack,MATCH($N539,Species_Names,0))*
INDEX(Species_Tankiness,MATCH($N539,Species_Names,0)))/1000)</f>
        <v>#VALUE!</v>
      </c>
      <c r="Z539" s="33" t="s">
        <v>945</v>
      </c>
    </row>
    <row r="540" spans="1:26" ht="14.25" customHeight="1" x14ac:dyDescent="0.2">
      <c r="A540" s="86"/>
      <c r="B540" s="22" t="str">
        <f t="array" ref="B540">CONCATENATE(TEXT($M540,"000"),".",TEXT(INDEX(Quick_Number,MATCH($O540,Quick_Names,0)),"000"),".",TEXT(INDEX(Charge_Number,MATCH($P540,Charge_Names,0)),"000"))</f>
        <v>033.236.026</v>
      </c>
      <c r="C540" s="23" t="e">
        <f t="array" ref="C540">RANK($S540,IF(Combo_Species_Names=$N540,Combo_Gym_Offense),0)</f>
        <v>#VALUE!</v>
      </c>
      <c r="D540" s="24" t="e">
        <f t="array" ref="D540">$S540/MAX(IF(Combo_Species_Names=$N540,Combo_Gym_Offense))</f>
        <v>#VALUE!</v>
      </c>
      <c r="E540" s="23" t="e">
        <f t="array" ref="E540">RANK($Y540,IF(Combo_Species_Names=$N540,Combo_Gym_Defense),0)</f>
        <v>#VALUE!</v>
      </c>
      <c r="F540" s="25" t="e">
        <f t="array" ref="F540">$Y540/MAX(IF(Combo_Species_Names=$N540,Combo_Gym_Defense))</f>
        <v>#VALUE!</v>
      </c>
      <c r="G540" s="23" t="str">
        <f t="array" ref="G540">IF(OR(INDEX(Species_Availability,MATCH($N540,Species_Names,0))="No",INDEX(Species_Evo_Numbers,MATCH($N540,Species_Names,0))&lt;&gt;1),"N/A",RANK($R540,IF(NOT(ISNA(MATCH(Combo_Species_Names,IF(Species_Availability="Yes",IF(Species_Evo_Numbers=1,Species_Names)),0))),Combo_Duel_Ability),0))</f>
        <v>N/A</v>
      </c>
      <c r="H540" s="24" t="str">
        <f t="array" ref="H540">IF(OR(INDEX(Species_Availability,MATCH($N540,Species_Names,0))="No",INDEX(Species_Evo_Numbers,MATCH($N540,Species_Names,0))&lt;&gt;1),"N/A",$R540/MAX(IF(NOT(ISNA(MATCH(Combo_Species_Names,IF(Species_Availability="Yes",IF(Species_Evo_Numbers=1,Species_Names)),0))),Combo_Duel_Ability)))</f>
        <v>N/A</v>
      </c>
      <c r="I540" s="23" t="str">
        <f t="array" ref="I540">IF(OR(INDEX(Species_Availability,MATCH($N540,Species_Names,0))="No",INDEX(Species_Evo_Numbers,MATCH($N540,Species_Names,0))&lt;&gt;1),"N/A",RANK($S540,IF(NOT(ISNA(MATCH(Combo_Species_Names,IF(Species_Availability="Yes",IF(Species_Evo_Numbers=1,Species_Names)),0))),Combo_Gym_Offense),0))</f>
        <v>N/A</v>
      </c>
      <c r="J540" s="24" t="str">
        <f t="array" ref="J540">IF(OR(INDEX(Species_Availability,MATCH($N540,Species_Names,0))="No",INDEX(Species_Evo_Numbers,MATCH($N540,Species_Names,0))&lt;&gt;1),"N/A",$S540/MAX(IF(NOT(ISNA(MATCH(Combo_Species_Names,IF(Species_Availability="Yes",IF(Species_Evo_Numbers=1,Species_Names)),0))),Combo_Gym_Offense)))</f>
        <v>N/A</v>
      </c>
      <c r="K540" s="23" t="str">
        <f t="array" ref="K540">IF(OR(INDEX(Species_Availability,MATCH($N540,Species_Names,0))="No",INDEX(Species_Evo_Numbers,MATCH($N540,Species_Names,0))&lt;&gt;1),"N/A",RANK($Y540,IF(NOT(ISNA(MATCH(Combo_Species_Names,IF(Species_Availability="Yes",IF(Species_Evo_Numbers=1,Species_Names)),0))),Combo_Gym_Defense),0))</f>
        <v>N/A</v>
      </c>
      <c r="L540" s="24" t="str">
        <f t="array" ref="L540">IF(OR(INDEX(Species_Availability,MATCH($N540,Species_Names,0))="No",INDEX(Species_Evo_Numbers,MATCH($N540,Species_Names,0))&lt;&gt;1),"N/A",$Y540/MAX(IF(NOT(ISNA(MATCH(Combo_Species_Names,IF(Species_Availability="Yes",IF(Species_Evo_Numbers=1,Species_Names)),0))),Combo_Gym_Defense)))</f>
        <v>N/A</v>
      </c>
      <c r="M540" s="28">
        <f t="array" ref="M540">INDEX(Species_Pdex_Numbers,MATCH($N540,Species_Names,0))</f>
        <v>33</v>
      </c>
      <c r="N540" s="30" t="s">
        <v>156</v>
      </c>
      <c r="O540" s="31" t="s">
        <v>101</v>
      </c>
      <c r="P540" s="31" t="s">
        <v>264</v>
      </c>
      <c r="Q540" s="17" t="e">
        <f t="shared" si="16"/>
        <v>#VALUE!</v>
      </c>
      <c r="R540" s="32" t="e">
        <f t="array" ref="R540">IF(OR(AND(COUNTBLANK(Combo_Opponent_Type_1)=1,COUNTBLANK(Combo_Opponent_Type_2)=0),AND(AND(COUNTBLANK(Combo_Opponent_Type_1)=0,COUNTBLANK(Combo_Opponent_Type_2)=0),Combo_Opponent_Type_1=Combo_Opponent_Type_2)),
"Check Types",($S540*INDEX(Species_Tankiness,MATCH($N540,Species_Names,0)))/225)</f>
        <v>#VALUE!</v>
      </c>
      <c r="S540" s="32" t="e">
        <f t="array" ref="S540">IF(OR(AND(COUNTBLANK(Combo_Opponent_Type_1)=1,COUNTBLANK(Combo_Opponent_Type_2)=0),AND(AND(COUNTBLANK(Combo_Opponent_Type_1)=0,COUNTBLANK(Combo_Opponent_Type_2)=0),Combo_Opponent_Type_1=Combo_Opponent_Type_2)),
"Check Types",(
IF($W540&gt;=((1-Game_Weave_Human_Error)*$X540),$W540,$X540)*INDEX(Species_Attack,MATCH($N540,Species_Names,0)))/11)</f>
        <v>#VALUE!</v>
      </c>
      <c r="T540" s="33" t="e">
        <f t="shared" si="17"/>
        <v>#VALUE!</v>
      </c>
      <c r="U540" s="33">
        <f t="array" ref="U5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540,Quick_Names,0))),Type_Species)),0),1)*IF(COUNTBLANK(Combo_Opponent_Type_2)=0,INDEX(Type_Damage_Multipliers,MATCH(Combo_Opponent_Type_2,IF(Type_Move=(INDEX(Quick_Type,MATCH($O540,Quick_Names,0))),Type_Species)),0),1)*(IF(OR(INDEX(Quick_Type,MATCH($O540,Quick_Names,0))=INDEX(Species_Type_1,MATCH($N540,Species_Names,0)),INDEX(Quick_Type,MATCH($O540,Quick_Names,0))=INDEX(Species_Type_2,MATCH($N540,Species_Names,0))),Game_STAB_Multiplier,1)))</f>
        <v>1.25</v>
      </c>
      <c r="V540" s="33">
        <f t="array" ref="V5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540,Charge_Names,0))),Type_Species)),0),1)*IF(COUNTBLANK(Combo_Opponent_Type_2)=0,INDEX(Type_Damage_Multipliers,MATCH(Combo_Opponent_Type_2,IF(Type_Move=(INDEX(Charge_Type,MATCH($P540,Charge_Names,0))),Type_Species)),0),1)*
IF(OR(INDEX(Charge_Type,MATCH($P540,Charge_Names,0))=INDEX(Species_Type_1,MATCH($N540,Species_Names,0)),INDEX(Charge_Type,MATCH($P540,Charge_Names,0))=INDEX(Species_Type_2,MATCH($N540,Species_Names,0))),Game_STAB_Multiplier,1))</f>
        <v>1</v>
      </c>
      <c r="W540" s="33" t="s">
        <v>738</v>
      </c>
      <c r="X540" s="33" t="s">
        <v>644</v>
      </c>
      <c r="Y540" s="32" t="e">
        <f t="array" ref="Y540">((($Z540)*
INDEX(Species_Attack,MATCH($N540,Species_Names,0))*
INDEX(Species_Tankiness,MATCH($N540,Species_Names,0)))/1000)</f>
        <v>#VALUE!</v>
      </c>
      <c r="Z540" s="33" t="s">
        <v>965</v>
      </c>
    </row>
    <row r="541" spans="1:26" ht="14.25" customHeight="1" x14ac:dyDescent="0.2">
      <c r="A541" s="86"/>
      <c r="B541" s="22" t="str">
        <f t="array" ref="B541">CONCATENATE(TEXT($M541,"000"),".",TEXT(INDEX(Quick_Number,MATCH($O541,Quick_Names,0)),"000"),".",TEXT(INDEX(Charge_Number,MATCH($P541,Charge_Names,0)),"000"))</f>
        <v>033.236.126</v>
      </c>
      <c r="C541" s="23" t="e">
        <f t="array" ref="C541">RANK($S541,IF(Combo_Species_Names=$N541,Combo_Gym_Offense),0)</f>
        <v>#VALUE!</v>
      </c>
      <c r="D541" s="24" t="e">
        <f t="array" ref="D541">$S541/MAX(IF(Combo_Species_Names=$N541,Combo_Gym_Offense))</f>
        <v>#VALUE!</v>
      </c>
      <c r="E541" s="23" t="e">
        <f t="array" ref="E541">RANK($Y541,IF(Combo_Species_Names=$N541,Combo_Gym_Defense),0)</f>
        <v>#VALUE!</v>
      </c>
      <c r="F541" s="25" t="e">
        <f t="array" ref="F541">$Y541/MAX(IF(Combo_Species_Names=$N541,Combo_Gym_Defense))</f>
        <v>#VALUE!</v>
      </c>
      <c r="G541" s="23" t="str">
        <f t="array" ref="G541">IF(OR(INDEX(Species_Availability,MATCH($N541,Species_Names,0))="No",INDEX(Species_Evo_Numbers,MATCH($N541,Species_Names,0))&lt;&gt;1),"N/A",RANK($R541,IF(NOT(ISNA(MATCH(Combo_Species_Names,IF(Species_Availability="Yes",IF(Species_Evo_Numbers=1,Species_Names)),0))),Combo_Duel_Ability),0))</f>
        <v>N/A</v>
      </c>
      <c r="H541" s="24" t="str">
        <f t="array" ref="H541">IF(OR(INDEX(Species_Availability,MATCH($N541,Species_Names,0))="No",INDEX(Species_Evo_Numbers,MATCH($N541,Species_Names,0))&lt;&gt;1),"N/A",$R541/MAX(IF(NOT(ISNA(MATCH(Combo_Species_Names,IF(Species_Availability="Yes",IF(Species_Evo_Numbers=1,Species_Names)),0))),Combo_Duel_Ability)))</f>
        <v>N/A</v>
      </c>
      <c r="I541" s="23" t="str">
        <f t="array" ref="I541">IF(OR(INDEX(Species_Availability,MATCH($N541,Species_Names,0))="No",INDEX(Species_Evo_Numbers,MATCH($N541,Species_Names,0))&lt;&gt;1),"N/A",RANK($S541,IF(NOT(ISNA(MATCH(Combo_Species_Names,IF(Species_Availability="Yes",IF(Species_Evo_Numbers=1,Species_Names)),0))),Combo_Gym_Offense),0))</f>
        <v>N/A</v>
      </c>
      <c r="J541" s="24" t="str">
        <f t="array" ref="J541">IF(OR(INDEX(Species_Availability,MATCH($N541,Species_Names,0))="No",INDEX(Species_Evo_Numbers,MATCH($N541,Species_Names,0))&lt;&gt;1),"N/A",$S541/MAX(IF(NOT(ISNA(MATCH(Combo_Species_Names,IF(Species_Availability="Yes",IF(Species_Evo_Numbers=1,Species_Names)),0))),Combo_Gym_Offense)))</f>
        <v>N/A</v>
      </c>
      <c r="K541" s="23" t="str">
        <f t="array" ref="K541">IF(OR(INDEX(Species_Availability,MATCH($N541,Species_Names,0))="No",INDEX(Species_Evo_Numbers,MATCH($N541,Species_Names,0))&lt;&gt;1),"N/A",RANK($Y541,IF(NOT(ISNA(MATCH(Combo_Species_Names,IF(Species_Availability="Yes",IF(Species_Evo_Numbers=1,Species_Names)),0))),Combo_Gym_Defense),0))</f>
        <v>N/A</v>
      </c>
      <c r="L541" s="24" t="str">
        <f t="array" ref="L541">IF(OR(INDEX(Species_Availability,MATCH($N541,Species_Names,0))="No",INDEX(Species_Evo_Numbers,MATCH($N541,Species_Names,0))&lt;&gt;1),"N/A",$Y541/MAX(IF(NOT(ISNA(MATCH(Combo_Species_Names,IF(Species_Availability="Yes",IF(Species_Evo_Numbers=1,Species_Names)),0))),Combo_Gym_Defense)))</f>
        <v>N/A</v>
      </c>
      <c r="M541" s="28">
        <f t="array" ref="M541">INDEX(Species_Pdex_Numbers,MATCH($N541,Species_Names,0))</f>
        <v>33</v>
      </c>
      <c r="N541" s="30" t="s">
        <v>156</v>
      </c>
      <c r="O541" s="31" t="s">
        <v>101</v>
      </c>
      <c r="P541" s="31" t="s">
        <v>275</v>
      </c>
      <c r="Q541" s="17" t="e">
        <f t="shared" si="16"/>
        <v>#VALUE!</v>
      </c>
      <c r="R541" s="32" t="e">
        <f t="array" ref="R541">IF(OR(AND(COUNTBLANK(Combo_Opponent_Type_1)=1,COUNTBLANK(Combo_Opponent_Type_2)=0),AND(AND(COUNTBLANK(Combo_Opponent_Type_1)=0,COUNTBLANK(Combo_Opponent_Type_2)=0),Combo_Opponent_Type_1=Combo_Opponent_Type_2)),
"Check Types",($S541*INDEX(Species_Tankiness,MATCH($N541,Species_Names,0)))/225)</f>
        <v>#VALUE!</v>
      </c>
      <c r="S541" s="32" t="e">
        <f t="array" ref="S541">IF(OR(AND(COUNTBLANK(Combo_Opponent_Type_1)=1,COUNTBLANK(Combo_Opponent_Type_2)=0),AND(AND(COUNTBLANK(Combo_Opponent_Type_1)=0,COUNTBLANK(Combo_Opponent_Type_2)=0),Combo_Opponent_Type_1=Combo_Opponent_Type_2)),
"Check Types",(
IF($W541&gt;=((1-Game_Weave_Human_Error)*$X541),$W541,$X541)*INDEX(Species_Attack,MATCH($N541,Species_Names,0)))/11)</f>
        <v>#VALUE!</v>
      </c>
      <c r="T541" s="33" t="e">
        <f t="shared" si="17"/>
        <v>#VALUE!</v>
      </c>
      <c r="U541" s="33">
        <f t="array" ref="U5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541,Quick_Names,0))),Type_Species)),0),1)*IF(COUNTBLANK(Combo_Opponent_Type_2)=0,INDEX(Type_Damage_Multipliers,MATCH(Combo_Opponent_Type_2,IF(Type_Move=(INDEX(Quick_Type,MATCH($O541,Quick_Names,0))),Type_Species)),0),1)*(IF(OR(INDEX(Quick_Type,MATCH($O541,Quick_Names,0))=INDEX(Species_Type_1,MATCH($N541,Species_Names,0)),INDEX(Quick_Type,MATCH($O541,Quick_Names,0))=INDEX(Species_Type_2,MATCH($N541,Species_Names,0))),Game_STAB_Multiplier,1)))</f>
        <v>1.25</v>
      </c>
      <c r="V541" s="33">
        <f t="array" ref="V5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541,Charge_Names,0))),Type_Species)),0),1)*IF(COUNTBLANK(Combo_Opponent_Type_2)=0,INDEX(Type_Damage_Multipliers,MATCH(Combo_Opponent_Type_2,IF(Type_Move=(INDEX(Charge_Type,MATCH($P541,Charge_Names,0))),Type_Species)),0),1)*
IF(OR(INDEX(Charge_Type,MATCH($P541,Charge_Names,0))=INDEX(Species_Type_1,MATCH($N541,Species_Names,0)),INDEX(Charge_Type,MATCH($P541,Charge_Names,0))=INDEX(Species_Type_2,MATCH($N541,Species_Names,0))),Game_STAB_Multiplier,1))</f>
        <v>1</v>
      </c>
      <c r="W541" s="33" t="s">
        <v>738</v>
      </c>
      <c r="X541" s="33" t="s">
        <v>984</v>
      </c>
      <c r="Y541" s="32" t="e">
        <f t="array" ref="Y541">((($Z541)*
INDEX(Species_Attack,MATCH($N541,Species_Names,0))*
INDEX(Species_Tankiness,MATCH($N541,Species_Names,0)))/1000)</f>
        <v>#VALUE!</v>
      </c>
      <c r="Z541" s="33" t="s">
        <v>985</v>
      </c>
    </row>
    <row r="542" spans="1:26" ht="14.25" customHeight="1" x14ac:dyDescent="0.2">
      <c r="A542" s="86"/>
      <c r="B542" s="22" t="str">
        <f t="array" ref="B542">CONCATENATE(TEXT($M542,"000"),".",TEXT(INDEX(Quick_Number,MATCH($O542,Quick_Names,0)),"000"),".",TEXT(INDEX(Charge_Number,MATCH($P542,Charge_Names,0)),"000"))</f>
        <v>035.234.087</v>
      </c>
      <c r="C542" s="23" t="e">
        <f t="array" ref="C542">RANK($S542,IF(Combo_Species_Names=$N542,Combo_Gym_Offense),0)</f>
        <v>#VALUE!</v>
      </c>
      <c r="D542" s="24" t="e">
        <f t="array" ref="D542">$S542/MAX(IF(Combo_Species_Names=$N542,Combo_Gym_Offense))</f>
        <v>#VALUE!</v>
      </c>
      <c r="E542" s="23" t="e">
        <f t="array" ref="E542">RANK($Y542,IF(Combo_Species_Names=$N542,Combo_Gym_Defense),0)</f>
        <v>#VALUE!</v>
      </c>
      <c r="F542" s="25" t="e">
        <f t="array" ref="F542">$Y542/MAX(IF(Combo_Species_Names=$N542,Combo_Gym_Defense))</f>
        <v>#VALUE!</v>
      </c>
      <c r="G542" s="23" t="str">
        <f t="array" ref="G542">IF(OR(INDEX(Species_Availability,MATCH($N542,Species_Names,0))="No",INDEX(Species_Evo_Numbers,MATCH($N542,Species_Names,0))&lt;&gt;1),"N/A",RANK($R542,IF(NOT(ISNA(MATCH(Combo_Species_Names,IF(Species_Availability="Yes",IF(Species_Evo_Numbers=1,Species_Names)),0))),Combo_Duel_Ability),0))</f>
        <v>N/A</v>
      </c>
      <c r="H542" s="24" t="str">
        <f t="array" ref="H542">IF(OR(INDEX(Species_Availability,MATCH($N542,Species_Names,0))="No",INDEX(Species_Evo_Numbers,MATCH($N542,Species_Names,0))&lt;&gt;1),"N/A",$R542/MAX(IF(NOT(ISNA(MATCH(Combo_Species_Names,IF(Species_Availability="Yes",IF(Species_Evo_Numbers=1,Species_Names)),0))),Combo_Duel_Ability)))</f>
        <v>N/A</v>
      </c>
      <c r="I542" s="23" t="str">
        <f t="array" ref="I542">IF(OR(INDEX(Species_Availability,MATCH($N542,Species_Names,0))="No",INDEX(Species_Evo_Numbers,MATCH($N542,Species_Names,0))&lt;&gt;1),"N/A",RANK($S542,IF(NOT(ISNA(MATCH(Combo_Species_Names,IF(Species_Availability="Yes",IF(Species_Evo_Numbers=1,Species_Names)),0))),Combo_Gym_Offense),0))</f>
        <v>N/A</v>
      </c>
      <c r="J542" s="24" t="str">
        <f t="array" ref="J542">IF(OR(INDEX(Species_Availability,MATCH($N542,Species_Names,0))="No",INDEX(Species_Evo_Numbers,MATCH($N542,Species_Names,0))&lt;&gt;1),"N/A",$S542/MAX(IF(NOT(ISNA(MATCH(Combo_Species_Names,IF(Species_Availability="Yes",IF(Species_Evo_Numbers=1,Species_Names)),0))),Combo_Gym_Offense)))</f>
        <v>N/A</v>
      </c>
      <c r="K542" s="23" t="str">
        <f t="array" ref="K542">IF(OR(INDEX(Species_Availability,MATCH($N542,Species_Names,0))="No",INDEX(Species_Evo_Numbers,MATCH($N542,Species_Names,0))&lt;&gt;1),"N/A",RANK($Y542,IF(NOT(ISNA(MATCH(Combo_Species_Names,IF(Species_Availability="Yes",IF(Species_Evo_Numbers=1,Species_Names)),0))),Combo_Gym_Defense),0))</f>
        <v>N/A</v>
      </c>
      <c r="L542" s="24" t="str">
        <f t="array" ref="L542">IF(OR(INDEX(Species_Availability,MATCH($N542,Species_Names,0))="No",INDEX(Species_Evo_Numbers,MATCH($N542,Species_Names,0))&lt;&gt;1),"N/A",$Y542/MAX(IF(NOT(ISNA(MATCH(Combo_Species_Names,IF(Species_Availability="Yes",IF(Species_Evo_Numbers=1,Species_Names)),0))),Combo_Gym_Defense)))</f>
        <v>N/A</v>
      </c>
      <c r="M542" s="28">
        <f t="array" ref="M542">INDEX(Species_Pdex_Numbers,MATCH($N542,Species_Names,0))</f>
        <v>35</v>
      </c>
      <c r="N542" s="30" t="s">
        <v>161</v>
      </c>
      <c r="O542" s="31" t="s">
        <v>79</v>
      </c>
      <c r="P542" s="31" t="s">
        <v>185</v>
      </c>
      <c r="Q542" s="17" t="e">
        <f t="shared" si="16"/>
        <v>#VALUE!</v>
      </c>
      <c r="R542" s="32" t="e">
        <f t="array" ref="R542">IF(OR(AND(COUNTBLANK(Combo_Opponent_Type_1)=1,COUNTBLANK(Combo_Opponent_Type_2)=0),AND(AND(COUNTBLANK(Combo_Opponent_Type_1)=0,COUNTBLANK(Combo_Opponent_Type_2)=0),Combo_Opponent_Type_1=Combo_Opponent_Type_2)),
"Check Types",($S542*INDEX(Species_Tankiness,MATCH($N542,Species_Names,0)))/225)</f>
        <v>#VALUE!</v>
      </c>
      <c r="S542" s="32" t="e">
        <f t="array" ref="S542">IF(OR(AND(COUNTBLANK(Combo_Opponent_Type_1)=1,COUNTBLANK(Combo_Opponent_Type_2)=0),AND(AND(COUNTBLANK(Combo_Opponent_Type_1)=0,COUNTBLANK(Combo_Opponent_Type_2)=0),Combo_Opponent_Type_1=Combo_Opponent_Type_2)),
"Check Types",(
IF($W542&gt;=((1-Game_Weave_Human_Error)*$X542),$W542,$X542)*INDEX(Species_Attack,MATCH($N542,Species_Names,0)))/11)</f>
        <v>#VALUE!</v>
      </c>
      <c r="T542" s="33" t="e">
        <f t="shared" si="17"/>
        <v>#VALUE!</v>
      </c>
      <c r="U542" s="33">
        <f t="array" ref="U5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542,Quick_Names,0))),Type_Species)),0),1)*IF(COUNTBLANK(Combo_Opponent_Type_2)=0,INDEX(Type_Damage_Multipliers,MATCH(Combo_Opponent_Type_2,IF(Type_Move=(INDEX(Quick_Type,MATCH($O542,Quick_Names,0))),Type_Species)),0),1)*(IF(OR(INDEX(Quick_Type,MATCH($O542,Quick_Names,0))=INDEX(Species_Type_1,MATCH($N542,Species_Names,0)),INDEX(Quick_Type,MATCH($O542,Quick_Names,0))=INDEX(Species_Type_2,MATCH($N542,Species_Names,0))),Game_STAB_Multiplier,1)))</f>
        <v>1</v>
      </c>
      <c r="V542" s="33">
        <f t="array" ref="V5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542,Charge_Names,0))),Type_Species)),0),1)*IF(COUNTBLANK(Combo_Opponent_Type_2)=0,INDEX(Type_Damage_Multipliers,MATCH(Combo_Opponent_Type_2,IF(Type_Move=(INDEX(Charge_Type,MATCH($P542,Charge_Names,0))),Type_Species)),0),1)*
IF(OR(INDEX(Charge_Type,MATCH($P542,Charge_Names,0))=INDEX(Species_Type_1,MATCH($N542,Species_Names,0)),INDEX(Charge_Type,MATCH($P542,Charge_Names,0))=INDEX(Species_Type_2,MATCH($N542,Species_Names,0))),Game_STAB_Multiplier,1))</f>
        <v>1.25</v>
      </c>
      <c r="W542" s="33" t="s">
        <v>419</v>
      </c>
      <c r="X542" s="33" t="s">
        <v>594</v>
      </c>
      <c r="Y542" s="32" t="e">
        <f t="array" ref="Y542">((($Z542)*
INDEX(Species_Attack,MATCH($N542,Species_Names,0))*
INDEX(Species_Tankiness,MATCH($N542,Species_Names,0)))/1000)</f>
        <v>#VALUE!</v>
      </c>
      <c r="Z542" s="33" t="s">
        <v>595</v>
      </c>
    </row>
    <row r="543" spans="1:26" ht="14.25" customHeight="1" x14ac:dyDescent="0.2">
      <c r="A543" s="86"/>
      <c r="B543" s="22" t="str">
        <f t="array" ref="B543">CONCATENATE(TEXT($M543,"000"),".",TEXT(INDEX(Quick_Number,MATCH($O543,Quick_Names,0)),"000"),".",TEXT(INDEX(Charge_Number,MATCH($P543,Charge_Names,0)),"000"))</f>
        <v>058.209.024</v>
      </c>
      <c r="C543" s="23" t="e">
        <f t="array" ref="C543">RANK($S543,IF(Combo_Species_Names=$N543,Combo_Gym_Offense),0)</f>
        <v>#VALUE!</v>
      </c>
      <c r="D543" s="24" t="e">
        <f t="array" ref="D543">$S543/MAX(IF(Combo_Species_Names=$N543,Combo_Gym_Offense))</f>
        <v>#VALUE!</v>
      </c>
      <c r="E543" s="23" t="e">
        <f t="array" ref="E543">RANK($Y543,IF(Combo_Species_Names=$N543,Combo_Gym_Defense),0)</f>
        <v>#VALUE!</v>
      </c>
      <c r="F543" s="25" t="e">
        <f t="array" ref="F543">$Y543/MAX(IF(Combo_Species_Names=$N543,Combo_Gym_Defense))</f>
        <v>#VALUE!</v>
      </c>
      <c r="G543" s="23" t="str">
        <f t="array" ref="G543">IF(OR(INDEX(Species_Availability,MATCH($N543,Species_Names,0))="No",INDEX(Species_Evo_Numbers,MATCH($N543,Species_Names,0))&lt;&gt;1),"N/A",RANK($R543,IF(NOT(ISNA(MATCH(Combo_Species_Names,IF(Species_Availability="Yes",IF(Species_Evo_Numbers=1,Species_Names)),0))),Combo_Duel_Ability),0))</f>
        <v>N/A</v>
      </c>
      <c r="H543" s="24" t="str">
        <f t="array" ref="H543">IF(OR(INDEX(Species_Availability,MATCH($N543,Species_Names,0))="No",INDEX(Species_Evo_Numbers,MATCH($N543,Species_Names,0))&lt;&gt;1),"N/A",$R543/MAX(IF(NOT(ISNA(MATCH(Combo_Species_Names,IF(Species_Availability="Yes",IF(Species_Evo_Numbers=1,Species_Names)),0))),Combo_Duel_Ability)))</f>
        <v>N/A</v>
      </c>
      <c r="I543" s="23" t="str">
        <f t="array" ref="I543">IF(OR(INDEX(Species_Availability,MATCH($N543,Species_Names,0))="No",INDEX(Species_Evo_Numbers,MATCH($N543,Species_Names,0))&lt;&gt;1),"N/A",RANK($S543,IF(NOT(ISNA(MATCH(Combo_Species_Names,IF(Species_Availability="Yes",IF(Species_Evo_Numbers=1,Species_Names)),0))),Combo_Gym_Offense),0))</f>
        <v>N/A</v>
      </c>
      <c r="J543" s="24" t="str">
        <f t="array" ref="J543">IF(OR(INDEX(Species_Availability,MATCH($N543,Species_Names,0))="No",INDEX(Species_Evo_Numbers,MATCH($N543,Species_Names,0))&lt;&gt;1),"N/A",$S543/MAX(IF(NOT(ISNA(MATCH(Combo_Species_Names,IF(Species_Availability="Yes",IF(Species_Evo_Numbers=1,Species_Names)),0))),Combo_Gym_Offense)))</f>
        <v>N/A</v>
      </c>
      <c r="K543" s="23" t="str">
        <f t="array" ref="K543">IF(OR(INDEX(Species_Availability,MATCH($N543,Species_Names,0))="No",INDEX(Species_Evo_Numbers,MATCH($N543,Species_Names,0))&lt;&gt;1),"N/A",RANK($Y543,IF(NOT(ISNA(MATCH(Combo_Species_Names,IF(Species_Availability="Yes",IF(Species_Evo_Numbers=1,Species_Names)),0))),Combo_Gym_Defense),0))</f>
        <v>N/A</v>
      </c>
      <c r="L543" s="24" t="str">
        <f t="array" ref="L543">IF(OR(INDEX(Species_Availability,MATCH($N543,Species_Names,0))="No",INDEX(Species_Evo_Numbers,MATCH($N543,Species_Names,0))&lt;&gt;1),"N/A",$Y543/MAX(IF(NOT(ISNA(MATCH(Combo_Species_Names,IF(Species_Availability="Yes",IF(Species_Evo_Numbers=1,Species_Names)),0))),Combo_Gym_Defense)))</f>
        <v>N/A</v>
      </c>
      <c r="M543" s="28">
        <f t="array" ref="M543">INDEX(Species_Pdex_Numbers,MATCH($N543,Species_Names,0))</f>
        <v>58</v>
      </c>
      <c r="N543" s="30" t="s">
        <v>205</v>
      </c>
      <c r="O543" s="31" t="s">
        <v>111</v>
      </c>
      <c r="P543" s="31" t="s">
        <v>200</v>
      </c>
      <c r="Q543" s="17" t="e">
        <f t="shared" si="16"/>
        <v>#VALUE!</v>
      </c>
      <c r="R543" s="32" t="e">
        <f t="array" ref="R543">IF(OR(AND(COUNTBLANK(Combo_Opponent_Type_1)=1,COUNTBLANK(Combo_Opponent_Type_2)=0),AND(AND(COUNTBLANK(Combo_Opponent_Type_1)=0,COUNTBLANK(Combo_Opponent_Type_2)=0),Combo_Opponent_Type_1=Combo_Opponent_Type_2)),
"Check Types",($S543*INDEX(Species_Tankiness,MATCH($N543,Species_Names,0)))/225)</f>
        <v>#VALUE!</v>
      </c>
      <c r="S543" s="32" t="e">
        <f t="array" ref="S543">IF(OR(AND(COUNTBLANK(Combo_Opponent_Type_1)=1,COUNTBLANK(Combo_Opponent_Type_2)=0),AND(AND(COUNTBLANK(Combo_Opponent_Type_1)=0,COUNTBLANK(Combo_Opponent_Type_2)=0),Combo_Opponent_Type_1=Combo_Opponent_Type_2)),
"Check Types",(
IF($W543&gt;=((1-Game_Weave_Human_Error)*$X543),$W543,$X543)*INDEX(Species_Attack,MATCH($N543,Species_Names,0)))/11)</f>
        <v>#VALUE!</v>
      </c>
      <c r="T543" s="33" t="e">
        <f t="shared" si="17"/>
        <v>#VALUE!</v>
      </c>
      <c r="U543" s="33">
        <f t="array" ref="U5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543,Quick_Names,0))),Type_Species)),0),1)*IF(COUNTBLANK(Combo_Opponent_Type_2)=0,INDEX(Type_Damage_Multipliers,MATCH(Combo_Opponent_Type_2,IF(Type_Move=(INDEX(Quick_Type,MATCH($O543,Quick_Names,0))),Type_Species)),0),1)*(IF(OR(INDEX(Quick_Type,MATCH($O543,Quick_Names,0))=INDEX(Species_Type_1,MATCH($N543,Species_Names,0)),INDEX(Quick_Type,MATCH($O543,Quick_Names,0))=INDEX(Species_Type_2,MATCH($N543,Species_Names,0))),Game_STAB_Multiplier,1)))</f>
        <v>1.25</v>
      </c>
      <c r="V543" s="33">
        <f t="array" ref="V5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543,Charge_Names,0))),Type_Species)),0),1)*IF(COUNTBLANK(Combo_Opponent_Type_2)=0,INDEX(Type_Damage_Multipliers,MATCH(Combo_Opponent_Type_2,IF(Type_Move=(INDEX(Charge_Type,MATCH($P543,Charge_Names,0))),Type_Species)),0),1)*
IF(OR(INDEX(Charge_Type,MATCH($P543,Charge_Names,0))=INDEX(Species_Type_1,MATCH($N543,Species_Names,0)),INDEX(Charge_Type,MATCH($P543,Charge_Names,0))=INDEX(Species_Type_2,MATCH($N543,Species_Names,0))),Game_STAB_Multiplier,1))</f>
        <v>1.25</v>
      </c>
      <c r="W543" s="33" t="s">
        <v>511</v>
      </c>
      <c r="X543" s="33" t="s">
        <v>560</v>
      </c>
      <c r="Y543" s="32" t="e">
        <f t="array" ref="Y543">((($Z543)*
INDEX(Species_Attack,MATCH($N543,Species_Names,0))*
INDEX(Species_Tankiness,MATCH($N543,Species_Names,0)))/1000)</f>
        <v>#VALUE!</v>
      </c>
      <c r="Z543" s="33" t="s">
        <v>561</v>
      </c>
    </row>
    <row r="544" spans="1:26" ht="14.25" customHeight="1" x14ac:dyDescent="0.2">
      <c r="A544" s="86"/>
      <c r="B544" s="22" t="str">
        <f t="array" ref="B544">CONCATENATE(TEXT($M544,"000"),".",TEXT(INDEX(Quick_Number,MATCH($O544,Quick_Names,0)),"000"),".",TEXT(INDEX(Charge_Number,MATCH($P544,Charge_Names,0)),"000"))</f>
        <v>111.233.095</v>
      </c>
      <c r="C544" s="23" t="e">
        <f t="array" ref="C544">RANK($S544,IF(Combo_Species_Names=$N544,Combo_Gym_Offense),0)</f>
        <v>#VALUE!</v>
      </c>
      <c r="D544" s="24" t="e">
        <f t="array" ref="D544">$S544/MAX(IF(Combo_Species_Names=$N544,Combo_Gym_Offense))</f>
        <v>#VALUE!</v>
      </c>
      <c r="E544" s="23" t="e">
        <f t="array" ref="E544">RANK($Y544,IF(Combo_Species_Names=$N544,Combo_Gym_Defense),0)</f>
        <v>#VALUE!</v>
      </c>
      <c r="F544" s="25" t="e">
        <f t="array" ref="F544">$Y544/MAX(IF(Combo_Species_Names=$N544,Combo_Gym_Defense))</f>
        <v>#VALUE!</v>
      </c>
      <c r="G544" s="23" t="str">
        <f t="array" ref="G544">IF(OR(INDEX(Species_Availability,MATCH($N544,Species_Names,0))="No",INDEX(Species_Evo_Numbers,MATCH($N544,Species_Names,0))&lt;&gt;1),"N/A",RANK($R544,IF(NOT(ISNA(MATCH(Combo_Species_Names,IF(Species_Availability="Yes",IF(Species_Evo_Numbers=1,Species_Names)),0))),Combo_Duel_Ability),0))</f>
        <v>N/A</v>
      </c>
      <c r="H544" s="24" t="str">
        <f t="array" ref="H544">IF(OR(INDEX(Species_Availability,MATCH($N544,Species_Names,0))="No",INDEX(Species_Evo_Numbers,MATCH($N544,Species_Names,0))&lt;&gt;1),"N/A",$R544/MAX(IF(NOT(ISNA(MATCH(Combo_Species_Names,IF(Species_Availability="Yes",IF(Species_Evo_Numbers=1,Species_Names)),0))),Combo_Duel_Ability)))</f>
        <v>N/A</v>
      </c>
      <c r="I544" s="23" t="str">
        <f t="array" ref="I544">IF(OR(INDEX(Species_Availability,MATCH($N544,Species_Names,0))="No",INDEX(Species_Evo_Numbers,MATCH($N544,Species_Names,0))&lt;&gt;1),"N/A",RANK($S544,IF(NOT(ISNA(MATCH(Combo_Species_Names,IF(Species_Availability="Yes",IF(Species_Evo_Numbers=1,Species_Names)),0))),Combo_Gym_Offense),0))</f>
        <v>N/A</v>
      </c>
      <c r="J544" s="24" t="str">
        <f t="array" ref="J544">IF(OR(INDEX(Species_Availability,MATCH($N544,Species_Names,0))="No",INDEX(Species_Evo_Numbers,MATCH($N544,Species_Names,0))&lt;&gt;1),"N/A",$S544/MAX(IF(NOT(ISNA(MATCH(Combo_Species_Names,IF(Species_Availability="Yes",IF(Species_Evo_Numbers=1,Species_Names)),0))),Combo_Gym_Offense)))</f>
        <v>N/A</v>
      </c>
      <c r="K544" s="23" t="str">
        <f t="array" ref="K544">IF(OR(INDEX(Species_Availability,MATCH($N544,Species_Names,0))="No",INDEX(Species_Evo_Numbers,MATCH($N544,Species_Names,0))&lt;&gt;1),"N/A",RANK($Y544,IF(NOT(ISNA(MATCH(Combo_Species_Names,IF(Species_Availability="Yes",IF(Species_Evo_Numbers=1,Species_Names)),0))),Combo_Gym_Defense),0))</f>
        <v>N/A</v>
      </c>
      <c r="L544" s="24" t="str">
        <f t="array" ref="L544">IF(OR(INDEX(Species_Availability,MATCH($N544,Species_Names,0))="No",INDEX(Species_Evo_Numbers,MATCH($N544,Species_Names,0))&lt;&gt;1),"N/A",$Y544/MAX(IF(NOT(ISNA(MATCH(Combo_Species_Names,IF(Species_Availability="Yes",IF(Species_Evo_Numbers=1,Species_Names)),0))),Combo_Gym_Defense)))</f>
        <v>N/A</v>
      </c>
      <c r="M544" s="28">
        <f t="array" ref="M544">INDEX(Species_Pdex_Numbers,MATCH($N544,Species_Names,0))</f>
        <v>111</v>
      </c>
      <c r="N544" s="30" t="s">
        <v>324</v>
      </c>
      <c r="O544" s="31" t="s">
        <v>84</v>
      </c>
      <c r="P544" s="31" t="s">
        <v>291</v>
      </c>
      <c r="Q544" s="17" t="e">
        <f t="shared" si="16"/>
        <v>#VALUE!</v>
      </c>
      <c r="R544" s="32" t="e">
        <f t="array" ref="R544">IF(OR(AND(COUNTBLANK(Combo_Opponent_Type_1)=1,COUNTBLANK(Combo_Opponent_Type_2)=0),AND(AND(COUNTBLANK(Combo_Opponent_Type_1)=0,COUNTBLANK(Combo_Opponent_Type_2)=0),Combo_Opponent_Type_1=Combo_Opponent_Type_2)),
"Check Types",($S544*INDEX(Species_Tankiness,MATCH($N544,Species_Names,0)))/225)</f>
        <v>#VALUE!</v>
      </c>
      <c r="S544" s="32" t="e">
        <f t="array" ref="S544">IF(OR(AND(COUNTBLANK(Combo_Opponent_Type_1)=1,COUNTBLANK(Combo_Opponent_Type_2)=0),AND(AND(COUNTBLANK(Combo_Opponent_Type_1)=0,COUNTBLANK(Combo_Opponent_Type_2)=0),Combo_Opponent_Type_1=Combo_Opponent_Type_2)),
"Check Types",(
IF($W544&gt;=((1-Game_Weave_Human_Error)*$X544),$W544,$X544)*INDEX(Species_Attack,MATCH($N544,Species_Names,0)))/11)</f>
        <v>#VALUE!</v>
      </c>
      <c r="T544" s="33" t="e">
        <f t="shared" si="17"/>
        <v>#VALUE!</v>
      </c>
      <c r="U544" s="33">
        <f t="array" ref="U5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544,Quick_Names,0))),Type_Species)),0),1)*IF(COUNTBLANK(Combo_Opponent_Type_2)=0,INDEX(Type_Damage_Multipliers,MATCH(Combo_Opponent_Type_2,IF(Type_Move=(INDEX(Quick_Type,MATCH($O544,Quick_Names,0))),Type_Species)),0),1)*(IF(OR(INDEX(Quick_Type,MATCH($O544,Quick_Names,0))=INDEX(Species_Type_1,MATCH($N544,Species_Names,0)),INDEX(Quick_Type,MATCH($O544,Quick_Names,0))=INDEX(Species_Type_2,MATCH($N544,Species_Names,0))),Game_STAB_Multiplier,1)))</f>
        <v>1.25</v>
      </c>
      <c r="V544" s="33">
        <f t="array" ref="V5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544,Charge_Names,0))),Type_Species)),0),1)*IF(COUNTBLANK(Combo_Opponent_Type_2)=0,INDEX(Type_Damage_Multipliers,MATCH(Combo_Opponent_Type_2,IF(Type_Move=(INDEX(Charge_Type,MATCH($P544,Charge_Names,0))),Type_Species)),0),1)*
IF(OR(INDEX(Charge_Type,MATCH($P544,Charge_Names,0))=INDEX(Species_Type_1,MATCH($N544,Species_Names,0)),INDEX(Charge_Type,MATCH($P544,Charge_Names,0))=INDEX(Species_Type_2,MATCH($N544,Species_Names,0))),Game_STAB_Multiplier,1))</f>
        <v>1.25</v>
      </c>
      <c r="W544" s="33" t="s">
        <v>436</v>
      </c>
      <c r="X544" s="33" t="s">
        <v>986</v>
      </c>
      <c r="Y544" s="32" t="e">
        <f t="array" ref="Y544">((($Z544)*
INDEX(Species_Attack,MATCH($N544,Species_Names,0))*
INDEX(Species_Tankiness,MATCH($N544,Species_Names,0)))/1000)</f>
        <v>#VALUE!</v>
      </c>
      <c r="Z544" s="33" t="s">
        <v>987</v>
      </c>
    </row>
    <row r="545" spans="1:26" ht="14.25" customHeight="1" x14ac:dyDescent="0.2">
      <c r="A545" s="86"/>
      <c r="B545" s="22" t="str">
        <f t="array" ref="B545">CONCATENATE(TEXT($M545,"000"),".",TEXT(INDEX(Quick_Number,MATCH($O545,Quick_Names,0)),"000"),".",TEXT(INDEX(Charge_Number,MATCH($P545,Charge_Names,0)),"000"))</f>
        <v>111.233.127</v>
      </c>
      <c r="C545" s="23" t="e">
        <f t="array" ref="C545">RANK($S545,IF(Combo_Species_Names=$N545,Combo_Gym_Offense),0)</f>
        <v>#VALUE!</v>
      </c>
      <c r="D545" s="24" t="e">
        <f t="array" ref="D545">$S545/MAX(IF(Combo_Species_Names=$N545,Combo_Gym_Offense))</f>
        <v>#VALUE!</v>
      </c>
      <c r="E545" s="23" t="e">
        <f t="array" ref="E545">RANK($Y545,IF(Combo_Species_Names=$N545,Combo_Gym_Defense),0)</f>
        <v>#VALUE!</v>
      </c>
      <c r="F545" s="25" t="e">
        <f t="array" ref="F545">$Y545/MAX(IF(Combo_Species_Names=$N545,Combo_Gym_Defense))</f>
        <v>#VALUE!</v>
      </c>
      <c r="G545" s="23" t="str">
        <f t="array" ref="G545">IF(OR(INDEX(Species_Availability,MATCH($N545,Species_Names,0))="No",INDEX(Species_Evo_Numbers,MATCH($N545,Species_Names,0))&lt;&gt;1),"N/A",RANK($R545,IF(NOT(ISNA(MATCH(Combo_Species_Names,IF(Species_Availability="Yes",IF(Species_Evo_Numbers=1,Species_Names)),0))),Combo_Duel_Ability),0))</f>
        <v>N/A</v>
      </c>
      <c r="H545" s="24" t="str">
        <f t="array" ref="H545">IF(OR(INDEX(Species_Availability,MATCH($N545,Species_Names,0))="No",INDEX(Species_Evo_Numbers,MATCH($N545,Species_Names,0))&lt;&gt;1),"N/A",$R545/MAX(IF(NOT(ISNA(MATCH(Combo_Species_Names,IF(Species_Availability="Yes",IF(Species_Evo_Numbers=1,Species_Names)),0))),Combo_Duel_Ability)))</f>
        <v>N/A</v>
      </c>
      <c r="I545" s="23" t="str">
        <f t="array" ref="I545">IF(OR(INDEX(Species_Availability,MATCH($N545,Species_Names,0))="No",INDEX(Species_Evo_Numbers,MATCH($N545,Species_Names,0))&lt;&gt;1),"N/A",RANK($S545,IF(NOT(ISNA(MATCH(Combo_Species_Names,IF(Species_Availability="Yes",IF(Species_Evo_Numbers=1,Species_Names)),0))),Combo_Gym_Offense),0))</f>
        <v>N/A</v>
      </c>
      <c r="J545" s="24" t="str">
        <f t="array" ref="J545">IF(OR(INDEX(Species_Availability,MATCH($N545,Species_Names,0))="No",INDEX(Species_Evo_Numbers,MATCH($N545,Species_Names,0))&lt;&gt;1),"N/A",$S545/MAX(IF(NOT(ISNA(MATCH(Combo_Species_Names,IF(Species_Availability="Yes",IF(Species_Evo_Numbers=1,Species_Names)),0))),Combo_Gym_Offense)))</f>
        <v>N/A</v>
      </c>
      <c r="K545" s="23" t="str">
        <f t="array" ref="K545">IF(OR(INDEX(Species_Availability,MATCH($N545,Species_Names,0))="No",INDEX(Species_Evo_Numbers,MATCH($N545,Species_Names,0))&lt;&gt;1),"N/A",RANK($Y545,IF(NOT(ISNA(MATCH(Combo_Species_Names,IF(Species_Availability="Yes",IF(Species_Evo_Numbers=1,Species_Names)),0))),Combo_Gym_Defense),0))</f>
        <v>N/A</v>
      </c>
      <c r="L545" s="24" t="str">
        <f t="array" ref="L545">IF(OR(INDEX(Species_Availability,MATCH($N545,Species_Names,0))="No",INDEX(Species_Evo_Numbers,MATCH($N545,Species_Names,0))&lt;&gt;1),"N/A",$Y545/MAX(IF(NOT(ISNA(MATCH(Combo_Species_Names,IF(Species_Availability="Yes",IF(Species_Evo_Numbers=1,Species_Names)),0))),Combo_Gym_Defense)))</f>
        <v>N/A</v>
      </c>
      <c r="M545" s="28">
        <f t="array" ref="M545">INDEX(Species_Pdex_Numbers,MATCH($N545,Species_Names,0))</f>
        <v>111</v>
      </c>
      <c r="N545" s="30" t="s">
        <v>324</v>
      </c>
      <c r="O545" s="31" t="s">
        <v>84</v>
      </c>
      <c r="P545" s="31" t="s">
        <v>241</v>
      </c>
      <c r="Q545" s="17" t="e">
        <f t="shared" si="16"/>
        <v>#VALUE!</v>
      </c>
      <c r="R545" s="32" t="e">
        <f t="array" ref="R545">IF(OR(AND(COUNTBLANK(Combo_Opponent_Type_1)=1,COUNTBLANK(Combo_Opponent_Type_2)=0),AND(AND(COUNTBLANK(Combo_Opponent_Type_1)=0,COUNTBLANK(Combo_Opponent_Type_2)=0),Combo_Opponent_Type_1=Combo_Opponent_Type_2)),
"Check Types",($S545*INDEX(Species_Tankiness,MATCH($N545,Species_Names,0)))/225)</f>
        <v>#VALUE!</v>
      </c>
      <c r="S545" s="32" t="e">
        <f t="array" ref="S545">IF(OR(AND(COUNTBLANK(Combo_Opponent_Type_1)=1,COUNTBLANK(Combo_Opponent_Type_2)=0),AND(AND(COUNTBLANK(Combo_Opponent_Type_1)=0,COUNTBLANK(Combo_Opponent_Type_2)=0),Combo_Opponent_Type_1=Combo_Opponent_Type_2)),
"Check Types",(
IF($W545&gt;=((1-Game_Weave_Human_Error)*$X545),$W545,$X545)*INDEX(Species_Attack,MATCH($N545,Species_Names,0)))/11)</f>
        <v>#VALUE!</v>
      </c>
      <c r="T545" s="33" t="e">
        <f t="shared" si="17"/>
        <v>#VALUE!</v>
      </c>
      <c r="U545" s="33">
        <f t="array" ref="U5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545,Quick_Names,0))),Type_Species)),0),1)*IF(COUNTBLANK(Combo_Opponent_Type_2)=0,INDEX(Type_Damage_Multipliers,MATCH(Combo_Opponent_Type_2,IF(Type_Move=(INDEX(Quick_Type,MATCH($O545,Quick_Names,0))),Type_Species)),0),1)*(IF(OR(INDEX(Quick_Type,MATCH($O545,Quick_Names,0))=INDEX(Species_Type_1,MATCH($N545,Species_Names,0)),INDEX(Quick_Type,MATCH($O545,Quick_Names,0))=INDEX(Species_Type_2,MATCH($N545,Species_Names,0))),Game_STAB_Multiplier,1)))</f>
        <v>1.25</v>
      </c>
      <c r="V545" s="33">
        <f t="array" ref="V5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545,Charge_Names,0))),Type_Species)),0),1)*IF(COUNTBLANK(Combo_Opponent_Type_2)=0,INDEX(Type_Damage_Multipliers,MATCH(Combo_Opponent_Type_2,IF(Type_Move=(INDEX(Charge_Type,MATCH($P545,Charge_Names,0))),Type_Species)),0),1)*
IF(OR(INDEX(Charge_Type,MATCH($P545,Charge_Names,0))=INDEX(Species_Type_1,MATCH($N545,Species_Names,0)),INDEX(Charge_Type,MATCH($P545,Charge_Names,0))=INDEX(Species_Type_2,MATCH($N545,Species_Names,0))),Game_STAB_Multiplier,1))</f>
        <v>1</v>
      </c>
      <c r="W545" s="33" t="s">
        <v>436</v>
      </c>
      <c r="X545" s="33" t="s">
        <v>752</v>
      </c>
      <c r="Y545" s="32" t="e">
        <f t="array" ref="Y545">((($Z545)*
INDEX(Species_Attack,MATCH($N545,Species_Names,0))*
INDEX(Species_Tankiness,MATCH($N545,Species_Names,0)))/1000)</f>
        <v>#VALUE!</v>
      </c>
      <c r="Z545" s="33" t="s">
        <v>988</v>
      </c>
    </row>
    <row r="546" spans="1:26" ht="14.25" customHeight="1" x14ac:dyDescent="0.2">
      <c r="A546" s="86"/>
      <c r="B546" s="22" t="str">
        <f t="array" ref="B546">CONCATENATE(TEXT($M546,"000"),".",TEXT(INDEX(Quick_Number,MATCH($O546,Quick_Names,0)),"000"),".",TEXT(INDEX(Charge_Number,MATCH($P546,Charge_Names,0)),"000"))</f>
        <v>111.233.126</v>
      </c>
      <c r="C546" s="23" t="e">
        <f t="array" ref="C546">RANK($S546,IF(Combo_Species_Names=$N546,Combo_Gym_Offense),0)</f>
        <v>#VALUE!</v>
      </c>
      <c r="D546" s="24" t="e">
        <f t="array" ref="D546">$S546/MAX(IF(Combo_Species_Names=$N546,Combo_Gym_Offense))</f>
        <v>#VALUE!</v>
      </c>
      <c r="E546" s="23" t="e">
        <f t="array" ref="E546">RANK($Y546,IF(Combo_Species_Names=$N546,Combo_Gym_Defense),0)</f>
        <v>#VALUE!</v>
      </c>
      <c r="F546" s="25" t="e">
        <f t="array" ref="F546">$Y546/MAX(IF(Combo_Species_Names=$N546,Combo_Gym_Defense))</f>
        <v>#VALUE!</v>
      </c>
      <c r="G546" s="23" t="str">
        <f t="array" ref="G546">IF(OR(INDEX(Species_Availability,MATCH($N546,Species_Names,0))="No",INDEX(Species_Evo_Numbers,MATCH($N546,Species_Names,0))&lt;&gt;1),"N/A",RANK($R546,IF(NOT(ISNA(MATCH(Combo_Species_Names,IF(Species_Availability="Yes",IF(Species_Evo_Numbers=1,Species_Names)),0))),Combo_Duel_Ability),0))</f>
        <v>N/A</v>
      </c>
      <c r="H546" s="24" t="str">
        <f t="array" ref="H546">IF(OR(INDEX(Species_Availability,MATCH($N546,Species_Names,0))="No",INDEX(Species_Evo_Numbers,MATCH($N546,Species_Names,0))&lt;&gt;1),"N/A",$R546/MAX(IF(NOT(ISNA(MATCH(Combo_Species_Names,IF(Species_Availability="Yes",IF(Species_Evo_Numbers=1,Species_Names)),0))),Combo_Duel_Ability)))</f>
        <v>N/A</v>
      </c>
      <c r="I546" s="23" t="str">
        <f t="array" ref="I546">IF(OR(INDEX(Species_Availability,MATCH($N546,Species_Names,0))="No",INDEX(Species_Evo_Numbers,MATCH($N546,Species_Names,0))&lt;&gt;1),"N/A",RANK($S546,IF(NOT(ISNA(MATCH(Combo_Species_Names,IF(Species_Availability="Yes",IF(Species_Evo_Numbers=1,Species_Names)),0))),Combo_Gym_Offense),0))</f>
        <v>N/A</v>
      </c>
      <c r="J546" s="24" t="str">
        <f t="array" ref="J546">IF(OR(INDEX(Species_Availability,MATCH($N546,Species_Names,0))="No",INDEX(Species_Evo_Numbers,MATCH($N546,Species_Names,0))&lt;&gt;1),"N/A",$S546/MAX(IF(NOT(ISNA(MATCH(Combo_Species_Names,IF(Species_Availability="Yes",IF(Species_Evo_Numbers=1,Species_Names)),0))),Combo_Gym_Offense)))</f>
        <v>N/A</v>
      </c>
      <c r="K546" s="23" t="str">
        <f t="array" ref="K546">IF(OR(INDEX(Species_Availability,MATCH($N546,Species_Names,0))="No",INDEX(Species_Evo_Numbers,MATCH($N546,Species_Names,0))&lt;&gt;1),"N/A",RANK($Y546,IF(NOT(ISNA(MATCH(Combo_Species_Names,IF(Species_Availability="Yes",IF(Species_Evo_Numbers=1,Species_Names)),0))),Combo_Gym_Defense),0))</f>
        <v>N/A</v>
      </c>
      <c r="L546" s="24" t="str">
        <f t="array" ref="L546">IF(OR(INDEX(Species_Availability,MATCH($N546,Species_Names,0))="No",INDEX(Species_Evo_Numbers,MATCH($N546,Species_Names,0))&lt;&gt;1),"N/A",$Y546/MAX(IF(NOT(ISNA(MATCH(Combo_Species_Names,IF(Species_Availability="Yes",IF(Species_Evo_Numbers=1,Species_Names)),0))),Combo_Gym_Defense)))</f>
        <v>N/A</v>
      </c>
      <c r="M546" s="28">
        <f t="array" ref="M546">INDEX(Species_Pdex_Numbers,MATCH($N546,Species_Names,0))</f>
        <v>111</v>
      </c>
      <c r="N546" s="30" t="s">
        <v>324</v>
      </c>
      <c r="O546" s="31" t="s">
        <v>84</v>
      </c>
      <c r="P546" s="31" t="s">
        <v>275</v>
      </c>
      <c r="Q546" s="17" t="e">
        <f t="shared" si="16"/>
        <v>#VALUE!</v>
      </c>
      <c r="R546" s="32" t="e">
        <f t="array" ref="R546">IF(OR(AND(COUNTBLANK(Combo_Opponent_Type_1)=1,COUNTBLANK(Combo_Opponent_Type_2)=0),AND(AND(COUNTBLANK(Combo_Opponent_Type_1)=0,COUNTBLANK(Combo_Opponent_Type_2)=0),Combo_Opponent_Type_1=Combo_Opponent_Type_2)),
"Check Types",($S546*INDEX(Species_Tankiness,MATCH($N546,Species_Names,0)))/225)</f>
        <v>#VALUE!</v>
      </c>
      <c r="S546" s="32" t="e">
        <f t="array" ref="S546">IF(OR(AND(COUNTBLANK(Combo_Opponent_Type_1)=1,COUNTBLANK(Combo_Opponent_Type_2)=0),AND(AND(COUNTBLANK(Combo_Opponent_Type_1)=0,COUNTBLANK(Combo_Opponent_Type_2)=0),Combo_Opponent_Type_1=Combo_Opponent_Type_2)),
"Check Types",(
IF($W546&gt;=((1-Game_Weave_Human_Error)*$X546),$W546,$X546)*INDEX(Species_Attack,MATCH($N546,Species_Names,0)))/11)</f>
        <v>#VALUE!</v>
      </c>
      <c r="T546" s="33" t="e">
        <f t="shared" si="17"/>
        <v>#VALUE!</v>
      </c>
      <c r="U546" s="33">
        <f t="array" ref="U5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546,Quick_Names,0))),Type_Species)),0),1)*IF(COUNTBLANK(Combo_Opponent_Type_2)=0,INDEX(Type_Damage_Multipliers,MATCH(Combo_Opponent_Type_2,IF(Type_Move=(INDEX(Quick_Type,MATCH($O546,Quick_Names,0))),Type_Species)),0),1)*(IF(OR(INDEX(Quick_Type,MATCH($O546,Quick_Names,0))=INDEX(Species_Type_1,MATCH($N546,Species_Names,0)),INDEX(Quick_Type,MATCH($O546,Quick_Names,0))=INDEX(Species_Type_2,MATCH($N546,Species_Names,0))),Game_STAB_Multiplier,1)))</f>
        <v>1.25</v>
      </c>
      <c r="V546" s="33">
        <f t="array" ref="V5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546,Charge_Names,0))),Type_Species)),0),1)*IF(COUNTBLANK(Combo_Opponent_Type_2)=0,INDEX(Type_Damage_Multipliers,MATCH(Combo_Opponent_Type_2,IF(Type_Move=(INDEX(Charge_Type,MATCH($P546,Charge_Names,0))),Type_Species)),0),1)*
IF(OR(INDEX(Charge_Type,MATCH($P546,Charge_Names,0))=INDEX(Species_Type_1,MATCH($N546,Species_Names,0)),INDEX(Charge_Type,MATCH($P546,Charge_Names,0))=INDEX(Species_Type_2,MATCH($N546,Species_Names,0))),Game_STAB_Multiplier,1))</f>
        <v>1</v>
      </c>
      <c r="W546" s="33" t="s">
        <v>436</v>
      </c>
      <c r="X546" s="33" t="s">
        <v>989</v>
      </c>
      <c r="Y546" s="32" t="e">
        <f t="array" ref="Y546">((($Z546)*
INDEX(Species_Attack,MATCH($N546,Species_Names,0))*
INDEX(Species_Tankiness,MATCH($N546,Species_Names,0)))/1000)</f>
        <v>#VALUE!</v>
      </c>
      <c r="Z546" s="33" t="s">
        <v>570</v>
      </c>
    </row>
    <row r="547" spans="1:26" ht="14.25" customHeight="1" x14ac:dyDescent="0.2">
      <c r="A547" s="86"/>
      <c r="B547" s="22" t="str">
        <f t="array" ref="B547">CONCATENATE(TEXT($M547,"000"),".",TEXT(INDEX(Quick_Number,MATCH($O547,Quick_Names,0)),"000"),".",TEXT(INDEX(Charge_Number,MATCH($P547,Charge_Names,0)),"000"))</f>
        <v>086.230.057</v>
      </c>
      <c r="C547" s="23" t="e">
        <f t="array" ref="C547">RANK($S547,IF(Combo_Species_Names=$N547,Combo_Gym_Offense),0)</f>
        <v>#VALUE!</v>
      </c>
      <c r="D547" s="24" t="e">
        <f t="array" ref="D547">$S547/MAX(IF(Combo_Species_Names=$N547,Combo_Gym_Offense))</f>
        <v>#VALUE!</v>
      </c>
      <c r="E547" s="23" t="e">
        <f t="array" ref="E547">RANK($Y547,IF(Combo_Species_Names=$N547,Combo_Gym_Defense),0)</f>
        <v>#VALUE!</v>
      </c>
      <c r="F547" s="25" t="e">
        <f t="array" ref="F547">$Y547/MAX(IF(Combo_Species_Names=$N547,Combo_Gym_Defense))</f>
        <v>#VALUE!</v>
      </c>
      <c r="G547" s="23" t="str">
        <f t="array" ref="G547">IF(OR(INDEX(Species_Availability,MATCH($N547,Species_Names,0))="No",INDEX(Species_Evo_Numbers,MATCH($N547,Species_Names,0))&lt;&gt;1),"N/A",RANK($R547,IF(NOT(ISNA(MATCH(Combo_Species_Names,IF(Species_Availability="Yes",IF(Species_Evo_Numbers=1,Species_Names)),0))),Combo_Duel_Ability),0))</f>
        <v>N/A</v>
      </c>
      <c r="H547" s="24" t="str">
        <f t="array" ref="H547">IF(OR(INDEX(Species_Availability,MATCH($N547,Species_Names,0))="No",INDEX(Species_Evo_Numbers,MATCH($N547,Species_Names,0))&lt;&gt;1),"N/A",$R547/MAX(IF(NOT(ISNA(MATCH(Combo_Species_Names,IF(Species_Availability="Yes",IF(Species_Evo_Numbers=1,Species_Names)),0))),Combo_Duel_Ability)))</f>
        <v>N/A</v>
      </c>
      <c r="I547" s="23" t="str">
        <f t="array" ref="I547">IF(OR(INDEX(Species_Availability,MATCH($N547,Species_Names,0))="No",INDEX(Species_Evo_Numbers,MATCH($N547,Species_Names,0))&lt;&gt;1),"N/A",RANK($S547,IF(NOT(ISNA(MATCH(Combo_Species_Names,IF(Species_Availability="Yes",IF(Species_Evo_Numbers=1,Species_Names)),0))),Combo_Gym_Offense),0))</f>
        <v>N/A</v>
      </c>
      <c r="J547" s="24" t="str">
        <f t="array" ref="J547">IF(OR(INDEX(Species_Availability,MATCH($N547,Species_Names,0))="No",INDEX(Species_Evo_Numbers,MATCH($N547,Species_Names,0))&lt;&gt;1),"N/A",$S547/MAX(IF(NOT(ISNA(MATCH(Combo_Species_Names,IF(Species_Availability="Yes",IF(Species_Evo_Numbers=1,Species_Names)),0))),Combo_Gym_Offense)))</f>
        <v>N/A</v>
      </c>
      <c r="K547" s="23" t="str">
        <f t="array" ref="K547">IF(OR(INDEX(Species_Availability,MATCH($N547,Species_Names,0))="No",INDEX(Species_Evo_Numbers,MATCH($N547,Species_Names,0))&lt;&gt;1),"N/A",RANK($Y547,IF(NOT(ISNA(MATCH(Combo_Species_Names,IF(Species_Availability="Yes",IF(Species_Evo_Numbers=1,Species_Names)),0))),Combo_Gym_Defense),0))</f>
        <v>N/A</v>
      </c>
      <c r="L547" s="24" t="str">
        <f t="array" ref="L547">IF(OR(INDEX(Species_Availability,MATCH($N547,Species_Names,0))="No",INDEX(Species_Evo_Numbers,MATCH($N547,Species_Names,0))&lt;&gt;1),"N/A",$Y547/MAX(IF(NOT(ISNA(MATCH(Combo_Species_Names,IF(Species_Availability="Yes",IF(Species_Evo_Numbers=1,Species_Names)),0))),Combo_Gym_Defense)))</f>
        <v>N/A</v>
      </c>
      <c r="M547" s="28">
        <f t="array" ref="M547">INDEX(Species_Pdex_Numbers,MATCH($N547,Species_Names,0))</f>
        <v>86</v>
      </c>
      <c r="N547" s="30" t="s">
        <v>265</v>
      </c>
      <c r="O547" s="31" t="s">
        <v>65</v>
      </c>
      <c r="P547" s="31" t="s">
        <v>280</v>
      </c>
      <c r="Q547" s="17" t="e">
        <f t="shared" si="16"/>
        <v>#VALUE!</v>
      </c>
      <c r="R547" s="32" t="e">
        <f t="array" ref="R547">IF(OR(AND(COUNTBLANK(Combo_Opponent_Type_1)=1,COUNTBLANK(Combo_Opponent_Type_2)=0),AND(AND(COUNTBLANK(Combo_Opponent_Type_1)=0,COUNTBLANK(Combo_Opponent_Type_2)=0),Combo_Opponent_Type_1=Combo_Opponent_Type_2)),
"Check Types",($S547*INDEX(Species_Tankiness,MATCH($N547,Species_Names,0)))/225)</f>
        <v>#VALUE!</v>
      </c>
      <c r="S547" s="32" t="e">
        <f t="array" ref="S547">IF(OR(AND(COUNTBLANK(Combo_Opponent_Type_1)=1,COUNTBLANK(Combo_Opponent_Type_2)=0),AND(AND(COUNTBLANK(Combo_Opponent_Type_1)=0,COUNTBLANK(Combo_Opponent_Type_2)=0),Combo_Opponent_Type_1=Combo_Opponent_Type_2)),
"Check Types",(
IF($W547&gt;=((1-Game_Weave_Human_Error)*$X547),$W547,$X547)*INDEX(Species_Attack,MATCH($N547,Species_Names,0)))/11)</f>
        <v>#VALUE!</v>
      </c>
      <c r="T547" s="33" t="e">
        <f t="shared" si="17"/>
        <v>#VALUE!</v>
      </c>
      <c r="U547" s="33">
        <f t="array" ref="U5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547,Quick_Names,0))),Type_Species)),0),1)*IF(COUNTBLANK(Combo_Opponent_Type_2)=0,INDEX(Type_Damage_Multipliers,MATCH(Combo_Opponent_Type_2,IF(Type_Move=(INDEX(Quick_Type,MATCH($O547,Quick_Names,0))),Type_Species)),0),1)*(IF(OR(INDEX(Quick_Type,MATCH($O547,Quick_Names,0))=INDEX(Species_Type_1,MATCH($N547,Species_Names,0)),INDEX(Quick_Type,MATCH($O547,Quick_Names,0))=INDEX(Species_Type_2,MATCH($N547,Species_Names,0))),Game_STAB_Multiplier,1)))</f>
        <v>1.25</v>
      </c>
      <c r="V547" s="33">
        <f t="array" ref="V5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547,Charge_Names,0))),Type_Species)),0),1)*IF(COUNTBLANK(Combo_Opponent_Type_2)=0,INDEX(Type_Damage_Multipliers,MATCH(Combo_Opponent_Type_2,IF(Type_Move=(INDEX(Charge_Type,MATCH($P547,Charge_Names,0))),Type_Species)),0),1)*
IF(OR(INDEX(Charge_Type,MATCH($P547,Charge_Names,0))=INDEX(Species_Type_1,MATCH($N547,Species_Names,0)),INDEX(Charge_Type,MATCH($P547,Charge_Names,0))=INDEX(Species_Type_2,MATCH($N547,Species_Names,0))),Game_STAB_Multiplier,1))</f>
        <v>1.25</v>
      </c>
      <c r="W547" s="33" t="s">
        <v>412</v>
      </c>
      <c r="X547" s="33" t="s">
        <v>949</v>
      </c>
      <c r="Y547" s="32" t="e">
        <f t="array" ref="Y547">((($Z547)*
INDEX(Species_Attack,MATCH($N547,Species_Names,0))*
INDEX(Species_Tankiness,MATCH($N547,Species_Names,0)))/1000)</f>
        <v>#VALUE!</v>
      </c>
      <c r="Z547" s="33" t="s">
        <v>950</v>
      </c>
    </row>
    <row r="548" spans="1:26" ht="14.25" customHeight="1" x14ac:dyDescent="0.2">
      <c r="A548" s="86"/>
      <c r="B548" s="22" t="str">
        <f t="array" ref="B548">CONCATENATE(TEXT($M548,"000"),".",TEXT(INDEX(Quick_Number,MATCH($O548,Quick_Names,0)),"000"),".",TEXT(INDEX(Charge_Number,MATCH($P548,Charge_Names,0)),"000"))</f>
        <v>086.230.111</v>
      </c>
      <c r="C548" s="23" t="e">
        <f t="array" ref="C548">RANK($S548,IF(Combo_Species_Names=$N548,Combo_Gym_Offense),0)</f>
        <v>#VALUE!</v>
      </c>
      <c r="D548" s="24" t="e">
        <f t="array" ref="D548">$S548/MAX(IF(Combo_Species_Names=$N548,Combo_Gym_Offense))</f>
        <v>#VALUE!</v>
      </c>
      <c r="E548" s="23" t="e">
        <f t="array" ref="E548">RANK($Y548,IF(Combo_Species_Names=$N548,Combo_Gym_Defense),0)</f>
        <v>#VALUE!</v>
      </c>
      <c r="F548" s="25" t="e">
        <f t="array" ref="F548">$Y548/MAX(IF(Combo_Species_Names=$N548,Combo_Gym_Defense))</f>
        <v>#VALUE!</v>
      </c>
      <c r="G548" s="23" t="str">
        <f t="array" ref="G548">IF(OR(INDEX(Species_Availability,MATCH($N548,Species_Names,0))="No",INDEX(Species_Evo_Numbers,MATCH($N548,Species_Names,0))&lt;&gt;1),"N/A",RANK($R548,IF(NOT(ISNA(MATCH(Combo_Species_Names,IF(Species_Availability="Yes",IF(Species_Evo_Numbers=1,Species_Names)),0))),Combo_Duel_Ability),0))</f>
        <v>N/A</v>
      </c>
      <c r="H548" s="24" t="str">
        <f t="array" ref="H548">IF(OR(INDEX(Species_Availability,MATCH($N548,Species_Names,0))="No",INDEX(Species_Evo_Numbers,MATCH($N548,Species_Names,0))&lt;&gt;1),"N/A",$R548/MAX(IF(NOT(ISNA(MATCH(Combo_Species_Names,IF(Species_Availability="Yes",IF(Species_Evo_Numbers=1,Species_Names)),0))),Combo_Duel_Ability)))</f>
        <v>N/A</v>
      </c>
      <c r="I548" s="23" t="str">
        <f t="array" ref="I548">IF(OR(INDEX(Species_Availability,MATCH($N548,Species_Names,0))="No",INDEX(Species_Evo_Numbers,MATCH($N548,Species_Names,0))&lt;&gt;1),"N/A",RANK($S548,IF(NOT(ISNA(MATCH(Combo_Species_Names,IF(Species_Availability="Yes",IF(Species_Evo_Numbers=1,Species_Names)),0))),Combo_Gym_Offense),0))</f>
        <v>N/A</v>
      </c>
      <c r="J548" s="24" t="str">
        <f t="array" ref="J548">IF(OR(INDEX(Species_Availability,MATCH($N548,Species_Names,0))="No",INDEX(Species_Evo_Numbers,MATCH($N548,Species_Names,0))&lt;&gt;1),"N/A",$S548/MAX(IF(NOT(ISNA(MATCH(Combo_Species_Names,IF(Species_Availability="Yes",IF(Species_Evo_Numbers=1,Species_Names)),0))),Combo_Gym_Offense)))</f>
        <v>N/A</v>
      </c>
      <c r="K548" s="23" t="str">
        <f t="array" ref="K548">IF(OR(INDEX(Species_Availability,MATCH($N548,Species_Names,0))="No",INDEX(Species_Evo_Numbers,MATCH($N548,Species_Names,0))&lt;&gt;1),"N/A",RANK($Y548,IF(NOT(ISNA(MATCH(Combo_Species_Names,IF(Species_Availability="Yes",IF(Species_Evo_Numbers=1,Species_Names)),0))),Combo_Gym_Defense),0))</f>
        <v>N/A</v>
      </c>
      <c r="L548" s="24" t="str">
        <f t="array" ref="L548">IF(OR(INDEX(Species_Availability,MATCH($N548,Species_Names,0))="No",INDEX(Species_Evo_Numbers,MATCH($N548,Species_Names,0))&lt;&gt;1),"N/A",$Y548/MAX(IF(NOT(ISNA(MATCH(Combo_Species_Names,IF(Species_Availability="Yes",IF(Species_Evo_Numbers=1,Species_Names)),0))),Combo_Gym_Defense)))</f>
        <v>N/A</v>
      </c>
      <c r="M548" s="28">
        <f t="array" ref="M548">INDEX(Species_Pdex_Numbers,MATCH($N548,Species_Names,0))</f>
        <v>86</v>
      </c>
      <c r="N548" s="30" t="s">
        <v>265</v>
      </c>
      <c r="O548" s="31" t="s">
        <v>65</v>
      </c>
      <c r="P548" s="31" t="s">
        <v>318</v>
      </c>
      <c r="Q548" s="17" t="e">
        <f t="shared" si="16"/>
        <v>#VALUE!</v>
      </c>
      <c r="R548" s="32" t="e">
        <f t="array" ref="R548">IF(OR(AND(COUNTBLANK(Combo_Opponent_Type_1)=1,COUNTBLANK(Combo_Opponent_Type_2)=0),AND(AND(COUNTBLANK(Combo_Opponent_Type_1)=0,COUNTBLANK(Combo_Opponent_Type_2)=0),Combo_Opponent_Type_1=Combo_Opponent_Type_2)),
"Check Types",($S548*INDEX(Species_Tankiness,MATCH($N548,Species_Names,0)))/225)</f>
        <v>#VALUE!</v>
      </c>
      <c r="S548" s="32" t="e">
        <f t="array" ref="S548">IF(OR(AND(COUNTBLANK(Combo_Opponent_Type_1)=1,COUNTBLANK(Combo_Opponent_Type_2)=0),AND(AND(COUNTBLANK(Combo_Opponent_Type_1)=0,COUNTBLANK(Combo_Opponent_Type_2)=0),Combo_Opponent_Type_1=Combo_Opponent_Type_2)),
"Check Types",(
IF($W548&gt;=((1-Game_Weave_Human_Error)*$X548),$W548,$X548)*INDEX(Species_Attack,MATCH($N548,Species_Names,0)))/11)</f>
        <v>#VALUE!</v>
      </c>
      <c r="T548" s="33" t="e">
        <f t="shared" si="17"/>
        <v>#VALUE!</v>
      </c>
      <c r="U548" s="33">
        <f t="array" ref="U5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548,Quick_Names,0))),Type_Species)),0),1)*IF(COUNTBLANK(Combo_Opponent_Type_2)=0,INDEX(Type_Damage_Multipliers,MATCH(Combo_Opponent_Type_2,IF(Type_Move=(INDEX(Quick_Type,MATCH($O548,Quick_Names,0))),Type_Species)),0),1)*(IF(OR(INDEX(Quick_Type,MATCH($O548,Quick_Names,0))=INDEX(Species_Type_1,MATCH($N548,Species_Names,0)),INDEX(Quick_Type,MATCH($O548,Quick_Names,0))=INDEX(Species_Type_2,MATCH($N548,Species_Names,0))),Game_STAB_Multiplier,1)))</f>
        <v>1.25</v>
      </c>
      <c r="V548" s="33">
        <f t="array" ref="V5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548,Charge_Names,0))),Type_Species)),0),1)*IF(COUNTBLANK(Combo_Opponent_Type_2)=0,INDEX(Type_Damage_Multipliers,MATCH(Combo_Opponent_Type_2,IF(Type_Move=(INDEX(Charge_Type,MATCH($P548,Charge_Names,0))),Type_Species)),0),1)*
IF(OR(INDEX(Charge_Type,MATCH($P548,Charge_Names,0))=INDEX(Species_Type_1,MATCH($N548,Species_Names,0)),INDEX(Charge_Type,MATCH($P548,Charge_Names,0))=INDEX(Species_Type_2,MATCH($N548,Species_Names,0))),Game_STAB_Multiplier,1))</f>
        <v>1</v>
      </c>
      <c r="W548" s="33" t="s">
        <v>412</v>
      </c>
      <c r="X548" s="33" t="s">
        <v>990</v>
      </c>
      <c r="Y548" s="32" t="e">
        <f t="array" ref="Y548">((($Z548)*
INDEX(Species_Attack,MATCH($N548,Species_Names,0))*
INDEX(Species_Tankiness,MATCH($N548,Species_Names,0)))/1000)</f>
        <v>#VALUE!</v>
      </c>
      <c r="Z548" s="33" t="s">
        <v>991</v>
      </c>
    </row>
    <row r="549" spans="1:26" ht="14.25" customHeight="1" x14ac:dyDescent="0.2">
      <c r="A549" s="86"/>
      <c r="B549" s="22" t="str">
        <f t="array" ref="B549">CONCATENATE(TEXT($M549,"000"),".",TEXT(INDEX(Quick_Number,MATCH($O549,Quick_Names,0)),"000"),".",TEXT(INDEX(Charge_Number,MATCH($P549,Charge_Names,0)),"000"))</f>
        <v>058.202.131</v>
      </c>
      <c r="C549" s="23" t="e">
        <f t="array" ref="C549">RANK($S549,IF(Combo_Species_Names=$N549,Combo_Gym_Offense),0)</f>
        <v>#VALUE!</v>
      </c>
      <c r="D549" s="24" t="e">
        <f t="array" ref="D549">$S549/MAX(IF(Combo_Species_Names=$N549,Combo_Gym_Offense))</f>
        <v>#VALUE!</v>
      </c>
      <c r="E549" s="23" t="e">
        <f t="array" ref="E549">RANK($Y549,IF(Combo_Species_Names=$N549,Combo_Gym_Defense),0)</f>
        <v>#VALUE!</v>
      </c>
      <c r="F549" s="25" t="e">
        <f t="array" ref="F549">$Y549/MAX(IF(Combo_Species_Names=$N549,Combo_Gym_Defense))</f>
        <v>#VALUE!</v>
      </c>
      <c r="G549" s="23" t="str">
        <f t="array" ref="G549">IF(OR(INDEX(Species_Availability,MATCH($N549,Species_Names,0))="No",INDEX(Species_Evo_Numbers,MATCH($N549,Species_Names,0))&lt;&gt;1),"N/A",RANK($R549,IF(NOT(ISNA(MATCH(Combo_Species_Names,IF(Species_Availability="Yes",IF(Species_Evo_Numbers=1,Species_Names)),0))),Combo_Duel_Ability),0))</f>
        <v>N/A</v>
      </c>
      <c r="H549" s="24" t="str">
        <f t="array" ref="H549">IF(OR(INDEX(Species_Availability,MATCH($N549,Species_Names,0))="No",INDEX(Species_Evo_Numbers,MATCH($N549,Species_Names,0))&lt;&gt;1),"N/A",$R549/MAX(IF(NOT(ISNA(MATCH(Combo_Species_Names,IF(Species_Availability="Yes",IF(Species_Evo_Numbers=1,Species_Names)),0))),Combo_Duel_Ability)))</f>
        <v>N/A</v>
      </c>
      <c r="I549" s="23" t="str">
        <f t="array" ref="I549">IF(OR(INDEX(Species_Availability,MATCH($N549,Species_Names,0))="No",INDEX(Species_Evo_Numbers,MATCH($N549,Species_Names,0))&lt;&gt;1),"N/A",RANK($S549,IF(NOT(ISNA(MATCH(Combo_Species_Names,IF(Species_Availability="Yes",IF(Species_Evo_Numbers=1,Species_Names)),0))),Combo_Gym_Offense),0))</f>
        <v>N/A</v>
      </c>
      <c r="J549" s="24" t="str">
        <f t="array" ref="J549">IF(OR(INDEX(Species_Availability,MATCH($N549,Species_Names,0))="No",INDEX(Species_Evo_Numbers,MATCH($N549,Species_Names,0))&lt;&gt;1),"N/A",$S549/MAX(IF(NOT(ISNA(MATCH(Combo_Species_Names,IF(Species_Availability="Yes",IF(Species_Evo_Numbers=1,Species_Names)),0))),Combo_Gym_Offense)))</f>
        <v>N/A</v>
      </c>
      <c r="K549" s="23" t="str">
        <f t="array" ref="K549">IF(OR(INDEX(Species_Availability,MATCH($N549,Species_Names,0))="No",INDEX(Species_Evo_Numbers,MATCH($N549,Species_Names,0))&lt;&gt;1),"N/A",RANK($Y549,IF(NOT(ISNA(MATCH(Combo_Species_Names,IF(Species_Availability="Yes",IF(Species_Evo_Numbers=1,Species_Names)),0))),Combo_Gym_Defense),0))</f>
        <v>N/A</v>
      </c>
      <c r="L549" s="24" t="str">
        <f t="array" ref="L549">IF(OR(INDEX(Species_Availability,MATCH($N549,Species_Names,0))="No",INDEX(Species_Evo_Numbers,MATCH($N549,Species_Names,0))&lt;&gt;1),"N/A",$Y549/MAX(IF(NOT(ISNA(MATCH(Combo_Species_Names,IF(Species_Availability="Yes",IF(Species_Evo_Numbers=1,Species_Names)),0))),Combo_Gym_Defense)))</f>
        <v>N/A</v>
      </c>
      <c r="M549" s="28">
        <f t="array" ref="M549">INDEX(Species_Pdex_Numbers,MATCH($N549,Species_Names,0))</f>
        <v>58</v>
      </c>
      <c r="N549" s="30" t="s">
        <v>205</v>
      </c>
      <c r="O549" s="31" t="s">
        <v>59</v>
      </c>
      <c r="P549" s="31" t="s">
        <v>151</v>
      </c>
      <c r="Q549" s="17" t="e">
        <f t="shared" si="16"/>
        <v>#VALUE!</v>
      </c>
      <c r="R549" s="32" t="e">
        <f t="array" ref="R549">IF(OR(AND(COUNTBLANK(Combo_Opponent_Type_1)=1,COUNTBLANK(Combo_Opponent_Type_2)=0),AND(AND(COUNTBLANK(Combo_Opponent_Type_1)=0,COUNTBLANK(Combo_Opponent_Type_2)=0),Combo_Opponent_Type_1=Combo_Opponent_Type_2)),
"Check Types",($S549*INDEX(Species_Tankiness,MATCH($N549,Species_Names,0)))/225)</f>
        <v>#VALUE!</v>
      </c>
      <c r="S549" s="32" t="e">
        <f t="array" ref="S549">IF(OR(AND(COUNTBLANK(Combo_Opponent_Type_1)=1,COUNTBLANK(Combo_Opponent_Type_2)=0),AND(AND(COUNTBLANK(Combo_Opponent_Type_1)=0,COUNTBLANK(Combo_Opponent_Type_2)=0),Combo_Opponent_Type_1=Combo_Opponent_Type_2)),
"Check Types",(
IF($W549&gt;=((1-Game_Weave_Human_Error)*$X549),$W549,$X549)*INDEX(Species_Attack,MATCH($N549,Species_Names,0)))/11)</f>
        <v>#VALUE!</v>
      </c>
      <c r="T549" s="33" t="e">
        <f t="shared" si="17"/>
        <v>#VALUE!</v>
      </c>
      <c r="U549" s="33">
        <f t="array" ref="U5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549,Quick_Names,0))),Type_Species)),0),1)*IF(COUNTBLANK(Combo_Opponent_Type_2)=0,INDEX(Type_Damage_Multipliers,MATCH(Combo_Opponent_Type_2,IF(Type_Move=(INDEX(Quick_Type,MATCH($O549,Quick_Names,0))),Type_Species)),0),1)*(IF(OR(INDEX(Quick_Type,MATCH($O549,Quick_Names,0))=INDEX(Species_Type_1,MATCH($N549,Species_Names,0)),INDEX(Quick_Type,MATCH($O549,Quick_Names,0))=INDEX(Species_Type_2,MATCH($N549,Species_Names,0))),Game_STAB_Multiplier,1)))</f>
        <v>1</v>
      </c>
      <c r="V549" s="33">
        <f t="array" ref="V5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549,Charge_Names,0))),Type_Species)),0),1)*IF(COUNTBLANK(Combo_Opponent_Type_2)=0,INDEX(Type_Damage_Multipliers,MATCH(Combo_Opponent_Type_2,IF(Type_Move=(INDEX(Charge_Type,MATCH($P549,Charge_Names,0))),Type_Species)),0),1)*
IF(OR(INDEX(Charge_Type,MATCH($P549,Charge_Names,0))=INDEX(Species_Type_1,MATCH($N549,Species_Names,0)),INDEX(Charge_Type,MATCH($P549,Charge_Names,0))=INDEX(Species_Type_2,MATCH($N549,Species_Names,0))),Game_STAB_Multiplier,1))</f>
        <v>1</v>
      </c>
      <c r="W549" s="33" t="s">
        <v>453</v>
      </c>
      <c r="X549" s="33" t="s">
        <v>992</v>
      </c>
      <c r="Y549" s="32" t="e">
        <f t="array" ref="Y549">((($Z549)*
INDEX(Species_Attack,MATCH($N549,Species_Names,0))*
INDEX(Species_Tankiness,MATCH($N549,Species_Names,0)))/1000)</f>
        <v>#VALUE!</v>
      </c>
      <c r="Z549" s="33" t="s">
        <v>993</v>
      </c>
    </row>
    <row r="550" spans="1:26" ht="14.25" customHeight="1" x14ac:dyDescent="0.2">
      <c r="A550" s="86"/>
      <c r="B550" s="22" t="str">
        <f t="array" ref="B550">CONCATENATE(TEXT($M550,"000"),".",TEXT(INDEX(Quick_Number,MATCH($O550,Quick_Names,0)),"000"),".",TEXT(INDEX(Charge_Number,MATCH($P550,Charge_Names,0)),"000"))</f>
        <v>077.209.021</v>
      </c>
      <c r="C550" s="23" t="e">
        <f t="array" ref="C550">RANK($S550,IF(Combo_Species_Names=$N550,Combo_Gym_Offense),0)</f>
        <v>#VALUE!</v>
      </c>
      <c r="D550" s="24" t="e">
        <f t="array" ref="D550">$S550/MAX(IF(Combo_Species_Names=$N550,Combo_Gym_Offense))</f>
        <v>#VALUE!</v>
      </c>
      <c r="E550" s="23" t="e">
        <f t="array" ref="E550">RANK($Y550,IF(Combo_Species_Names=$N550,Combo_Gym_Defense),0)</f>
        <v>#VALUE!</v>
      </c>
      <c r="F550" s="25" t="e">
        <f t="array" ref="F550">$Y550/MAX(IF(Combo_Species_Names=$N550,Combo_Gym_Defense))</f>
        <v>#VALUE!</v>
      </c>
      <c r="G550" s="23" t="str">
        <f t="array" ref="G550">IF(OR(INDEX(Species_Availability,MATCH($N550,Species_Names,0))="No",INDEX(Species_Evo_Numbers,MATCH($N550,Species_Names,0))&lt;&gt;1),"N/A",RANK($R550,IF(NOT(ISNA(MATCH(Combo_Species_Names,IF(Species_Availability="Yes",IF(Species_Evo_Numbers=1,Species_Names)),0))),Combo_Duel_Ability),0))</f>
        <v>N/A</v>
      </c>
      <c r="H550" s="24" t="str">
        <f t="array" ref="H550">IF(OR(INDEX(Species_Availability,MATCH($N550,Species_Names,0))="No",INDEX(Species_Evo_Numbers,MATCH($N550,Species_Names,0))&lt;&gt;1),"N/A",$R550/MAX(IF(NOT(ISNA(MATCH(Combo_Species_Names,IF(Species_Availability="Yes",IF(Species_Evo_Numbers=1,Species_Names)),0))),Combo_Duel_Ability)))</f>
        <v>N/A</v>
      </c>
      <c r="I550" s="23" t="str">
        <f t="array" ref="I550">IF(OR(INDEX(Species_Availability,MATCH($N550,Species_Names,0))="No",INDEX(Species_Evo_Numbers,MATCH($N550,Species_Names,0))&lt;&gt;1),"N/A",RANK($S550,IF(NOT(ISNA(MATCH(Combo_Species_Names,IF(Species_Availability="Yes",IF(Species_Evo_Numbers=1,Species_Names)),0))),Combo_Gym_Offense),0))</f>
        <v>N/A</v>
      </c>
      <c r="J550" s="24" t="str">
        <f t="array" ref="J550">IF(OR(INDEX(Species_Availability,MATCH($N550,Species_Names,0))="No",INDEX(Species_Evo_Numbers,MATCH($N550,Species_Names,0))&lt;&gt;1),"N/A",$S550/MAX(IF(NOT(ISNA(MATCH(Combo_Species_Names,IF(Species_Availability="Yes",IF(Species_Evo_Numbers=1,Species_Names)),0))),Combo_Gym_Offense)))</f>
        <v>N/A</v>
      </c>
      <c r="K550" s="23" t="str">
        <f t="array" ref="K550">IF(OR(INDEX(Species_Availability,MATCH($N550,Species_Names,0))="No",INDEX(Species_Evo_Numbers,MATCH($N550,Species_Names,0))&lt;&gt;1),"N/A",RANK($Y550,IF(NOT(ISNA(MATCH(Combo_Species_Names,IF(Species_Availability="Yes",IF(Species_Evo_Numbers=1,Species_Names)),0))),Combo_Gym_Defense),0))</f>
        <v>N/A</v>
      </c>
      <c r="L550" s="24" t="str">
        <f t="array" ref="L550">IF(OR(INDEX(Species_Availability,MATCH($N550,Species_Names,0))="No",INDEX(Species_Evo_Numbers,MATCH($N550,Species_Names,0))&lt;&gt;1),"N/A",$Y550/MAX(IF(NOT(ISNA(MATCH(Combo_Species_Names,IF(Species_Availability="Yes",IF(Species_Evo_Numbers=1,Species_Names)),0))),Combo_Gym_Defense)))</f>
        <v>N/A</v>
      </c>
      <c r="M550" s="28">
        <f t="array" ref="M550">INDEX(Species_Pdex_Numbers,MATCH($N550,Species_Names,0))</f>
        <v>77</v>
      </c>
      <c r="N550" s="30" t="s">
        <v>246</v>
      </c>
      <c r="O550" s="31" t="s">
        <v>111</v>
      </c>
      <c r="P550" s="31" t="s">
        <v>306</v>
      </c>
      <c r="Q550" s="17" t="e">
        <f t="shared" si="16"/>
        <v>#VALUE!</v>
      </c>
      <c r="R550" s="32" t="e">
        <f t="array" ref="R550">IF(OR(AND(COUNTBLANK(Combo_Opponent_Type_1)=1,COUNTBLANK(Combo_Opponent_Type_2)=0),AND(AND(COUNTBLANK(Combo_Opponent_Type_1)=0,COUNTBLANK(Combo_Opponent_Type_2)=0),Combo_Opponent_Type_1=Combo_Opponent_Type_2)),
"Check Types",($S550*INDEX(Species_Tankiness,MATCH($N550,Species_Names,0)))/225)</f>
        <v>#VALUE!</v>
      </c>
      <c r="S550" s="32" t="e">
        <f t="array" ref="S550">IF(OR(AND(COUNTBLANK(Combo_Opponent_Type_1)=1,COUNTBLANK(Combo_Opponent_Type_2)=0),AND(AND(COUNTBLANK(Combo_Opponent_Type_1)=0,COUNTBLANK(Combo_Opponent_Type_2)=0),Combo_Opponent_Type_1=Combo_Opponent_Type_2)),
"Check Types",(
IF($W550&gt;=((1-Game_Weave_Human_Error)*$X550),$W550,$X550)*INDEX(Species_Attack,MATCH($N550,Species_Names,0)))/11)</f>
        <v>#VALUE!</v>
      </c>
      <c r="T550" s="33" t="e">
        <f t="shared" si="17"/>
        <v>#VALUE!</v>
      </c>
      <c r="U550" s="33">
        <f t="array" ref="U5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550,Quick_Names,0))),Type_Species)),0),1)*IF(COUNTBLANK(Combo_Opponent_Type_2)=0,INDEX(Type_Damage_Multipliers,MATCH(Combo_Opponent_Type_2,IF(Type_Move=(INDEX(Quick_Type,MATCH($O550,Quick_Names,0))),Type_Species)),0),1)*(IF(OR(INDEX(Quick_Type,MATCH($O550,Quick_Names,0))=INDEX(Species_Type_1,MATCH($N550,Species_Names,0)),INDEX(Quick_Type,MATCH($O550,Quick_Names,0))=INDEX(Species_Type_2,MATCH($N550,Species_Names,0))),Game_STAB_Multiplier,1)))</f>
        <v>1.25</v>
      </c>
      <c r="V550" s="33">
        <f t="array" ref="V5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550,Charge_Names,0))),Type_Species)),0),1)*IF(COUNTBLANK(Combo_Opponent_Type_2)=0,INDEX(Type_Damage_Multipliers,MATCH(Combo_Opponent_Type_2,IF(Type_Move=(INDEX(Charge_Type,MATCH($P550,Charge_Names,0))),Type_Species)),0),1)*
IF(OR(INDEX(Charge_Type,MATCH($P550,Charge_Names,0))=INDEX(Species_Type_1,MATCH($N550,Species_Names,0)),INDEX(Charge_Type,MATCH($P550,Charge_Names,0))=INDEX(Species_Type_2,MATCH($N550,Species_Names,0))),Game_STAB_Multiplier,1))</f>
        <v>1.25</v>
      </c>
      <c r="W550" s="33" t="s">
        <v>511</v>
      </c>
      <c r="X550" s="33" t="s">
        <v>805</v>
      </c>
      <c r="Y550" s="32" t="e">
        <f t="array" ref="Y550">((($Z550)*
INDEX(Species_Attack,MATCH($N550,Species_Names,0))*
INDEX(Species_Tankiness,MATCH($N550,Species_Names,0)))/1000)</f>
        <v>#VALUE!</v>
      </c>
      <c r="Z550" s="33" t="s">
        <v>994</v>
      </c>
    </row>
    <row r="551" spans="1:26" ht="14.25" customHeight="1" x14ac:dyDescent="0.2">
      <c r="A551" s="86"/>
      <c r="B551" s="22" t="str">
        <f t="array" ref="B551">CONCATENATE(TEXT($M551,"000"),".",TEXT(INDEX(Quick_Number,MATCH($O551,Quick_Names,0)),"000"),".",TEXT(INDEX(Charge_Number,MATCH($P551,Charge_Names,0)),"000"))</f>
        <v>077.209.101</v>
      </c>
      <c r="C551" s="23" t="e">
        <f t="array" ref="C551">RANK($S551,IF(Combo_Species_Names=$N551,Combo_Gym_Offense),0)</f>
        <v>#VALUE!</v>
      </c>
      <c r="D551" s="24" t="e">
        <f t="array" ref="D551">$S551/MAX(IF(Combo_Species_Names=$N551,Combo_Gym_Offense))</f>
        <v>#VALUE!</v>
      </c>
      <c r="E551" s="23" t="e">
        <f t="array" ref="E551">RANK($Y551,IF(Combo_Species_Names=$N551,Combo_Gym_Defense),0)</f>
        <v>#VALUE!</v>
      </c>
      <c r="F551" s="25" t="e">
        <f t="array" ref="F551">$Y551/MAX(IF(Combo_Species_Names=$N551,Combo_Gym_Defense))</f>
        <v>#VALUE!</v>
      </c>
      <c r="G551" s="23" t="str">
        <f t="array" ref="G551">IF(OR(INDEX(Species_Availability,MATCH($N551,Species_Names,0))="No",INDEX(Species_Evo_Numbers,MATCH($N551,Species_Names,0))&lt;&gt;1),"N/A",RANK($R551,IF(NOT(ISNA(MATCH(Combo_Species_Names,IF(Species_Availability="Yes",IF(Species_Evo_Numbers=1,Species_Names)),0))),Combo_Duel_Ability),0))</f>
        <v>N/A</v>
      </c>
      <c r="H551" s="24" t="str">
        <f t="array" ref="H551">IF(OR(INDEX(Species_Availability,MATCH($N551,Species_Names,0))="No",INDEX(Species_Evo_Numbers,MATCH($N551,Species_Names,0))&lt;&gt;1),"N/A",$R551/MAX(IF(NOT(ISNA(MATCH(Combo_Species_Names,IF(Species_Availability="Yes",IF(Species_Evo_Numbers=1,Species_Names)),0))),Combo_Duel_Ability)))</f>
        <v>N/A</v>
      </c>
      <c r="I551" s="23" t="str">
        <f t="array" ref="I551">IF(OR(INDEX(Species_Availability,MATCH($N551,Species_Names,0))="No",INDEX(Species_Evo_Numbers,MATCH($N551,Species_Names,0))&lt;&gt;1),"N/A",RANK($S551,IF(NOT(ISNA(MATCH(Combo_Species_Names,IF(Species_Availability="Yes",IF(Species_Evo_Numbers=1,Species_Names)),0))),Combo_Gym_Offense),0))</f>
        <v>N/A</v>
      </c>
      <c r="J551" s="24" t="str">
        <f t="array" ref="J551">IF(OR(INDEX(Species_Availability,MATCH($N551,Species_Names,0))="No",INDEX(Species_Evo_Numbers,MATCH($N551,Species_Names,0))&lt;&gt;1),"N/A",$S551/MAX(IF(NOT(ISNA(MATCH(Combo_Species_Names,IF(Species_Availability="Yes",IF(Species_Evo_Numbers=1,Species_Names)),0))),Combo_Gym_Offense)))</f>
        <v>N/A</v>
      </c>
      <c r="K551" s="23" t="str">
        <f t="array" ref="K551">IF(OR(INDEX(Species_Availability,MATCH($N551,Species_Names,0))="No",INDEX(Species_Evo_Numbers,MATCH($N551,Species_Names,0))&lt;&gt;1),"N/A",RANK($Y551,IF(NOT(ISNA(MATCH(Combo_Species_Names,IF(Species_Availability="Yes",IF(Species_Evo_Numbers=1,Species_Names)),0))),Combo_Gym_Defense),0))</f>
        <v>N/A</v>
      </c>
      <c r="L551" s="24" t="str">
        <f t="array" ref="L551">IF(OR(INDEX(Species_Availability,MATCH($N551,Species_Names,0))="No",INDEX(Species_Evo_Numbers,MATCH($N551,Species_Names,0))&lt;&gt;1),"N/A",$Y551/MAX(IF(NOT(ISNA(MATCH(Combo_Species_Names,IF(Species_Availability="Yes",IF(Species_Evo_Numbers=1,Species_Names)),0))),Combo_Gym_Defense)))</f>
        <v>N/A</v>
      </c>
      <c r="M551" s="28">
        <f t="array" ref="M551">INDEX(Species_Pdex_Numbers,MATCH($N551,Species_Names,0))</f>
        <v>77</v>
      </c>
      <c r="N551" s="30" t="s">
        <v>246</v>
      </c>
      <c r="O551" s="31" t="s">
        <v>111</v>
      </c>
      <c r="P551" s="31" t="s">
        <v>308</v>
      </c>
      <c r="Q551" s="17" t="e">
        <f t="shared" si="16"/>
        <v>#VALUE!</v>
      </c>
      <c r="R551" s="32" t="e">
        <f t="array" ref="R551">IF(OR(AND(COUNTBLANK(Combo_Opponent_Type_1)=1,COUNTBLANK(Combo_Opponent_Type_2)=0),AND(AND(COUNTBLANK(Combo_Opponent_Type_1)=0,COUNTBLANK(Combo_Opponent_Type_2)=0),Combo_Opponent_Type_1=Combo_Opponent_Type_2)),
"Check Types",($S551*INDEX(Species_Tankiness,MATCH($N551,Species_Names,0)))/225)</f>
        <v>#VALUE!</v>
      </c>
      <c r="S551" s="32" t="e">
        <f t="array" ref="S551">IF(OR(AND(COUNTBLANK(Combo_Opponent_Type_1)=1,COUNTBLANK(Combo_Opponent_Type_2)=0),AND(AND(COUNTBLANK(Combo_Opponent_Type_1)=0,COUNTBLANK(Combo_Opponent_Type_2)=0),Combo_Opponent_Type_1=Combo_Opponent_Type_2)),
"Check Types",(
IF($W551&gt;=((1-Game_Weave_Human_Error)*$X551),$W551,$X551)*INDEX(Species_Attack,MATCH($N551,Species_Names,0)))/11)</f>
        <v>#VALUE!</v>
      </c>
      <c r="T551" s="33" t="e">
        <f t="shared" si="17"/>
        <v>#VALUE!</v>
      </c>
      <c r="U551" s="33">
        <f t="array" ref="U5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551,Quick_Names,0))),Type_Species)),0),1)*IF(COUNTBLANK(Combo_Opponent_Type_2)=0,INDEX(Type_Damage_Multipliers,MATCH(Combo_Opponent_Type_2,IF(Type_Move=(INDEX(Quick_Type,MATCH($O551,Quick_Names,0))),Type_Species)),0),1)*(IF(OR(INDEX(Quick_Type,MATCH($O551,Quick_Names,0))=INDEX(Species_Type_1,MATCH($N551,Species_Names,0)),INDEX(Quick_Type,MATCH($O551,Quick_Names,0))=INDEX(Species_Type_2,MATCH($N551,Species_Names,0))),Game_STAB_Multiplier,1)))</f>
        <v>1.25</v>
      </c>
      <c r="V551" s="33">
        <f t="array" ref="V5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551,Charge_Names,0))),Type_Species)),0),1)*IF(COUNTBLANK(Combo_Opponent_Type_2)=0,INDEX(Type_Damage_Multipliers,MATCH(Combo_Opponent_Type_2,IF(Type_Move=(INDEX(Charge_Type,MATCH($P551,Charge_Names,0))),Type_Species)),0),1)*
IF(OR(INDEX(Charge_Type,MATCH($P551,Charge_Names,0))=INDEX(Species_Type_1,MATCH($N551,Species_Names,0)),INDEX(Charge_Type,MATCH($P551,Charge_Names,0))=INDEX(Species_Type_2,MATCH($N551,Species_Names,0))),Game_STAB_Multiplier,1))</f>
        <v>1.25</v>
      </c>
      <c r="W551" s="33" t="s">
        <v>511</v>
      </c>
      <c r="X551" s="33" t="s">
        <v>995</v>
      </c>
      <c r="Y551" s="32" t="e">
        <f t="array" ref="Y551">((($Z551)*
INDEX(Species_Attack,MATCH($N551,Species_Names,0))*
INDEX(Species_Tankiness,MATCH($N551,Species_Names,0)))/1000)</f>
        <v>#VALUE!</v>
      </c>
      <c r="Z551" s="33" t="s">
        <v>886</v>
      </c>
    </row>
    <row r="552" spans="1:26" ht="14.25" customHeight="1" x14ac:dyDescent="0.2">
      <c r="A552" s="86"/>
      <c r="B552" s="22" t="str">
        <f t="array" ref="B552">CONCATENATE(TEXT($M552,"000"),".",TEXT(INDEX(Quick_Number,MATCH($O552,Quick_Names,0)),"000"),".",TEXT(INDEX(Charge_Number,MATCH($P552,Charge_Names,0)),"000"))</f>
        <v>079.235.105</v>
      </c>
      <c r="C552" s="23" t="e">
        <f t="array" ref="C552">RANK($S552,IF(Combo_Species_Names=$N552,Combo_Gym_Offense),0)</f>
        <v>#VALUE!</v>
      </c>
      <c r="D552" s="24" t="e">
        <f t="array" ref="D552">$S552/MAX(IF(Combo_Species_Names=$N552,Combo_Gym_Offense))</f>
        <v>#VALUE!</v>
      </c>
      <c r="E552" s="23" t="e">
        <f t="array" ref="E552">RANK($Y552,IF(Combo_Species_Names=$N552,Combo_Gym_Defense),0)</f>
        <v>#VALUE!</v>
      </c>
      <c r="F552" s="25" t="e">
        <f t="array" ref="F552">$Y552/MAX(IF(Combo_Species_Names=$N552,Combo_Gym_Defense))</f>
        <v>#VALUE!</v>
      </c>
      <c r="G552" s="23" t="str">
        <f t="array" ref="G552">IF(OR(INDEX(Species_Availability,MATCH($N552,Species_Names,0))="No",INDEX(Species_Evo_Numbers,MATCH($N552,Species_Names,0))&lt;&gt;1),"N/A",RANK($R552,IF(NOT(ISNA(MATCH(Combo_Species_Names,IF(Species_Availability="Yes",IF(Species_Evo_Numbers=1,Species_Names)),0))),Combo_Duel_Ability),0))</f>
        <v>N/A</v>
      </c>
      <c r="H552" s="24" t="str">
        <f t="array" ref="H552">IF(OR(INDEX(Species_Availability,MATCH($N552,Species_Names,0))="No",INDEX(Species_Evo_Numbers,MATCH($N552,Species_Names,0))&lt;&gt;1),"N/A",$R552/MAX(IF(NOT(ISNA(MATCH(Combo_Species_Names,IF(Species_Availability="Yes",IF(Species_Evo_Numbers=1,Species_Names)),0))),Combo_Duel_Ability)))</f>
        <v>N/A</v>
      </c>
      <c r="I552" s="23" t="str">
        <f t="array" ref="I552">IF(OR(INDEX(Species_Availability,MATCH($N552,Species_Names,0))="No",INDEX(Species_Evo_Numbers,MATCH($N552,Species_Names,0))&lt;&gt;1),"N/A",RANK($S552,IF(NOT(ISNA(MATCH(Combo_Species_Names,IF(Species_Availability="Yes",IF(Species_Evo_Numbers=1,Species_Names)),0))),Combo_Gym_Offense),0))</f>
        <v>N/A</v>
      </c>
      <c r="J552" s="24" t="str">
        <f t="array" ref="J552">IF(OR(INDEX(Species_Availability,MATCH($N552,Species_Names,0))="No",INDEX(Species_Evo_Numbers,MATCH($N552,Species_Names,0))&lt;&gt;1),"N/A",$S552/MAX(IF(NOT(ISNA(MATCH(Combo_Species_Names,IF(Species_Availability="Yes",IF(Species_Evo_Numbers=1,Species_Names)),0))),Combo_Gym_Offense)))</f>
        <v>N/A</v>
      </c>
      <c r="K552" s="23" t="str">
        <f t="array" ref="K552">IF(OR(INDEX(Species_Availability,MATCH($N552,Species_Names,0))="No",INDEX(Species_Evo_Numbers,MATCH($N552,Species_Names,0))&lt;&gt;1),"N/A",RANK($Y552,IF(NOT(ISNA(MATCH(Combo_Species_Names,IF(Species_Availability="Yes",IF(Species_Evo_Numbers=1,Species_Names)),0))),Combo_Gym_Defense),0))</f>
        <v>N/A</v>
      </c>
      <c r="L552" s="24" t="str">
        <f t="array" ref="L552">IF(OR(INDEX(Species_Availability,MATCH($N552,Species_Names,0))="No",INDEX(Species_Evo_Numbers,MATCH($N552,Species_Names,0))&lt;&gt;1),"N/A",$Y552/MAX(IF(NOT(ISNA(MATCH(Combo_Species_Names,IF(Species_Availability="Yes",IF(Species_Evo_Numbers=1,Species_Names)),0))),Combo_Gym_Defense)))</f>
        <v>N/A</v>
      </c>
      <c r="M552" s="28">
        <f t="array" ref="M552">INDEX(Species_Pdex_Numbers,MATCH($N552,Species_Names,0))</f>
        <v>79</v>
      </c>
      <c r="N552" s="30" t="s">
        <v>250</v>
      </c>
      <c r="O552" s="31" t="s">
        <v>108</v>
      </c>
      <c r="P552" s="31" t="s">
        <v>281</v>
      </c>
      <c r="Q552" s="17" t="e">
        <f t="shared" si="16"/>
        <v>#VALUE!</v>
      </c>
      <c r="R552" s="32" t="e">
        <f t="array" ref="R552">IF(OR(AND(COUNTBLANK(Combo_Opponent_Type_1)=1,COUNTBLANK(Combo_Opponent_Type_2)=0),AND(AND(COUNTBLANK(Combo_Opponent_Type_1)=0,COUNTBLANK(Combo_Opponent_Type_2)=0),Combo_Opponent_Type_1=Combo_Opponent_Type_2)),
"Check Types",($S552*INDEX(Species_Tankiness,MATCH($N552,Species_Names,0)))/225)</f>
        <v>#VALUE!</v>
      </c>
      <c r="S552" s="32" t="e">
        <f t="array" ref="S552">IF(OR(AND(COUNTBLANK(Combo_Opponent_Type_1)=1,COUNTBLANK(Combo_Opponent_Type_2)=0),AND(AND(COUNTBLANK(Combo_Opponent_Type_1)=0,COUNTBLANK(Combo_Opponent_Type_2)=0),Combo_Opponent_Type_1=Combo_Opponent_Type_2)),
"Check Types",(
IF($W552&gt;=((1-Game_Weave_Human_Error)*$X552),$W552,$X552)*INDEX(Species_Attack,MATCH($N552,Species_Names,0)))/11)</f>
        <v>#VALUE!</v>
      </c>
      <c r="T552" s="33" t="e">
        <f t="shared" si="17"/>
        <v>#VALUE!</v>
      </c>
      <c r="U552" s="33">
        <f t="array" ref="U5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552,Quick_Names,0))),Type_Species)),0),1)*IF(COUNTBLANK(Combo_Opponent_Type_2)=0,INDEX(Type_Damage_Multipliers,MATCH(Combo_Opponent_Type_2,IF(Type_Move=(INDEX(Quick_Type,MATCH($O552,Quick_Names,0))),Type_Species)),0),1)*(IF(OR(INDEX(Quick_Type,MATCH($O552,Quick_Names,0))=INDEX(Species_Type_1,MATCH($N552,Species_Names,0)),INDEX(Quick_Type,MATCH($O552,Quick_Names,0))=INDEX(Species_Type_2,MATCH($N552,Species_Names,0))),Game_STAB_Multiplier,1)))</f>
        <v>1.25</v>
      </c>
      <c r="V552" s="33">
        <f t="array" ref="V5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552,Charge_Names,0))),Type_Species)),0),1)*IF(COUNTBLANK(Combo_Opponent_Type_2)=0,INDEX(Type_Damage_Multipliers,MATCH(Combo_Opponent_Type_2,IF(Type_Move=(INDEX(Charge_Type,MATCH($P552,Charge_Names,0))),Type_Species)),0),1)*
IF(OR(INDEX(Charge_Type,MATCH($P552,Charge_Names,0))=INDEX(Species_Type_1,MATCH($N552,Species_Names,0)),INDEX(Charge_Type,MATCH($P552,Charge_Names,0))=INDEX(Species_Type_2,MATCH($N552,Species_Names,0))),Game_STAB_Multiplier,1))</f>
        <v>1.25</v>
      </c>
      <c r="W552" s="33" t="s">
        <v>467</v>
      </c>
      <c r="X552" s="33" t="s">
        <v>592</v>
      </c>
      <c r="Y552" s="32" t="e">
        <f t="array" ref="Y552">((($Z552)*
INDEX(Species_Attack,MATCH($N552,Species_Names,0))*
INDEX(Species_Tankiness,MATCH($N552,Species_Names,0)))/1000)</f>
        <v>#VALUE!</v>
      </c>
      <c r="Z552" s="33" t="s">
        <v>593</v>
      </c>
    </row>
    <row r="553" spans="1:26" ht="14.25" customHeight="1" x14ac:dyDescent="0.2">
      <c r="A553" s="86"/>
      <c r="B553" s="22" t="str">
        <f t="array" ref="B553">CONCATENATE(TEXT($M553,"000"),".",TEXT(INDEX(Quick_Number,MATCH($O553,Quick_Names,0)),"000"),".",TEXT(INDEX(Charge_Number,MATCH($P553,Charge_Names,0)),"000"))</f>
        <v>096.235.108</v>
      </c>
      <c r="C553" s="23" t="e">
        <f t="array" ref="C553">RANK($S553,IF(Combo_Species_Names=$N553,Combo_Gym_Offense),0)</f>
        <v>#VALUE!</v>
      </c>
      <c r="D553" s="24" t="e">
        <f t="array" ref="D553">$S553/MAX(IF(Combo_Species_Names=$N553,Combo_Gym_Offense))</f>
        <v>#VALUE!</v>
      </c>
      <c r="E553" s="23" t="e">
        <f t="array" ref="E553">RANK($Y553,IF(Combo_Species_Names=$N553,Combo_Gym_Defense),0)</f>
        <v>#VALUE!</v>
      </c>
      <c r="F553" s="25" t="e">
        <f t="array" ref="F553">$Y553/MAX(IF(Combo_Species_Names=$N553,Combo_Gym_Defense))</f>
        <v>#VALUE!</v>
      </c>
      <c r="G553" s="23" t="str">
        <f t="array" ref="G553">IF(OR(INDEX(Species_Availability,MATCH($N553,Species_Names,0))="No",INDEX(Species_Evo_Numbers,MATCH($N553,Species_Names,0))&lt;&gt;1),"N/A",RANK($R553,IF(NOT(ISNA(MATCH(Combo_Species_Names,IF(Species_Availability="Yes",IF(Species_Evo_Numbers=1,Species_Names)),0))),Combo_Duel_Ability),0))</f>
        <v>N/A</v>
      </c>
      <c r="H553" s="24" t="str">
        <f t="array" ref="H553">IF(OR(INDEX(Species_Availability,MATCH($N553,Species_Names,0))="No",INDEX(Species_Evo_Numbers,MATCH($N553,Species_Names,0))&lt;&gt;1),"N/A",$R553/MAX(IF(NOT(ISNA(MATCH(Combo_Species_Names,IF(Species_Availability="Yes",IF(Species_Evo_Numbers=1,Species_Names)),0))),Combo_Duel_Ability)))</f>
        <v>N/A</v>
      </c>
      <c r="I553" s="23" t="str">
        <f t="array" ref="I553">IF(OR(INDEX(Species_Availability,MATCH($N553,Species_Names,0))="No",INDEX(Species_Evo_Numbers,MATCH($N553,Species_Names,0))&lt;&gt;1),"N/A",RANK($S553,IF(NOT(ISNA(MATCH(Combo_Species_Names,IF(Species_Availability="Yes",IF(Species_Evo_Numbers=1,Species_Names)),0))),Combo_Gym_Offense),0))</f>
        <v>N/A</v>
      </c>
      <c r="J553" s="24" t="str">
        <f t="array" ref="J553">IF(OR(INDEX(Species_Availability,MATCH($N553,Species_Names,0))="No",INDEX(Species_Evo_Numbers,MATCH($N553,Species_Names,0))&lt;&gt;1),"N/A",$S553/MAX(IF(NOT(ISNA(MATCH(Combo_Species_Names,IF(Species_Availability="Yes",IF(Species_Evo_Numbers=1,Species_Names)),0))),Combo_Gym_Offense)))</f>
        <v>N/A</v>
      </c>
      <c r="K553" s="23" t="str">
        <f t="array" ref="K553">IF(OR(INDEX(Species_Availability,MATCH($N553,Species_Names,0))="No",INDEX(Species_Evo_Numbers,MATCH($N553,Species_Names,0))&lt;&gt;1),"N/A",RANK($Y553,IF(NOT(ISNA(MATCH(Combo_Species_Names,IF(Species_Availability="Yes",IF(Species_Evo_Numbers=1,Species_Names)),0))),Combo_Gym_Defense),0))</f>
        <v>N/A</v>
      </c>
      <c r="L553" s="24" t="str">
        <f t="array" ref="L553">IF(OR(INDEX(Species_Availability,MATCH($N553,Species_Names,0))="No",INDEX(Species_Evo_Numbers,MATCH($N553,Species_Names,0))&lt;&gt;1),"N/A",$Y553/MAX(IF(NOT(ISNA(MATCH(Combo_Species_Names,IF(Species_Availability="Yes",IF(Species_Evo_Numbers=1,Species_Names)),0))),Combo_Gym_Defense)))</f>
        <v>N/A</v>
      </c>
      <c r="M553" s="28">
        <f t="array" ref="M553">INDEX(Species_Pdex_Numbers,MATCH($N553,Species_Names,0))</f>
        <v>96</v>
      </c>
      <c r="N553" s="30" t="s">
        <v>290</v>
      </c>
      <c r="O553" s="31" t="s">
        <v>108</v>
      </c>
      <c r="P553" s="31" t="s">
        <v>58</v>
      </c>
      <c r="Q553" s="17" t="e">
        <f t="shared" si="16"/>
        <v>#VALUE!</v>
      </c>
      <c r="R553" s="32" t="e">
        <f t="array" ref="R553">IF(OR(AND(COUNTBLANK(Combo_Opponent_Type_1)=1,COUNTBLANK(Combo_Opponent_Type_2)=0),AND(AND(COUNTBLANK(Combo_Opponent_Type_1)=0,COUNTBLANK(Combo_Opponent_Type_2)=0),Combo_Opponent_Type_1=Combo_Opponent_Type_2)),
"Check Types",($S553*INDEX(Species_Tankiness,MATCH($N553,Species_Names,0)))/225)</f>
        <v>#VALUE!</v>
      </c>
      <c r="S553" s="32" t="e">
        <f t="array" ref="S553">IF(OR(AND(COUNTBLANK(Combo_Opponent_Type_1)=1,COUNTBLANK(Combo_Opponent_Type_2)=0),AND(AND(COUNTBLANK(Combo_Opponent_Type_1)=0,COUNTBLANK(Combo_Opponent_Type_2)=0),Combo_Opponent_Type_1=Combo_Opponent_Type_2)),
"Check Types",(
IF($W553&gt;=((1-Game_Weave_Human_Error)*$X553),$W553,$X553)*INDEX(Species_Attack,MATCH($N553,Species_Names,0)))/11)</f>
        <v>#VALUE!</v>
      </c>
      <c r="T553" s="33" t="e">
        <f t="shared" si="17"/>
        <v>#VALUE!</v>
      </c>
      <c r="U553" s="33">
        <f t="array" ref="U5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553,Quick_Names,0))),Type_Species)),0),1)*IF(COUNTBLANK(Combo_Opponent_Type_2)=0,INDEX(Type_Damage_Multipliers,MATCH(Combo_Opponent_Type_2,IF(Type_Move=(INDEX(Quick_Type,MATCH($O553,Quick_Names,0))),Type_Species)),0),1)*(IF(OR(INDEX(Quick_Type,MATCH($O553,Quick_Names,0))=INDEX(Species_Type_1,MATCH($N553,Species_Names,0)),INDEX(Quick_Type,MATCH($O553,Quick_Names,0))=INDEX(Species_Type_2,MATCH($N553,Species_Names,0))),Game_STAB_Multiplier,1)))</f>
        <v>1.25</v>
      </c>
      <c r="V553" s="33">
        <f t="array" ref="V5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553,Charge_Names,0))),Type_Species)),0),1)*IF(COUNTBLANK(Combo_Opponent_Type_2)=0,INDEX(Type_Damage_Multipliers,MATCH(Combo_Opponent_Type_2,IF(Type_Move=(INDEX(Charge_Type,MATCH($P553,Charge_Names,0))),Type_Species)),0),1)*
IF(OR(INDEX(Charge_Type,MATCH($P553,Charge_Names,0))=INDEX(Species_Type_1,MATCH($N553,Species_Names,0)),INDEX(Charge_Type,MATCH($P553,Charge_Names,0))=INDEX(Species_Type_2,MATCH($N553,Species_Names,0))),Game_STAB_Multiplier,1))</f>
        <v>1.25</v>
      </c>
      <c r="W553" s="33" t="s">
        <v>467</v>
      </c>
      <c r="X553" s="33" t="s">
        <v>495</v>
      </c>
      <c r="Y553" s="32" t="e">
        <f t="array" ref="Y553">((($Z553)*
INDEX(Species_Attack,MATCH($N553,Species_Names,0))*
INDEX(Species_Tankiness,MATCH($N553,Species_Names,0)))/1000)</f>
        <v>#VALUE!</v>
      </c>
      <c r="Z553" s="33" t="s">
        <v>440</v>
      </c>
    </row>
    <row r="554" spans="1:26" ht="14.25" customHeight="1" x14ac:dyDescent="0.2">
      <c r="A554" s="86"/>
      <c r="B554" s="22" t="str">
        <f t="array" ref="B554">CONCATENATE(TEXT($M554,"000"),".",TEXT(INDEX(Quick_Number,MATCH($O554,Quick_Names,0)),"000"),".",TEXT(INDEX(Charge_Number,MATCH($P554,Charge_Names,0)),"000"))</f>
        <v>035.234.131</v>
      </c>
      <c r="C554" s="23" t="e">
        <f t="array" ref="C554">RANK($S554,IF(Combo_Species_Names=$N554,Combo_Gym_Offense),0)</f>
        <v>#VALUE!</v>
      </c>
      <c r="D554" s="24" t="e">
        <f t="array" ref="D554">$S554/MAX(IF(Combo_Species_Names=$N554,Combo_Gym_Offense))</f>
        <v>#VALUE!</v>
      </c>
      <c r="E554" s="23" t="e">
        <f t="array" ref="E554">RANK($Y554,IF(Combo_Species_Names=$N554,Combo_Gym_Defense),0)</f>
        <v>#VALUE!</v>
      </c>
      <c r="F554" s="25" t="e">
        <f t="array" ref="F554">$Y554/MAX(IF(Combo_Species_Names=$N554,Combo_Gym_Defense))</f>
        <v>#VALUE!</v>
      </c>
      <c r="G554" s="23" t="str">
        <f t="array" ref="G554">IF(OR(INDEX(Species_Availability,MATCH($N554,Species_Names,0))="No",INDEX(Species_Evo_Numbers,MATCH($N554,Species_Names,0))&lt;&gt;1),"N/A",RANK($R554,IF(NOT(ISNA(MATCH(Combo_Species_Names,IF(Species_Availability="Yes",IF(Species_Evo_Numbers=1,Species_Names)),0))),Combo_Duel_Ability),0))</f>
        <v>N/A</v>
      </c>
      <c r="H554" s="24" t="str">
        <f t="array" ref="H554">IF(OR(INDEX(Species_Availability,MATCH($N554,Species_Names,0))="No",INDEX(Species_Evo_Numbers,MATCH($N554,Species_Names,0))&lt;&gt;1),"N/A",$R554/MAX(IF(NOT(ISNA(MATCH(Combo_Species_Names,IF(Species_Availability="Yes",IF(Species_Evo_Numbers=1,Species_Names)),0))),Combo_Duel_Ability)))</f>
        <v>N/A</v>
      </c>
      <c r="I554" s="23" t="str">
        <f t="array" ref="I554">IF(OR(INDEX(Species_Availability,MATCH($N554,Species_Names,0))="No",INDEX(Species_Evo_Numbers,MATCH($N554,Species_Names,0))&lt;&gt;1),"N/A",RANK($S554,IF(NOT(ISNA(MATCH(Combo_Species_Names,IF(Species_Availability="Yes",IF(Species_Evo_Numbers=1,Species_Names)),0))),Combo_Gym_Offense),0))</f>
        <v>N/A</v>
      </c>
      <c r="J554" s="24" t="str">
        <f t="array" ref="J554">IF(OR(INDEX(Species_Availability,MATCH($N554,Species_Names,0))="No",INDEX(Species_Evo_Numbers,MATCH($N554,Species_Names,0))&lt;&gt;1),"N/A",$S554/MAX(IF(NOT(ISNA(MATCH(Combo_Species_Names,IF(Species_Availability="Yes",IF(Species_Evo_Numbers=1,Species_Names)),0))),Combo_Gym_Offense)))</f>
        <v>N/A</v>
      </c>
      <c r="K554" s="23" t="str">
        <f t="array" ref="K554">IF(OR(INDEX(Species_Availability,MATCH($N554,Species_Names,0))="No",INDEX(Species_Evo_Numbers,MATCH($N554,Species_Names,0))&lt;&gt;1),"N/A",RANK($Y554,IF(NOT(ISNA(MATCH(Combo_Species_Names,IF(Species_Availability="Yes",IF(Species_Evo_Numbers=1,Species_Names)),0))),Combo_Gym_Defense),0))</f>
        <v>N/A</v>
      </c>
      <c r="L554" s="24" t="str">
        <f t="array" ref="L554">IF(OR(INDEX(Species_Availability,MATCH($N554,Species_Names,0))="No",INDEX(Species_Evo_Numbers,MATCH($N554,Species_Names,0))&lt;&gt;1),"N/A",$Y554/MAX(IF(NOT(ISNA(MATCH(Combo_Species_Names,IF(Species_Availability="Yes",IF(Species_Evo_Numbers=1,Species_Names)),0))),Combo_Gym_Defense)))</f>
        <v>N/A</v>
      </c>
      <c r="M554" s="28">
        <f t="array" ref="M554">INDEX(Species_Pdex_Numbers,MATCH($N554,Species_Names,0))</f>
        <v>35</v>
      </c>
      <c r="N554" s="30" t="s">
        <v>161</v>
      </c>
      <c r="O554" s="31" t="s">
        <v>79</v>
      </c>
      <c r="P554" s="31" t="s">
        <v>151</v>
      </c>
      <c r="Q554" s="17" t="e">
        <f t="shared" si="16"/>
        <v>#VALUE!</v>
      </c>
      <c r="R554" s="32" t="e">
        <f t="array" ref="R554">IF(OR(AND(COUNTBLANK(Combo_Opponent_Type_1)=1,COUNTBLANK(Combo_Opponent_Type_2)=0),AND(AND(COUNTBLANK(Combo_Opponent_Type_1)=0,COUNTBLANK(Combo_Opponent_Type_2)=0),Combo_Opponent_Type_1=Combo_Opponent_Type_2)),
"Check Types",($S554*INDEX(Species_Tankiness,MATCH($N554,Species_Names,0)))/225)</f>
        <v>#VALUE!</v>
      </c>
      <c r="S554" s="32" t="e">
        <f t="array" ref="S554">IF(OR(AND(COUNTBLANK(Combo_Opponent_Type_1)=1,COUNTBLANK(Combo_Opponent_Type_2)=0),AND(AND(COUNTBLANK(Combo_Opponent_Type_1)=0,COUNTBLANK(Combo_Opponent_Type_2)=0),Combo_Opponent_Type_1=Combo_Opponent_Type_2)),
"Check Types",(
IF($W554&gt;=((1-Game_Weave_Human_Error)*$X554),$W554,$X554)*INDEX(Species_Attack,MATCH($N554,Species_Names,0)))/11)</f>
        <v>#VALUE!</v>
      </c>
      <c r="T554" s="33" t="e">
        <f t="shared" si="17"/>
        <v>#VALUE!</v>
      </c>
      <c r="U554" s="33">
        <f t="array" ref="U5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554,Quick_Names,0))),Type_Species)),0),1)*IF(COUNTBLANK(Combo_Opponent_Type_2)=0,INDEX(Type_Damage_Multipliers,MATCH(Combo_Opponent_Type_2,IF(Type_Move=(INDEX(Quick_Type,MATCH($O554,Quick_Names,0))),Type_Species)),0),1)*(IF(OR(INDEX(Quick_Type,MATCH($O554,Quick_Names,0))=INDEX(Species_Type_1,MATCH($N554,Species_Names,0)),INDEX(Quick_Type,MATCH($O554,Quick_Names,0))=INDEX(Species_Type_2,MATCH($N554,Species_Names,0))),Game_STAB_Multiplier,1)))</f>
        <v>1</v>
      </c>
      <c r="V554" s="33">
        <f t="array" ref="V5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554,Charge_Names,0))),Type_Species)),0),1)*IF(COUNTBLANK(Combo_Opponent_Type_2)=0,INDEX(Type_Damage_Multipliers,MATCH(Combo_Opponent_Type_2,IF(Type_Move=(INDEX(Charge_Type,MATCH($P554,Charge_Names,0))),Type_Species)),0),1)*
IF(OR(INDEX(Charge_Type,MATCH($P554,Charge_Names,0))=INDEX(Species_Type_1,MATCH($N554,Species_Names,0)),INDEX(Charge_Type,MATCH($P554,Charge_Names,0))=INDEX(Species_Type_2,MATCH($N554,Species_Names,0))),Game_STAB_Multiplier,1))</f>
        <v>1</v>
      </c>
      <c r="W554" s="33" t="s">
        <v>419</v>
      </c>
      <c r="X554" s="33" t="s">
        <v>626</v>
      </c>
      <c r="Y554" s="32" t="e">
        <f t="array" ref="Y554">((($Z554)*
INDEX(Species_Attack,MATCH($N554,Species_Names,0))*
INDEX(Species_Tankiness,MATCH($N554,Species_Names,0)))/1000)</f>
        <v>#VALUE!</v>
      </c>
      <c r="Z554" s="33" t="s">
        <v>438</v>
      </c>
    </row>
    <row r="555" spans="1:26" ht="14.25" customHeight="1" x14ac:dyDescent="0.2">
      <c r="A555" s="86"/>
      <c r="B555" s="22" t="str">
        <f t="array" ref="B555">CONCATENATE(TEXT($M555,"000"),".",TEXT(INDEX(Quick_Number,MATCH($O555,Quick_Names,0)),"000"),".",TEXT(INDEX(Charge_Number,MATCH($P555,Charge_Names,0)),"000"))</f>
        <v>102.235.108</v>
      </c>
      <c r="C555" s="23" t="e">
        <f t="array" ref="C555">RANK($S555,IF(Combo_Species_Names=$N555,Combo_Gym_Offense),0)</f>
        <v>#VALUE!</v>
      </c>
      <c r="D555" s="24" t="e">
        <f t="array" ref="D555">$S555/MAX(IF(Combo_Species_Names=$N555,Combo_Gym_Offense))</f>
        <v>#VALUE!</v>
      </c>
      <c r="E555" s="23" t="e">
        <f t="array" ref="E555">RANK($Y555,IF(Combo_Species_Names=$N555,Combo_Gym_Defense),0)</f>
        <v>#VALUE!</v>
      </c>
      <c r="F555" s="25" t="e">
        <f t="array" ref="F555">$Y555/MAX(IF(Combo_Species_Names=$N555,Combo_Gym_Defense))</f>
        <v>#VALUE!</v>
      </c>
      <c r="G555" s="23" t="str">
        <f t="array" ref="G555">IF(OR(INDEX(Species_Availability,MATCH($N555,Species_Names,0))="No",INDEX(Species_Evo_Numbers,MATCH($N555,Species_Names,0))&lt;&gt;1),"N/A",RANK($R555,IF(NOT(ISNA(MATCH(Combo_Species_Names,IF(Species_Availability="Yes",IF(Species_Evo_Numbers=1,Species_Names)),0))),Combo_Duel_Ability),0))</f>
        <v>N/A</v>
      </c>
      <c r="H555" s="24" t="str">
        <f t="array" ref="H555">IF(OR(INDEX(Species_Availability,MATCH($N555,Species_Names,0))="No",INDEX(Species_Evo_Numbers,MATCH($N555,Species_Names,0))&lt;&gt;1),"N/A",$R555/MAX(IF(NOT(ISNA(MATCH(Combo_Species_Names,IF(Species_Availability="Yes",IF(Species_Evo_Numbers=1,Species_Names)),0))),Combo_Duel_Ability)))</f>
        <v>N/A</v>
      </c>
      <c r="I555" s="23" t="str">
        <f t="array" ref="I555">IF(OR(INDEX(Species_Availability,MATCH($N555,Species_Names,0))="No",INDEX(Species_Evo_Numbers,MATCH($N555,Species_Names,0))&lt;&gt;1),"N/A",RANK($S555,IF(NOT(ISNA(MATCH(Combo_Species_Names,IF(Species_Availability="Yes",IF(Species_Evo_Numbers=1,Species_Names)),0))),Combo_Gym_Offense),0))</f>
        <v>N/A</v>
      </c>
      <c r="J555" s="24" t="str">
        <f t="array" ref="J555">IF(OR(INDEX(Species_Availability,MATCH($N555,Species_Names,0))="No",INDEX(Species_Evo_Numbers,MATCH($N555,Species_Names,0))&lt;&gt;1),"N/A",$S555/MAX(IF(NOT(ISNA(MATCH(Combo_Species_Names,IF(Species_Availability="Yes",IF(Species_Evo_Numbers=1,Species_Names)),0))),Combo_Gym_Offense)))</f>
        <v>N/A</v>
      </c>
      <c r="K555" s="23" t="str">
        <f t="array" ref="K555">IF(OR(INDEX(Species_Availability,MATCH($N555,Species_Names,0))="No",INDEX(Species_Evo_Numbers,MATCH($N555,Species_Names,0))&lt;&gt;1),"N/A",RANK($Y555,IF(NOT(ISNA(MATCH(Combo_Species_Names,IF(Species_Availability="Yes",IF(Species_Evo_Numbers=1,Species_Names)),0))),Combo_Gym_Defense),0))</f>
        <v>N/A</v>
      </c>
      <c r="L555" s="24" t="str">
        <f t="array" ref="L555">IF(OR(INDEX(Species_Availability,MATCH($N555,Species_Names,0))="No",INDEX(Species_Evo_Numbers,MATCH($N555,Species_Names,0))&lt;&gt;1),"N/A",$Y555/MAX(IF(NOT(ISNA(MATCH(Combo_Species_Names,IF(Species_Availability="Yes",IF(Species_Evo_Numbers=1,Species_Names)),0))),Combo_Gym_Defense)))</f>
        <v>N/A</v>
      </c>
      <c r="M555" s="28">
        <f t="array" ref="M555">INDEX(Species_Pdex_Numbers,MATCH($N555,Species_Names,0))</f>
        <v>102</v>
      </c>
      <c r="N555" s="30" t="s">
        <v>305</v>
      </c>
      <c r="O555" s="31" t="s">
        <v>108</v>
      </c>
      <c r="P555" s="31" t="s">
        <v>58</v>
      </c>
      <c r="Q555" s="17" t="e">
        <f t="shared" si="16"/>
        <v>#VALUE!</v>
      </c>
      <c r="R555" s="32" t="e">
        <f t="array" ref="R555">IF(OR(AND(COUNTBLANK(Combo_Opponent_Type_1)=1,COUNTBLANK(Combo_Opponent_Type_2)=0),AND(AND(COUNTBLANK(Combo_Opponent_Type_1)=0,COUNTBLANK(Combo_Opponent_Type_2)=0),Combo_Opponent_Type_1=Combo_Opponent_Type_2)),
"Check Types",($S555*INDEX(Species_Tankiness,MATCH($N555,Species_Names,0)))/225)</f>
        <v>#VALUE!</v>
      </c>
      <c r="S555" s="32" t="e">
        <f t="array" ref="S555">IF(OR(AND(COUNTBLANK(Combo_Opponent_Type_1)=1,COUNTBLANK(Combo_Opponent_Type_2)=0),AND(AND(COUNTBLANK(Combo_Opponent_Type_1)=0,COUNTBLANK(Combo_Opponent_Type_2)=0),Combo_Opponent_Type_1=Combo_Opponent_Type_2)),
"Check Types",(
IF($W555&gt;=((1-Game_Weave_Human_Error)*$X555),$W555,$X555)*INDEX(Species_Attack,MATCH($N555,Species_Names,0)))/11)</f>
        <v>#VALUE!</v>
      </c>
      <c r="T555" s="33" t="e">
        <f t="shared" si="17"/>
        <v>#VALUE!</v>
      </c>
      <c r="U555" s="33">
        <f t="array" ref="U5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555,Quick_Names,0))),Type_Species)),0),1)*IF(COUNTBLANK(Combo_Opponent_Type_2)=0,INDEX(Type_Damage_Multipliers,MATCH(Combo_Opponent_Type_2,IF(Type_Move=(INDEX(Quick_Type,MATCH($O555,Quick_Names,0))),Type_Species)),0),1)*(IF(OR(INDEX(Quick_Type,MATCH($O555,Quick_Names,0))=INDEX(Species_Type_1,MATCH($N555,Species_Names,0)),INDEX(Quick_Type,MATCH($O555,Quick_Names,0))=INDEX(Species_Type_2,MATCH($N555,Species_Names,0))),Game_STAB_Multiplier,1)))</f>
        <v>1.25</v>
      </c>
      <c r="V555" s="33">
        <f t="array" ref="V5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555,Charge_Names,0))),Type_Species)),0),1)*IF(COUNTBLANK(Combo_Opponent_Type_2)=0,INDEX(Type_Damage_Multipliers,MATCH(Combo_Opponent_Type_2,IF(Type_Move=(INDEX(Charge_Type,MATCH($P555,Charge_Names,0))),Type_Species)),0),1)*
IF(OR(INDEX(Charge_Type,MATCH($P555,Charge_Names,0))=INDEX(Species_Type_1,MATCH($N555,Species_Names,0)),INDEX(Charge_Type,MATCH($P555,Charge_Names,0))=INDEX(Species_Type_2,MATCH($N555,Species_Names,0))),Game_STAB_Multiplier,1))</f>
        <v>1.25</v>
      </c>
      <c r="W555" s="33" t="s">
        <v>467</v>
      </c>
      <c r="X555" s="33" t="s">
        <v>495</v>
      </c>
      <c r="Y555" s="32" t="e">
        <f t="array" ref="Y555">((($Z555)*
INDEX(Species_Attack,MATCH($N555,Species_Names,0))*
INDEX(Species_Tankiness,MATCH($N555,Species_Names,0)))/1000)</f>
        <v>#VALUE!</v>
      </c>
      <c r="Z555" s="33" t="s">
        <v>440</v>
      </c>
    </row>
    <row r="556" spans="1:26" ht="14.25" customHeight="1" x14ac:dyDescent="0.2">
      <c r="A556" s="86"/>
      <c r="B556" s="22" t="str">
        <f t="array" ref="B556">CONCATENATE(TEXT($M556,"000"),".",TEXT(INDEX(Quick_Number,MATCH($O556,Quick_Names,0)),"000"),".",TEXT(INDEX(Charge_Number,MATCH($P556,Charge_Names,0)),"000"))</f>
        <v>054.230.028</v>
      </c>
      <c r="C556" s="23" t="e">
        <f t="array" ref="C556">RANK($S556,IF(Combo_Species_Names=$N556,Combo_Gym_Offense),0)</f>
        <v>#VALUE!</v>
      </c>
      <c r="D556" s="24" t="e">
        <f t="array" ref="D556">$S556/MAX(IF(Combo_Species_Names=$N556,Combo_Gym_Offense))</f>
        <v>#VALUE!</v>
      </c>
      <c r="E556" s="23" t="e">
        <f t="array" ref="E556">RANK($Y556,IF(Combo_Species_Names=$N556,Combo_Gym_Defense),0)</f>
        <v>#VALUE!</v>
      </c>
      <c r="F556" s="25" t="e">
        <f t="array" ref="F556">$Y556/MAX(IF(Combo_Species_Names=$N556,Combo_Gym_Defense))</f>
        <v>#VALUE!</v>
      </c>
      <c r="G556" s="23" t="str">
        <f t="array" ref="G556">IF(OR(INDEX(Species_Availability,MATCH($N556,Species_Names,0))="No",INDEX(Species_Evo_Numbers,MATCH($N556,Species_Names,0))&lt;&gt;1),"N/A",RANK($R556,IF(NOT(ISNA(MATCH(Combo_Species_Names,IF(Species_Availability="Yes",IF(Species_Evo_Numbers=1,Species_Names)),0))),Combo_Duel_Ability),0))</f>
        <v>N/A</v>
      </c>
      <c r="H556" s="24" t="str">
        <f t="array" ref="H556">IF(OR(INDEX(Species_Availability,MATCH($N556,Species_Names,0))="No",INDEX(Species_Evo_Numbers,MATCH($N556,Species_Names,0))&lt;&gt;1),"N/A",$R556/MAX(IF(NOT(ISNA(MATCH(Combo_Species_Names,IF(Species_Availability="Yes",IF(Species_Evo_Numbers=1,Species_Names)),0))),Combo_Duel_Ability)))</f>
        <v>N/A</v>
      </c>
      <c r="I556" s="23" t="str">
        <f t="array" ref="I556">IF(OR(INDEX(Species_Availability,MATCH($N556,Species_Names,0))="No",INDEX(Species_Evo_Numbers,MATCH($N556,Species_Names,0))&lt;&gt;1),"N/A",RANK($S556,IF(NOT(ISNA(MATCH(Combo_Species_Names,IF(Species_Availability="Yes",IF(Species_Evo_Numbers=1,Species_Names)),0))),Combo_Gym_Offense),0))</f>
        <v>N/A</v>
      </c>
      <c r="J556" s="24" t="str">
        <f t="array" ref="J556">IF(OR(INDEX(Species_Availability,MATCH($N556,Species_Names,0))="No",INDEX(Species_Evo_Numbers,MATCH($N556,Species_Names,0))&lt;&gt;1),"N/A",$S556/MAX(IF(NOT(ISNA(MATCH(Combo_Species_Names,IF(Species_Availability="Yes",IF(Species_Evo_Numbers=1,Species_Names)),0))),Combo_Gym_Offense)))</f>
        <v>N/A</v>
      </c>
      <c r="K556" s="23" t="str">
        <f t="array" ref="K556">IF(OR(INDEX(Species_Availability,MATCH($N556,Species_Names,0))="No",INDEX(Species_Evo_Numbers,MATCH($N556,Species_Names,0))&lt;&gt;1),"N/A",RANK($Y556,IF(NOT(ISNA(MATCH(Combo_Species_Names,IF(Species_Availability="Yes",IF(Species_Evo_Numbers=1,Species_Names)),0))),Combo_Gym_Defense),0))</f>
        <v>N/A</v>
      </c>
      <c r="L556" s="24" t="str">
        <f t="array" ref="L556">IF(OR(INDEX(Species_Availability,MATCH($N556,Species_Names,0))="No",INDEX(Species_Evo_Numbers,MATCH($N556,Species_Names,0))&lt;&gt;1),"N/A",$Y556/MAX(IF(NOT(ISNA(MATCH(Combo_Species_Names,IF(Species_Availability="Yes",IF(Species_Evo_Numbers=1,Species_Names)),0))),Combo_Gym_Defense)))</f>
        <v>N/A</v>
      </c>
      <c r="M556" s="28">
        <f t="array" ref="M556">INDEX(Species_Pdex_Numbers,MATCH($N556,Species_Names,0))</f>
        <v>54</v>
      </c>
      <c r="N556" s="30" t="s">
        <v>197</v>
      </c>
      <c r="O556" s="31" t="s">
        <v>65</v>
      </c>
      <c r="P556" s="31" t="s">
        <v>146</v>
      </c>
      <c r="Q556" s="17" t="e">
        <f t="shared" si="16"/>
        <v>#VALUE!</v>
      </c>
      <c r="R556" s="32" t="e">
        <f t="array" ref="R556">IF(OR(AND(COUNTBLANK(Combo_Opponent_Type_1)=1,COUNTBLANK(Combo_Opponent_Type_2)=0),AND(AND(COUNTBLANK(Combo_Opponent_Type_1)=0,COUNTBLANK(Combo_Opponent_Type_2)=0),Combo_Opponent_Type_1=Combo_Opponent_Type_2)),
"Check Types",($S556*INDEX(Species_Tankiness,MATCH($N556,Species_Names,0)))/225)</f>
        <v>#VALUE!</v>
      </c>
      <c r="S556" s="32" t="e">
        <f t="array" ref="S556">IF(OR(AND(COUNTBLANK(Combo_Opponent_Type_1)=1,COUNTBLANK(Combo_Opponent_Type_2)=0),AND(AND(COUNTBLANK(Combo_Opponent_Type_1)=0,COUNTBLANK(Combo_Opponent_Type_2)=0),Combo_Opponent_Type_1=Combo_Opponent_Type_2)),
"Check Types",(
IF($W556&gt;=((1-Game_Weave_Human_Error)*$X556),$W556,$X556)*INDEX(Species_Attack,MATCH($N556,Species_Names,0)))/11)</f>
        <v>#VALUE!</v>
      </c>
      <c r="T556" s="33" t="e">
        <f t="shared" si="17"/>
        <v>#VALUE!</v>
      </c>
      <c r="U556" s="33">
        <f t="array" ref="U5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556,Quick_Names,0))),Type_Species)),0),1)*IF(COUNTBLANK(Combo_Opponent_Type_2)=0,INDEX(Type_Damage_Multipliers,MATCH(Combo_Opponent_Type_2,IF(Type_Move=(INDEX(Quick_Type,MATCH($O556,Quick_Names,0))),Type_Species)),0),1)*(IF(OR(INDEX(Quick_Type,MATCH($O556,Quick_Names,0))=INDEX(Species_Type_1,MATCH($N556,Species_Names,0)),INDEX(Quick_Type,MATCH($O556,Quick_Names,0))=INDEX(Species_Type_2,MATCH($N556,Species_Names,0))),Game_STAB_Multiplier,1)))</f>
        <v>1.25</v>
      </c>
      <c r="V556" s="33">
        <f t="array" ref="V5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556,Charge_Names,0))),Type_Species)),0),1)*IF(COUNTBLANK(Combo_Opponent_Type_2)=0,INDEX(Type_Damage_Multipliers,MATCH(Combo_Opponent_Type_2,IF(Type_Move=(INDEX(Charge_Type,MATCH($P556,Charge_Names,0))),Type_Species)),0),1)*
IF(OR(INDEX(Charge_Type,MATCH($P556,Charge_Names,0))=INDEX(Species_Type_1,MATCH($N556,Species_Names,0)),INDEX(Charge_Type,MATCH($P556,Charge_Names,0))=INDEX(Species_Type_2,MATCH($N556,Species_Names,0))),Game_STAB_Multiplier,1))</f>
        <v>1</v>
      </c>
      <c r="W556" s="33" t="s">
        <v>412</v>
      </c>
      <c r="X556" s="33" t="s">
        <v>996</v>
      </c>
      <c r="Y556" s="32" t="e">
        <f t="array" ref="Y556">((($Z556)*
INDEX(Species_Attack,MATCH($N556,Species_Names,0))*
INDEX(Species_Tankiness,MATCH($N556,Species_Names,0)))/1000)</f>
        <v>#VALUE!</v>
      </c>
      <c r="Z556" s="33" t="s">
        <v>997</v>
      </c>
    </row>
    <row r="557" spans="1:26" ht="14.25" customHeight="1" x14ac:dyDescent="0.2">
      <c r="A557" s="86"/>
      <c r="B557" s="22" t="str">
        <f t="array" ref="B557">CONCATENATE(TEXT($M557,"000"),".",TEXT(INDEX(Quick_Number,MATCH($O557,Quick_Names,0)),"000"),".",TEXT(INDEX(Charge_Number,MATCH($P557,Charge_Names,0)),"000"))</f>
        <v>133.221.131</v>
      </c>
      <c r="C557" s="23" t="e">
        <f t="array" ref="C557">RANK($S557,IF(Combo_Species_Names=$N557,Combo_Gym_Offense),0)</f>
        <v>#VALUE!</v>
      </c>
      <c r="D557" s="24" t="e">
        <f t="array" ref="D557">$S557/MAX(IF(Combo_Species_Names=$N557,Combo_Gym_Offense))</f>
        <v>#VALUE!</v>
      </c>
      <c r="E557" s="23" t="e">
        <f t="array" ref="E557">RANK($Y557,IF(Combo_Species_Names=$N557,Combo_Gym_Defense),0)</f>
        <v>#VALUE!</v>
      </c>
      <c r="F557" s="25" t="e">
        <f t="array" ref="F557">$Y557/MAX(IF(Combo_Species_Names=$N557,Combo_Gym_Defense))</f>
        <v>#VALUE!</v>
      </c>
      <c r="G557" s="23" t="str">
        <f t="array" ref="G557">IF(OR(INDEX(Species_Availability,MATCH($N557,Species_Names,0))="No",INDEX(Species_Evo_Numbers,MATCH($N557,Species_Names,0))&lt;&gt;1),"N/A",RANK($R557,IF(NOT(ISNA(MATCH(Combo_Species_Names,IF(Species_Availability="Yes",IF(Species_Evo_Numbers=1,Species_Names)),0))),Combo_Duel_Ability),0))</f>
        <v>N/A</v>
      </c>
      <c r="H557" s="24" t="str">
        <f t="array" ref="H557">IF(OR(INDEX(Species_Availability,MATCH($N557,Species_Names,0))="No",INDEX(Species_Evo_Numbers,MATCH($N557,Species_Names,0))&lt;&gt;1),"N/A",$R557/MAX(IF(NOT(ISNA(MATCH(Combo_Species_Names,IF(Species_Availability="Yes",IF(Species_Evo_Numbers=1,Species_Names)),0))),Combo_Duel_Ability)))</f>
        <v>N/A</v>
      </c>
      <c r="I557" s="23" t="str">
        <f t="array" ref="I557">IF(OR(INDEX(Species_Availability,MATCH($N557,Species_Names,0))="No",INDEX(Species_Evo_Numbers,MATCH($N557,Species_Names,0))&lt;&gt;1),"N/A",RANK($S557,IF(NOT(ISNA(MATCH(Combo_Species_Names,IF(Species_Availability="Yes",IF(Species_Evo_Numbers=1,Species_Names)),0))),Combo_Gym_Offense),0))</f>
        <v>N/A</v>
      </c>
      <c r="J557" s="24" t="str">
        <f t="array" ref="J557">IF(OR(INDEX(Species_Availability,MATCH($N557,Species_Names,0))="No",INDEX(Species_Evo_Numbers,MATCH($N557,Species_Names,0))&lt;&gt;1),"N/A",$S557/MAX(IF(NOT(ISNA(MATCH(Combo_Species_Names,IF(Species_Availability="Yes",IF(Species_Evo_Numbers=1,Species_Names)),0))),Combo_Gym_Offense)))</f>
        <v>N/A</v>
      </c>
      <c r="K557" s="23" t="str">
        <f t="array" ref="K557">IF(OR(INDEX(Species_Availability,MATCH($N557,Species_Names,0))="No",INDEX(Species_Evo_Numbers,MATCH($N557,Species_Names,0))&lt;&gt;1),"N/A",RANK($Y557,IF(NOT(ISNA(MATCH(Combo_Species_Names,IF(Species_Availability="Yes",IF(Species_Evo_Numbers=1,Species_Names)),0))),Combo_Gym_Defense),0))</f>
        <v>N/A</v>
      </c>
      <c r="L557" s="24" t="str">
        <f t="array" ref="L557">IF(OR(INDEX(Species_Availability,MATCH($N557,Species_Names,0))="No",INDEX(Species_Evo_Numbers,MATCH($N557,Species_Names,0))&lt;&gt;1),"N/A",$Y557/MAX(IF(NOT(ISNA(MATCH(Combo_Species_Names,IF(Species_Availability="Yes",IF(Species_Evo_Numbers=1,Species_Names)),0))),Combo_Gym_Defense)))</f>
        <v>N/A</v>
      </c>
      <c r="M557" s="28">
        <f t="array" ref="M557">INDEX(Species_Pdex_Numbers,MATCH($N557,Species_Names,0))</f>
        <v>133</v>
      </c>
      <c r="N557" s="30" t="s">
        <v>351</v>
      </c>
      <c r="O557" s="31" t="s">
        <v>91</v>
      </c>
      <c r="P557" s="31" t="s">
        <v>151</v>
      </c>
      <c r="Q557" s="17" t="e">
        <f t="shared" si="16"/>
        <v>#VALUE!</v>
      </c>
      <c r="R557" s="32" t="e">
        <f t="array" ref="R557">IF(OR(AND(COUNTBLANK(Combo_Opponent_Type_1)=1,COUNTBLANK(Combo_Opponent_Type_2)=0),AND(AND(COUNTBLANK(Combo_Opponent_Type_1)=0,COUNTBLANK(Combo_Opponent_Type_2)=0),Combo_Opponent_Type_1=Combo_Opponent_Type_2)),
"Check Types",($S557*INDEX(Species_Tankiness,MATCH($N557,Species_Names,0)))/225)</f>
        <v>#VALUE!</v>
      </c>
      <c r="S557" s="32" t="e">
        <f t="array" ref="S557">IF(OR(AND(COUNTBLANK(Combo_Opponent_Type_1)=1,COUNTBLANK(Combo_Opponent_Type_2)=0),AND(AND(COUNTBLANK(Combo_Opponent_Type_1)=0,COUNTBLANK(Combo_Opponent_Type_2)=0),Combo_Opponent_Type_1=Combo_Opponent_Type_2)),
"Check Types",(
IF($W557&gt;=((1-Game_Weave_Human_Error)*$X557),$W557,$X557)*INDEX(Species_Attack,MATCH($N557,Species_Names,0)))/11)</f>
        <v>#VALUE!</v>
      </c>
      <c r="T557" s="33" t="e">
        <f t="shared" si="17"/>
        <v>#VALUE!</v>
      </c>
      <c r="U557" s="33">
        <f t="array" ref="U5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557,Quick_Names,0))),Type_Species)),0),1)*IF(COUNTBLANK(Combo_Opponent_Type_2)=0,INDEX(Type_Damage_Multipliers,MATCH(Combo_Opponent_Type_2,IF(Type_Move=(INDEX(Quick_Type,MATCH($O557,Quick_Names,0))),Type_Species)),0),1)*(IF(OR(INDEX(Quick_Type,MATCH($O557,Quick_Names,0))=INDEX(Species_Type_1,MATCH($N557,Species_Names,0)),INDEX(Quick_Type,MATCH($O557,Quick_Names,0))=INDEX(Species_Type_2,MATCH($N557,Species_Names,0))),Game_STAB_Multiplier,1)))</f>
        <v>1.25</v>
      </c>
      <c r="V557" s="33">
        <f t="array" ref="V5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557,Charge_Names,0))),Type_Species)),0),1)*IF(COUNTBLANK(Combo_Opponent_Type_2)=0,INDEX(Type_Damage_Multipliers,MATCH(Combo_Opponent_Type_2,IF(Type_Move=(INDEX(Charge_Type,MATCH($P557,Charge_Names,0))),Type_Species)),0),1)*
IF(OR(INDEX(Charge_Type,MATCH($P557,Charge_Names,0))=INDEX(Species_Type_1,MATCH($N557,Species_Names,0)),INDEX(Charge_Type,MATCH($P557,Charge_Names,0))=INDEX(Species_Type_2,MATCH($N557,Species_Names,0))),Game_STAB_Multiplier,1))</f>
        <v>1.25</v>
      </c>
      <c r="W557" s="33" t="s">
        <v>700</v>
      </c>
      <c r="X557" s="33" t="s">
        <v>998</v>
      </c>
      <c r="Y557" s="32" t="e">
        <f t="array" ref="Y557">((($Z557)*
INDEX(Species_Attack,MATCH($N557,Species_Names,0))*
INDEX(Species_Tankiness,MATCH($N557,Species_Names,0)))/1000)</f>
        <v>#VALUE!</v>
      </c>
      <c r="Z557" s="33" t="s">
        <v>999</v>
      </c>
    </row>
    <row r="558" spans="1:26" ht="14.25" customHeight="1" x14ac:dyDescent="0.2">
      <c r="A558" s="86"/>
      <c r="B558" s="22" t="str">
        <f t="array" ref="B558">CONCATENATE(TEXT($M558,"000"),".",TEXT(INDEX(Quick_Number,MATCH($O558,Quick_Names,0)),"000"),".",TEXT(INDEX(Charge_Number,MATCH($P558,Charge_Names,0)),"000"))</f>
        <v>093.213.070</v>
      </c>
      <c r="C558" s="23" t="e">
        <f t="array" ref="C558">RANK($S558,IF(Combo_Species_Names=$N558,Combo_Gym_Offense),0)</f>
        <v>#VALUE!</v>
      </c>
      <c r="D558" s="24" t="e">
        <f t="array" ref="D558">$S558/MAX(IF(Combo_Species_Names=$N558,Combo_Gym_Offense))</f>
        <v>#VALUE!</v>
      </c>
      <c r="E558" s="23" t="e">
        <f t="array" ref="E558">RANK($Y558,IF(Combo_Species_Names=$N558,Combo_Gym_Defense),0)</f>
        <v>#VALUE!</v>
      </c>
      <c r="F558" s="25" t="e">
        <f t="array" ref="F558">$Y558/MAX(IF(Combo_Species_Names=$N558,Combo_Gym_Defense))</f>
        <v>#VALUE!</v>
      </c>
      <c r="G558" s="23" t="str">
        <f t="array" ref="G558">IF(OR(INDEX(Species_Availability,MATCH($N558,Species_Names,0))="No",INDEX(Species_Evo_Numbers,MATCH($N558,Species_Names,0))&lt;&gt;1),"N/A",RANK($R558,IF(NOT(ISNA(MATCH(Combo_Species_Names,IF(Species_Availability="Yes",IF(Species_Evo_Numbers=1,Species_Names)),0))),Combo_Duel_Ability),0))</f>
        <v>N/A</v>
      </c>
      <c r="H558" s="24" t="str">
        <f t="array" ref="H558">IF(OR(INDEX(Species_Availability,MATCH($N558,Species_Names,0))="No",INDEX(Species_Evo_Numbers,MATCH($N558,Species_Names,0))&lt;&gt;1),"N/A",$R558/MAX(IF(NOT(ISNA(MATCH(Combo_Species_Names,IF(Species_Availability="Yes",IF(Species_Evo_Numbers=1,Species_Names)),0))),Combo_Duel_Ability)))</f>
        <v>N/A</v>
      </c>
      <c r="I558" s="23" t="str">
        <f t="array" ref="I558">IF(OR(INDEX(Species_Availability,MATCH($N558,Species_Names,0))="No",INDEX(Species_Evo_Numbers,MATCH($N558,Species_Names,0))&lt;&gt;1),"N/A",RANK($S558,IF(NOT(ISNA(MATCH(Combo_Species_Names,IF(Species_Availability="Yes",IF(Species_Evo_Numbers=1,Species_Names)),0))),Combo_Gym_Offense),0))</f>
        <v>N/A</v>
      </c>
      <c r="J558" s="24" t="str">
        <f t="array" ref="J558">IF(OR(INDEX(Species_Availability,MATCH($N558,Species_Names,0))="No",INDEX(Species_Evo_Numbers,MATCH($N558,Species_Names,0))&lt;&gt;1),"N/A",$S558/MAX(IF(NOT(ISNA(MATCH(Combo_Species_Names,IF(Species_Availability="Yes",IF(Species_Evo_Numbers=1,Species_Names)),0))),Combo_Gym_Offense)))</f>
        <v>N/A</v>
      </c>
      <c r="K558" s="23" t="str">
        <f t="array" ref="K558">IF(OR(INDEX(Species_Availability,MATCH($N558,Species_Names,0))="No",INDEX(Species_Evo_Numbers,MATCH($N558,Species_Names,0))&lt;&gt;1),"N/A",RANK($Y558,IF(NOT(ISNA(MATCH(Combo_Species_Names,IF(Species_Availability="Yes",IF(Species_Evo_Numbers=1,Species_Names)),0))),Combo_Gym_Defense),0))</f>
        <v>N/A</v>
      </c>
      <c r="L558" s="24" t="str">
        <f t="array" ref="L558">IF(OR(INDEX(Species_Availability,MATCH($N558,Species_Names,0))="No",INDEX(Species_Evo_Numbers,MATCH($N558,Species_Names,0))&lt;&gt;1),"N/A",$Y558/MAX(IF(NOT(ISNA(MATCH(Combo_Species_Names,IF(Species_Availability="Yes",IF(Species_Evo_Numbers=1,Species_Names)),0))),Combo_Gym_Defense)))</f>
        <v>N/A</v>
      </c>
      <c r="M558" s="28">
        <f t="array" ref="M558">INDEX(Species_Pdex_Numbers,MATCH($N558,Species_Names,0))</f>
        <v>93</v>
      </c>
      <c r="N558" s="30" t="s">
        <v>282</v>
      </c>
      <c r="O558" s="31" t="s">
        <v>74</v>
      </c>
      <c r="P558" s="31" t="s">
        <v>234</v>
      </c>
      <c r="Q558" s="17" t="e">
        <f t="shared" si="16"/>
        <v>#VALUE!</v>
      </c>
      <c r="R558" s="32" t="e">
        <f t="array" ref="R558">IF(OR(AND(COUNTBLANK(Combo_Opponent_Type_1)=1,COUNTBLANK(Combo_Opponent_Type_2)=0),AND(AND(COUNTBLANK(Combo_Opponent_Type_1)=0,COUNTBLANK(Combo_Opponent_Type_2)=0),Combo_Opponent_Type_1=Combo_Opponent_Type_2)),
"Check Types",($S558*INDEX(Species_Tankiness,MATCH($N558,Species_Names,0)))/225)</f>
        <v>#VALUE!</v>
      </c>
      <c r="S558" s="32" t="e">
        <f t="array" ref="S558">IF(OR(AND(COUNTBLANK(Combo_Opponent_Type_1)=1,COUNTBLANK(Combo_Opponent_Type_2)=0),AND(AND(COUNTBLANK(Combo_Opponent_Type_1)=0,COUNTBLANK(Combo_Opponent_Type_2)=0),Combo_Opponent_Type_1=Combo_Opponent_Type_2)),
"Check Types",(
IF($W558&gt;=((1-Game_Weave_Human_Error)*$X558),$W558,$X558)*INDEX(Species_Attack,MATCH($N558,Species_Names,0)))/11)</f>
        <v>#VALUE!</v>
      </c>
      <c r="T558" s="33" t="e">
        <f t="shared" si="17"/>
        <v>#VALUE!</v>
      </c>
      <c r="U558" s="33">
        <f t="array" ref="U5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558,Quick_Names,0))),Type_Species)),0),1)*IF(COUNTBLANK(Combo_Opponent_Type_2)=0,INDEX(Type_Damage_Multipliers,MATCH(Combo_Opponent_Type_2,IF(Type_Move=(INDEX(Quick_Type,MATCH($O558,Quick_Names,0))),Type_Species)),0),1)*(IF(OR(INDEX(Quick_Type,MATCH($O558,Quick_Names,0))=INDEX(Species_Type_1,MATCH($N558,Species_Names,0)),INDEX(Quick_Type,MATCH($O558,Quick_Names,0))=INDEX(Species_Type_2,MATCH($N558,Species_Names,0))),Game_STAB_Multiplier,1)))</f>
        <v>1.25</v>
      </c>
      <c r="V558" s="33">
        <f t="array" ref="V5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558,Charge_Names,0))),Type_Species)),0),1)*IF(COUNTBLANK(Combo_Opponent_Type_2)=0,INDEX(Type_Damage_Multipliers,MATCH(Combo_Opponent_Type_2,IF(Type_Move=(INDEX(Charge_Type,MATCH($P558,Charge_Names,0))),Type_Species)),0),1)*
IF(OR(INDEX(Charge_Type,MATCH($P558,Charge_Names,0))=INDEX(Species_Type_1,MATCH($N558,Species_Names,0)),INDEX(Charge_Type,MATCH($P558,Charge_Names,0))=INDEX(Species_Type_2,MATCH($N558,Species_Names,0))),Game_STAB_Multiplier,1))</f>
        <v>1.25</v>
      </c>
      <c r="W558" s="33" t="s">
        <v>710</v>
      </c>
      <c r="X558" s="33" t="s">
        <v>750</v>
      </c>
      <c r="Y558" s="32" t="e">
        <f t="array" ref="Y558">((($Z558)*
INDEX(Species_Attack,MATCH($N558,Species_Names,0))*
INDEX(Species_Tankiness,MATCH($N558,Species_Names,0)))/1000)</f>
        <v>#VALUE!</v>
      </c>
      <c r="Z558" s="33" t="s">
        <v>751</v>
      </c>
    </row>
    <row r="559" spans="1:26" ht="14.25" customHeight="1" x14ac:dyDescent="0.2">
      <c r="A559" s="86"/>
      <c r="B559" s="22" t="str">
        <f t="array" ref="B559">CONCATENATE(TEXT($M559,"000"),".",TEXT(INDEX(Quick_Number,MATCH($O559,Quick_Names,0)),"000"),".",TEXT(INDEX(Charge_Number,MATCH($P559,Charge_Names,0)),"000"))</f>
        <v>093.213.016</v>
      </c>
      <c r="C559" s="23" t="e">
        <f t="array" ref="C559">RANK($S559,IF(Combo_Species_Names=$N559,Combo_Gym_Offense),0)</f>
        <v>#VALUE!</v>
      </c>
      <c r="D559" s="24" t="e">
        <f t="array" ref="D559">$S559/MAX(IF(Combo_Species_Names=$N559,Combo_Gym_Offense))</f>
        <v>#VALUE!</v>
      </c>
      <c r="E559" s="23" t="e">
        <f t="array" ref="E559">RANK($Y559,IF(Combo_Species_Names=$N559,Combo_Gym_Defense),0)</f>
        <v>#VALUE!</v>
      </c>
      <c r="F559" s="25" t="e">
        <f t="array" ref="F559">$Y559/MAX(IF(Combo_Species_Names=$N559,Combo_Gym_Defense))</f>
        <v>#VALUE!</v>
      </c>
      <c r="G559" s="23" t="str">
        <f t="array" ref="G559">IF(OR(INDEX(Species_Availability,MATCH($N559,Species_Names,0))="No",INDEX(Species_Evo_Numbers,MATCH($N559,Species_Names,0))&lt;&gt;1),"N/A",RANK($R559,IF(NOT(ISNA(MATCH(Combo_Species_Names,IF(Species_Availability="Yes",IF(Species_Evo_Numbers=1,Species_Names)),0))),Combo_Duel_Ability),0))</f>
        <v>N/A</v>
      </c>
      <c r="H559" s="24" t="str">
        <f t="array" ref="H559">IF(OR(INDEX(Species_Availability,MATCH($N559,Species_Names,0))="No",INDEX(Species_Evo_Numbers,MATCH($N559,Species_Names,0))&lt;&gt;1),"N/A",$R559/MAX(IF(NOT(ISNA(MATCH(Combo_Species_Names,IF(Species_Availability="Yes",IF(Species_Evo_Numbers=1,Species_Names)),0))),Combo_Duel_Ability)))</f>
        <v>N/A</v>
      </c>
      <c r="I559" s="23" t="str">
        <f t="array" ref="I559">IF(OR(INDEX(Species_Availability,MATCH($N559,Species_Names,0))="No",INDEX(Species_Evo_Numbers,MATCH($N559,Species_Names,0))&lt;&gt;1),"N/A",RANK($S559,IF(NOT(ISNA(MATCH(Combo_Species_Names,IF(Species_Availability="Yes",IF(Species_Evo_Numbers=1,Species_Names)),0))),Combo_Gym_Offense),0))</f>
        <v>N/A</v>
      </c>
      <c r="J559" s="24" t="str">
        <f t="array" ref="J559">IF(OR(INDEX(Species_Availability,MATCH($N559,Species_Names,0))="No",INDEX(Species_Evo_Numbers,MATCH($N559,Species_Names,0))&lt;&gt;1),"N/A",$S559/MAX(IF(NOT(ISNA(MATCH(Combo_Species_Names,IF(Species_Availability="Yes",IF(Species_Evo_Numbers=1,Species_Names)),0))),Combo_Gym_Offense)))</f>
        <v>N/A</v>
      </c>
      <c r="K559" s="23" t="str">
        <f t="array" ref="K559">IF(OR(INDEX(Species_Availability,MATCH($N559,Species_Names,0))="No",INDEX(Species_Evo_Numbers,MATCH($N559,Species_Names,0))&lt;&gt;1),"N/A",RANK($Y559,IF(NOT(ISNA(MATCH(Combo_Species_Names,IF(Species_Availability="Yes",IF(Species_Evo_Numbers=1,Species_Names)),0))),Combo_Gym_Defense),0))</f>
        <v>N/A</v>
      </c>
      <c r="L559" s="24" t="str">
        <f t="array" ref="L559">IF(OR(INDEX(Species_Availability,MATCH($N559,Species_Names,0))="No",INDEX(Species_Evo_Numbers,MATCH($N559,Species_Names,0))&lt;&gt;1),"N/A",$Y559/MAX(IF(NOT(ISNA(MATCH(Combo_Species_Names,IF(Species_Availability="Yes",IF(Species_Evo_Numbers=1,Species_Names)),0))),Combo_Gym_Defense)))</f>
        <v>N/A</v>
      </c>
      <c r="M559" s="28">
        <f t="array" ref="M559">INDEX(Species_Pdex_Numbers,MATCH($N559,Species_Names,0))</f>
        <v>93</v>
      </c>
      <c r="N559" s="30" t="s">
        <v>282</v>
      </c>
      <c r="O559" s="31" t="s">
        <v>74</v>
      </c>
      <c r="P559" s="31" t="s">
        <v>258</v>
      </c>
      <c r="Q559" s="17" t="e">
        <f t="shared" si="16"/>
        <v>#VALUE!</v>
      </c>
      <c r="R559" s="32" t="e">
        <f t="array" ref="R559">IF(OR(AND(COUNTBLANK(Combo_Opponent_Type_1)=1,COUNTBLANK(Combo_Opponent_Type_2)=0),AND(AND(COUNTBLANK(Combo_Opponent_Type_1)=0,COUNTBLANK(Combo_Opponent_Type_2)=0),Combo_Opponent_Type_1=Combo_Opponent_Type_2)),
"Check Types",($S559*INDEX(Species_Tankiness,MATCH($N559,Species_Names,0)))/225)</f>
        <v>#VALUE!</v>
      </c>
      <c r="S559" s="32" t="e">
        <f t="array" ref="S559">IF(OR(AND(COUNTBLANK(Combo_Opponent_Type_1)=1,COUNTBLANK(Combo_Opponent_Type_2)=0),AND(AND(COUNTBLANK(Combo_Opponent_Type_1)=0,COUNTBLANK(Combo_Opponent_Type_2)=0),Combo_Opponent_Type_1=Combo_Opponent_Type_2)),
"Check Types",(
IF($W559&gt;=((1-Game_Weave_Human_Error)*$X559),$W559,$X559)*INDEX(Species_Attack,MATCH($N559,Species_Names,0)))/11)</f>
        <v>#VALUE!</v>
      </c>
      <c r="T559" s="33" t="e">
        <f t="shared" si="17"/>
        <v>#VALUE!</v>
      </c>
      <c r="U559" s="33">
        <f t="array" ref="U5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559,Quick_Names,0))),Type_Species)),0),1)*IF(COUNTBLANK(Combo_Opponent_Type_2)=0,INDEX(Type_Damage_Multipliers,MATCH(Combo_Opponent_Type_2,IF(Type_Move=(INDEX(Quick_Type,MATCH($O559,Quick_Names,0))),Type_Species)),0),1)*(IF(OR(INDEX(Quick_Type,MATCH($O559,Quick_Names,0))=INDEX(Species_Type_1,MATCH($N559,Species_Names,0)),INDEX(Quick_Type,MATCH($O559,Quick_Names,0))=INDEX(Species_Type_2,MATCH($N559,Species_Names,0))),Game_STAB_Multiplier,1)))</f>
        <v>1.25</v>
      </c>
      <c r="V559" s="33">
        <f t="array" ref="V5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559,Charge_Names,0))),Type_Species)),0),1)*IF(COUNTBLANK(Combo_Opponent_Type_2)=0,INDEX(Type_Damage_Multipliers,MATCH(Combo_Opponent_Type_2,IF(Type_Move=(INDEX(Charge_Type,MATCH($P559,Charge_Names,0))),Type_Species)),0),1)*
IF(OR(INDEX(Charge_Type,MATCH($P559,Charge_Names,0))=INDEX(Species_Type_1,MATCH($N559,Species_Names,0)),INDEX(Charge_Type,MATCH($P559,Charge_Names,0))=INDEX(Species_Type_2,MATCH($N559,Species_Names,0))),Game_STAB_Multiplier,1))</f>
        <v>1</v>
      </c>
      <c r="W559" s="33" t="s">
        <v>710</v>
      </c>
      <c r="X559" s="33" t="s">
        <v>752</v>
      </c>
      <c r="Y559" s="32" t="e">
        <f t="array" ref="Y559">((($Z559)*
INDEX(Species_Attack,MATCH($N559,Species_Names,0))*
INDEX(Species_Tankiness,MATCH($N559,Species_Names,0)))/1000)</f>
        <v>#VALUE!</v>
      </c>
      <c r="Z559" s="33" t="s">
        <v>699</v>
      </c>
    </row>
    <row r="560" spans="1:26" ht="14.25" customHeight="1" x14ac:dyDescent="0.2">
      <c r="A560" s="86"/>
      <c r="B560" s="22" t="str">
        <f t="array" ref="B560">CONCATENATE(TEXT($M560,"000"),".",TEXT(INDEX(Quick_Number,MATCH($O560,Quick_Names,0)),"000"),".",TEXT(INDEX(Charge_Number,MATCH($P560,Charge_Names,0)),"000"))</f>
        <v>058.209.131</v>
      </c>
      <c r="C560" s="23" t="e">
        <f t="array" ref="C560">RANK($S560,IF(Combo_Species_Names=$N560,Combo_Gym_Offense),0)</f>
        <v>#VALUE!</v>
      </c>
      <c r="D560" s="24" t="e">
        <f t="array" ref="D560">$S560/MAX(IF(Combo_Species_Names=$N560,Combo_Gym_Offense))</f>
        <v>#VALUE!</v>
      </c>
      <c r="E560" s="23" t="e">
        <f t="array" ref="E560">RANK($Y560,IF(Combo_Species_Names=$N560,Combo_Gym_Defense),0)</f>
        <v>#VALUE!</v>
      </c>
      <c r="F560" s="25" t="e">
        <f t="array" ref="F560">$Y560/MAX(IF(Combo_Species_Names=$N560,Combo_Gym_Defense))</f>
        <v>#VALUE!</v>
      </c>
      <c r="G560" s="23" t="str">
        <f t="array" ref="G560">IF(OR(INDEX(Species_Availability,MATCH($N560,Species_Names,0))="No",INDEX(Species_Evo_Numbers,MATCH($N560,Species_Names,0))&lt;&gt;1),"N/A",RANK($R560,IF(NOT(ISNA(MATCH(Combo_Species_Names,IF(Species_Availability="Yes",IF(Species_Evo_Numbers=1,Species_Names)),0))),Combo_Duel_Ability),0))</f>
        <v>N/A</v>
      </c>
      <c r="H560" s="24" t="str">
        <f t="array" ref="H560">IF(OR(INDEX(Species_Availability,MATCH($N560,Species_Names,0))="No",INDEX(Species_Evo_Numbers,MATCH($N560,Species_Names,0))&lt;&gt;1),"N/A",$R560/MAX(IF(NOT(ISNA(MATCH(Combo_Species_Names,IF(Species_Availability="Yes",IF(Species_Evo_Numbers=1,Species_Names)),0))),Combo_Duel_Ability)))</f>
        <v>N/A</v>
      </c>
      <c r="I560" s="23" t="str">
        <f t="array" ref="I560">IF(OR(INDEX(Species_Availability,MATCH($N560,Species_Names,0))="No",INDEX(Species_Evo_Numbers,MATCH($N560,Species_Names,0))&lt;&gt;1),"N/A",RANK($S560,IF(NOT(ISNA(MATCH(Combo_Species_Names,IF(Species_Availability="Yes",IF(Species_Evo_Numbers=1,Species_Names)),0))),Combo_Gym_Offense),0))</f>
        <v>N/A</v>
      </c>
      <c r="J560" s="24" t="str">
        <f t="array" ref="J560">IF(OR(INDEX(Species_Availability,MATCH($N560,Species_Names,0))="No",INDEX(Species_Evo_Numbers,MATCH($N560,Species_Names,0))&lt;&gt;1),"N/A",$S560/MAX(IF(NOT(ISNA(MATCH(Combo_Species_Names,IF(Species_Availability="Yes",IF(Species_Evo_Numbers=1,Species_Names)),0))),Combo_Gym_Offense)))</f>
        <v>N/A</v>
      </c>
      <c r="K560" s="23" t="str">
        <f t="array" ref="K560">IF(OR(INDEX(Species_Availability,MATCH($N560,Species_Names,0))="No",INDEX(Species_Evo_Numbers,MATCH($N560,Species_Names,0))&lt;&gt;1),"N/A",RANK($Y560,IF(NOT(ISNA(MATCH(Combo_Species_Names,IF(Species_Availability="Yes",IF(Species_Evo_Numbers=1,Species_Names)),0))),Combo_Gym_Defense),0))</f>
        <v>N/A</v>
      </c>
      <c r="L560" s="24" t="str">
        <f t="array" ref="L560">IF(OR(INDEX(Species_Availability,MATCH($N560,Species_Names,0))="No",INDEX(Species_Evo_Numbers,MATCH($N560,Species_Names,0))&lt;&gt;1),"N/A",$Y560/MAX(IF(NOT(ISNA(MATCH(Combo_Species_Names,IF(Species_Availability="Yes",IF(Species_Evo_Numbers=1,Species_Names)),0))),Combo_Gym_Defense)))</f>
        <v>N/A</v>
      </c>
      <c r="M560" s="28">
        <f t="array" ref="M560">INDEX(Species_Pdex_Numbers,MATCH($N560,Species_Names,0))</f>
        <v>58</v>
      </c>
      <c r="N560" s="30" t="s">
        <v>205</v>
      </c>
      <c r="O560" s="31" t="s">
        <v>111</v>
      </c>
      <c r="P560" s="31" t="s">
        <v>151</v>
      </c>
      <c r="Q560" s="17" t="e">
        <f t="shared" si="16"/>
        <v>#VALUE!</v>
      </c>
      <c r="R560" s="32" t="e">
        <f t="array" ref="R560">IF(OR(AND(COUNTBLANK(Combo_Opponent_Type_1)=1,COUNTBLANK(Combo_Opponent_Type_2)=0),AND(AND(COUNTBLANK(Combo_Opponent_Type_1)=0,COUNTBLANK(Combo_Opponent_Type_2)=0),Combo_Opponent_Type_1=Combo_Opponent_Type_2)),
"Check Types",($S560*INDEX(Species_Tankiness,MATCH($N560,Species_Names,0)))/225)</f>
        <v>#VALUE!</v>
      </c>
      <c r="S560" s="32" t="e">
        <f t="array" ref="S560">IF(OR(AND(COUNTBLANK(Combo_Opponent_Type_1)=1,COUNTBLANK(Combo_Opponent_Type_2)=0),AND(AND(COUNTBLANK(Combo_Opponent_Type_1)=0,COUNTBLANK(Combo_Opponent_Type_2)=0),Combo_Opponent_Type_1=Combo_Opponent_Type_2)),
"Check Types",(
IF($W560&gt;=((1-Game_Weave_Human_Error)*$X560),$W560,$X560)*INDEX(Species_Attack,MATCH($N560,Species_Names,0)))/11)</f>
        <v>#VALUE!</v>
      </c>
      <c r="T560" s="33" t="e">
        <f t="shared" si="17"/>
        <v>#VALUE!</v>
      </c>
      <c r="U560" s="33">
        <f t="array" ref="U5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560,Quick_Names,0))),Type_Species)),0),1)*IF(COUNTBLANK(Combo_Opponent_Type_2)=0,INDEX(Type_Damage_Multipliers,MATCH(Combo_Opponent_Type_2,IF(Type_Move=(INDEX(Quick_Type,MATCH($O560,Quick_Names,0))),Type_Species)),0),1)*(IF(OR(INDEX(Quick_Type,MATCH($O560,Quick_Names,0))=INDEX(Species_Type_1,MATCH($N560,Species_Names,0)),INDEX(Quick_Type,MATCH($O560,Quick_Names,0))=INDEX(Species_Type_2,MATCH($N560,Species_Names,0))),Game_STAB_Multiplier,1)))</f>
        <v>1.25</v>
      </c>
      <c r="V560" s="33">
        <f t="array" ref="V5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560,Charge_Names,0))),Type_Species)),0),1)*IF(COUNTBLANK(Combo_Opponent_Type_2)=0,INDEX(Type_Damage_Multipliers,MATCH(Combo_Opponent_Type_2,IF(Type_Move=(INDEX(Charge_Type,MATCH($P560,Charge_Names,0))),Type_Species)),0),1)*
IF(OR(INDEX(Charge_Type,MATCH($P560,Charge_Names,0))=INDEX(Species_Type_1,MATCH($N560,Species_Names,0)),INDEX(Charge_Type,MATCH($P560,Charge_Names,0))=INDEX(Species_Type_2,MATCH($N560,Species_Names,0))),Game_STAB_Multiplier,1))</f>
        <v>1</v>
      </c>
      <c r="W560" s="33" t="s">
        <v>511</v>
      </c>
      <c r="X560" s="33" t="s">
        <v>1000</v>
      </c>
      <c r="Y560" s="32" t="e">
        <f t="array" ref="Y560">((($Z560)*
INDEX(Species_Attack,MATCH($N560,Species_Names,0))*
INDEX(Species_Tankiness,MATCH($N560,Species_Names,0)))/1000)</f>
        <v>#VALUE!</v>
      </c>
      <c r="Z560" s="33" t="s">
        <v>618</v>
      </c>
    </row>
    <row r="561" spans="1:26" ht="14.25" customHeight="1" x14ac:dyDescent="0.2">
      <c r="A561" s="86"/>
      <c r="B561" s="22" t="str">
        <f t="array" ref="B561">CONCATENATE(TEXT($M561,"000"),".",TEXT(INDEX(Quick_Number,MATCH($O561,Quick_Names,0)),"000"),".",TEXT(INDEX(Charge_Number,MATCH($P561,Charge_Names,0)),"000"))</f>
        <v>093.212.070</v>
      </c>
      <c r="C561" s="23" t="e">
        <f t="array" ref="C561">RANK($S561,IF(Combo_Species_Names=$N561,Combo_Gym_Offense),0)</f>
        <v>#VALUE!</v>
      </c>
      <c r="D561" s="24" t="e">
        <f t="array" ref="D561">$S561/MAX(IF(Combo_Species_Names=$N561,Combo_Gym_Offense))</f>
        <v>#VALUE!</v>
      </c>
      <c r="E561" s="23" t="e">
        <f t="array" ref="E561">RANK($Y561,IF(Combo_Species_Names=$N561,Combo_Gym_Defense),0)</f>
        <v>#VALUE!</v>
      </c>
      <c r="F561" s="25" t="e">
        <f t="array" ref="F561">$Y561/MAX(IF(Combo_Species_Names=$N561,Combo_Gym_Defense))</f>
        <v>#VALUE!</v>
      </c>
      <c r="G561" s="23" t="str">
        <f t="array" ref="G561">IF(OR(INDEX(Species_Availability,MATCH($N561,Species_Names,0))="No",INDEX(Species_Evo_Numbers,MATCH($N561,Species_Names,0))&lt;&gt;1),"N/A",RANK($R561,IF(NOT(ISNA(MATCH(Combo_Species_Names,IF(Species_Availability="Yes",IF(Species_Evo_Numbers=1,Species_Names)),0))),Combo_Duel_Ability),0))</f>
        <v>N/A</v>
      </c>
      <c r="H561" s="24" t="str">
        <f t="array" ref="H561">IF(OR(INDEX(Species_Availability,MATCH($N561,Species_Names,0))="No",INDEX(Species_Evo_Numbers,MATCH($N561,Species_Names,0))&lt;&gt;1),"N/A",$R561/MAX(IF(NOT(ISNA(MATCH(Combo_Species_Names,IF(Species_Availability="Yes",IF(Species_Evo_Numbers=1,Species_Names)),0))),Combo_Duel_Ability)))</f>
        <v>N/A</v>
      </c>
      <c r="I561" s="23" t="str">
        <f t="array" ref="I561">IF(OR(INDEX(Species_Availability,MATCH($N561,Species_Names,0))="No",INDEX(Species_Evo_Numbers,MATCH($N561,Species_Names,0))&lt;&gt;1),"N/A",RANK($S561,IF(NOT(ISNA(MATCH(Combo_Species_Names,IF(Species_Availability="Yes",IF(Species_Evo_Numbers=1,Species_Names)),0))),Combo_Gym_Offense),0))</f>
        <v>N/A</v>
      </c>
      <c r="J561" s="24" t="str">
        <f t="array" ref="J561">IF(OR(INDEX(Species_Availability,MATCH($N561,Species_Names,0))="No",INDEX(Species_Evo_Numbers,MATCH($N561,Species_Names,0))&lt;&gt;1),"N/A",$S561/MAX(IF(NOT(ISNA(MATCH(Combo_Species_Names,IF(Species_Availability="Yes",IF(Species_Evo_Numbers=1,Species_Names)),0))),Combo_Gym_Offense)))</f>
        <v>N/A</v>
      </c>
      <c r="K561" s="23" t="str">
        <f t="array" ref="K561">IF(OR(INDEX(Species_Availability,MATCH($N561,Species_Names,0))="No",INDEX(Species_Evo_Numbers,MATCH($N561,Species_Names,0))&lt;&gt;1),"N/A",RANK($Y561,IF(NOT(ISNA(MATCH(Combo_Species_Names,IF(Species_Availability="Yes",IF(Species_Evo_Numbers=1,Species_Names)),0))),Combo_Gym_Defense),0))</f>
        <v>N/A</v>
      </c>
      <c r="L561" s="24" t="str">
        <f t="array" ref="L561">IF(OR(INDEX(Species_Availability,MATCH($N561,Species_Names,0))="No",INDEX(Species_Evo_Numbers,MATCH($N561,Species_Names,0))&lt;&gt;1),"N/A",$Y561/MAX(IF(NOT(ISNA(MATCH(Combo_Species_Names,IF(Species_Availability="Yes",IF(Species_Evo_Numbers=1,Species_Names)),0))),Combo_Gym_Defense)))</f>
        <v>N/A</v>
      </c>
      <c r="M561" s="28">
        <f t="array" ref="M561">INDEX(Species_Pdex_Numbers,MATCH($N561,Species_Names,0))</f>
        <v>93</v>
      </c>
      <c r="N561" s="30" t="s">
        <v>282</v>
      </c>
      <c r="O561" s="31" t="s">
        <v>105</v>
      </c>
      <c r="P561" s="31" t="s">
        <v>234</v>
      </c>
      <c r="Q561" s="17" t="e">
        <f t="shared" si="16"/>
        <v>#VALUE!</v>
      </c>
      <c r="R561" s="32" t="e">
        <f t="array" ref="R561">IF(OR(AND(COUNTBLANK(Combo_Opponent_Type_1)=1,COUNTBLANK(Combo_Opponent_Type_2)=0),AND(AND(COUNTBLANK(Combo_Opponent_Type_1)=0,COUNTBLANK(Combo_Opponent_Type_2)=0),Combo_Opponent_Type_1=Combo_Opponent_Type_2)),
"Check Types",($S561*INDEX(Species_Tankiness,MATCH($N561,Species_Names,0)))/225)</f>
        <v>#VALUE!</v>
      </c>
      <c r="S561" s="32" t="e">
        <f t="array" ref="S561">IF(OR(AND(COUNTBLANK(Combo_Opponent_Type_1)=1,COUNTBLANK(Combo_Opponent_Type_2)=0),AND(AND(COUNTBLANK(Combo_Opponent_Type_1)=0,COUNTBLANK(Combo_Opponent_Type_2)=0),Combo_Opponent_Type_1=Combo_Opponent_Type_2)),
"Check Types",(
IF($W561&gt;=((1-Game_Weave_Human_Error)*$X561),$W561,$X561)*INDEX(Species_Attack,MATCH($N561,Species_Names,0)))/11)</f>
        <v>#VALUE!</v>
      </c>
      <c r="T561" s="33" t="e">
        <f t="shared" si="17"/>
        <v>#VALUE!</v>
      </c>
      <c r="U561" s="33">
        <f t="array" ref="U5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561,Quick_Names,0))),Type_Species)),0),1)*IF(COUNTBLANK(Combo_Opponent_Type_2)=0,INDEX(Type_Damage_Multipliers,MATCH(Combo_Opponent_Type_2,IF(Type_Move=(INDEX(Quick_Type,MATCH($O561,Quick_Names,0))),Type_Species)),0),1)*(IF(OR(INDEX(Quick_Type,MATCH($O561,Quick_Names,0))=INDEX(Species_Type_1,MATCH($N561,Species_Names,0)),INDEX(Quick_Type,MATCH($O561,Quick_Names,0))=INDEX(Species_Type_2,MATCH($N561,Species_Names,0))),Game_STAB_Multiplier,1)))</f>
        <v>1.25</v>
      </c>
      <c r="V561" s="33">
        <f t="array" ref="V5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561,Charge_Names,0))),Type_Species)),0),1)*IF(COUNTBLANK(Combo_Opponent_Type_2)=0,INDEX(Type_Damage_Multipliers,MATCH(Combo_Opponent_Type_2,IF(Type_Move=(INDEX(Charge_Type,MATCH($P561,Charge_Names,0))),Type_Species)),0),1)*
IF(OR(INDEX(Charge_Type,MATCH($P561,Charge_Names,0))=INDEX(Species_Type_1,MATCH($N561,Species_Names,0)),INDEX(Charge_Type,MATCH($P561,Charge_Names,0))=INDEX(Species_Type_2,MATCH($N561,Species_Names,0))),Game_STAB_Multiplier,1))</f>
        <v>1.25</v>
      </c>
      <c r="W561" s="33" t="s">
        <v>622</v>
      </c>
      <c r="X561" s="33" t="s">
        <v>432</v>
      </c>
      <c r="Y561" s="32" t="e">
        <f t="array" ref="Y561">((($Z561)*
INDEX(Species_Attack,MATCH($N561,Species_Names,0))*
INDEX(Species_Tankiness,MATCH($N561,Species_Names,0)))/1000)</f>
        <v>#VALUE!</v>
      </c>
      <c r="Z561" s="33" t="s">
        <v>1001</v>
      </c>
    </row>
    <row r="562" spans="1:26" ht="14.25" customHeight="1" x14ac:dyDescent="0.2">
      <c r="A562" s="86"/>
      <c r="B562" s="22" t="str">
        <f t="array" ref="B562">CONCATENATE(TEXT($M562,"000"),".",TEXT(INDEX(Quick_Number,MATCH($O562,Quick_Names,0)),"000"),".",TEXT(INDEX(Charge_Number,MATCH($P562,Charge_Names,0)),"000"))</f>
        <v>035.222.084</v>
      </c>
      <c r="C562" s="23" t="e">
        <f t="array" ref="C562">RANK($S562,IF(Combo_Species_Names=$N562,Combo_Gym_Offense),0)</f>
        <v>#VALUE!</v>
      </c>
      <c r="D562" s="24" t="e">
        <f t="array" ref="D562">$S562/MAX(IF(Combo_Species_Names=$N562,Combo_Gym_Offense))</f>
        <v>#VALUE!</v>
      </c>
      <c r="E562" s="23" t="e">
        <f t="array" ref="E562">RANK($Y562,IF(Combo_Species_Names=$N562,Combo_Gym_Defense),0)</f>
        <v>#VALUE!</v>
      </c>
      <c r="F562" s="25" t="e">
        <f t="array" ref="F562">$Y562/MAX(IF(Combo_Species_Names=$N562,Combo_Gym_Defense))</f>
        <v>#VALUE!</v>
      </c>
      <c r="G562" s="23" t="str">
        <f t="array" ref="G562">IF(OR(INDEX(Species_Availability,MATCH($N562,Species_Names,0))="No",INDEX(Species_Evo_Numbers,MATCH($N562,Species_Names,0))&lt;&gt;1),"N/A",RANK($R562,IF(NOT(ISNA(MATCH(Combo_Species_Names,IF(Species_Availability="Yes",IF(Species_Evo_Numbers=1,Species_Names)),0))),Combo_Duel_Ability),0))</f>
        <v>N/A</v>
      </c>
      <c r="H562" s="24" t="str">
        <f t="array" ref="H562">IF(OR(INDEX(Species_Availability,MATCH($N562,Species_Names,0))="No",INDEX(Species_Evo_Numbers,MATCH($N562,Species_Names,0))&lt;&gt;1),"N/A",$R562/MAX(IF(NOT(ISNA(MATCH(Combo_Species_Names,IF(Species_Availability="Yes",IF(Species_Evo_Numbers=1,Species_Names)),0))),Combo_Duel_Ability)))</f>
        <v>N/A</v>
      </c>
      <c r="I562" s="23" t="str">
        <f t="array" ref="I562">IF(OR(INDEX(Species_Availability,MATCH($N562,Species_Names,0))="No",INDEX(Species_Evo_Numbers,MATCH($N562,Species_Names,0))&lt;&gt;1),"N/A",RANK($S562,IF(NOT(ISNA(MATCH(Combo_Species_Names,IF(Species_Availability="Yes",IF(Species_Evo_Numbers=1,Species_Names)),0))),Combo_Gym_Offense),0))</f>
        <v>N/A</v>
      </c>
      <c r="J562" s="24" t="str">
        <f t="array" ref="J562">IF(OR(INDEX(Species_Availability,MATCH($N562,Species_Names,0))="No",INDEX(Species_Evo_Numbers,MATCH($N562,Species_Names,0))&lt;&gt;1),"N/A",$S562/MAX(IF(NOT(ISNA(MATCH(Combo_Species_Names,IF(Species_Availability="Yes",IF(Species_Evo_Numbers=1,Species_Names)),0))),Combo_Gym_Offense)))</f>
        <v>N/A</v>
      </c>
      <c r="K562" s="23" t="str">
        <f t="array" ref="K562">IF(OR(INDEX(Species_Availability,MATCH($N562,Species_Names,0))="No",INDEX(Species_Evo_Numbers,MATCH($N562,Species_Names,0))&lt;&gt;1),"N/A",RANK($Y562,IF(NOT(ISNA(MATCH(Combo_Species_Names,IF(Species_Availability="Yes",IF(Species_Evo_Numbers=1,Species_Names)),0))),Combo_Gym_Defense),0))</f>
        <v>N/A</v>
      </c>
      <c r="L562" s="24" t="str">
        <f t="array" ref="L562">IF(OR(INDEX(Species_Availability,MATCH($N562,Species_Names,0))="No",INDEX(Species_Evo_Numbers,MATCH($N562,Species_Names,0))&lt;&gt;1),"N/A",$Y562/MAX(IF(NOT(ISNA(MATCH(Combo_Species_Names,IF(Species_Availability="Yes",IF(Species_Evo_Numbers=1,Species_Names)),0))),Combo_Gym_Defense)))</f>
        <v>N/A</v>
      </c>
      <c r="M562" s="28">
        <f t="array" ref="M562">INDEX(Species_Pdex_Numbers,MATCH($N562,Species_Names,0))</f>
        <v>35</v>
      </c>
      <c r="N562" s="30" t="s">
        <v>161</v>
      </c>
      <c r="O562" s="31" t="s">
        <v>32</v>
      </c>
      <c r="P562" s="31" t="s">
        <v>319</v>
      </c>
      <c r="Q562" s="17" t="e">
        <f t="shared" si="16"/>
        <v>#VALUE!</v>
      </c>
      <c r="R562" s="32" t="e">
        <f t="array" ref="R562">IF(OR(AND(COUNTBLANK(Combo_Opponent_Type_1)=1,COUNTBLANK(Combo_Opponent_Type_2)=0),AND(AND(COUNTBLANK(Combo_Opponent_Type_1)=0,COUNTBLANK(Combo_Opponent_Type_2)=0),Combo_Opponent_Type_1=Combo_Opponent_Type_2)),
"Check Types",($S562*INDEX(Species_Tankiness,MATCH($N562,Species_Names,0)))/225)</f>
        <v>#VALUE!</v>
      </c>
      <c r="S562" s="32" t="e">
        <f t="array" ref="S562">IF(OR(AND(COUNTBLANK(Combo_Opponent_Type_1)=1,COUNTBLANK(Combo_Opponent_Type_2)=0),AND(AND(COUNTBLANK(Combo_Opponent_Type_1)=0,COUNTBLANK(Combo_Opponent_Type_2)=0),Combo_Opponent_Type_1=Combo_Opponent_Type_2)),
"Check Types",(
IF($W562&gt;=((1-Game_Weave_Human_Error)*$X562),$W562,$X562)*INDEX(Species_Attack,MATCH($N562,Species_Names,0)))/11)</f>
        <v>#VALUE!</v>
      </c>
      <c r="T562" s="33" t="e">
        <f t="shared" si="17"/>
        <v>#VALUE!</v>
      </c>
      <c r="U562" s="33">
        <f t="array" ref="U5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562,Quick_Names,0))),Type_Species)),0),1)*IF(COUNTBLANK(Combo_Opponent_Type_2)=0,INDEX(Type_Damage_Multipliers,MATCH(Combo_Opponent_Type_2,IF(Type_Move=(INDEX(Quick_Type,MATCH($O562,Quick_Names,0))),Type_Species)),0),1)*(IF(OR(INDEX(Quick_Type,MATCH($O562,Quick_Names,0))=INDEX(Species_Type_1,MATCH($N562,Species_Names,0)),INDEX(Quick_Type,MATCH($O562,Quick_Names,0))=INDEX(Species_Type_2,MATCH($N562,Species_Names,0))),Game_STAB_Multiplier,1)))</f>
        <v>1</v>
      </c>
      <c r="V562" s="33">
        <f t="array" ref="V5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562,Charge_Names,0))),Type_Species)),0),1)*IF(COUNTBLANK(Combo_Opponent_Type_2)=0,INDEX(Type_Damage_Multipliers,MATCH(Combo_Opponent_Type_2,IF(Type_Move=(INDEX(Charge_Type,MATCH($P562,Charge_Names,0))),Type_Species)),0),1)*
IF(OR(INDEX(Charge_Type,MATCH($P562,Charge_Names,0))=INDEX(Species_Type_1,MATCH($N562,Species_Names,0)),INDEX(Charge_Type,MATCH($P562,Charge_Names,0))=INDEX(Species_Type_2,MATCH($N562,Species_Names,0))),Game_STAB_Multiplier,1))</f>
        <v>1.25</v>
      </c>
      <c r="W562" s="33" t="s">
        <v>536</v>
      </c>
      <c r="X562" s="33" t="s">
        <v>1002</v>
      </c>
      <c r="Y562" s="32" t="e">
        <f t="array" ref="Y562">((($Z562)*
INDEX(Species_Attack,MATCH($N562,Species_Names,0))*
INDEX(Species_Tankiness,MATCH($N562,Species_Names,0)))/1000)</f>
        <v>#VALUE!</v>
      </c>
      <c r="Z562" s="33" t="s">
        <v>1003</v>
      </c>
    </row>
    <row r="563" spans="1:26" ht="14.25" customHeight="1" x14ac:dyDescent="0.2">
      <c r="A563" s="86"/>
      <c r="B563" s="22" t="str">
        <f t="array" ref="B563">CONCATENATE(TEXT($M563,"000"),".",TEXT(INDEX(Quick_Number,MATCH($O563,Quick_Names,0)),"000"),".",TEXT(INDEX(Charge_Number,MATCH($P563,Charge_Names,0)),"000"))</f>
        <v>088.225.018</v>
      </c>
      <c r="C563" s="23" t="e">
        <f t="array" ref="C563">RANK($S563,IF(Combo_Species_Names=$N563,Combo_Gym_Offense),0)</f>
        <v>#VALUE!</v>
      </c>
      <c r="D563" s="24" t="e">
        <f t="array" ref="D563">$S563/MAX(IF(Combo_Species_Names=$N563,Combo_Gym_Offense))</f>
        <v>#VALUE!</v>
      </c>
      <c r="E563" s="23" t="e">
        <f t="array" ref="E563">RANK($Y563,IF(Combo_Species_Names=$N563,Combo_Gym_Defense),0)</f>
        <v>#VALUE!</v>
      </c>
      <c r="F563" s="25" t="e">
        <f t="array" ref="F563">$Y563/MAX(IF(Combo_Species_Names=$N563,Combo_Gym_Defense))</f>
        <v>#VALUE!</v>
      </c>
      <c r="G563" s="23" t="str">
        <f t="array" ref="G563">IF(OR(INDEX(Species_Availability,MATCH($N563,Species_Names,0))="No",INDEX(Species_Evo_Numbers,MATCH($N563,Species_Names,0))&lt;&gt;1),"N/A",RANK($R563,IF(NOT(ISNA(MATCH(Combo_Species_Names,IF(Species_Availability="Yes",IF(Species_Evo_Numbers=1,Species_Names)),0))),Combo_Duel_Ability),0))</f>
        <v>N/A</v>
      </c>
      <c r="H563" s="24" t="str">
        <f t="array" ref="H563">IF(OR(INDEX(Species_Availability,MATCH($N563,Species_Names,0))="No",INDEX(Species_Evo_Numbers,MATCH($N563,Species_Names,0))&lt;&gt;1),"N/A",$R563/MAX(IF(NOT(ISNA(MATCH(Combo_Species_Names,IF(Species_Availability="Yes",IF(Species_Evo_Numbers=1,Species_Names)),0))),Combo_Duel_Ability)))</f>
        <v>N/A</v>
      </c>
      <c r="I563" s="23" t="str">
        <f t="array" ref="I563">IF(OR(INDEX(Species_Availability,MATCH($N563,Species_Names,0))="No",INDEX(Species_Evo_Numbers,MATCH($N563,Species_Names,0))&lt;&gt;1),"N/A",RANK($S563,IF(NOT(ISNA(MATCH(Combo_Species_Names,IF(Species_Availability="Yes",IF(Species_Evo_Numbers=1,Species_Names)),0))),Combo_Gym_Offense),0))</f>
        <v>N/A</v>
      </c>
      <c r="J563" s="24" t="str">
        <f t="array" ref="J563">IF(OR(INDEX(Species_Availability,MATCH($N563,Species_Names,0))="No",INDEX(Species_Evo_Numbers,MATCH($N563,Species_Names,0))&lt;&gt;1),"N/A",$S563/MAX(IF(NOT(ISNA(MATCH(Combo_Species_Names,IF(Species_Availability="Yes",IF(Species_Evo_Numbers=1,Species_Names)),0))),Combo_Gym_Offense)))</f>
        <v>N/A</v>
      </c>
      <c r="K563" s="23" t="str">
        <f t="array" ref="K563">IF(OR(INDEX(Species_Availability,MATCH($N563,Species_Names,0))="No",INDEX(Species_Evo_Numbers,MATCH($N563,Species_Names,0))&lt;&gt;1),"N/A",RANK($Y563,IF(NOT(ISNA(MATCH(Combo_Species_Names,IF(Species_Availability="Yes",IF(Species_Evo_Numbers=1,Species_Names)),0))),Combo_Gym_Defense),0))</f>
        <v>N/A</v>
      </c>
      <c r="L563" s="24" t="str">
        <f t="array" ref="L563">IF(OR(INDEX(Species_Availability,MATCH($N563,Species_Names,0))="No",INDEX(Species_Evo_Numbers,MATCH($N563,Species_Names,0))&lt;&gt;1),"N/A",$Y563/MAX(IF(NOT(ISNA(MATCH(Combo_Species_Names,IF(Species_Availability="Yes",IF(Species_Evo_Numbers=1,Species_Names)),0))),Combo_Gym_Defense)))</f>
        <v>N/A</v>
      </c>
      <c r="M563" s="28">
        <f t="array" ref="M563">INDEX(Species_Pdex_Numbers,MATCH($N563,Species_Names,0))</f>
        <v>88</v>
      </c>
      <c r="N563" s="30" t="s">
        <v>270</v>
      </c>
      <c r="O563" s="31" t="s">
        <v>110</v>
      </c>
      <c r="P563" s="31" t="s">
        <v>273</v>
      </c>
      <c r="Q563" s="17" t="e">
        <f t="shared" si="16"/>
        <v>#VALUE!</v>
      </c>
      <c r="R563" s="32" t="e">
        <f t="array" ref="R563">IF(OR(AND(COUNTBLANK(Combo_Opponent_Type_1)=1,COUNTBLANK(Combo_Opponent_Type_2)=0),AND(AND(COUNTBLANK(Combo_Opponent_Type_1)=0,COUNTBLANK(Combo_Opponent_Type_2)=0),Combo_Opponent_Type_1=Combo_Opponent_Type_2)),
"Check Types",($S563*INDEX(Species_Tankiness,MATCH($N563,Species_Names,0)))/225)</f>
        <v>#VALUE!</v>
      </c>
      <c r="S563" s="32" t="e">
        <f t="array" ref="S563">IF(OR(AND(COUNTBLANK(Combo_Opponent_Type_1)=1,COUNTBLANK(Combo_Opponent_Type_2)=0),AND(AND(COUNTBLANK(Combo_Opponent_Type_1)=0,COUNTBLANK(Combo_Opponent_Type_2)=0),Combo_Opponent_Type_1=Combo_Opponent_Type_2)),
"Check Types",(
IF($W563&gt;=((1-Game_Weave_Human_Error)*$X563),$W563,$X563)*INDEX(Species_Attack,MATCH($N563,Species_Names,0)))/11)</f>
        <v>#VALUE!</v>
      </c>
      <c r="T563" s="33" t="e">
        <f t="shared" si="17"/>
        <v>#VALUE!</v>
      </c>
      <c r="U563" s="33">
        <f t="array" ref="U5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563,Quick_Names,0))),Type_Species)),0),1)*IF(COUNTBLANK(Combo_Opponent_Type_2)=0,INDEX(Type_Damage_Multipliers,MATCH(Combo_Opponent_Type_2,IF(Type_Move=(INDEX(Quick_Type,MATCH($O563,Quick_Names,0))),Type_Species)),0),1)*(IF(OR(INDEX(Quick_Type,MATCH($O563,Quick_Names,0))=INDEX(Species_Type_1,MATCH($N563,Species_Names,0)),INDEX(Quick_Type,MATCH($O563,Quick_Names,0))=INDEX(Species_Type_2,MATCH($N563,Species_Names,0))),Game_STAB_Multiplier,1)))</f>
        <v>1.25</v>
      </c>
      <c r="V563" s="33">
        <f t="array" ref="V5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563,Charge_Names,0))),Type_Species)),0),1)*IF(COUNTBLANK(Combo_Opponent_Type_2)=0,INDEX(Type_Damage_Multipliers,MATCH(Combo_Opponent_Type_2,IF(Type_Move=(INDEX(Charge_Type,MATCH($P563,Charge_Names,0))),Type_Species)),0),1)*
IF(OR(INDEX(Charge_Type,MATCH($P563,Charge_Names,0))=INDEX(Species_Type_1,MATCH($N563,Species_Names,0)),INDEX(Charge_Type,MATCH($P563,Charge_Names,0))=INDEX(Species_Type_2,MATCH($N563,Species_Names,0))),Game_STAB_Multiplier,1))</f>
        <v>1.25</v>
      </c>
      <c r="W563" s="33" t="s">
        <v>511</v>
      </c>
      <c r="X563" s="33" t="s">
        <v>694</v>
      </c>
      <c r="Y563" s="32" t="e">
        <f t="array" ref="Y563">((($Z563)*
INDEX(Species_Attack,MATCH($N563,Species_Names,0))*
INDEX(Species_Tankiness,MATCH($N563,Species_Names,0)))/1000)</f>
        <v>#VALUE!</v>
      </c>
      <c r="Z563" s="33" t="s">
        <v>814</v>
      </c>
    </row>
    <row r="564" spans="1:26" ht="14.25" customHeight="1" x14ac:dyDescent="0.2">
      <c r="A564" s="86"/>
      <c r="B564" s="22" t="str">
        <f t="array" ref="B564">CONCATENATE(TEXT($M564,"000"),".",TEXT(INDEX(Quick_Number,MATCH($O564,Quick_Names,0)),"000"),".",TEXT(INDEX(Charge_Number,MATCH($P564,Charge_Names,0)),"000"))</f>
        <v>088.225.096</v>
      </c>
      <c r="C564" s="23" t="e">
        <f t="array" ref="C564">RANK($S564,IF(Combo_Species_Names=$N564,Combo_Gym_Offense),0)</f>
        <v>#VALUE!</v>
      </c>
      <c r="D564" s="24" t="e">
        <f t="array" ref="D564">$S564/MAX(IF(Combo_Species_Names=$N564,Combo_Gym_Offense))</f>
        <v>#VALUE!</v>
      </c>
      <c r="E564" s="23" t="e">
        <f t="array" ref="E564">RANK($Y564,IF(Combo_Species_Names=$N564,Combo_Gym_Defense),0)</f>
        <v>#VALUE!</v>
      </c>
      <c r="F564" s="25" t="e">
        <f t="array" ref="F564">$Y564/MAX(IF(Combo_Species_Names=$N564,Combo_Gym_Defense))</f>
        <v>#VALUE!</v>
      </c>
      <c r="G564" s="23" t="str">
        <f t="array" ref="G564">IF(OR(INDEX(Species_Availability,MATCH($N564,Species_Names,0))="No",INDEX(Species_Evo_Numbers,MATCH($N564,Species_Names,0))&lt;&gt;1),"N/A",RANK($R564,IF(NOT(ISNA(MATCH(Combo_Species_Names,IF(Species_Availability="Yes",IF(Species_Evo_Numbers=1,Species_Names)),0))),Combo_Duel_Ability),0))</f>
        <v>N/A</v>
      </c>
      <c r="H564" s="24" t="str">
        <f t="array" ref="H564">IF(OR(INDEX(Species_Availability,MATCH($N564,Species_Names,0))="No",INDEX(Species_Evo_Numbers,MATCH($N564,Species_Names,0))&lt;&gt;1),"N/A",$R564/MAX(IF(NOT(ISNA(MATCH(Combo_Species_Names,IF(Species_Availability="Yes",IF(Species_Evo_Numbers=1,Species_Names)),0))),Combo_Duel_Ability)))</f>
        <v>N/A</v>
      </c>
      <c r="I564" s="23" t="str">
        <f t="array" ref="I564">IF(OR(INDEX(Species_Availability,MATCH($N564,Species_Names,0))="No",INDEX(Species_Evo_Numbers,MATCH($N564,Species_Names,0))&lt;&gt;1),"N/A",RANK($S564,IF(NOT(ISNA(MATCH(Combo_Species_Names,IF(Species_Availability="Yes",IF(Species_Evo_Numbers=1,Species_Names)),0))),Combo_Gym_Offense),0))</f>
        <v>N/A</v>
      </c>
      <c r="J564" s="24" t="str">
        <f t="array" ref="J564">IF(OR(INDEX(Species_Availability,MATCH($N564,Species_Names,0))="No",INDEX(Species_Evo_Numbers,MATCH($N564,Species_Names,0))&lt;&gt;1),"N/A",$S564/MAX(IF(NOT(ISNA(MATCH(Combo_Species_Names,IF(Species_Availability="Yes",IF(Species_Evo_Numbers=1,Species_Names)),0))),Combo_Gym_Offense)))</f>
        <v>N/A</v>
      </c>
      <c r="K564" s="23" t="str">
        <f t="array" ref="K564">IF(OR(INDEX(Species_Availability,MATCH($N564,Species_Names,0))="No",INDEX(Species_Evo_Numbers,MATCH($N564,Species_Names,0))&lt;&gt;1),"N/A",RANK($Y564,IF(NOT(ISNA(MATCH(Combo_Species_Names,IF(Species_Availability="Yes",IF(Species_Evo_Numbers=1,Species_Names)),0))),Combo_Gym_Defense),0))</f>
        <v>N/A</v>
      </c>
      <c r="L564" s="24" t="str">
        <f t="array" ref="L564">IF(OR(INDEX(Species_Availability,MATCH($N564,Species_Names,0))="No",INDEX(Species_Evo_Numbers,MATCH($N564,Species_Names,0))&lt;&gt;1),"N/A",$Y564/MAX(IF(NOT(ISNA(MATCH(Combo_Species_Names,IF(Species_Availability="Yes",IF(Species_Evo_Numbers=1,Species_Names)),0))),Combo_Gym_Defense)))</f>
        <v>N/A</v>
      </c>
      <c r="M564" s="28">
        <f t="array" ref="M564">INDEX(Species_Pdex_Numbers,MATCH($N564,Species_Names,0))</f>
        <v>88</v>
      </c>
      <c r="N564" s="30" t="s">
        <v>270</v>
      </c>
      <c r="O564" s="31" t="s">
        <v>110</v>
      </c>
      <c r="P564" s="31" t="s">
        <v>271</v>
      </c>
      <c r="Q564" s="17" t="e">
        <f t="shared" si="16"/>
        <v>#VALUE!</v>
      </c>
      <c r="R564" s="32" t="e">
        <f t="array" ref="R564">IF(OR(AND(COUNTBLANK(Combo_Opponent_Type_1)=1,COUNTBLANK(Combo_Opponent_Type_2)=0),AND(AND(COUNTBLANK(Combo_Opponent_Type_1)=0,COUNTBLANK(Combo_Opponent_Type_2)=0),Combo_Opponent_Type_1=Combo_Opponent_Type_2)),
"Check Types",($S564*INDEX(Species_Tankiness,MATCH($N564,Species_Names,0)))/225)</f>
        <v>#VALUE!</v>
      </c>
      <c r="S564" s="32" t="e">
        <f t="array" ref="S564">IF(OR(AND(COUNTBLANK(Combo_Opponent_Type_1)=1,COUNTBLANK(Combo_Opponent_Type_2)=0),AND(AND(COUNTBLANK(Combo_Opponent_Type_1)=0,COUNTBLANK(Combo_Opponent_Type_2)=0),Combo_Opponent_Type_1=Combo_Opponent_Type_2)),
"Check Types",(
IF($W564&gt;=((1-Game_Weave_Human_Error)*$X564),$W564,$X564)*INDEX(Species_Attack,MATCH($N564,Species_Names,0)))/11)</f>
        <v>#VALUE!</v>
      </c>
      <c r="T564" s="33" t="e">
        <f t="shared" si="17"/>
        <v>#VALUE!</v>
      </c>
      <c r="U564" s="33">
        <f t="array" ref="U5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564,Quick_Names,0))),Type_Species)),0),1)*IF(COUNTBLANK(Combo_Opponent_Type_2)=0,INDEX(Type_Damage_Multipliers,MATCH(Combo_Opponent_Type_2,IF(Type_Move=(INDEX(Quick_Type,MATCH($O564,Quick_Names,0))),Type_Species)),0),1)*(IF(OR(INDEX(Quick_Type,MATCH($O564,Quick_Names,0))=INDEX(Species_Type_1,MATCH($N564,Species_Names,0)),INDEX(Quick_Type,MATCH($O564,Quick_Names,0))=INDEX(Species_Type_2,MATCH($N564,Species_Names,0))),Game_STAB_Multiplier,1)))</f>
        <v>1.25</v>
      </c>
      <c r="V564" s="33">
        <f t="array" ref="V5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564,Charge_Names,0))),Type_Species)),0),1)*IF(COUNTBLANK(Combo_Opponent_Type_2)=0,INDEX(Type_Damage_Multipliers,MATCH(Combo_Opponent_Type_2,IF(Type_Move=(INDEX(Charge_Type,MATCH($P564,Charge_Names,0))),Type_Species)),0),1)*
IF(OR(INDEX(Charge_Type,MATCH($P564,Charge_Names,0))=INDEX(Species_Type_1,MATCH($N564,Species_Names,0)),INDEX(Charge_Type,MATCH($P564,Charge_Names,0))=INDEX(Species_Type_2,MATCH($N564,Species_Names,0))),Game_STAB_Multiplier,1))</f>
        <v>1</v>
      </c>
      <c r="W564" s="33" t="s">
        <v>511</v>
      </c>
      <c r="X564" s="33" t="s">
        <v>800</v>
      </c>
      <c r="Y564" s="32" t="e">
        <f t="array" ref="Y564">((($Z564)*
INDEX(Species_Attack,MATCH($N564,Species_Names,0))*
INDEX(Species_Tankiness,MATCH($N564,Species_Names,0)))/1000)</f>
        <v>#VALUE!</v>
      </c>
      <c r="Z564" s="33" t="s">
        <v>1004</v>
      </c>
    </row>
    <row r="565" spans="1:26" ht="14.25" customHeight="1" x14ac:dyDescent="0.2">
      <c r="A565" s="86"/>
      <c r="B565" s="22" t="str">
        <f t="array" ref="B565">CONCATENATE(TEXT($M565,"000"),".",TEXT(INDEX(Quick_Number,MATCH($O565,Quick_Names,0)),"000"),".",TEXT(INDEX(Charge_Number,MATCH($P565,Charge_Names,0)),"000"))</f>
        <v>096.222.060</v>
      </c>
      <c r="C565" s="23" t="e">
        <f t="array" ref="C565">RANK($S565,IF(Combo_Species_Names=$N565,Combo_Gym_Offense),0)</f>
        <v>#VALUE!</v>
      </c>
      <c r="D565" s="24" t="e">
        <f t="array" ref="D565">$S565/MAX(IF(Combo_Species_Names=$N565,Combo_Gym_Offense))</f>
        <v>#VALUE!</v>
      </c>
      <c r="E565" s="23" t="e">
        <f t="array" ref="E565">RANK($Y565,IF(Combo_Species_Names=$N565,Combo_Gym_Defense),0)</f>
        <v>#VALUE!</v>
      </c>
      <c r="F565" s="25" t="e">
        <f t="array" ref="F565">$Y565/MAX(IF(Combo_Species_Names=$N565,Combo_Gym_Defense))</f>
        <v>#VALUE!</v>
      </c>
      <c r="G565" s="23" t="str">
        <f t="array" ref="G565">IF(OR(INDEX(Species_Availability,MATCH($N565,Species_Names,0))="No",INDEX(Species_Evo_Numbers,MATCH($N565,Species_Names,0))&lt;&gt;1),"N/A",RANK($R565,IF(NOT(ISNA(MATCH(Combo_Species_Names,IF(Species_Availability="Yes",IF(Species_Evo_Numbers=1,Species_Names)),0))),Combo_Duel_Ability),0))</f>
        <v>N/A</v>
      </c>
      <c r="H565" s="24" t="str">
        <f t="array" ref="H565">IF(OR(INDEX(Species_Availability,MATCH($N565,Species_Names,0))="No",INDEX(Species_Evo_Numbers,MATCH($N565,Species_Names,0))&lt;&gt;1),"N/A",$R565/MAX(IF(NOT(ISNA(MATCH(Combo_Species_Names,IF(Species_Availability="Yes",IF(Species_Evo_Numbers=1,Species_Names)),0))),Combo_Duel_Ability)))</f>
        <v>N/A</v>
      </c>
      <c r="I565" s="23" t="str">
        <f t="array" ref="I565">IF(OR(INDEX(Species_Availability,MATCH($N565,Species_Names,0))="No",INDEX(Species_Evo_Numbers,MATCH($N565,Species_Names,0))&lt;&gt;1),"N/A",RANK($S565,IF(NOT(ISNA(MATCH(Combo_Species_Names,IF(Species_Availability="Yes",IF(Species_Evo_Numbers=1,Species_Names)),0))),Combo_Gym_Offense),0))</f>
        <v>N/A</v>
      </c>
      <c r="J565" s="24" t="str">
        <f t="array" ref="J565">IF(OR(INDEX(Species_Availability,MATCH($N565,Species_Names,0))="No",INDEX(Species_Evo_Numbers,MATCH($N565,Species_Names,0))&lt;&gt;1),"N/A",$S565/MAX(IF(NOT(ISNA(MATCH(Combo_Species_Names,IF(Species_Availability="Yes",IF(Species_Evo_Numbers=1,Species_Names)),0))),Combo_Gym_Offense)))</f>
        <v>N/A</v>
      </c>
      <c r="K565" s="23" t="str">
        <f t="array" ref="K565">IF(OR(INDEX(Species_Availability,MATCH($N565,Species_Names,0))="No",INDEX(Species_Evo_Numbers,MATCH($N565,Species_Names,0))&lt;&gt;1),"N/A",RANK($Y565,IF(NOT(ISNA(MATCH(Combo_Species_Names,IF(Species_Availability="Yes",IF(Species_Evo_Numbers=1,Species_Names)),0))),Combo_Gym_Defense),0))</f>
        <v>N/A</v>
      </c>
      <c r="L565" s="24" t="str">
        <f t="array" ref="L565">IF(OR(INDEX(Species_Availability,MATCH($N565,Species_Names,0))="No",INDEX(Species_Evo_Numbers,MATCH($N565,Species_Names,0))&lt;&gt;1),"N/A",$Y565/MAX(IF(NOT(ISNA(MATCH(Combo_Species_Names,IF(Species_Availability="Yes",IF(Species_Evo_Numbers=1,Species_Names)),0))),Combo_Gym_Defense)))</f>
        <v>N/A</v>
      </c>
      <c r="M565" s="28">
        <f t="array" ref="M565">INDEX(Species_Pdex_Numbers,MATCH($N565,Species_Names,0))</f>
        <v>96</v>
      </c>
      <c r="N565" s="30" t="s">
        <v>290</v>
      </c>
      <c r="O565" s="31" t="s">
        <v>32</v>
      </c>
      <c r="P565" s="31" t="s">
        <v>232</v>
      </c>
      <c r="Q565" s="17" t="e">
        <f t="shared" si="16"/>
        <v>#VALUE!</v>
      </c>
      <c r="R565" s="32" t="e">
        <f t="array" ref="R565">IF(OR(AND(COUNTBLANK(Combo_Opponent_Type_1)=1,COUNTBLANK(Combo_Opponent_Type_2)=0),AND(AND(COUNTBLANK(Combo_Opponent_Type_1)=0,COUNTBLANK(Combo_Opponent_Type_2)=0),Combo_Opponent_Type_1=Combo_Opponent_Type_2)),
"Check Types",($S565*INDEX(Species_Tankiness,MATCH($N565,Species_Names,0)))/225)</f>
        <v>#VALUE!</v>
      </c>
      <c r="S565" s="32" t="e">
        <f t="array" ref="S565">IF(OR(AND(COUNTBLANK(Combo_Opponent_Type_1)=1,COUNTBLANK(Combo_Opponent_Type_2)=0),AND(AND(COUNTBLANK(Combo_Opponent_Type_1)=0,COUNTBLANK(Combo_Opponent_Type_2)=0),Combo_Opponent_Type_1=Combo_Opponent_Type_2)),
"Check Types",(
IF($W565&gt;=((1-Game_Weave_Human_Error)*$X565),$W565,$X565)*INDEX(Species_Attack,MATCH($N565,Species_Names,0)))/11)</f>
        <v>#VALUE!</v>
      </c>
      <c r="T565" s="33" t="e">
        <f t="shared" si="17"/>
        <v>#VALUE!</v>
      </c>
      <c r="U565" s="33">
        <f t="array" ref="U5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565,Quick_Names,0))),Type_Species)),0),1)*IF(COUNTBLANK(Combo_Opponent_Type_2)=0,INDEX(Type_Damage_Multipliers,MATCH(Combo_Opponent_Type_2,IF(Type_Move=(INDEX(Quick_Type,MATCH($O565,Quick_Names,0))),Type_Species)),0),1)*(IF(OR(INDEX(Quick_Type,MATCH($O565,Quick_Names,0))=INDEX(Species_Type_1,MATCH($N565,Species_Names,0)),INDEX(Quick_Type,MATCH($O565,Quick_Names,0))=INDEX(Species_Type_2,MATCH($N565,Species_Names,0))),Game_STAB_Multiplier,1)))</f>
        <v>1</v>
      </c>
      <c r="V565" s="33">
        <f t="array" ref="V5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565,Charge_Names,0))),Type_Species)),0),1)*IF(COUNTBLANK(Combo_Opponent_Type_2)=0,INDEX(Type_Damage_Multipliers,MATCH(Combo_Opponent_Type_2,IF(Type_Move=(INDEX(Charge_Type,MATCH($P565,Charge_Names,0))),Type_Species)),0),1)*
IF(OR(INDEX(Charge_Type,MATCH($P565,Charge_Names,0))=INDEX(Species_Type_1,MATCH($N565,Species_Names,0)),INDEX(Charge_Type,MATCH($P565,Charge_Names,0))=INDEX(Species_Type_2,MATCH($N565,Species_Names,0))),Game_STAB_Multiplier,1))</f>
        <v>1.25</v>
      </c>
      <c r="W565" s="33" t="s">
        <v>536</v>
      </c>
      <c r="X565" s="33" t="s">
        <v>837</v>
      </c>
      <c r="Y565" s="32" t="e">
        <f t="array" ref="Y565">((($Z565)*
INDEX(Species_Attack,MATCH($N565,Species_Names,0))*
INDEX(Species_Tankiness,MATCH($N565,Species_Names,0)))/1000)</f>
        <v>#VALUE!</v>
      </c>
      <c r="Z565" s="33" t="s">
        <v>838</v>
      </c>
    </row>
    <row r="566" spans="1:26" ht="14.25" customHeight="1" x14ac:dyDescent="0.2">
      <c r="A566" s="86"/>
      <c r="B566" s="22" t="str">
        <f t="array" ref="B566">CONCATENATE(TEXT($M566,"000"),".",TEXT(INDEX(Quick_Number,MATCH($O566,Quick_Names,0)),"000"),".",TEXT(INDEX(Charge_Number,MATCH($P566,Charge_Names,0)),"000"))</f>
        <v>054.230.058</v>
      </c>
      <c r="C566" s="23" t="e">
        <f t="array" ref="C566">RANK($S566,IF(Combo_Species_Names=$N566,Combo_Gym_Offense),0)</f>
        <v>#VALUE!</v>
      </c>
      <c r="D566" s="24" t="e">
        <f t="array" ref="D566">$S566/MAX(IF(Combo_Species_Names=$N566,Combo_Gym_Offense))</f>
        <v>#VALUE!</v>
      </c>
      <c r="E566" s="23" t="e">
        <f t="array" ref="E566">RANK($Y566,IF(Combo_Species_Names=$N566,Combo_Gym_Defense),0)</f>
        <v>#VALUE!</v>
      </c>
      <c r="F566" s="25" t="e">
        <f t="array" ref="F566">$Y566/MAX(IF(Combo_Species_Names=$N566,Combo_Gym_Defense))</f>
        <v>#VALUE!</v>
      </c>
      <c r="G566" s="23" t="str">
        <f t="array" ref="G566">IF(OR(INDEX(Species_Availability,MATCH($N566,Species_Names,0))="No",INDEX(Species_Evo_Numbers,MATCH($N566,Species_Names,0))&lt;&gt;1),"N/A",RANK($R566,IF(NOT(ISNA(MATCH(Combo_Species_Names,IF(Species_Availability="Yes",IF(Species_Evo_Numbers=1,Species_Names)),0))),Combo_Duel_Ability),0))</f>
        <v>N/A</v>
      </c>
      <c r="H566" s="24" t="str">
        <f t="array" ref="H566">IF(OR(INDEX(Species_Availability,MATCH($N566,Species_Names,0))="No",INDEX(Species_Evo_Numbers,MATCH($N566,Species_Names,0))&lt;&gt;1),"N/A",$R566/MAX(IF(NOT(ISNA(MATCH(Combo_Species_Names,IF(Species_Availability="Yes",IF(Species_Evo_Numbers=1,Species_Names)),0))),Combo_Duel_Ability)))</f>
        <v>N/A</v>
      </c>
      <c r="I566" s="23" t="str">
        <f t="array" ref="I566">IF(OR(INDEX(Species_Availability,MATCH($N566,Species_Names,0))="No",INDEX(Species_Evo_Numbers,MATCH($N566,Species_Names,0))&lt;&gt;1),"N/A",RANK($S566,IF(NOT(ISNA(MATCH(Combo_Species_Names,IF(Species_Availability="Yes",IF(Species_Evo_Numbers=1,Species_Names)),0))),Combo_Gym_Offense),0))</f>
        <v>N/A</v>
      </c>
      <c r="J566" s="24" t="str">
        <f t="array" ref="J566">IF(OR(INDEX(Species_Availability,MATCH($N566,Species_Names,0))="No",INDEX(Species_Evo_Numbers,MATCH($N566,Species_Names,0))&lt;&gt;1),"N/A",$S566/MAX(IF(NOT(ISNA(MATCH(Combo_Species_Names,IF(Species_Availability="Yes",IF(Species_Evo_Numbers=1,Species_Names)),0))),Combo_Gym_Offense)))</f>
        <v>N/A</v>
      </c>
      <c r="K566" s="23" t="str">
        <f t="array" ref="K566">IF(OR(INDEX(Species_Availability,MATCH($N566,Species_Names,0))="No",INDEX(Species_Evo_Numbers,MATCH($N566,Species_Names,0))&lt;&gt;1),"N/A",RANK($Y566,IF(NOT(ISNA(MATCH(Combo_Species_Names,IF(Species_Availability="Yes",IF(Species_Evo_Numbers=1,Species_Names)),0))),Combo_Gym_Defense),0))</f>
        <v>N/A</v>
      </c>
      <c r="L566" s="24" t="str">
        <f t="array" ref="L566">IF(OR(INDEX(Species_Availability,MATCH($N566,Species_Names,0))="No",INDEX(Species_Evo_Numbers,MATCH($N566,Species_Names,0))&lt;&gt;1),"N/A",$Y566/MAX(IF(NOT(ISNA(MATCH(Combo_Species_Names,IF(Species_Availability="Yes",IF(Species_Evo_Numbers=1,Species_Names)),0))),Combo_Gym_Defense)))</f>
        <v>N/A</v>
      </c>
      <c r="M566" s="28">
        <f t="array" ref="M566">INDEX(Species_Pdex_Numbers,MATCH($N566,Species_Names,0))</f>
        <v>54</v>
      </c>
      <c r="N566" s="30" t="s">
        <v>197</v>
      </c>
      <c r="O566" s="31" t="s">
        <v>65</v>
      </c>
      <c r="P566" s="31" t="s">
        <v>198</v>
      </c>
      <c r="Q566" s="17" t="e">
        <f t="shared" si="16"/>
        <v>#VALUE!</v>
      </c>
      <c r="R566" s="32" t="e">
        <f t="array" ref="R566">IF(OR(AND(COUNTBLANK(Combo_Opponent_Type_1)=1,COUNTBLANK(Combo_Opponent_Type_2)=0),AND(AND(COUNTBLANK(Combo_Opponent_Type_1)=0,COUNTBLANK(Combo_Opponent_Type_2)=0),Combo_Opponent_Type_1=Combo_Opponent_Type_2)),
"Check Types",($S566*INDEX(Species_Tankiness,MATCH($N566,Species_Names,0)))/225)</f>
        <v>#VALUE!</v>
      </c>
      <c r="S566" s="32" t="e">
        <f t="array" ref="S566">IF(OR(AND(COUNTBLANK(Combo_Opponent_Type_1)=1,COUNTBLANK(Combo_Opponent_Type_2)=0),AND(AND(COUNTBLANK(Combo_Opponent_Type_1)=0,COUNTBLANK(Combo_Opponent_Type_2)=0),Combo_Opponent_Type_1=Combo_Opponent_Type_2)),
"Check Types",(
IF($W566&gt;=((1-Game_Weave_Human_Error)*$X566),$W566,$X566)*INDEX(Species_Attack,MATCH($N566,Species_Names,0)))/11)</f>
        <v>#VALUE!</v>
      </c>
      <c r="T566" s="33" t="e">
        <f t="shared" si="17"/>
        <v>#VALUE!</v>
      </c>
      <c r="U566" s="33">
        <f t="array" ref="U5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566,Quick_Names,0))),Type_Species)),0),1)*IF(COUNTBLANK(Combo_Opponent_Type_2)=0,INDEX(Type_Damage_Multipliers,MATCH(Combo_Opponent_Type_2,IF(Type_Move=(INDEX(Quick_Type,MATCH($O566,Quick_Names,0))),Type_Species)),0),1)*(IF(OR(INDEX(Quick_Type,MATCH($O566,Quick_Names,0))=INDEX(Species_Type_1,MATCH($N566,Species_Names,0)),INDEX(Quick_Type,MATCH($O566,Quick_Names,0))=INDEX(Species_Type_2,MATCH($N566,Species_Names,0))),Game_STAB_Multiplier,1)))</f>
        <v>1.25</v>
      </c>
      <c r="V566" s="33">
        <f t="array" ref="V5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566,Charge_Names,0))),Type_Species)),0),1)*IF(COUNTBLANK(Combo_Opponent_Type_2)=0,INDEX(Type_Damage_Multipliers,MATCH(Combo_Opponent_Type_2,IF(Type_Move=(INDEX(Charge_Type,MATCH($P566,Charge_Names,0))),Type_Species)),0),1)*
IF(OR(INDEX(Charge_Type,MATCH($P566,Charge_Names,0))=INDEX(Species_Type_1,MATCH($N566,Species_Names,0)),INDEX(Charge_Type,MATCH($P566,Charge_Names,0))=INDEX(Species_Type_2,MATCH($N566,Species_Names,0))),Game_STAB_Multiplier,1))</f>
        <v>1.25</v>
      </c>
      <c r="W566" s="33" t="s">
        <v>412</v>
      </c>
      <c r="X566" s="33" t="s">
        <v>444</v>
      </c>
      <c r="Y566" s="32" t="e">
        <f t="array" ref="Y566">((($Z566)*
INDEX(Species_Attack,MATCH($N566,Species_Names,0))*
INDEX(Species_Tankiness,MATCH($N566,Species_Names,0)))/1000)</f>
        <v>#VALUE!</v>
      </c>
      <c r="Z566" s="33" t="s">
        <v>445</v>
      </c>
    </row>
    <row r="567" spans="1:26" ht="14.25" customHeight="1" x14ac:dyDescent="0.2">
      <c r="A567" s="86"/>
      <c r="B567" s="22" t="str">
        <f t="array" ref="B567">CONCATENATE(TEXT($M567,"000"),".",TEXT(INDEX(Quick_Number,MATCH($O567,Quick_Names,0)),"000"),".",TEXT(INDEX(Charge_Number,MATCH($P567,Charge_Names,0)),"000"))</f>
        <v>077.221.021</v>
      </c>
      <c r="C567" s="23" t="e">
        <f t="array" ref="C567">RANK($S567,IF(Combo_Species_Names=$N567,Combo_Gym_Offense),0)</f>
        <v>#VALUE!</v>
      </c>
      <c r="D567" s="24" t="e">
        <f t="array" ref="D567">$S567/MAX(IF(Combo_Species_Names=$N567,Combo_Gym_Offense))</f>
        <v>#VALUE!</v>
      </c>
      <c r="E567" s="23" t="e">
        <f t="array" ref="E567">RANK($Y567,IF(Combo_Species_Names=$N567,Combo_Gym_Defense),0)</f>
        <v>#VALUE!</v>
      </c>
      <c r="F567" s="25" t="e">
        <f t="array" ref="F567">$Y567/MAX(IF(Combo_Species_Names=$N567,Combo_Gym_Defense))</f>
        <v>#VALUE!</v>
      </c>
      <c r="G567" s="23" t="str">
        <f t="array" ref="G567">IF(OR(INDEX(Species_Availability,MATCH($N567,Species_Names,0))="No",INDEX(Species_Evo_Numbers,MATCH($N567,Species_Names,0))&lt;&gt;1),"N/A",RANK($R567,IF(NOT(ISNA(MATCH(Combo_Species_Names,IF(Species_Availability="Yes",IF(Species_Evo_Numbers=1,Species_Names)),0))),Combo_Duel_Ability),0))</f>
        <v>N/A</v>
      </c>
      <c r="H567" s="24" t="str">
        <f t="array" ref="H567">IF(OR(INDEX(Species_Availability,MATCH($N567,Species_Names,0))="No",INDEX(Species_Evo_Numbers,MATCH($N567,Species_Names,0))&lt;&gt;1),"N/A",$R567/MAX(IF(NOT(ISNA(MATCH(Combo_Species_Names,IF(Species_Availability="Yes",IF(Species_Evo_Numbers=1,Species_Names)),0))),Combo_Duel_Ability)))</f>
        <v>N/A</v>
      </c>
      <c r="I567" s="23" t="str">
        <f t="array" ref="I567">IF(OR(INDEX(Species_Availability,MATCH($N567,Species_Names,0))="No",INDEX(Species_Evo_Numbers,MATCH($N567,Species_Names,0))&lt;&gt;1),"N/A",RANK($S567,IF(NOT(ISNA(MATCH(Combo_Species_Names,IF(Species_Availability="Yes",IF(Species_Evo_Numbers=1,Species_Names)),0))),Combo_Gym_Offense),0))</f>
        <v>N/A</v>
      </c>
      <c r="J567" s="24" t="str">
        <f t="array" ref="J567">IF(OR(INDEX(Species_Availability,MATCH($N567,Species_Names,0))="No",INDEX(Species_Evo_Numbers,MATCH($N567,Species_Names,0))&lt;&gt;1),"N/A",$S567/MAX(IF(NOT(ISNA(MATCH(Combo_Species_Names,IF(Species_Availability="Yes",IF(Species_Evo_Numbers=1,Species_Names)),0))),Combo_Gym_Offense)))</f>
        <v>N/A</v>
      </c>
      <c r="K567" s="23" t="str">
        <f t="array" ref="K567">IF(OR(INDEX(Species_Availability,MATCH($N567,Species_Names,0))="No",INDEX(Species_Evo_Numbers,MATCH($N567,Species_Names,0))&lt;&gt;1),"N/A",RANK($Y567,IF(NOT(ISNA(MATCH(Combo_Species_Names,IF(Species_Availability="Yes",IF(Species_Evo_Numbers=1,Species_Names)),0))),Combo_Gym_Defense),0))</f>
        <v>N/A</v>
      </c>
      <c r="L567" s="24" t="str">
        <f t="array" ref="L567">IF(OR(INDEX(Species_Availability,MATCH($N567,Species_Names,0))="No",INDEX(Species_Evo_Numbers,MATCH($N567,Species_Names,0))&lt;&gt;1),"N/A",$Y567/MAX(IF(NOT(ISNA(MATCH(Combo_Species_Names,IF(Species_Availability="Yes",IF(Species_Evo_Numbers=1,Species_Names)),0))),Combo_Gym_Defense)))</f>
        <v>N/A</v>
      </c>
      <c r="M567" s="28">
        <f t="array" ref="M567">INDEX(Species_Pdex_Numbers,MATCH($N567,Species_Names,0))</f>
        <v>77</v>
      </c>
      <c r="N567" s="30" t="s">
        <v>246</v>
      </c>
      <c r="O567" s="31" t="s">
        <v>91</v>
      </c>
      <c r="P567" s="31" t="s">
        <v>306</v>
      </c>
      <c r="Q567" s="17" t="e">
        <f t="shared" si="16"/>
        <v>#VALUE!</v>
      </c>
      <c r="R567" s="32" t="e">
        <f t="array" ref="R567">IF(OR(AND(COUNTBLANK(Combo_Opponent_Type_1)=1,COUNTBLANK(Combo_Opponent_Type_2)=0),AND(AND(COUNTBLANK(Combo_Opponent_Type_1)=0,COUNTBLANK(Combo_Opponent_Type_2)=0),Combo_Opponent_Type_1=Combo_Opponent_Type_2)),
"Check Types",($S567*INDEX(Species_Tankiness,MATCH($N567,Species_Names,0)))/225)</f>
        <v>#VALUE!</v>
      </c>
      <c r="S567" s="32" t="e">
        <f t="array" ref="S567">IF(OR(AND(COUNTBLANK(Combo_Opponent_Type_1)=1,COUNTBLANK(Combo_Opponent_Type_2)=0),AND(AND(COUNTBLANK(Combo_Opponent_Type_1)=0,COUNTBLANK(Combo_Opponent_Type_2)=0),Combo_Opponent_Type_1=Combo_Opponent_Type_2)),
"Check Types",(
IF($W567&gt;=((1-Game_Weave_Human_Error)*$X567),$W567,$X567)*INDEX(Species_Attack,MATCH($N567,Species_Names,0)))/11)</f>
        <v>#VALUE!</v>
      </c>
      <c r="T567" s="33" t="e">
        <f t="shared" si="17"/>
        <v>#VALUE!</v>
      </c>
      <c r="U567" s="33">
        <f t="array" ref="U5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567,Quick_Names,0))),Type_Species)),0),1)*IF(COUNTBLANK(Combo_Opponent_Type_2)=0,INDEX(Type_Damage_Multipliers,MATCH(Combo_Opponent_Type_2,IF(Type_Move=(INDEX(Quick_Type,MATCH($O567,Quick_Names,0))),Type_Species)),0),1)*(IF(OR(INDEX(Quick_Type,MATCH($O567,Quick_Names,0))=INDEX(Species_Type_1,MATCH($N567,Species_Names,0)),INDEX(Quick_Type,MATCH($O567,Quick_Names,0))=INDEX(Species_Type_2,MATCH($N567,Species_Names,0))),Game_STAB_Multiplier,1)))</f>
        <v>1</v>
      </c>
      <c r="V567" s="33">
        <f t="array" ref="V5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567,Charge_Names,0))),Type_Species)),0),1)*IF(COUNTBLANK(Combo_Opponent_Type_2)=0,INDEX(Type_Damage_Multipliers,MATCH(Combo_Opponent_Type_2,IF(Type_Move=(INDEX(Charge_Type,MATCH($P567,Charge_Names,0))),Type_Species)),0),1)*
IF(OR(INDEX(Charge_Type,MATCH($P567,Charge_Names,0))=INDEX(Species_Type_1,MATCH($N567,Species_Names,0)),INDEX(Charge_Type,MATCH($P567,Charge_Names,0))=INDEX(Species_Type_2,MATCH($N567,Species_Names,0))),Game_STAB_Multiplier,1))</f>
        <v>1.25</v>
      </c>
      <c r="W567" s="33" t="s">
        <v>658</v>
      </c>
      <c r="X567" s="33" t="s">
        <v>913</v>
      </c>
      <c r="Y567" s="32" t="e">
        <f t="array" ref="Y567">((($Z567)*
INDEX(Species_Attack,MATCH($N567,Species_Names,0))*
INDEX(Species_Tankiness,MATCH($N567,Species_Names,0)))/1000)</f>
        <v>#VALUE!</v>
      </c>
      <c r="Z567" s="33" t="s">
        <v>1005</v>
      </c>
    </row>
    <row r="568" spans="1:26" ht="14.25" customHeight="1" x14ac:dyDescent="0.2">
      <c r="A568" s="86"/>
      <c r="B568" s="22" t="str">
        <f t="array" ref="B568">CONCATENATE(TEXT($M568,"000"),".",TEXT(INDEX(Quick_Number,MATCH($O568,Quick_Names,0)),"000"),".",TEXT(INDEX(Charge_Number,MATCH($P568,Charge_Names,0)),"000"))</f>
        <v>077.221.101</v>
      </c>
      <c r="C568" s="23" t="e">
        <f t="array" ref="C568">RANK($S568,IF(Combo_Species_Names=$N568,Combo_Gym_Offense),0)</f>
        <v>#VALUE!</v>
      </c>
      <c r="D568" s="24" t="e">
        <f t="array" ref="D568">$S568/MAX(IF(Combo_Species_Names=$N568,Combo_Gym_Offense))</f>
        <v>#VALUE!</v>
      </c>
      <c r="E568" s="23" t="e">
        <f t="array" ref="E568">RANK($Y568,IF(Combo_Species_Names=$N568,Combo_Gym_Defense),0)</f>
        <v>#VALUE!</v>
      </c>
      <c r="F568" s="25" t="e">
        <f t="array" ref="F568">$Y568/MAX(IF(Combo_Species_Names=$N568,Combo_Gym_Defense))</f>
        <v>#VALUE!</v>
      </c>
      <c r="G568" s="23" t="str">
        <f t="array" ref="G568">IF(OR(INDEX(Species_Availability,MATCH($N568,Species_Names,0))="No",INDEX(Species_Evo_Numbers,MATCH($N568,Species_Names,0))&lt;&gt;1),"N/A",RANK($R568,IF(NOT(ISNA(MATCH(Combo_Species_Names,IF(Species_Availability="Yes",IF(Species_Evo_Numbers=1,Species_Names)),0))),Combo_Duel_Ability),0))</f>
        <v>N/A</v>
      </c>
      <c r="H568" s="24" t="str">
        <f t="array" ref="H568">IF(OR(INDEX(Species_Availability,MATCH($N568,Species_Names,0))="No",INDEX(Species_Evo_Numbers,MATCH($N568,Species_Names,0))&lt;&gt;1),"N/A",$R568/MAX(IF(NOT(ISNA(MATCH(Combo_Species_Names,IF(Species_Availability="Yes",IF(Species_Evo_Numbers=1,Species_Names)),0))),Combo_Duel_Ability)))</f>
        <v>N/A</v>
      </c>
      <c r="I568" s="23" t="str">
        <f t="array" ref="I568">IF(OR(INDEX(Species_Availability,MATCH($N568,Species_Names,0))="No",INDEX(Species_Evo_Numbers,MATCH($N568,Species_Names,0))&lt;&gt;1),"N/A",RANK($S568,IF(NOT(ISNA(MATCH(Combo_Species_Names,IF(Species_Availability="Yes",IF(Species_Evo_Numbers=1,Species_Names)),0))),Combo_Gym_Offense),0))</f>
        <v>N/A</v>
      </c>
      <c r="J568" s="24" t="str">
        <f t="array" ref="J568">IF(OR(INDEX(Species_Availability,MATCH($N568,Species_Names,0))="No",INDEX(Species_Evo_Numbers,MATCH($N568,Species_Names,0))&lt;&gt;1),"N/A",$S568/MAX(IF(NOT(ISNA(MATCH(Combo_Species_Names,IF(Species_Availability="Yes",IF(Species_Evo_Numbers=1,Species_Names)),0))),Combo_Gym_Offense)))</f>
        <v>N/A</v>
      </c>
      <c r="K568" s="23" t="str">
        <f t="array" ref="K568">IF(OR(INDEX(Species_Availability,MATCH($N568,Species_Names,0))="No",INDEX(Species_Evo_Numbers,MATCH($N568,Species_Names,0))&lt;&gt;1),"N/A",RANK($Y568,IF(NOT(ISNA(MATCH(Combo_Species_Names,IF(Species_Availability="Yes",IF(Species_Evo_Numbers=1,Species_Names)),0))),Combo_Gym_Defense),0))</f>
        <v>N/A</v>
      </c>
      <c r="L568" s="24" t="str">
        <f t="array" ref="L568">IF(OR(INDEX(Species_Availability,MATCH($N568,Species_Names,0))="No",INDEX(Species_Evo_Numbers,MATCH($N568,Species_Names,0))&lt;&gt;1),"N/A",$Y568/MAX(IF(NOT(ISNA(MATCH(Combo_Species_Names,IF(Species_Availability="Yes",IF(Species_Evo_Numbers=1,Species_Names)),0))),Combo_Gym_Defense)))</f>
        <v>N/A</v>
      </c>
      <c r="M568" s="28">
        <f t="array" ref="M568">INDEX(Species_Pdex_Numbers,MATCH($N568,Species_Names,0))</f>
        <v>77</v>
      </c>
      <c r="N568" s="30" t="s">
        <v>246</v>
      </c>
      <c r="O568" s="31" t="s">
        <v>91</v>
      </c>
      <c r="P568" s="31" t="s">
        <v>308</v>
      </c>
      <c r="Q568" s="17" t="e">
        <f t="shared" si="16"/>
        <v>#VALUE!</v>
      </c>
      <c r="R568" s="32" t="e">
        <f t="array" ref="R568">IF(OR(AND(COUNTBLANK(Combo_Opponent_Type_1)=1,COUNTBLANK(Combo_Opponent_Type_2)=0),AND(AND(COUNTBLANK(Combo_Opponent_Type_1)=0,COUNTBLANK(Combo_Opponent_Type_2)=0),Combo_Opponent_Type_1=Combo_Opponent_Type_2)),
"Check Types",($S568*INDEX(Species_Tankiness,MATCH($N568,Species_Names,0)))/225)</f>
        <v>#VALUE!</v>
      </c>
      <c r="S568" s="32" t="e">
        <f t="array" ref="S568">IF(OR(AND(COUNTBLANK(Combo_Opponent_Type_1)=1,COUNTBLANK(Combo_Opponent_Type_2)=0),AND(AND(COUNTBLANK(Combo_Opponent_Type_1)=0,COUNTBLANK(Combo_Opponent_Type_2)=0),Combo_Opponent_Type_1=Combo_Opponent_Type_2)),
"Check Types",(
IF($W568&gt;=((1-Game_Weave_Human_Error)*$X568),$W568,$X568)*INDEX(Species_Attack,MATCH($N568,Species_Names,0)))/11)</f>
        <v>#VALUE!</v>
      </c>
      <c r="T568" s="33" t="e">
        <f t="shared" si="17"/>
        <v>#VALUE!</v>
      </c>
      <c r="U568" s="33">
        <f t="array" ref="U5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568,Quick_Names,0))),Type_Species)),0),1)*IF(COUNTBLANK(Combo_Opponent_Type_2)=0,INDEX(Type_Damage_Multipliers,MATCH(Combo_Opponent_Type_2,IF(Type_Move=(INDEX(Quick_Type,MATCH($O568,Quick_Names,0))),Type_Species)),0),1)*(IF(OR(INDEX(Quick_Type,MATCH($O568,Quick_Names,0))=INDEX(Species_Type_1,MATCH($N568,Species_Names,0)),INDEX(Quick_Type,MATCH($O568,Quick_Names,0))=INDEX(Species_Type_2,MATCH($N568,Species_Names,0))),Game_STAB_Multiplier,1)))</f>
        <v>1</v>
      </c>
      <c r="V568" s="33">
        <f t="array" ref="V5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568,Charge_Names,0))),Type_Species)),0),1)*IF(COUNTBLANK(Combo_Opponent_Type_2)=0,INDEX(Type_Damage_Multipliers,MATCH(Combo_Opponent_Type_2,IF(Type_Move=(INDEX(Charge_Type,MATCH($P568,Charge_Names,0))),Type_Species)),0),1)*
IF(OR(INDEX(Charge_Type,MATCH($P568,Charge_Names,0))=INDEX(Species_Type_1,MATCH($N568,Species_Names,0)),INDEX(Charge_Type,MATCH($P568,Charge_Names,0))=INDEX(Species_Type_2,MATCH($N568,Species_Names,0))),Game_STAB_Multiplier,1))</f>
        <v>1.25</v>
      </c>
      <c r="W568" s="33" t="s">
        <v>658</v>
      </c>
      <c r="X568" s="33" t="s">
        <v>1006</v>
      </c>
      <c r="Y568" s="32" t="e">
        <f t="array" ref="Y568">((($Z568)*
INDEX(Species_Attack,MATCH($N568,Species_Names,0))*
INDEX(Species_Tankiness,MATCH($N568,Species_Names,0)))/1000)</f>
        <v>#VALUE!</v>
      </c>
      <c r="Z568" s="33" t="s">
        <v>607</v>
      </c>
    </row>
    <row r="569" spans="1:26" ht="14.25" customHeight="1" x14ac:dyDescent="0.2">
      <c r="A569" s="86"/>
      <c r="B569" s="22" t="str">
        <f t="array" ref="B569">CONCATENATE(TEXT($M569,"000"),".",TEXT(INDEX(Quick_Number,MATCH($O569,Quick_Names,0)),"000"),".",TEXT(INDEX(Charge_Number,MATCH($P569,Charge_Names,0)),"000"))</f>
        <v>086.217.058</v>
      </c>
      <c r="C569" s="23" t="e">
        <f t="array" ref="C569">RANK($S569,IF(Combo_Species_Names=$N569,Combo_Gym_Offense),0)</f>
        <v>#VALUE!</v>
      </c>
      <c r="D569" s="24" t="e">
        <f t="array" ref="D569">$S569/MAX(IF(Combo_Species_Names=$N569,Combo_Gym_Offense))</f>
        <v>#VALUE!</v>
      </c>
      <c r="E569" s="23" t="e">
        <f t="array" ref="E569">RANK($Y569,IF(Combo_Species_Names=$N569,Combo_Gym_Defense),0)</f>
        <v>#VALUE!</v>
      </c>
      <c r="F569" s="25" t="e">
        <f t="array" ref="F569">$Y569/MAX(IF(Combo_Species_Names=$N569,Combo_Gym_Defense))</f>
        <v>#VALUE!</v>
      </c>
      <c r="G569" s="23" t="str">
        <f t="array" ref="G569">IF(OR(INDEX(Species_Availability,MATCH($N569,Species_Names,0))="No",INDEX(Species_Evo_Numbers,MATCH($N569,Species_Names,0))&lt;&gt;1),"N/A",RANK($R569,IF(NOT(ISNA(MATCH(Combo_Species_Names,IF(Species_Availability="Yes",IF(Species_Evo_Numbers=1,Species_Names)),0))),Combo_Duel_Ability),0))</f>
        <v>N/A</v>
      </c>
      <c r="H569" s="24" t="str">
        <f t="array" ref="H569">IF(OR(INDEX(Species_Availability,MATCH($N569,Species_Names,0))="No",INDEX(Species_Evo_Numbers,MATCH($N569,Species_Names,0))&lt;&gt;1),"N/A",$R569/MAX(IF(NOT(ISNA(MATCH(Combo_Species_Names,IF(Species_Availability="Yes",IF(Species_Evo_Numbers=1,Species_Names)),0))),Combo_Duel_Ability)))</f>
        <v>N/A</v>
      </c>
      <c r="I569" s="23" t="str">
        <f t="array" ref="I569">IF(OR(INDEX(Species_Availability,MATCH($N569,Species_Names,0))="No",INDEX(Species_Evo_Numbers,MATCH($N569,Species_Names,0))&lt;&gt;1),"N/A",RANK($S569,IF(NOT(ISNA(MATCH(Combo_Species_Names,IF(Species_Availability="Yes",IF(Species_Evo_Numbers=1,Species_Names)),0))),Combo_Gym_Offense),0))</f>
        <v>N/A</v>
      </c>
      <c r="J569" s="24" t="str">
        <f t="array" ref="J569">IF(OR(INDEX(Species_Availability,MATCH($N569,Species_Names,0))="No",INDEX(Species_Evo_Numbers,MATCH($N569,Species_Names,0))&lt;&gt;1),"N/A",$S569/MAX(IF(NOT(ISNA(MATCH(Combo_Species_Names,IF(Species_Availability="Yes",IF(Species_Evo_Numbers=1,Species_Names)),0))),Combo_Gym_Offense)))</f>
        <v>N/A</v>
      </c>
      <c r="K569" s="23" t="str">
        <f t="array" ref="K569">IF(OR(INDEX(Species_Availability,MATCH($N569,Species_Names,0))="No",INDEX(Species_Evo_Numbers,MATCH($N569,Species_Names,0))&lt;&gt;1),"N/A",RANK($Y569,IF(NOT(ISNA(MATCH(Combo_Species_Names,IF(Species_Availability="Yes",IF(Species_Evo_Numbers=1,Species_Names)),0))),Combo_Gym_Defense),0))</f>
        <v>N/A</v>
      </c>
      <c r="L569" s="24" t="str">
        <f t="array" ref="L569">IF(OR(INDEX(Species_Availability,MATCH($N569,Species_Names,0))="No",INDEX(Species_Evo_Numbers,MATCH($N569,Species_Names,0))&lt;&gt;1),"N/A",$Y569/MAX(IF(NOT(ISNA(MATCH(Combo_Species_Names,IF(Species_Availability="Yes",IF(Species_Evo_Numbers=1,Species_Names)),0))),Combo_Gym_Defense)))</f>
        <v>N/A</v>
      </c>
      <c r="M569" s="28">
        <f t="array" ref="M569">INDEX(Species_Pdex_Numbers,MATCH($N569,Species_Names,0))</f>
        <v>86</v>
      </c>
      <c r="N569" s="30" t="s">
        <v>265</v>
      </c>
      <c r="O569" s="31" t="s">
        <v>95</v>
      </c>
      <c r="P569" s="31" t="s">
        <v>198</v>
      </c>
      <c r="Q569" s="17" t="e">
        <f t="shared" si="16"/>
        <v>#VALUE!</v>
      </c>
      <c r="R569" s="32" t="e">
        <f t="array" ref="R569">IF(OR(AND(COUNTBLANK(Combo_Opponent_Type_1)=1,COUNTBLANK(Combo_Opponent_Type_2)=0),AND(AND(COUNTBLANK(Combo_Opponent_Type_1)=0,COUNTBLANK(Combo_Opponent_Type_2)=0),Combo_Opponent_Type_1=Combo_Opponent_Type_2)),
"Check Types",($S569*INDEX(Species_Tankiness,MATCH($N569,Species_Names,0)))/225)</f>
        <v>#VALUE!</v>
      </c>
      <c r="S569" s="32" t="e">
        <f t="array" ref="S569">IF(OR(AND(COUNTBLANK(Combo_Opponent_Type_1)=1,COUNTBLANK(Combo_Opponent_Type_2)=0),AND(AND(COUNTBLANK(Combo_Opponent_Type_1)=0,COUNTBLANK(Combo_Opponent_Type_2)=0),Combo_Opponent_Type_1=Combo_Opponent_Type_2)),
"Check Types",(
IF($W569&gt;=((1-Game_Weave_Human_Error)*$X569),$W569,$X569)*INDEX(Species_Attack,MATCH($N569,Species_Names,0)))/11)</f>
        <v>#VALUE!</v>
      </c>
      <c r="T569" s="33" t="e">
        <f t="shared" si="17"/>
        <v>#VALUE!</v>
      </c>
      <c r="U569" s="33">
        <f t="array" ref="U5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569,Quick_Names,0))),Type_Species)),0),1)*IF(COUNTBLANK(Combo_Opponent_Type_2)=0,INDEX(Type_Damage_Multipliers,MATCH(Combo_Opponent_Type_2,IF(Type_Move=(INDEX(Quick_Type,MATCH($O569,Quick_Names,0))),Type_Species)),0),1)*(IF(OR(INDEX(Quick_Type,MATCH($O569,Quick_Names,0))=INDEX(Species_Type_1,MATCH($N569,Species_Names,0)),INDEX(Quick_Type,MATCH($O569,Quick_Names,0))=INDEX(Species_Type_2,MATCH($N569,Species_Names,0))),Game_STAB_Multiplier,1)))</f>
        <v>1</v>
      </c>
      <c r="V569" s="33">
        <f t="array" ref="V5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569,Charge_Names,0))),Type_Species)),0),1)*IF(COUNTBLANK(Combo_Opponent_Type_2)=0,INDEX(Type_Damage_Multipliers,MATCH(Combo_Opponent_Type_2,IF(Type_Move=(INDEX(Charge_Type,MATCH($P569,Charge_Names,0))),Type_Species)),0),1)*
IF(OR(INDEX(Charge_Type,MATCH($P569,Charge_Names,0))=INDEX(Species_Type_1,MATCH($N569,Species_Names,0)),INDEX(Charge_Type,MATCH($P569,Charge_Names,0))=INDEX(Species_Type_2,MATCH($N569,Species_Names,0))),Game_STAB_Multiplier,1))</f>
        <v>1.25</v>
      </c>
      <c r="W569" s="33" t="s">
        <v>805</v>
      </c>
      <c r="X569" s="33" t="s">
        <v>1007</v>
      </c>
      <c r="Y569" s="32" t="e">
        <f t="array" ref="Y569">((($Z569)*
INDEX(Species_Attack,MATCH($N569,Species_Names,0))*
INDEX(Species_Tankiness,MATCH($N569,Species_Names,0)))/1000)</f>
        <v>#VALUE!</v>
      </c>
      <c r="Z569" s="33" t="s">
        <v>1008</v>
      </c>
    </row>
    <row r="570" spans="1:26" ht="14.25" customHeight="1" x14ac:dyDescent="0.2">
      <c r="A570" s="86"/>
      <c r="B570" s="22" t="str">
        <f t="array" ref="B570">CONCATENATE(TEXT($M570,"000"),".",TEXT(INDEX(Quick_Number,MATCH($O570,Quick_Names,0)),"000"),".",TEXT(INDEX(Charge_Number,MATCH($P570,Charge_Names,0)),"000"))</f>
        <v>102.235.059</v>
      </c>
      <c r="C570" s="23" t="e">
        <f t="array" ref="C570">RANK($S570,IF(Combo_Species_Names=$N570,Combo_Gym_Offense),0)</f>
        <v>#VALUE!</v>
      </c>
      <c r="D570" s="24" t="e">
        <f t="array" ref="D570">$S570/MAX(IF(Combo_Species_Names=$N570,Combo_Gym_Offense))</f>
        <v>#VALUE!</v>
      </c>
      <c r="E570" s="23" t="e">
        <f t="array" ref="E570">RANK($Y570,IF(Combo_Species_Names=$N570,Combo_Gym_Defense),0)</f>
        <v>#VALUE!</v>
      </c>
      <c r="F570" s="25" t="e">
        <f t="array" ref="F570">$Y570/MAX(IF(Combo_Species_Names=$N570,Combo_Gym_Defense))</f>
        <v>#VALUE!</v>
      </c>
      <c r="G570" s="23" t="str">
        <f t="array" ref="G570">IF(OR(INDEX(Species_Availability,MATCH($N570,Species_Names,0))="No",INDEX(Species_Evo_Numbers,MATCH($N570,Species_Names,0))&lt;&gt;1),"N/A",RANK($R570,IF(NOT(ISNA(MATCH(Combo_Species_Names,IF(Species_Availability="Yes",IF(Species_Evo_Numbers=1,Species_Names)),0))),Combo_Duel_Ability),0))</f>
        <v>N/A</v>
      </c>
      <c r="H570" s="24" t="str">
        <f t="array" ref="H570">IF(OR(INDEX(Species_Availability,MATCH($N570,Species_Names,0))="No",INDEX(Species_Evo_Numbers,MATCH($N570,Species_Names,0))&lt;&gt;1),"N/A",$R570/MAX(IF(NOT(ISNA(MATCH(Combo_Species_Names,IF(Species_Availability="Yes",IF(Species_Evo_Numbers=1,Species_Names)),0))),Combo_Duel_Ability)))</f>
        <v>N/A</v>
      </c>
      <c r="I570" s="23" t="str">
        <f t="array" ref="I570">IF(OR(INDEX(Species_Availability,MATCH($N570,Species_Names,0))="No",INDEX(Species_Evo_Numbers,MATCH($N570,Species_Names,0))&lt;&gt;1),"N/A",RANK($S570,IF(NOT(ISNA(MATCH(Combo_Species_Names,IF(Species_Availability="Yes",IF(Species_Evo_Numbers=1,Species_Names)),0))),Combo_Gym_Offense),0))</f>
        <v>N/A</v>
      </c>
      <c r="J570" s="24" t="str">
        <f t="array" ref="J570">IF(OR(INDEX(Species_Availability,MATCH($N570,Species_Names,0))="No",INDEX(Species_Evo_Numbers,MATCH($N570,Species_Names,0))&lt;&gt;1),"N/A",$S570/MAX(IF(NOT(ISNA(MATCH(Combo_Species_Names,IF(Species_Availability="Yes",IF(Species_Evo_Numbers=1,Species_Names)),0))),Combo_Gym_Offense)))</f>
        <v>N/A</v>
      </c>
      <c r="K570" s="23" t="str">
        <f t="array" ref="K570">IF(OR(INDEX(Species_Availability,MATCH($N570,Species_Names,0))="No",INDEX(Species_Evo_Numbers,MATCH($N570,Species_Names,0))&lt;&gt;1),"N/A",RANK($Y570,IF(NOT(ISNA(MATCH(Combo_Species_Names,IF(Species_Availability="Yes",IF(Species_Evo_Numbers=1,Species_Names)),0))),Combo_Gym_Defense),0))</f>
        <v>N/A</v>
      </c>
      <c r="L570" s="24" t="str">
        <f t="array" ref="L570">IF(OR(INDEX(Species_Availability,MATCH($N570,Species_Names,0))="No",INDEX(Species_Evo_Numbers,MATCH($N570,Species_Names,0))&lt;&gt;1),"N/A",$Y570/MAX(IF(NOT(ISNA(MATCH(Combo_Species_Names,IF(Species_Availability="Yes",IF(Species_Evo_Numbers=1,Species_Names)),0))),Combo_Gym_Defense)))</f>
        <v>N/A</v>
      </c>
      <c r="M570" s="28">
        <f t="array" ref="M570">INDEX(Species_Pdex_Numbers,MATCH($N570,Species_Names,0))</f>
        <v>102</v>
      </c>
      <c r="N570" s="30" t="s">
        <v>305</v>
      </c>
      <c r="O570" s="31" t="s">
        <v>108</v>
      </c>
      <c r="P570" s="31" t="s">
        <v>213</v>
      </c>
      <c r="Q570" s="17" t="e">
        <f t="shared" si="16"/>
        <v>#VALUE!</v>
      </c>
      <c r="R570" s="32" t="e">
        <f t="array" ref="R570">IF(OR(AND(COUNTBLANK(Combo_Opponent_Type_1)=1,COUNTBLANK(Combo_Opponent_Type_2)=0),AND(AND(COUNTBLANK(Combo_Opponent_Type_1)=0,COUNTBLANK(Combo_Opponent_Type_2)=0),Combo_Opponent_Type_1=Combo_Opponent_Type_2)),
"Check Types",($S570*INDEX(Species_Tankiness,MATCH($N570,Species_Names,0)))/225)</f>
        <v>#VALUE!</v>
      </c>
      <c r="S570" s="32" t="e">
        <f t="array" ref="S570">IF(OR(AND(COUNTBLANK(Combo_Opponent_Type_1)=1,COUNTBLANK(Combo_Opponent_Type_2)=0),AND(AND(COUNTBLANK(Combo_Opponent_Type_1)=0,COUNTBLANK(Combo_Opponent_Type_2)=0),Combo_Opponent_Type_1=Combo_Opponent_Type_2)),
"Check Types",(
IF($W570&gt;=((1-Game_Weave_Human_Error)*$X570),$W570,$X570)*INDEX(Species_Attack,MATCH($N570,Species_Names,0)))/11)</f>
        <v>#VALUE!</v>
      </c>
      <c r="T570" s="33" t="e">
        <f t="shared" si="17"/>
        <v>#VALUE!</v>
      </c>
      <c r="U570" s="33">
        <f t="array" ref="U5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570,Quick_Names,0))),Type_Species)),0),1)*IF(COUNTBLANK(Combo_Opponent_Type_2)=0,INDEX(Type_Damage_Multipliers,MATCH(Combo_Opponent_Type_2,IF(Type_Move=(INDEX(Quick_Type,MATCH($O570,Quick_Names,0))),Type_Species)),0),1)*(IF(OR(INDEX(Quick_Type,MATCH($O570,Quick_Names,0))=INDEX(Species_Type_1,MATCH($N570,Species_Names,0)),INDEX(Quick_Type,MATCH($O570,Quick_Names,0))=INDEX(Species_Type_2,MATCH($N570,Species_Names,0))),Game_STAB_Multiplier,1)))</f>
        <v>1.25</v>
      </c>
      <c r="V570" s="33">
        <f t="array" ref="V5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570,Charge_Names,0))),Type_Species)),0),1)*IF(COUNTBLANK(Combo_Opponent_Type_2)=0,INDEX(Type_Damage_Multipliers,MATCH(Combo_Opponent_Type_2,IF(Type_Move=(INDEX(Charge_Type,MATCH($P570,Charge_Names,0))),Type_Species)),0),1)*
IF(OR(INDEX(Charge_Type,MATCH($P570,Charge_Names,0))=INDEX(Species_Type_1,MATCH($N570,Species_Names,0)),INDEX(Charge_Type,MATCH($P570,Charge_Names,0))=INDEX(Species_Type_2,MATCH($N570,Species_Names,0))),Game_STAB_Multiplier,1))</f>
        <v>1.25</v>
      </c>
      <c r="W570" s="33" t="s">
        <v>467</v>
      </c>
      <c r="X570" s="33" t="s">
        <v>516</v>
      </c>
      <c r="Y570" s="32" t="e">
        <f t="array" ref="Y570">((($Z570)*
INDEX(Species_Attack,MATCH($N570,Species_Names,0))*
INDEX(Species_Tankiness,MATCH($N570,Species_Names,0)))/1000)</f>
        <v>#VALUE!</v>
      </c>
      <c r="Z570" s="33" t="s">
        <v>517</v>
      </c>
    </row>
    <row r="571" spans="1:26" ht="14.25" customHeight="1" x14ac:dyDescent="0.2">
      <c r="A571" s="86"/>
      <c r="B571" s="22" t="str">
        <f t="array" ref="B571">CONCATENATE(TEXT($M571,"000"),".",TEXT(INDEX(Quick_Number,MATCH($O571,Quick_Names,0)),"000"),".",TEXT(INDEX(Charge_Number,MATCH($P571,Charge_Names,0)),"000"))</f>
        <v>061.216.053</v>
      </c>
      <c r="C571" s="23" t="e">
        <f t="array" ref="C571">RANK($S571,IF(Combo_Species_Names=$N571,Combo_Gym_Offense),0)</f>
        <v>#VALUE!</v>
      </c>
      <c r="D571" s="24" t="e">
        <f t="array" ref="D571">$S571/MAX(IF(Combo_Species_Names=$N571,Combo_Gym_Offense))</f>
        <v>#VALUE!</v>
      </c>
      <c r="E571" s="23" t="e">
        <f t="array" ref="E571">RANK($Y571,IF(Combo_Species_Names=$N571,Combo_Gym_Defense),0)</f>
        <v>#VALUE!</v>
      </c>
      <c r="F571" s="25" t="e">
        <f t="array" ref="F571">$Y571/MAX(IF(Combo_Species_Names=$N571,Combo_Gym_Defense))</f>
        <v>#VALUE!</v>
      </c>
      <c r="G571" s="23" t="str">
        <f t="array" ref="G571">IF(OR(INDEX(Species_Availability,MATCH($N571,Species_Names,0))="No",INDEX(Species_Evo_Numbers,MATCH($N571,Species_Names,0))&lt;&gt;1),"N/A",RANK($R571,IF(NOT(ISNA(MATCH(Combo_Species_Names,IF(Species_Availability="Yes",IF(Species_Evo_Numbers=1,Species_Names)),0))),Combo_Duel_Ability),0))</f>
        <v>N/A</v>
      </c>
      <c r="H571" s="24" t="str">
        <f t="array" ref="H571">IF(OR(INDEX(Species_Availability,MATCH($N571,Species_Names,0))="No",INDEX(Species_Evo_Numbers,MATCH($N571,Species_Names,0))&lt;&gt;1),"N/A",$R571/MAX(IF(NOT(ISNA(MATCH(Combo_Species_Names,IF(Species_Availability="Yes",IF(Species_Evo_Numbers=1,Species_Names)),0))),Combo_Duel_Ability)))</f>
        <v>N/A</v>
      </c>
      <c r="I571" s="23" t="str">
        <f t="array" ref="I571">IF(OR(INDEX(Species_Availability,MATCH($N571,Species_Names,0))="No",INDEX(Species_Evo_Numbers,MATCH($N571,Species_Names,0))&lt;&gt;1),"N/A",RANK($S571,IF(NOT(ISNA(MATCH(Combo_Species_Names,IF(Species_Availability="Yes",IF(Species_Evo_Numbers=1,Species_Names)),0))),Combo_Gym_Offense),0))</f>
        <v>N/A</v>
      </c>
      <c r="J571" s="24" t="str">
        <f t="array" ref="J571">IF(OR(INDEX(Species_Availability,MATCH($N571,Species_Names,0))="No",INDEX(Species_Evo_Numbers,MATCH($N571,Species_Names,0))&lt;&gt;1),"N/A",$S571/MAX(IF(NOT(ISNA(MATCH(Combo_Species_Names,IF(Species_Availability="Yes",IF(Species_Evo_Numbers=1,Species_Names)),0))),Combo_Gym_Offense)))</f>
        <v>N/A</v>
      </c>
      <c r="K571" s="23" t="str">
        <f t="array" ref="K571">IF(OR(INDEX(Species_Availability,MATCH($N571,Species_Names,0))="No",INDEX(Species_Evo_Numbers,MATCH($N571,Species_Names,0))&lt;&gt;1),"N/A",RANK($Y571,IF(NOT(ISNA(MATCH(Combo_Species_Names,IF(Species_Availability="Yes",IF(Species_Evo_Numbers=1,Species_Names)),0))),Combo_Gym_Defense),0))</f>
        <v>N/A</v>
      </c>
      <c r="L571" s="24" t="str">
        <f t="array" ref="L571">IF(OR(INDEX(Species_Availability,MATCH($N571,Species_Names,0))="No",INDEX(Species_Evo_Numbers,MATCH($N571,Species_Names,0))&lt;&gt;1),"N/A",$Y571/MAX(IF(NOT(ISNA(MATCH(Combo_Species_Names,IF(Species_Availability="Yes",IF(Species_Evo_Numbers=1,Species_Names)),0))),Combo_Gym_Defense)))</f>
        <v>N/A</v>
      </c>
      <c r="M571" s="28">
        <f t="array" ref="M571">INDEX(Species_Pdex_Numbers,MATCH($N571,Species_Names,0))</f>
        <v>61</v>
      </c>
      <c r="N571" s="30" t="s">
        <v>212</v>
      </c>
      <c r="O571" s="31" t="s">
        <v>89</v>
      </c>
      <c r="P571" s="31" t="s">
        <v>289</v>
      </c>
      <c r="Q571" s="17" t="e">
        <f t="shared" si="16"/>
        <v>#VALUE!</v>
      </c>
      <c r="R571" s="32" t="e">
        <f t="array" ref="R571">IF(OR(AND(COUNTBLANK(Combo_Opponent_Type_1)=1,COUNTBLANK(Combo_Opponent_Type_2)=0),AND(AND(COUNTBLANK(Combo_Opponent_Type_1)=0,COUNTBLANK(Combo_Opponent_Type_2)=0),Combo_Opponent_Type_1=Combo_Opponent_Type_2)),
"Check Types",($S571*INDEX(Species_Tankiness,MATCH($N571,Species_Names,0)))/225)</f>
        <v>#VALUE!</v>
      </c>
      <c r="S571" s="32" t="e">
        <f t="array" ref="S571">IF(OR(AND(COUNTBLANK(Combo_Opponent_Type_1)=1,COUNTBLANK(Combo_Opponent_Type_2)=0),AND(AND(COUNTBLANK(Combo_Opponent_Type_1)=0,COUNTBLANK(Combo_Opponent_Type_2)=0),Combo_Opponent_Type_1=Combo_Opponent_Type_2)),
"Check Types",(
IF($W571&gt;=((1-Game_Weave_Human_Error)*$X571),$W571,$X571)*INDEX(Species_Attack,MATCH($N571,Species_Names,0)))/11)</f>
        <v>#VALUE!</v>
      </c>
      <c r="T571" s="33" t="e">
        <f t="shared" si="17"/>
        <v>#VALUE!</v>
      </c>
      <c r="U571" s="33">
        <f t="array" ref="U5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571,Quick_Names,0))),Type_Species)),0),1)*IF(COUNTBLANK(Combo_Opponent_Type_2)=0,INDEX(Type_Damage_Multipliers,MATCH(Combo_Opponent_Type_2,IF(Type_Move=(INDEX(Quick_Type,MATCH($O571,Quick_Names,0))),Type_Species)),0),1)*(IF(OR(INDEX(Quick_Type,MATCH($O571,Quick_Names,0))=INDEX(Species_Type_1,MATCH($N571,Species_Names,0)),INDEX(Quick_Type,MATCH($O571,Quick_Names,0))=INDEX(Species_Type_2,MATCH($N571,Species_Names,0))),Game_STAB_Multiplier,1)))</f>
        <v>1</v>
      </c>
      <c r="V571" s="33">
        <f t="array" ref="V5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571,Charge_Names,0))),Type_Species)),0),1)*IF(COUNTBLANK(Combo_Opponent_Type_2)=0,INDEX(Type_Damage_Multipliers,MATCH(Combo_Opponent_Type_2,IF(Type_Move=(INDEX(Charge_Type,MATCH($P571,Charge_Names,0))),Type_Species)),0),1)*
IF(OR(INDEX(Charge_Type,MATCH($P571,Charge_Names,0))=INDEX(Species_Type_1,MATCH($N571,Species_Names,0)),INDEX(Charge_Type,MATCH($P571,Charge_Names,0))=INDEX(Species_Type_2,MATCH($N571,Species_Names,0))),Game_STAB_Multiplier,1))</f>
        <v>1.25</v>
      </c>
      <c r="W571" s="33" t="s">
        <v>518</v>
      </c>
      <c r="X571" s="33" t="s">
        <v>795</v>
      </c>
      <c r="Y571" s="32" t="e">
        <f t="array" ref="Y571">((($Z571)*
INDEX(Species_Attack,MATCH($N571,Species_Names,0))*
INDEX(Species_Tankiness,MATCH($N571,Species_Names,0)))/1000)</f>
        <v>#VALUE!</v>
      </c>
      <c r="Z571" s="33" t="s">
        <v>1009</v>
      </c>
    </row>
    <row r="572" spans="1:26" ht="14.25" customHeight="1" x14ac:dyDescent="0.2">
      <c r="A572" s="86"/>
      <c r="B572" s="22" t="str">
        <f t="array" ref="B572">CONCATENATE(TEXT($M572,"000"),".",TEXT(INDEX(Quick_Number,MATCH($O572,Quick_Names,0)),"000"),".",TEXT(INDEX(Charge_Number,MATCH($P572,Charge_Names,0)),"000"))</f>
        <v>061.216.096</v>
      </c>
      <c r="C572" s="23" t="e">
        <f t="array" ref="C572">RANK($S572,IF(Combo_Species_Names=$N572,Combo_Gym_Offense),0)</f>
        <v>#VALUE!</v>
      </c>
      <c r="D572" s="24" t="e">
        <f t="array" ref="D572">$S572/MAX(IF(Combo_Species_Names=$N572,Combo_Gym_Offense))</f>
        <v>#VALUE!</v>
      </c>
      <c r="E572" s="23" t="e">
        <f t="array" ref="E572">RANK($Y572,IF(Combo_Species_Names=$N572,Combo_Gym_Defense),0)</f>
        <v>#VALUE!</v>
      </c>
      <c r="F572" s="25" t="e">
        <f t="array" ref="F572">$Y572/MAX(IF(Combo_Species_Names=$N572,Combo_Gym_Defense))</f>
        <v>#VALUE!</v>
      </c>
      <c r="G572" s="23" t="str">
        <f t="array" ref="G572">IF(OR(INDEX(Species_Availability,MATCH($N572,Species_Names,0))="No",INDEX(Species_Evo_Numbers,MATCH($N572,Species_Names,0))&lt;&gt;1),"N/A",RANK($R572,IF(NOT(ISNA(MATCH(Combo_Species_Names,IF(Species_Availability="Yes",IF(Species_Evo_Numbers=1,Species_Names)),0))),Combo_Duel_Ability),0))</f>
        <v>N/A</v>
      </c>
      <c r="H572" s="24" t="str">
        <f t="array" ref="H572">IF(OR(INDEX(Species_Availability,MATCH($N572,Species_Names,0))="No",INDEX(Species_Evo_Numbers,MATCH($N572,Species_Names,0))&lt;&gt;1),"N/A",$R572/MAX(IF(NOT(ISNA(MATCH(Combo_Species_Names,IF(Species_Availability="Yes",IF(Species_Evo_Numbers=1,Species_Names)),0))),Combo_Duel_Ability)))</f>
        <v>N/A</v>
      </c>
      <c r="I572" s="23" t="str">
        <f t="array" ref="I572">IF(OR(INDEX(Species_Availability,MATCH($N572,Species_Names,0))="No",INDEX(Species_Evo_Numbers,MATCH($N572,Species_Names,0))&lt;&gt;1),"N/A",RANK($S572,IF(NOT(ISNA(MATCH(Combo_Species_Names,IF(Species_Availability="Yes",IF(Species_Evo_Numbers=1,Species_Names)),0))),Combo_Gym_Offense),0))</f>
        <v>N/A</v>
      </c>
      <c r="J572" s="24" t="str">
        <f t="array" ref="J572">IF(OR(INDEX(Species_Availability,MATCH($N572,Species_Names,0))="No",INDEX(Species_Evo_Numbers,MATCH($N572,Species_Names,0))&lt;&gt;1),"N/A",$S572/MAX(IF(NOT(ISNA(MATCH(Combo_Species_Names,IF(Species_Availability="Yes",IF(Species_Evo_Numbers=1,Species_Names)),0))),Combo_Gym_Offense)))</f>
        <v>N/A</v>
      </c>
      <c r="K572" s="23" t="str">
        <f t="array" ref="K572">IF(OR(INDEX(Species_Availability,MATCH($N572,Species_Names,0))="No",INDEX(Species_Evo_Numbers,MATCH($N572,Species_Names,0))&lt;&gt;1),"N/A",RANK($Y572,IF(NOT(ISNA(MATCH(Combo_Species_Names,IF(Species_Availability="Yes",IF(Species_Evo_Numbers=1,Species_Names)),0))),Combo_Gym_Defense),0))</f>
        <v>N/A</v>
      </c>
      <c r="L572" s="24" t="str">
        <f t="array" ref="L572">IF(OR(INDEX(Species_Availability,MATCH($N572,Species_Names,0))="No",INDEX(Species_Evo_Numbers,MATCH($N572,Species_Names,0))&lt;&gt;1),"N/A",$Y572/MAX(IF(NOT(ISNA(MATCH(Combo_Species_Names,IF(Species_Availability="Yes",IF(Species_Evo_Numbers=1,Species_Names)),0))),Combo_Gym_Defense)))</f>
        <v>N/A</v>
      </c>
      <c r="M572" s="28">
        <f t="array" ref="M572">INDEX(Species_Pdex_Numbers,MATCH($N572,Species_Names,0))</f>
        <v>61</v>
      </c>
      <c r="N572" s="30" t="s">
        <v>212</v>
      </c>
      <c r="O572" s="31" t="s">
        <v>89</v>
      </c>
      <c r="P572" s="31" t="s">
        <v>271</v>
      </c>
      <c r="Q572" s="17" t="e">
        <f t="shared" si="16"/>
        <v>#VALUE!</v>
      </c>
      <c r="R572" s="32" t="e">
        <f t="array" ref="R572">IF(OR(AND(COUNTBLANK(Combo_Opponent_Type_1)=1,COUNTBLANK(Combo_Opponent_Type_2)=0),AND(AND(COUNTBLANK(Combo_Opponent_Type_1)=0,COUNTBLANK(Combo_Opponent_Type_2)=0),Combo_Opponent_Type_1=Combo_Opponent_Type_2)),
"Check Types",($S572*INDEX(Species_Tankiness,MATCH($N572,Species_Names,0)))/225)</f>
        <v>#VALUE!</v>
      </c>
      <c r="S572" s="32" t="e">
        <f t="array" ref="S572">IF(OR(AND(COUNTBLANK(Combo_Opponent_Type_1)=1,COUNTBLANK(Combo_Opponent_Type_2)=0),AND(AND(COUNTBLANK(Combo_Opponent_Type_1)=0,COUNTBLANK(Combo_Opponent_Type_2)=0),Combo_Opponent_Type_1=Combo_Opponent_Type_2)),
"Check Types",(
IF($W572&gt;=((1-Game_Weave_Human_Error)*$X572),$W572,$X572)*INDEX(Species_Attack,MATCH($N572,Species_Names,0)))/11)</f>
        <v>#VALUE!</v>
      </c>
      <c r="T572" s="33" t="e">
        <f t="shared" si="17"/>
        <v>#VALUE!</v>
      </c>
      <c r="U572" s="33">
        <f t="array" ref="U5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572,Quick_Names,0))),Type_Species)),0),1)*IF(COUNTBLANK(Combo_Opponent_Type_2)=0,INDEX(Type_Damage_Multipliers,MATCH(Combo_Opponent_Type_2,IF(Type_Move=(INDEX(Quick_Type,MATCH($O572,Quick_Names,0))),Type_Species)),0),1)*(IF(OR(INDEX(Quick_Type,MATCH($O572,Quick_Names,0))=INDEX(Species_Type_1,MATCH($N572,Species_Names,0)),INDEX(Quick_Type,MATCH($O572,Quick_Names,0))=INDEX(Species_Type_2,MATCH($N572,Species_Names,0))),Game_STAB_Multiplier,1)))</f>
        <v>1</v>
      </c>
      <c r="V572" s="33">
        <f t="array" ref="V5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572,Charge_Names,0))),Type_Species)),0),1)*IF(COUNTBLANK(Combo_Opponent_Type_2)=0,INDEX(Type_Damage_Multipliers,MATCH(Combo_Opponent_Type_2,IF(Type_Move=(INDEX(Charge_Type,MATCH($P572,Charge_Names,0))),Type_Species)),0),1)*
IF(OR(INDEX(Charge_Type,MATCH($P572,Charge_Names,0))=INDEX(Species_Type_1,MATCH($N572,Species_Names,0)),INDEX(Charge_Type,MATCH($P572,Charge_Names,0))=INDEX(Species_Type_2,MATCH($N572,Species_Names,0))),Game_STAB_Multiplier,1))</f>
        <v>1</v>
      </c>
      <c r="W572" s="33" t="s">
        <v>518</v>
      </c>
      <c r="X572" s="33" t="s">
        <v>1010</v>
      </c>
      <c r="Y572" s="32" t="e">
        <f t="array" ref="Y572">((($Z572)*
INDEX(Species_Attack,MATCH($N572,Species_Names,0))*
INDEX(Species_Tankiness,MATCH($N572,Species_Names,0)))/1000)</f>
        <v>#VALUE!</v>
      </c>
      <c r="Z572" s="33" t="s">
        <v>545</v>
      </c>
    </row>
    <row r="573" spans="1:26" ht="14.25" customHeight="1" x14ac:dyDescent="0.2">
      <c r="A573" s="86"/>
      <c r="B573" s="22" t="str">
        <f t="array" ref="B573">CONCATENATE(TEXT($M573,"000"),".",TEXT(INDEX(Quick_Number,MATCH($O573,Quick_Names,0)),"000"),".",TEXT(INDEX(Charge_Number,MATCH($P573,Charge_Names,0)),"000"))</f>
        <v>043.215.090</v>
      </c>
      <c r="C573" s="23" t="e">
        <f t="array" ref="C573">RANK($S573,IF(Combo_Species_Names=$N573,Combo_Gym_Offense),0)</f>
        <v>#VALUE!</v>
      </c>
      <c r="D573" s="24" t="e">
        <f t="array" ref="D573">$S573/MAX(IF(Combo_Species_Names=$N573,Combo_Gym_Offense))</f>
        <v>#VALUE!</v>
      </c>
      <c r="E573" s="23" t="e">
        <f t="array" ref="E573">RANK($Y573,IF(Combo_Species_Names=$N573,Combo_Gym_Defense),0)</f>
        <v>#VALUE!</v>
      </c>
      <c r="F573" s="25" t="e">
        <f t="array" ref="F573">$Y573/MAX(IF(Combo_Species_Names=$N573,Combo_Gym_Defense))</f>
        <v>#VALUE!</v>
      </c>
      <c r="G573" s="23" t="str">
        <f t="array" ref="G573">IF(OR(INDEX(Species_Availability,MATCH($N573,Species_Names,0))="No",INDEX(Species_Evo_Numbers,MATCH($N573,Species_Names,0))&lt;&gt;1),"N/A",RANK($R573,IF(NOT(ISNA(MATCH(Combo_Species_Names,IF(Species_Availability="Yes",IF(Species_Evo_Numbers=1,Species_Names)),0))),Combo_Duel_Ability),0))</f>
        <v>N/A</v>
      </c>
      <c r="H573" s="24" t="str">
        <f t="array" ref="H573">IF(OR(INDEX(Species_Availability,MATCH($N573,Species_Names,0))="No",INDEX(Species_Evo_Numbers,MATCH($N573,Species_Names,0))&lt;&gt;1),"N/A",$R573/MAX(IF(NOT(ISNA(MATCH(Combo_Species_Names,IF(Species_Availability="Yes",IF(Species_Evo_Numbers=1,Species_Names)),0))),Combo_Duel_Ability)))</f>
        <v>N/A</v>
      </c>
      <c r="I573" s="23" t="str">
        <f t="array" ref="I573">IF(OR(INDEX(Species_Availability,MATCH($N573,Species_Names,0))="No",INDEX(Species_Evo_Numbers,MATCH($N573,Species_Names,0))&lt;&gt;1),"N/A",RANK($S573,IF(NOT(ISNA(MATCH(Combo_Species_Names,IF(Species_Availability="Yes",IF(Species_Evo_Numbers=1,Species_Names)),0))),Combo_Gym_Offense),0))</f>
        <v>N/A</v>
      </c>
      <c r="J573" s="24" t="str">
        <f t="array" ref="J573">IF(OR(INDEX(Species_Availability,MATCH($N573,Species_Names,0))="No",INDEX(Species_Evo_Numbers,MATCH($N573,Species_Names,0))&lt;&gt;1),"N/A",$S573/MAX(IF(NOT(ISNA(MATCH(Combo_Species_Names,IF(Species_Availability="Yes",IF(Species_Evo_Numbers=1,Species_Names)),0))),Combo_Gym_Offense)))</f>
        <v>N/A</v>
      </c>
      <c r="K573" s="23" t="str">
        <f t="array" ref="K573">IF(OR(INDEX(Species_Availability,MATCH($N573,Species_Names,0))="No",INDEX(Species_Evo_Numbers,MATCH($N573,Species_Names,0))&lt;&gt;1),"N/A",RANK($Y573,IF(NOT(ISNA(MATCH(Combo_Species_Names,IF(Species_Availability="Yes",IF(Species_Evo_Numbers=1,Species_Names)),0))),Combo_Gym_Defense),0))</f>
        <v>N/A</v>
      </c>
      <c r="L573" s="24" t="str">
        <f t="array" ref="L573">IF(OR(INDEX(Species_Availability,MATCH($N573,Species_Names,0))="No",INDEX(Species_Evo_Numbers,MATCH($N573,Species_Names,0))&lt;&gt;1),"N/A",$Y573/MAX(IF(NOT(ISNA(MATCH(Combo_Species_Names,IF(Species_Availability="Yes",IF(Species_Evo_Numbers=1,Species_Names)),0))),Combo_Gym_Defense)))</f>
        <v>N/A</v>
      </c>
      <c r="M573" s="28">
        <f t="array" ref="M573">INDEX(Species_Pdex_Numbers,MATCH($N573,Species_Names,0))</f>
        <v>43</v>
      </c>
      <c r="N573" s="30" t="s">
        <v>177</v>
      </c>
      <c r="O573" s="31" t="s">
        <v>102</v>
      </c>
      <c r="P573" s="31" t="s">
        <v>180</v>
      </c>
      <c r="Q573" s="17" t="e">
        <f t="shared" si="16"/>
        <v>#VALUE!</v>
      </c>
      <c r="R573" s="32" t="e">
        <f t="array" ref="R573">IF(OR(AND(COUNTBLANK(Combo_Opponent_Type_1)=1,COUNTBLANK(Combo_Opponent_Type_2)=0),AND(AND(COUNTBLANK(Combo_Opponent_Type_1)=0,COUNTBLANK(Combo_Opponent_Type_2)=0),Combo_Opponent_Type_1=Combo_Opponent_Type_2)),
"Check Types",($S573*INDEX(Species_Tankiness,MATCH($N573,Species_Names,0)))/225)</f>
        <v>#VALUE!</v>
      </c>
      <c r="S573" s="32" t="e">
        <f t="array" ref="S573">IF(OR(AND(COUNTBLANK(Combo_Opponent_Type_1)=1,COUNTBLANK(Combo_Opponent_Type_2)=0),AND(AND(COUNTBLANK(Combo_Opponent_Type_1)=0,COUNTBLANK(Combo_Opponent_Type_2)=0),Combo_Opponent_Type_1=Combo_Opponent_Type_2)),
"Check Types",(
IF($W573&gt;=((1-Game_Weave_Human_Error)*$X573),$W573,$X573)*INDEX(Species_Attack,MATCH($N573,Species_Names,0)))/11)</f>
        <v>#VALUE!</v>
      </c>
      <c r="T573" s="33" t="e">
        <f t="shared" si="17"/>
        <v>#VALUE!</v>
      </c>
      <c r="U573" s="33">
        <f t="array" ref="U5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573,Quick_Names,0))),Type_Species)),0),1)*IF(COUNTBLANK(Combo_Opponent_Type_2)=0,INDEX(Type_Damage_Multipliers,MATCH(Combo_Opponent_Type_2,IF(Type_Move=(INDEX(Quick_Type,MATCH($O573,Quick_Names,0))),Type_Species)),0),1)*(IF(OR(INDEX(Quick_Type,MATCH($O573,Quick_Names,0))=INDEX(Species_Type_1,MATCH($N573,Species_Names,0)),INDEX(Quick_Type,MATCH($O573,Quick_Names,0))=INDEX(Species_Type_2,MATCH($N573,Species_Names,0))),Game_STAB_Multiplier,1)))</f>
        <v>1.25</v>
      </c>
      <c r="V573" s="33">
        <f t="array" ref="V5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573,Charge_Names,0))),Type_Species)),0),1)*IF(COUNTBLANK(Combo_Opponent_Type_2)=0,INDEX(Type_Damage_Multipliers,MATCH(Combo_Opponent_Type_2,IF(Type_Move=(INDEX(Charge_Type,MATCH($P573,Charge_Names,0))),Type_Species)),0),1)*
IF(OR(INDEX(Charge_Type,MATCH($P573,Charge_Names,0))=INDEX(Species_Type_1,MATCH($N573,Species_Names,0)),INDEX(Charge_Type,MATCH($P573,Charge_Names,0))=INDEX(Species_Type_2,MATCH($N573,Species_Names,0))),Game_STAB_Multiplier,1))</f>
        <v>1.25</v>
      </c>
      <c r="W573" s="33" t="s">
        <v>501</v>
      </c>
      <c r="X573" s="33" t="s">
        <v>539</v>
      </c>
      <c r="Y573" s="32" t="e">
        <f t="array" ref="Y573">((($Z573)*
INDEX(Species_Attack,MATCH($N573,Species_Names,0))*
INDEX(Species_Tankiness,MATCH($N573,Species_Names,0)))/1000)</f>
        <v>#VALUE!</v>
      </c>
      <c r="Z573" s="33" t="s">
        <v>540</v>
      </c>
    </row>
    <row r="574" spans="1:26" ht="14.25" customHeight="1" x14ac:dyDescent="0.2">
      <c r="A574" s="86"/>
      <c r="B574" s="22" t="str">
        <f t="array" ref="B574">CONCATENATE(TEXT($M574,"000"),".",TEXT(INDEX(Quick_Number,MATCH($O574,Quick_Names,0)),"000"),".",TEXT(INDEX(Charge_Number,MATCH($P574,Charge_Names,0)),"000"))</f>
        <v>043.225.090</v>
      </c>
      <c r="C574" s="23" t="e">
        <f t="array" ref="C574">RANK($S574,IF(Combo_Species_Names=$N574,Combo_Gym_Offense),0)</f>
        <v>#VALUE!</v>
      </c>
      <c r="D574" s="24" t="e">
        <f t="array" ref="D574">$S574/MAX(IF(Combo_Species_Names=$N574,Combo_Gym_Offense))</f>
        <v>#VALUE!</v>
      </c>
      <c r="E574" s="23" t="e">
        <f t="array" ref="E574">RANK($Y574,IF(Combo_Species_Names=$N574,Combo_Gym_Defense),0)</f>
        <v>#VALUE!</v>
      </c>
      <c r="F574" s="25" t="e">
        <f t="array" ref="F574">$Y574/MAX(IF(Combo_Species_Names=$N574,Combo_Gym_Defense))</f>
        <v>#VALUE!</v>
      </c>
      <c r="G574" s="23" t="str">
        <f t="array" ref="G574">IF(OR(INDEX(Species_Availability,MATCH($N574,Species_Names,0))="No",INDEX(Species_Evo_Numbers,MATCH($N574,Species_Names,0))&lt;&gt;1),"N/A",RANK($R574,IF(NOT(ISNA(MATCH(Combo_Species_Names,IF(Species_Availability="Yes",IF(Species_Evo_Numbers=1,Species_Names)),0))),Combo_Duel_Ability),0))</f>
        <v>N/A</v>
      </c>
      <c r="H574" s="24" t="str">
        <f t="array" ref="H574">IF(OR(INDEX(Species_Availability,MATCH($N574,Species_Names,0))="No",INDEX(Species_Evo_Numbers,MATCH($N574,Species_Names,0))&lt;&gt;1),"N/A",$R574/MAX(IF(NOT(ISNA(MATCH(Combo_Species_Names,IF(Species_Availability="Yes",IF(Species_Evo_Numbers=1,Species_Names)),0))),Combo_Duel_Ability)))</f>
        <v>N/A</v>
      </c>
      <c r="I574" s="23" t="str">
        <f t="array" ref="I574">IF(OR(INDEX(Species_Availability,MATCH($N574,Species_Names,0))="No",INDEX(Species_Evo_Numbers,MATCH($N574,Species_Names,0))&lt;&gt;1),"N/A",RANK($S574,IF(NOT(ISNA(MATCH(Combo_Species_Names,IF(Species_Availability="Yes",IF(Species_Evo_Numbers=1,Species_Names)),0))),Combo_Gym_Offense),0))</f>
        <v>N/A</v>
      </c>
      <c r="J574" s="24" t="str">
        <f t="array" ref="J574">IF(OR(INDEX(Species_Availability,MATCH($N574,Species_Names,0))="No",INDEX(Species_Evo_Numbers,MATCH($N574,Species_Names,0))&lt;&gt;1),"N/A",$S574/MAX(IF(NOT(ISNA(MATCH(Combo_Species_Names,IF(Species_Availability="Yes",IF(Species_Evo_Numbers=1,Species_Names)),0))),Combo_Gym_Offense)))</f>
        <v>N/A</v>
      </c>
      <c r="K574" s="23" t="str">
        <f t="array" ref="K574">IF(OR(INDEX(Species_Availability,MATCH($N574,Species_Names,0))="No",INDEX(Species_Evo_Numbers,MATCH($N574,Species_Names,0))&lt;&gt;1),"N/A",RANK($Y574,IF(NOT(ISNA(MATCH(Combo_Species_Names,IF(Species_Availability="Yes",IF(Species_Evo_Numbers=1,Species_Names)),0))),Combo_Gym_Defense),0))</f>
        <v>N/A</v>
      </c>
      <c r="L574" s="24" t="str">
        <f t="array" ref="L574">IF(OR(INDEX(Species_Availability,MATCH($N574,Species_Names,0))="No",INDEX(Species_Evo_Numbers,MATCH($N574,Species_Names,0))&lt;&gt;1),"N/A",$Y574/MAX(IF(NOT(ISNA(MATCH(Combo_Species_Names,IF(Species_Availability="Yes",IF(Species_Evo_Numbers=1,Species_Names)),0))),Combo_Gym_Defense)))</f>
        <v>N/A</v>
      </c>
      <c r="M574" s="28">
        <f t="array" ref="M574">INDEX(Species_Pdex_Numbers,MATCH($N574,Species_Names,0))</f>
        <v>43</v>
      </c>
      <c r="N574" s="30" t="s">
        <v>177</v>
      </c>
      <c r="O574" s="31" t="s">
        <v>110</v>
      </c>
      <c r="P574" s="31" t="s">
        <v>180</v>
      </c>
      <c r="Q574" s="17" t="e">
        <f t="shared" si="16"/>
        <v>#VALUE!</v>
      </c>
      <c r="R574" s="32" t="e">
        <f t="array" ref="R574">IF(OR(AND(COUNTBLANK(Combo_Opponent_Type_1)=1,COUNTBLANK(Combo_Opponent_Type_2)=0),AND(AND(COUNTBLANK(Combo_Opponent_Type_1)=0,COUNTBLANK(Combo_Opponent_Type_2)=0),Combo_Opponent_Type_1=Combo_Opponent_Type_2)),
"Check Types",($S574*INDEX(Species_Tankiness,MATCH($N574,Species_Names,0)))/225)</f>
        <v>#VALUE!</v>
      </c>
      <c r="S574" s="32" t="e">
        <f t="array" ref="S574">IF(OR(AND(COUNTBLANK(Combo_Opponent_Type_1)=1,COUNTBLANK(Combo_Opponent_Type_2)=0),AND(AND(COUNTBLANK(Combo_Opponent_Type_1)=0,COUNTBLANK(Combo_Opponent_Type_2)=0),Combo_Opponent_Type_1=Combo_Opponent_Type_2)),
"Check Types",(
IF($W574&gt;=((1-Game_Weave_Human_Error)*$X574),$W574,$X574)*INDEX(Species_Attack,MATCH($N574,Species_Names,0)))/11)</f>
        <v>#VALUE!</v>
      </c>
      <c r="T574" s="33" t="e">
        <f t="shared" si="17"/>
        <v>#VALUE!</v>
      </c>
      <c r="U574" s="33">
        <f t="array" ref="U5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574,Quick_Names,0))),Type_Species)),0),1)*IF(COUNTBLANK(Combo_Opponent_Type_2)=0,INDEX(Type_Damage_Multipliers,MATCH(Combo_Opponent_Type_2,IF(Type_Move=(INDEX(Quick_Type,MATCH($O574,Quick_Names,0))),Type_Species)),0),1)*(IF(OR(INDEX(Quick_Type,MATCH($O574,Quick_Names,0))=INDEX(Species_Type_1,MATCH($N574,Species_Names,0)),INDEX(Quick_Type,MATCH($O574,Quick_Names,0))=INDEX(Species_Type_2,MATCH($N574,Species_Names,0))),Game_STAB_Multiplier,1)))</f>
        <v>1.25</v>
      </c>
      <c r="V574" s="33">
        <f t="array" ref="V5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574,Charge_Names,0))),Type_Species)),0),1)*IF(COUNTBLANK(Combo_Opponent_Type_2)=0,INDEX(Type_Damage_Multipliers,MATCH(Combo_Opponent_Type_2,IF(Type_Move=(INDEX(Charge_Type,MATCH($P574,Charge_Names,0))),Type_Species)),0),1)*
IF(OR(INDEX(Charge_Type,MATCH($P574,Charge_Names,0))=INDEX(Species_Type_1,MATCH($N574,Species_Names,0)),INDEX(Charge_Type,MATCH($P574,Charge_Names,0))=INDEX(Species_Type_2,MATCH($N574,Species_Names,0))),Game_STAB_Multiplier,1))</f>
        <v>1.25</v>
      </c>
      <c r="W574" s="33" t="s">
        <v>511</v>
      </c>
      <c r="X574" s="33" t="s">
        <v>514</v>
      </c>
      <c r="Y574" s="32" t="e">
        <f t="array" ref="Y574">((($Z574)*
INDEX(Species_Attack,MATCH($N574,Species_Names,0))*
INDEX(Species_Tankiness,MATCH($N574,Species_Names,0)))/1000)</f>
        <v>#VALUE!</v>
      </c>
      <c r="Z574" s="33" t="s">
        <v>603</v>
      </c>
    </row>
    <row r="575" spans="1:26" ht="14.25" customHeight="1" x14ac:dyDescent="0.2">
      <c r="A575" s="86"/>
      <c r="B575" s="22" t="str">
        <f t="array" ref="B575">CONCATENATE(TEXT($M575,"000"),".",TEXT(INDEX(Quick_Number,MATCH($O575,Quick_Names,0)),"000"),".",TEXT(INDEX(Charge_Number,MATCH($P575,Charge_Names,0)),"000"))</f>
        <v>088.233.018</v>
      </c>
      <c r="C575" s="23" t="e">
        <f t="array" ref="C575">RANK($S575,IF(Combo_Species_Names=$N575,Combo_Gym_Offense),0)</f>
        <v>#VALUE!</v>
      </c>
      <c r="D575" s="24" t="e">
        <f t="array" ref="D575">$S575/MAX(IF(Combo_Species_Names=$N575,Combo_Gym_Offense))</f>
        <v>#VALUE!</v>
      </c>
      <c r="E575" s="23" t="e">
        <f t="array" ref="E575">RANK($Y575,IF(Combo_Species_Names=$N575,Combo_Gym_Defense),0)</f>
        <v>#VALUE!</v>
      </c>
      <c r="F575" s="25" t="e">
        <f t="array" ref="F575">$Y575/MAX(IF(Combo_Species_Names=$N575,Combo_Gym_Defense))</f>
        <v>#VALUE!</v>
      </c>
      <c r="G575" s="23" t="str">
        <f t="array" ref="G575">IF(OR(INDEX(Species_Availability,MATCH($N575,Species_Names,0))="No",INDEX(Species_Evo_Numbers,MATCH($N575,Species_Names,0))&lt;&gt;1),"N/A",RANK($R575,IF(NOT(ISNA(MATCH(Combo_Species_Names,IF(Species_Availability="Yes",IF(Species_Evo_Numbers=1,Species_Names)),0))),Combo_Duel_Ability),0))</f>
        <v>N/A</v>
      </c>
      <c r="H575" s="24" t="str">
        <f t="array" ref="H575">IF(OR(INDEX(Species_Availability,MATCH($N575,Species_Names,0))="No",INDEX(Species_Evo_Numbers,MATCH($N575,Species_Names,0))&lt;&gt;1),"N/A",$R575/MAX(IF(NOT(ISNA(MATCH(Combo_Species_Names,IF(Species_Availability="Yes",IF(Species_Evo_Numbers=1,Species_Names)),0))),Combo_Duel_Ability)))</f>
        <v>N/A</v>
      </c>
      <c r="I575" s="23" t="str">
        <f t="array" ref="I575">IF(OR(INDEX(Species_Availability,MATCH($N575,Species_Names,0))="No",INDEX(Species_Evo_Numbers,MATCH($N575,Species_Names,0))&lt;&gt;1),"N/A",RANK($S575,IF(NOT(ISNA(MATCH(Combo_Species_Names,IF(Species_Availability="Yes",IF(Species_Evo_Numbers=1,Species_Names)),0))),Combo_Gym_Offense),0))</f>
        <v>N/A</v>
      </c>
      <c r="J575" s="24" t="str">
        <f t="array" ref="J575">IF(OR(INDEX(Species_Availability,MATCH($N575,Species_Names,0))="No",INDEX(Species_Evo_Numbers,MATCH($N575,Species_Names,0))&lt;&gt;1),"N/A",$S575/MAX(IF(NOT(ISNA(MATCH(Combo_Species_Names,IF(Species_Availability="Yes",IF(Species_Evo_Numbers=1,Species_Names)),0))),Combo_Gym_Offense)))</f>
        <v>N/A</v>
      </c>
      <c r="K575" s="23" t="str">
        <f t="array" ref="K575">IF(OR(INDEX(Species_Availability,MATCH($N575,Species_Names,0))="No",INDEX(Species_Evo_Numbers,MATCH($N575,Species_Names,0))&lt;&gt;1),"N/A",RANK($Y575,IF(NOT(ISNA(MATCH(Combo_Species_Names,IF(Species_Availability="Yes",IF(Species_Evo_Numbers=1,Species_Names)),0))),Combo_Gym_Defense),0))</f>
        <v>N/A</v>
      </c>
      <c r="L575" s="24" t="str">
        <f t="array" ref="L575">IF(OR(INDEX(Species_Availability,MATCH($N575,Species_Names,0))="No",INDEX(Species_Evo_Numbers,MATCH($N575,Species_Names,0))&lt;&gt;1),"N/A",$Y575/MAX(IF(NOT(ISNA(MATCH(Combo_Species_Names,IF(Species_Availability="Yes",IF(Species_Evo_Numbers=1,Species_Names)),0))),Combo_Gym_Defense)))</f>
        <v>N/A</v>
      </c>
      <c r="M575" s="28">
        <f t="array" ref="M575">INDEX(Species_Pdex_Numbers,MATCH($N575,Species_Names,0))</f>
        <v>88</v>
      </c>
      <c r="N575" s="30" t="s">
        <v>270</v>
      </c>
      <c r="O575" s="31" t="s">
        <v>84</v>
      </c>
      <c r="P575" s="31" t="s">
        <v>273</v>
      </c>
      <c r="Q575" s="17" t="e">
        <f t="shared" si="16"/>
        <v>#VALUE!</v>
      </c>
      <c r="R575" s="32" t="e">
        <f t="array" ref="R575">IF(OR(AND(COUNTBLANK(Combo_Opponent_Type_1)=1,COUNTBLANK(Combo_Opponent_Type_2)=0),AND(AND(COUNTBLANK(Combo_Opponent_Type_1)=0,COUNTBLANK(Combo_Opponent_Type_2)=0),Combo_Opponent_Type_1=Combo_Opponent_Type_2)),
"Check Types",($S575*INDEX(Species_Tankiness,MATCH($N575,Species_Names,0)))/225)</f>
        <v>#VALUE!</v>
      </c>
      <c r="S575" s="32" t="e">
        <f t="array" ref="S575">IF(OR(AND(COUNTBLANK(Combo_Opponent_Type_1)=1,COUNTBLANK(Combo_Opponent_Type_2)=0),AND(AND(COUNTBLANK(Combo_Opponent_Type_1)=0,COUNTBLANK(Combo_Opponent_Type_2)=0),Combo_Opponent_Type_1=Combo_Opponent_Type_2)),
"Check Types",(
IF($W575&gt;=((1-Game_Weave_Human_Error)*$X575),$W575,$X575)*INDEX(Species_Attack,MATCH($N575,Species_Names,0)))/11)</f>
        <v>#VALUE!</v>
      </c>
      <c r="T575" s="33" t="e">
        <f t="shared" si="17"/>
        <v>#VALUE!</v>
      </c>
      <c r="U575" s="33">
        <f t="array" ref="U5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575,Quick_Names,0))),Type_Species)),0),1)*IF(COUNTBLANK(Combo_Opponent_Type_2)=0,INDEX(Type_Damage_Multipliers,MATCH(Combo_Opponent_Type_2,IF(Type_Move=(INDEX(Quick_Type,MATCH($O575,Quick_Names,0))),Type_Species)),0),1)*(IF(OR(INDEX(Quick_Type,MATCH($O575,Quick_Names,0))=INDEX(Species_Type_1,MATCH($N575,Species_Names,0)),INDEX(Quick_Type,MATCH($O575,Quick_Names,0))=INDEX(Species_Type_2,MATCH($N575,Species_Names,0))),Game_STAB_Multiplier,1)))</f>
        <v>1</v>
      </c>
      <c r="V575" s="33">
        <f t="array" ref="V5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575,Charge_Names,0))),Type_Species)),0),1)*IF(COUNTBLANK(Combo_Opponent_Type_2)=0,INDEX(Type_Damage_Multipliers,MATCH(Combo_Opponent_Type_2,IF(Type_Move=(INDEX(Charge_Type,MATCH($P575,Charge_Names,0))),Type_Species)),0),1)*
IF(OR(INDEX(Charge_Type,MATCH($P575,Charge_Names,0))=INDEX(Species_Type_1,MATCH($N575,Species_Names,0)),INDEX(Charge_Type,MATCH($P575,Charge_Names,0))=INDEX(Species_Type_2,MATCH($N575,Species_Names,0))),Game_STAB_Multiplier,1))</f>
        <v>1.25</v>
      </c>
      <c r="W575" s="33" t="s">
        <v>660</v>
      </c>
      <c r="X575" s="33" t="s">
        <v>1011</v>
      </c>
      <c r="Y575" s="32" t="e">
        <f t="array" ref="Y575">((($Z575)*
INDEX(Species_Attack,MATCH($N575,Species_Names,0))*
INDEX(Species_Tankiness,MATCH($N575,Species_Names,0)))/1000)</f>
        <v>#VALUE!</v>
      </c>
      <c r="Z575" s="33" t="s">
        <v>510</v>
      </c>
    </row>
    <row r="576" spans="1:26" ht="14.25" customHeight="1" x14ac:dyDescent="0.2">
      <c r="A576" s="86"/>
      <c r="B576" s="22" t="str">
        <f t="array" ref="B576">CONCATENATE(TEXT($M576,"000"),".",TEXT(INDEX(Quick_Number,MATCH($O576,Quick_Names,0)),"000"),".",TEXT(INDEX(Charge_Number,MATCH($P576,Charge_Names,0)),"000"))</f>
        <v>088.233.096</v>
      </c>
      <c r="C576" s="23" t="e">
        <f t="array" ref="C576">RANK($S576,IF(Combo_Species_Names=$N576,Combo_Gym_Offense),0)</f>
        <v>#VALUE!</v>
      </c>
      <c r="D576" s="24" t="e">
        <f t="array" ref="D576">$S576/MAX(IF(Combo_Species_Names=$N576,Combo_Gym_Offense))</f>
        <v>#VALUE!</v>
      </c>
      <c r="E576" s="23" t="e">
        <f t="array" ref="E576">RANK($Y576,IF(Combo_Species_Names=$N576,Combo_Gym_Defense),0)</f>
        <v>#VALUE!</v>
      </c>
      <c r="F576" s="25" t="e">
        <f t="array" ref="F576">$Y576/MAX(IF(Combo_Species_Names=$N576,Combo_Gym_Defense))</f>
        <v>#VALUE!</v>
      </c>
      <c r="G576" s="23" t="str">
        <f t="array" ref="G576">IF(OR(INDEX(Species_Availability,MATCH($N576,Species_Names,0))="No",INDEX(Species_Evo_Numbers,MATCH($N576,Species_Names,0))&lt;&gt;1),"N/A",RANK($R576,IF(NOT(ISNA(MATCH(Combo_Species_Names,IF(Species_Availability="Yes",IF(Species_Evo_Numbers=1,Species_Names)),0))),Combo_Duel_Ability),0))</f>
        <v>N/A</v>
      </c>
      <c r="H576" s="24" t="str">
        <f t="array" ref="H576">IF(OR(INDEX(Species_Availability,MATCH($N576,Species_Names,0))="No",INDEX(Species_Evo_Numbers,MATCH($N576,Species_Names,0))&lt;&gt;1),"N/A",$R576/MAX(IF(NOT(ISNA(MATCH(Combo_Species_Names,IF(Species_Availability="Yes",IF(Species_Evo_Numbers=1,Species_Names)),0))),Combo_Duel_Ability)))</f>
        <v>N/A</v>
      </c>
      <c r="I576" s="23" t="str">
        <f t="array" ref="I576">IF(OR(INDEX(Species_Availability,MATCH($N576,Species_Names,0))="No",INDEX(Species_Evo_Numbers,MATCH($N576,Species_Names,0))&lt;&gt;1),"N/A",RANK($S576,IF(NOT(ISNA(MATCH(Combo_Species_Names,IF(Species_Availability="Yes",IF(Species_Evo_Numbers=1,Species_Names)),0))),Combo_Gym_Offense),0))</f>
        <v>N/A</v>
      </c>
      <c r="J576" s="24" t="str">
        <f t="array" ref="J576">IF(OR(INDEX(Species_Availability,MATCH($N576,Species_Names,0))="No",INDEX(Species_Evo_Numbers,MATCH($N576,Species_Names,0))&lt;&gt;1),"N/A",$S576/MAX(IF(NOT(ISNA(MATCH(Combo_Species_Names,IF(Species_Availability="Yes",IF(Species_Evo_Numbers=1,Species_Names)),0))),Combo_Gym_Offense)))</f>
        <v>N/A</v>
      </c>
      <c r="K576" s="23" t="str">
        <f t="array" ref="K576">IF(OR(INDEX(Species_Availability,MATCH($N576,Species_Names,0))="No",INDEX(Species_Evo_Numbers,MATCH($N576,Species_Names,0))&lt;&gt;1),"N/A",RANK($Y576,IF(NOT(ISNA(MATCH(Combo_Species_Names,IF(Species_Availability="Yes",IF(Species_Evo_Numbers=1,Species_Names)),0))),Combo_Gym_Defense),0))</f>
        <v>N/A</v>
      </c>
      <c r="L576" s="24" t="str">
        <f t="array" ref="L576">IF(OR(INDEX(Species_Availability,MATCH($N576,Species_Names,0))="No",INDEX(Species_Evo_Numbers,MATCH($N576,Species_Names,0))&lt;&gt;1),"N/A",$Y576/MAX(IF(NOT(ISNA(MATCH(Combo_Species_Names,IF(Species_Availability="Yes",IF(Species_Evo_Numbers=1,Species_Names)),0))),Combo_Gym_Defense)))</f>
        <v>N/A</v>
      </c>
      <c r="M576" s="28">
        <f t="array" ref="M576">INDEX(Species_Pdex_Numbers,MATCH($N576,Species_Names,0))</f>
        <v>88</v>
      </c>
      <c r="N576" s="30" t="s">
        <v>270</v>
      </c>
      <c r="O576" s="31" t="s">
        <v>84</v>
      </c>
      <c r="P576" s="31" t="s">
        <v>271</v>
      </c>
      <c r="Q576" s="17" t="e">
        <f t="shared" si="16"/>
        <v>#VALUE!</v>
      </c>
      <c r="R576" s="32" t="e">
        <f t="array" ref="R576">IF(OR(AND(COUNTBLANK(Combo_Opponent_Type_1)=1,COUNTBLANK(Combo_Opponent_Type_2)=0),AND(AND(COUNTBLANK(Combo_Opponent_Type_1)=0,COUNTBLANK(Combo_Opponent_Type_2)=0),Combo_Opponent_Type_1=Combo_Opponent_Type_2)),
"Check Types",($S576*INDEX(Species_Tankiness,MATCH($N576,Species_Names,0)))/225)</f>
        <v>#VALUE!</v>
      </c>
      <c r="S576" s="32" t="e">
        <f t="array" ref="S576">IF(OR(AND(COUNTBLANK(Combo_Opponent_Type_1)=1,COUNTBLANK(Combo_Opponent_Type_2)=0),AND(AND(COUNTBLANK(Combo_Opponent_Type_1)=0,COUNTBLANK(Combo_Opponent_Type_2)=0),Combo_Opponent_Type_1=Combo_Opponent_Type_2)),
"Check Types",(
IF($W576&gt;=((1-Game_Weave_Human_Error)*$X576),$W576,$X576)*INDEX(Species_Attack,MATCH($N576,Species_Names,0)))/11)</f>
        <v>#VALUE!</v>
      </c>
      <c r="T576" s="33" t="e">
        <f t="shared" si="17"/>
        <v>#VALUE!</v>
      </c>
      <c r="U576" s="33">
        <f t="array" ref="U5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576,Quick_Names,0))),Type_Species)),0),1)*IF(COUNTBLANK(Combo_Opponent_Type_2)=0,INDEX(Type_Damage_Multipliers,MATCH(Combo_Opponent_Type_2,IF(Type_Move=(INDEX(Quick_Type,MATCH($O576,Quick_Names,0))),Type_Species)),0),1)*(IF(OR(INDEX(Quick_Type,MATCH($O576,Quick_Names,0))=INDEX(Species_Type_1,MATCH($N576,Species_Names,0)),INDEX(Quick_Type,MATCH($O576,Quick_Names,0))=INDEX(Species_Type_2,MATCH($N576,Species_Names,0))),Game_STAB_Multiplier,1)))</f>
        <v>1</v>
      </c>
      <c r="V576" s="33">
        <f t="array" ref="V5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576,Charge_Names,0))),Type_Species)),0),1)*IF(COUNTBLANK(Combo_Opponent_Type_2)=0,INDEX(Type_Damage_Multipliers,MATCH(Combo_Opponent_Type_2,IF(Type_Move=(INDEX(Charge_Type,MATCH($P576,Charge_Names,0))),Type_Species)),0),1)*
IF(OR(INDEX(Charge_Type,MATCH($P576,Charge_Names,0))=INDEX(Species_Type_1,MATCH($N576,Species_Names,0)),INDEX(Charge_Type,MATCH($P576,Charge_Names,0))=INDEX(Species_Type_2,MATCH($N576,Species_Names,0))),Game_STAB_Multiplier,1))</f>
        <v>1</v>
      </c>
      <c r="W576" s="33" t="s">
        <v>660</v>
      </c>
      <c r="X576" s="33" t="s">
        <v>1012</v>
      </c>
      <c r="Y576" s="32" t="e">
        <f t="array" ref="Y576">((($Z576)*
INDEX(Species_Attack,MATCH($N576,Species_Names,0))*
INDEX(Species_Tankiness,MATCH($N576,Species_Names,0)))/1000)</f>
        <v>#VALUE!</v>
      </c>
      <c r="Z576" s="33" t="s">
        <v>1013</v>
      </c>
    </row>
    <row r="577" spans="1:26" ht="14.25" customHeight="1" x14ac:dyDescent="0.2">
      <c r="A577" s="86"/>
      <c r="B577" s="22" t="str">
        <f t="array" ref="B577">CONCATENATE(TEXT($M577,"000"),".",TEXT(INDEX(Quick_Number,MATCH($O577,Quick_Names,0)),"000"),".",TEXT(INDEX(Charge_Number,MATCH($P577,Charge_Names,0)),"000"))</f>
        <v>001.214.090</v>
      </c>
      <c r="C577" s="23" t="e">
        <f t="array" ref="C577">RANK($S577,IF(Combo_Species_Names=$N577,Combo_Gym_Offense),0)</f>
        <v>#VALUE!</v>
      </c>
      <c r="D577" s="24" t="e">
        <f t="array" ref="D577">$S577/MAX(IF(Combo_Species_Names=$N577,Combo_Gym_Offense))</f>
        <v>#VALUE!</v>
      </c>
      <c r="E577" s="23" t="e">
        <f t="array" ref="E577">RANK($Y577,IF(Combo_Species_Names=$N577,Combo_Gym_Defense),0)</f>
        <v>#VALUE!</v>
      </c>
      <c r="F577" s="25" t="e">
        <f t="array" ref="F577">$Y577/MAX(IF(Combo_Species_Names=$N577,Combo_Gym_Defense))</f>
        <v>#VALUE!</v>
      </c>
      <c r="G577" s="23" t="str">
        <f t="array" ref="G577">IF(OR(INDEX(Species_Availability,MATCH($N577,Species_Names,0))="No",INDEX(Species_Evo_Numbers,MATCH($N577,Species_Names,0))&lt;&gt;1),"N/A",RANK($R577,IF(NOT(ISNA(MATCH(Combo_Species_Names,IF(Species_Availability="Yes",IF(Species_Evo_Numbers=1,Species_Names)),0))),Combo_Duel_Ability),0))</f>
        <v>N/A</v>
      </c>
      <c r="H577" s="24" t="str">
        <f t="array" ref="H577">IF(OR(INDEX(Species_Availability,MATCH($N577,Species_Names,0))="No",INDEX(Species_Evo_Numbers,MATCH($N577,Species_Names,0))&lt;&gt;1),"N/A",$R577/MAX(IF(NOT(ISNA(MATCH(Combo_Species_Names,IF(Species_Availability="Yes",IF(Species_Evo_Numbers=1,Species_Names)),0))),Combo_Duel_Ability)))</f>
        <v>N/A</v>
      </c>
      <c r="I577" s="23" t="str">
        <f t="array" ref="I577">IF(OR(INDEX(Species_Availability,MATCH($N577,Species_Names,0))="No",INDEX(Species_Evo_Numbers,MATCH($N577,Species_Names,0))&lt;&gt;1),"N/A",RANK($S577,IF(NOT(ISNA(MATCH(Combo_Species_Names,IF(Species_Availability="Yes",IF(Species_Evo_Numbers=1,Species_Names)),0))),Combo_Gym_Offense),0))</f>
        <v>N/A</v>
      </c>
      <c r="J577" s="24" t="str">
        <f t="array" ref="J577">IF(OR(INDEX(Species_Availability,MATCH($N577,Species_Names,0))="No",INDEX(Species_Evo_Numbers,MATCH($N577,Species_Names,0))&lt;&gt;1),"N/A",$S577/MAX(IF(NOT(ISNA(MATCH(Combo_Species_Names,IF(Species_Availability="Yes",IF(Species_Evo_Numbers=1,Species_Names)),0))),Combo_Gym_Offense)))</f>
        <v>N/A</v>
      </c>
      <c r="K577" s="23" t="str">
        <f t="array" ref="K577">IF(OR(INDEX(Species_Availability,MATCH($N577,Species_Names,0))="No",INDEX(Species_Evo_Numbers,MATCH($N577,Species_Names,0))&lt;&gt;1),"N/A",RANK($Y577,IF(NOT(ISNA(MATCH(Combo_Species_Names,IF(Species_Availability="Yes",IF(Species_Evo_Numbers=1,Species_Names)),0))),Combo_Gym_Defense),0))</f>
        <v>N/A</v>
      </c>
      <c r="L577" s="24" t="str">
        <f t="array" ref="L577">IF(OR(INDEX(Species_Availability,MATCH($N577,Species_Names,0))="No",INDEX(Species_Evo_Numbers,MATCH($N577,Species_Names,0))&lt;&gt;1),"N/A",$Y577/MAX(IF(NOT(ISNA(MATCH(Combo_Species_Names,IF(Species_Availability="Yes",IF(Species_Evo_Numbers=1,Species_Names)),0))),Combo_Gym_Defense)))</f>
        <v>N/A</v>
      </c>
      <c r="M577" s="28">
        <f t="array" ref="M577">INDEX(Species_Pdex_Numbers,MATCH($N577,Species_Names,0))</f>
        <v>1</v>
      </c>
      <c r="N577" s="30" t="s">
        <v>27</v>
      </c>
      <c r="O577" s="31" t="s">
        <v>94</v>
      </c>
      <c r="P577" s="31" t="s">
        <v>180</v>
      </c>
      <c r="Q577" s="17" t="e">
        <f t="shared" si="16"/>
        <v>#VALUE!</v>
      </c>
      <c r="R577" s="32" t="e">
        <f t="array" ref="R577">IF(OR(AND(COUNTBLANK(Combo_Opponent_Type_1)=1,COUNTBLANK(Combo_Opponent_Type_2)=0),AND(AND(COUNTBLANK(Combo_Opponent_Type_1)=0,COUNTBLANK(Combo_Opponent_Type_2)=0),Combo_Opponent_Type_1=Combo_Opponent_Type_2)),
"Check Types",($S577*INDEX(Species_Tankiness,MATCH($N577,Species_Names,0)))/225)</f>
        <v>#VALUE!</v>
      </c>
      <c r="S577" s="32" t="e">
        <f t="array" ref="S577">IF(OR(AND(COUNTBLANK(Combo_Opponent_Type_1)=1,COUNTBLANK(Combo_Opponent_Type_2)=0),AND(AND(COUNTBLANK(Combo_Opponent_Type_1)=0,COUNTBLANK(Combo_Opponent_Type_2)=0),Combo_Opponent_Type_1=Combo_Opponent_Type_2)),
"Check Types",(
IF($W577&gt;=((1-Game_Weave_Human_Error)*$X577),$W577,$X577)*INDEX(Species_Attack,MATCH($N577,Species_Names,0)))/11)</f>
        <v>#VALUE!</v>
      </c>
      <c r="T577" s="33" t="e">
        <f t="shared" si="17"/>
        <v>#VALUE!</v>
      </c>
      <c r="U577" s="33">
        <f t="array" ref="U5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577,Quick_Names,0))),Type_Species)),0),1)*IF(COUNTBLANK(Combo_Opponent_Type_2)=0,INDEX(Type_Damage_Multipliers,MATCH(Combo_Opponent_Type_2,IF(Type_Move=(INDEX(Quick_Type,MATCH($O577,Quick_Names,0))),Type_Species)),0),1)*(IF(OR(INDEX(Quick_Type,MATCH($O577,Quick_Names,0))=INDEX(Species_Type_1,MATCH($N577,Species_Names,0)),INDEX(Quick_Type,MATCH($O577,Quick_Names,0))=INDEX(Species_Type_2,MATCH($N577,Species_Names,0))),Game_STAB_Multiplier,1)))</f>
        <v>1.25</v>
      </c>
      <c r="V577" s="33">
        <f t="array" ref="V5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577,Charge_Names,0))),Type_Species)),0),1)*IF(COUNTBLANK(Combo_Opponent_Type_2)=0,INDEX(Type_Damage_Multipliers,MATCH(Combo_Opponent_Type_2,IF(Type_Move=(INDEX(Charge_Type,MATCH($P577,Charge_Names,0))),Type_Species)),0),1)*
IF(OR(INDEX(Charge_Type,MATCH($P577,Charge_Names,0))=INDEX(Species_Type_1,MATCH($N577,Species_Names,0)),INDEX(Charge_Type,MATCH($P577,Charge_Names,0))=INDEX(Species_Type_2,MATCH($N577,Species_Names,0))),Game_STAB_Multiplier,1))</f>
        <v>1.25</v>
      </c>
      <c r="W577" s="33" t="s">
        <v>476</v>
      </c>
      <c r="X577" s="33" t="s">
        <v>506</v>
      </c>
      <c r="Y577" s="32" t="e">
        <f t="array" ref="Y577">((($Z577)*
INDEX(Species_Attack,MATCH($N577,Species_Names,0))*
INDEX(Species_Tankiness,MATCH($N577,Species_Names,0)))/1000)</f>
        <v>#VALUE!</v>
      </c>
      <c r="Z577" s="33" t="s">
        <v>507</v>
      </c>
    </row>
    <row r="578" spans="1:26" ht="14.25" customHeight="1" x14ac:dyDescent="0.2">
      <c r="A578" s="86"/>
      <c r="B578" s="22" t="str">
        <f t="array" ref="B578">CONCATENATE(TEXT($M578,"000"),".",TEXT(INDEX(Quick_Number,MATCH($O578,Quick_Names,0)),"000"),".",TEXT(INDEX(Charge_Number,MATCH($P578,Charge_Names,0)),"000"))</f>
        <v>109.225.090</v>
      </c>
      <c r="C578" s="23" t="e">
        <f t="array" ref="C578">RANK($S578,IF(Combo_Species_Names=$N578,Combo_Gym_Offense),0)</f>
        <v>#VALUE!</v>
      </c>
      <c r="D578" s="24" t="e">
        <f t="array" ref="D578">$S578/MAX(IF(Combo_Species_Names=$N578,Combo_Gym_Offense))</f>
        <v>#VALUE!</v>
      </c>
      <c r="E578" s="23" t="e">
        <f t="array" ref="E578">RANK($Y578,IF(Combo_Species_Names=$N578,Combo_Gym_Defense),0)</f>
        <v>#VALUE!</v>
      </c>
      <c r="F578" s="25" t="e">
        <f t="array" ref="F578">$Y578/MAX(IF(Combo_Species_Names=$N578,Combo_Gym_Defense))</f>
        <v>#VALUE!</v>
      </c>
      <c r="G578" s="23" t="str">
        <f t="array" ref="G578">IF(OR(INDEX(Species_Availability,MATCH($N578,Species_Names,0))="No",INDEX(Species_Evo_Numbers,MATCH($N578,Species_Names,0))&lt;&gt;1),"N/A",RANK($R578,IF(NOT(ISNA(MATCH(Combo_Species_Names,IF(Species_Availability="Yes",IF(Species_Evo_Numbers=1,Species_Names)),0))),Combo_Duel_Ability),0))</f>
        <v>N/A</v>
      </c>
      <c r="H578" s="24" t="str">
        <f t="array" ref="H578">IF(OR(INDEX(Species_Availability,MATCH($N578,Species_Names,0))="No",INDEX(Species_Evo_Numbers,MATCH($N578,Species_Names,0))&lt;&gt;1),"N/A",$R578/MAX(IF(NOT(ISNA(MATCH(Combo_Species_Names,IF(Species_Availability="Yes",IF(Species_Evo_Numbers=1,Species_Names)),0))),Combo_Duel_Ability)))</f>
        <v>N/A</v>
      </c>
      <c r="I578" s="23" t="str">
        <f t="array" ref="I578">IF(OR(INDEX(Species_Availability,MATCH($N578,Species_Names,0))="No",INDEX(Species_Evo_Numbers,MATCH($N578,Species_Names,0))&lt;&gt;1),"N/A",RANK($S578,IF(NOT(ISNA(MATCH(Combo_Species_Names,IF(Species_Availability="Yes",IF(Species_Evo_Numbers=1,Species_Names)),0))),Combo_Gym_Offense),0))</f>
        <v>N/A</v>
      </c>
      <c r="J578" s="24" t="str">
        <f t="array" ref="J578">IF(OR(INDEX(Species_Availability,MATCH($N578,Species_Names,0))="No",INDEX(Species_Evo_Numbers,MATCH($N578,Species_Names,0))&lt;&gt;1),"N/A",$S578/MAX(IF(NOT(ISNA(MATCH(Combo_Species_Names,IF(Species_Availability="Yes",IF(Species_Evo_Numbers=1,Species_Names)),0))),Combo_Gym_Offense)))</f>
        <v>N/A</v>
      </c>
      <c r="K578" s="23" t="str">
        <f t="array" ref="K578">IF(OR(INDEX(Species_Availability,MATCH($N578,Species_Names,0))="No",INDEX(Species_Evo_Numbers,MATCH($N578,Species_Names,0))&lt;&gt;1),"N/A",RANK($Y578,IF(NOT(ISNA(MATCH(Combo_Species_Names,IF(Species_Availability="Yes",IF(Species_Evo_Numbers=1,Species_Names)),0))),Combo_Gym_Defense),0))</f>
        <v>N/A</v>
      </c>
      <c r="L578" s="24" t="str">
        <f t="array" ref="L578">IF(OR(INDEX(Species_Availability,MATCH($N578,Species_Names,0))="No",INDEX(Species_Evo_Numbers,MATCH($N578,Species_Names,0))&lt;&gt;1),"N/A",$Y578/MAX(IF(NOT(ISNA(MATCH(Combo_Species_Names,IF(Species_Availability="Yes",IF(Species_Evo_Numbers=1,Species_Names)),0))),Combo_Gym_Defense)))</f>
        <v>N/A</v>
      </c>
      <c r="M578" s="28">
        <f t="array" ref="M578">INDEX(Species_Pdex_Numbers,MATCH($N578,Species_Names,0))</f>
        <v>109</v>
      </c>
      <c r="N578" s="30" t="s">
        <v>322</v>
      </c>
      <c r="O578" s="31" t="s">
        <v>110</v>
      </c>
      <c r="P578" s="31" t="s">
        <v>180</v>
      </c>
      <c r="Q578" s="17" t="e">
        <f t="shared" si="16"/>
        <v>#VALUE!</v>
      </c>
      <c r="R578" s="32" t="e">
        <f t="array" ref="R578">IF(OR(AND(COUNTBLANK(Combo_Opponent_Type_1)=1,COUNTBLANK(Combo_Opponent_Type_2)=0),AND(AND(COUNTBLANK(Combo_Opponent_Type_1)=0,COUNTBLANK(Combo_Opponent_Type_2)=0),Combo_Opponent_Type_1=Combo_Opponent_Type_2)),
"Check Types",($S578*INDEX(Species_Tankiness,MATCH($N578,Species_Names,0)))/225)</f>
        <v>#VALUE!</v>
      </c>
      <c r="S578" s="32" t="e">
        <f t="array" ref="S578">IF(OR(AND(COUNTBLANK(Combo_Opponent_Type_1)=1,COUNTBLANK(Combo_Opponent_Type_2)=0),AND(AND(COUNTBLANK(Combo_Opponent_Type_1)=0,COUNTBLANK(Combo_Opponent_Type_2)=0),Combo_Opponent_Type_1=Combo_Opponent_Type_2)),
"Check Types",(
IF($W578&gt;=((1-Game_Weave_Human_Error)*$X578),$W578,$X578)*INDEX(Species_Attack,MATCH($N578,Species_Names,0)))/11)</f>
        <v>#VALUE!</v>
      </c>
      <c r="T578" s="33" t="e">
        <f t="shared" si="17"/>
        <v>#VALUE!</v>
      </c>
      <c r="U578" s="33">
        <f t="array" ref="U5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578,Quick_Names,0))),Type_Species)),0),1)*IF(COUNTBLANK(Combo_Opponent_Type_2)=0,INDEX(Type_Damage_Multipliers,MATCH(Combo_Opponent_Type_2,IF(Type_Move=(INDEX(Quick_Type,MATCH($O578,Quick_Names,0))),Type_Species)),0),1)*(IF(OR(INDEX(Quick_Type,MATCH($O578,Quick_Names,0))=INDEX(Species_Type_1,MATCH($N578,Species_Names,0)),INDEX(Quick_Type,MATCH($O578,Quick_Names,0))=INDEX(Species_Type_2,MATCH($N578,Species_Names,0))),Game_STAB_Multiplier,1)))</f>
        <v>1.25</v>
      </c>
      <c r="V578" s="33">
        <f t="array" ref="V5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578,Charge_Names,0))),Type_Species)),0),1)*IF(COUNTBLANK(Combo_Opponent_Type_2)=0,INDEX(Type_Damage_Multipliers,MATCH(Combo_Opponent_Type_2,IF(Type_Move=(INDEX(Charge_Type,MATCH($P578,Charge_Names,0))),Type_Species)),0),1)*
IF(OR(INDEX(Charge_Type,MATCH($P578,Charge_Names,0))=INDEX(Species_Type_1,MATCH($N578,Species_Names,0)),INDEX(Charge_Type,MATCH($P578,Charge_Names,0))=INDEX(Species_Type_2,MATCH($N578,Species_Names,0))),Game_STAB_Multiplier,1))</f>
        <v>1.25</v>
      </c>
      <c r="W578" s="33" t="s">
        <v>511</v>
      </c>
      <c r="X578" s="33" t="s">
        <v>514</v>
      </c>
      <c r="Y578" s="32" t="e">
        <f t="array" ref="Y578">((($Z578)*
INDEX(Species_Attack,MATCH($N578,Species_Names,0))*
INDEX(Species_Tankiness,MATCH($N578,Species_Names,0)))/1000)</f>
        <v>#VALUE!</v>
      </c>
      <c r="Z578" s="33" t="s">
        <v>603</v>
      </c>
    </row>
    <row r="579" spans="1:26" ht="14.25" customHeight="1" x14ac:dyDescent="0.2">
      <c r="A579" s="86"/>
      <c r="B579" s="22" t="str">
        <f t="array" ref="B579">CONCATENATE(TEXT($M579,"000"),".",TEXT(INDEX(Quick_Number,MATCH($O579,Quick_Names,0)),"000"),".",TEXT(INDEX(Charge_Number,MATCH($P579,Charge_Names,0)),"000"))</f>
        <v>066.207.028</v>
      </c>
      <c r="C579" s="23" t="e">
        <f t="array" ref="C579">RANK($S579,IF(Combo_Species_Names=$N579,Combo_Gym_Offense),0)</f>
        <v>#VALUE!</v>
      </c>
      <c r="D579" s="24" t="e">
        <f t="array" ref="D579">$S579/MAX(IF(Combo_Species_Names=$N579,Combo_Gym_Offense))</f>
        <v>#VALUE!</v>
      </c>
      <c r="E579" s="23" t="e">
        <f t="array" ref="E579">RANK($Y579,IF(Combo_Species_Names=$N579,Combo_Gym_Defense),0)</f>
        <v>#VALUE!</v>
      </c>
      <c r="F579" s="25" t="e">
        <f t="array" ref="F579">$Y579/MAX(IF(Combo_Species_Names=$N579,Combo_Gym_Defense))</f>
        <v>#VALUE!</v>
      </c>
      <c r="G579" s="23" t="str">
        <f t="array" ref="G579">IF(OR(INDEX(Species_Availability,MATCH($N579,Species_Names,0))="No",INDEX(Species_Evo_Numbers,MATCH($N579,Species_Names,0))&lt;&gt;1),"N/A",RANK($R579,IF(NOT(ISNA(MATCH(Combo_Species_Names,IF(Species_Availability="Yes",IF(Species_Evo_Numbers=1,Species_Names)),0))),Combo_Duel_Ability),0))</f>
        <v>N/A</v>
      </c>
      <c r="H579" s="24" t="str">
        <f t="array" ref="H579">IF(OR(INDEX(Species_Availability,MATCH($N579,Species_Names,0))="No",INDEX(Species_Evo_Numbers,MATCH($N579,Species_Names,0))&lt;&gt;1),"N/A",$R579/MAX(IF(NOT(ISNA(MATCH(Combo_Species_Names,IF(Species_Availability="Yes",IF(Species_Evo_Numbers=1,Species_Names)),0))),Combo_Duel_Ability)))</f>
        <v>N/A</v>
      </c>
      <c r="I579" s="23" t="str">
        <f t="array" ref="I579">IF(OR(INDEX(Species_Availability,MATCH($N579,Species_Names,0))="No",INDEX(Species_Evo_Numbers,MATCH($N579,Species_Names,0))&lt;&gt;1),"N/A",RANK($S579,IF(NOT(ISNA(MATCH(Combo_Species_Names,IF(Species_Availability="Yes",IF(Species_Evo_Numbers=1,Species_Names)),0))),Combo_Gym_Offense),0))</f>
        <v>N/A</v>
      </c>
      <c r="J579" s="24" t="str">
        <f t="array" ref="J579">IF(OR(INDEX(Species_Availability,MATCH($N579,Species_Names,0))="No",INDEX(Species_Evo_Numbers,MATCH($N579,Species_Names,0))&lt;&gt;1),"N/A",$S579/MAX(IF(NOT(ISNA(MATCH(Combo_Species_Names,IF(Species_Availability="Yes",IF(Species_Evo_Numbers=1,Species_Names)),0))),Combo_Gym_Offense)))</f>
        <v>N/A</v>
      </c>
      <c r="K579" s="23" t="str">
        <f t="array" ref="K579">IF(OR(INDEX(Species_Availability,MATCH($N579,Species_Names,0))="No",INDEX(Species_Evo_Numbers,MATCH($N579,Species_Names,0))&lt;&gt;1),"N/A",RANK($Y579,IF(NOT(ISNA(MATCH(Combo_Species_Names,IF(Species_Availability="Yes",IF(Species_Evo_Numbers=1,Species_Names)),0))),Combo_Gym_Defense),0))</f>
        <v>N/A</v>
      </c>
      <c r="L579" s="24" t="str">
        <f t="array" ref="L579">IF(OR(INDEX(Species_Availability,MATCH($N579,Species_Names,0))="No",INDEX(Species_Evo_Numbers,MATCH($N579,Species_Names,0))&lt;&gt;1),"N/A",$Y579/MAX(IF(NOT(ISNA(MATCH(Combo_Species_Names,IF(Species_Availability="Yes",IF(Species_Evo_Numbers=1,Species_Names)),0))),Combo_Gym_Defense)))</f>
        <v>N/A</v>
      </c>
      <c r="M579" s="28">
        <f t="array" ref="M579">INDEX(Species_Pdex_Numbers,MATCH($N579,Species_Names,0))</f>
        <v>66</v>
      </c>
      <c r="N579" s="30" t="s">
        <v>223</v>
      </c>
      <c r="O579" s="31" t="s">
        <v>117</v>
      </c>
      <c r="P579" s="31" t="s">
        <v>146</v>
      </c>
      <c r="Q579" s="17" t="e">
        <f t="shared" si="16"/>
        <v>#VALUE!</v>
      </c>
      <c r="R579" s="32" t="e">
        <f t="array" ref="R579">IF(OR(AND(COUNTBLANK(Combo_Opponent_Type_1)=1,COUNTBLANK(Combo_Opponent_Type_2)=0),AND(AND(COUNTBLANK(Combo_Opponent_Type_1)=0,COUNTBLANK(Combo_Opponent_Type_2)=0),Combo_Opponent_Type_1=Combo_Opponent_Type_2)),
"Check Types",($S579*INDEX(Species_Tankiness,MATCH($N579,Species_Names,0)))/225)</f>
        <v>#VALUE!</v>
      </c>
      <c r="S579" s="32" t="e">
        <f t="array" ref="S579">IF(OR(AND(COUNTBLANK(Combo_Opponent_Type_1)=1,COUNTBLANK(Combo_Opponent_Type_2)=0),AND(AND(COUNTBLANK(Combo_Opponent_Type_1)=0,COUNTBLANK(Combo_Opponent_Type_2)=0),Combo_Opponent_Type_1=Combo_Opponent_Type_2)),
"Check Types",(
IF($W579&gt;=((1-Game_Weave_Human_Error)*$X579),$W579,$X579)*INDEX(Species_Attack,MATCH($N579,Species_Names,0)))/11)</f>
        <v>#VALUE!</v>
      </c>
      <c r="T579" s="33" t="e">
        <f t="shared" si="17"/>
        <v>#VALUE!</v>
      </c>
      <c r="U579" s="33">
        <f t="array" ref="U5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579,Quick_Names,0))),Type_Species)),0),1)*IF(COUNTBLANK(Combo_Opponent_Type_2)=0,INDEX(Type_Damage_Multipliers,MATCH(Combo_Opponent_Type_2,IF(Type_Move=(INDEX(Quick_Type,MATCH($O579,Quick_Names,0))),Type_Species)),0),1)*(IF(OR(INDEX(Quick_Type,MATCH($O579,Quick_Names,0))=INDEX(Species_Type_1,MATCH($N579,Species_Names,0)),INDEX(Quick_Type,MATCH($O579,Quick_Names,0))=INDEX(Species_Type_2,MATCH($N579,Species_Names,0))),Game_STAB_Multiplier,1)))</f>
        <v>1.25</v>
      </c>
      <c r="V579" s="33">
        <f t="array" ref="V5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579,Charge_Names,0))),Type_Species)),0),1)*IF(COUNTBLANK(Combo_Opponent_Type_2)=0,INDEX(Type_Damage_Multipliers,MATCH(Combo_Opponent_Type_2,IF(Type_Move=(INDEX(Charge_Type,MATCH($P579,Charge_Names,0))),Type_Species)),0),1)*
IF(OR(INDEX(Charge_Type,MATCH($P579,Charge_Names,0))=INDEX(Species_Type_1,MATCH($N579,Species_Names,0)),INDEX(Charge_Type,MATCH($P579,Charge_Names,0))=INDEX(Species_Type_2,MATCH($N579,Species_Names,0))),Game_STAB_Multiplier,1))</f>
        <v>1.25</v>
      </c>
      <c r="W579" s="33" t="s">
        <v>678</v>
      </c>
      <c r="X579" s="33" t="s">
        <v>769</v>
      </c>
      <c r="Y579" s="32" t="e">
        <f t="array" ref="Y579">((($Z579)*
INDEX(Species_Attack,MATCH($N579,Species_Names,0))*
INDEX(Species_Tankiness,MATCH($N579,Species_Names,0)))/1000)</f>
        <v>#VALUE!</v>
      </c>
      <c r="Z579" s="33" t="s">
        <v>770</v>
      </c>
    </row>
    <row r="580" spans="1:26" ht="14.25" customHeight="1" x14ac:dyDescent="0.2">
      <c r="A580" s="86"/>
      <c r="B580" s="22" t="str">
        <f t="array" ref="B580">CONCATENATE(TEXT($M580,"000"),".",TEXT(INDEX(Quick_Number,MATCH($O580,Quick_Names,0)),"000"),".",TEXT(INDEX(Charge_Number,MATCH($P580,Charge_Names,0)),"000"))</f>
        <v>096.235.060</v>
      </c>
      <c r="C580" s="23" t="e">
        <f t="array" ref="C580">RANK($S580,IF(Combo_Species_Names=$N580,Combo_Gym_Offense),0)</f>
        <v>#VALUE!</v>
      </c>
      <c r="D580" s="24" t="e">
        <f t="array" ref="D580">$S580/MAX(IF(Combo_Species_Names=$N580,Combo_Gym_Offense))</f>
        <v>#VALUE!</v>
      </c>
      <c r="E580" s="23" t="e">
        <f t="array" ref="E580">RANK($Y580,IF(Combo_Species_Names=$N580,Combo_Gym_Defense),0)</f>
        <v>#VALUE!</v>
      </c>
      <c r="F580" s="25" t="e">
        <f t="array" ref="F580">$Y580/MAX(IF(Combo_Species_Names=$N580,Combo_Gym_Defense))</f>
        <v>#VALUE!</v>
      </c>
      <c r="G580" s="23" t="str">
        <f t="array" ref="G580">IF(OR(INDEX(Species_Availability,MATCH($N580,Species_Names,0))="No",INDEX(Species_Evo_Numbers,MATCH($N580,Species_Names,0))&lt;&gt;1),"N/A",RANK($R580,IF(NOT(ISNA(MATCH(Combo_Species_Names,IF(Species_Availability="Yes",IF(Species_Evo_Numbers=1,Species_Names)),0))),Combo_Duel_Ability),0))</f>
        <v>N/A</v>
      </c>
      <c r="H580" s="24" t="str">
        <f t="array" ref="H580">IF(OR(INDEX(Species_Availability,MATCH($N580,Species_Names,0))="No",INDEX(Species_Evo_Numbers,MATCH($N580,Species_Names,0))&lt;&gt;1),"N/A",$R580/MAX(IF(NOT(ISNA(MATCH(Combo_Species_Names,IF(Species_Availability="Yes",IF(Species_Evo_Numbers=1,Species_Names)),0))),Combo_Duel_Ability)))</f>
        <v>N/A</v>
      </c>
      <c r="I580" s="23" t="str">
        <f t="array" ref="I580">IF(OR(INDEX(Species_Availability,MATCH($N580,Species_Names,0))="No",INDEX(Species_Evo_Numbers,MATCH($N580,Species_Names,0))&lt;&gt;1),"N/A",RANK($S580,IF(NOT(ISNA(MATCH(Combo_Species_Names,IF(Species_Availability="Yes",IF(Species_Evo_Numbers=1,Species_Names)),0))),Combo_Gym_Offense),0))</f>
        <v>N/A</v>
      </c>
      <c r="J580" s="24" t="str">
        <f t="array" ref="J580">IF(OR(INDEX(Species_Availability,MATCH($N580,Species_Names,0))="No",INDEX(Species_Evo_Numbers,MATCH($N580,Species_Names,0))&lt;&gt;1),"N/A",$S580/MAX(IF(NOT(ISNA(MATCH(Combo_Species_Names,IF(Species_Availability="Yes",IF(Species_Evo_Numbers=1,Species_Names)),0))),Combo_Gym_Offense)))</f>
        <v>N/A</v>
      </c>
      <c r="K580" s="23" t="str">
        <f t="array" ref="K580">IF(OR(INDEX(Species_Availability,MATCH($N580,Species_Names,0))="No",INDEX(Species_Evo_Numbers,MATCH($N580,Species_Names,0))&lt;&gt;1),"N/A",RANK($Y580,IF(NOT(ISNA(MATCH(Combo_Species_Names,IF(Species_Availability="Yes",IF(Species_Evo_Numbers=1,Species_Names)),0))),Combo_Gym_Defense),0))</f>
        <v>N/A</v>
      </c>
      <c r="L580" s="24" t="str">
        <f t="array" ref="L580">IF(OR(INDEX(Species_Availability,MATCH($N580,Species_Names,0))="No",INDEX(Species_Evo_Numbers,MATCH($N580,Species_Names,0))&lt;&gt;1),"N/A",$Y580/MAX(IF(NOT(ISNA(MATCH(Combo_Species_Names,IF(Species_Availability="Yes",IF(Species_Evo_Numbers=1,Species_Names)),0))),Combo_Gym_Defense)))</f>
        <v>N/A</v>
      </c>
      <c r="M580" s="28">
        <f t="array" ref="M580">INDEX(Species_Pdex_Numbers,MATCH($N580,Species_Names,0))</f>
        <v>96</v>
      </c>
      <c r="N580" s="30" t="s">
        <v>290</v>
      </c>
      <c r="O580" s="31" t="s">
        <v>108</v>
      </c>
      <c r="P580" s="31" t="s">
        <v>232</v>
      </c>
      <c r="Q580" s="17" t="e">
        <f t="shared" si="16"/>
        <v>#VALUE!</v>
      </c>
      <c r="R580" s="32" t="e">
        <f t="array" ref="R580">IF(OR(AND(COUNTBLANK(Combo_Opponent_Type_1)=1,COUNTBLANK(Combo_Opponent_Type_2)=0),AND(AND(COUNTBLANK(Combo_Opponent_Type_1)=0,COUNTBLANK(Combo_Opponent_Type_2)=0),Combo_Opponent_Type_1=Combo_Opponent_Type_2)),
"Check Types",($S580*INDEX(Species_Tankiness,MATCH($N580,Species_Names,0)))/225)</f>
        <v>#VALUE!</v>
      </c>
      <c r="S580" s="32" t="e">
        <f t="array" ref="S580">IF(OR(AND(COUNTBLANK(Combo_Opponent_Type_1)=1,COUNTBLANK(Combo_Opponent_Type_2)=0),AND(AND(COUNTBLANK(Combo_Opponent_Type_1)=0,COUNTBLANK(Combo_Opponent_Type_2)=0),Combo_Opponent_Type_1=Combo_Opponent_Type_2)),
"Check Types",(
IF($W580&gt;=((1-Game_Weave_Human_Error)*$X580),$W580,$X580)*INDEX(Species_Attack,MATCH($N580,Species_Names,0)))/11)</f>
        <v>#VALUE!</v>
      </c>
      <c r="T580" s="33" t="e">
        <f t="shared" si="17"/>
        <v>#VALUE!</v>
      </c>
      <c r="U580" s="33">
        <f t="array" ref="U5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580,Quick_Names,0))),Type_Species)),0),1)*IF(COUNTBLANK(Combo_Opponent_Type_2)=0,INDEX(Type_Damage_Multipliers,MATCH(Combo_Opponent_Type_2,IF(Type_Move=(INDEX(Quick_Type,MATCH($O580,Quick_Names,0))),Type_Species)),0),1)*(IF(OR(INDEX(Quick_Type,MATCH($O580,Quick_Names,0))=INDEX(Species_Type_1,MATCH($N580,Species_Names,0)),INDEX(Quick_Type,MATCH($O580,Quick_Names,0))=INDEX(Species_Type_2,MATCH($N580,Species_Names,0))),Game_STAB_Multiplier,1)))</f>
        <v>1.25</v>
      </c>
      <c r="V580" s="33">
        <f t="array" ref="V5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580,Charge_Names,0))),Type_Species)),0),1)*IF(COUNTBLANK(Combo_Opponent_Type_2)=0,INDEX(Type_Damage_Multipliers,MATCH(Combo_Opponent_Type_2,IF(Type_Move=(INDEX(Charge_Type,MATCH($P580,Charge_Names,0))),Type_Species)),0),1)*
IF(OR(INDEX(Charge_Type,MATCH($P580,Charge_Names,0))=INDEX(Species_Type_1,MATCH($N580,Species_Names,0)),INDEX(Charge_Type,MATCH($P580,Charge_Names,0))=INDEX(Species_Type_2,MATCH($N580,Species_Names,0))),Game_STAB_Multiplier,1))</f>
        <v>1.25</v>
      </c>
      <c r="W580" s="33" t="s">
        <v>467</v>
      </c>
      <c r="X580" s="33" t="s">
        <v>650</v>
      </c>
      <c r="Y580" s="32" t="e">
        <f t="array" ref="Y580">((($Z580)*
INDEX(Species_Attack,MATCH($N580,Species_Names,0))*
INDEX(Species_Tankiness,MATCH($N580,Species_Names,0)))/1000)</f>
        <v>#VALUE!</v>
      </c>
      <c r="Z580" s="33" t="s">
        <v>651</v>
      </c>
    </row>
    <row r="581" spans="1:26" ht="14.25" customHeight="1" x14ac:dyDescent="0.2">
      <c r="A581" s="86"/>
      <c r="B581" s="22" t="str">
        <f t="array" ref="B581">CONCATENATE(TEXT($M581,"000"),".",TEXT(INDEX(Quick_Number,MATCH($O581,Quick_Names,0)),"000"),".",TEXT(INDEX(Charge_Number,MATCH($P581,Charge_Names,0)),"000"))</f>
        <v>001.214.118</v>
      </c>
      <c r="C581" s="23" t="e">
        <f t="array" ref="C581">RANK($S581,IF(Combo_Species_Names=$N581,Combo_Gym_Offense),0)</f>
        <v>#VALUE!</v>
      </c>
      <c r="D581" s="24" t="e">
        <f t="array" ref="D581">$S581/MAX(IF(Combo_Species_Names=$N581,Combo_Gym_Offense))</f>
        <v>#VALUE!</v>
      </c>
      <c r="E581" s="23" t="e">
        <f t="array" ref="E581">RANK($Y581,IF(Combo_Species_Names=$N581,Combo_Gym_Defense),0)</f>
        <v>#VALUE!</v>
      </c>
      <c r="F581" s="25" t="e">
        <f t="array" ref="F581">$Y581/MAX(IF(Combo_Species_Names=$N581,Combo_Gym_Defense))</f>
        <v>#VALUE!</v>
      </c>
      <c r="G581" s="23" t="str">
        <f t="array" ref="G581">IF(OR(INDEX(Species_Availability,MATCH($N581,Species_Names,0))="No",INDEX(Species_Evo_Numbers,MATCH($N581,Species_Names,0))&lt;&gt;1),"N/A",RANK($R581,IF(NOT(ISNA(MATCH(Combo_Species_Names,IF(Species_Availability="Yes",IF(Species_Evo_Numbers=1,Species_Names)),0))),Combo_Duel_Ability),0))</f>
        <v>N/A</v>
      </c>
      <c r="H581" s="24" t="str">
        <f t="array" ref="H581">IF(OR(INDEX(Species_Availability,MATCH($N581,Species_Names,0))="No",INDEX(Species_Evo_Numbers,MATCH($N581,Species_Names,0))&lt;&gt;1),"N/A",$R581/MAX(IF(NOT(ISNA(MATCH(Combo_Species_Names,IF(Species_Availability="Yes",IF(Species_Evo_Numbers=1,Species_Names)),0))),Combo_Duel_Ability)))</f>
        <v>N/A</v>
      </c>
      <c r="I581" s="23" t="str">
        <f t="array" ref="I581">IF(OR(INDEX(Species_Availability,MATCH($N581,Species_Names,0))="No",INDEX(Species_Evo_Numbers,MATCH($N581,Species_Names,0))&lt;&gt;1),"N/A",RANK($S581,IF(NOT(ISNA(MATCH(Combo_Species_Names,IF(Species_Availability="Yes",IF(Species_Evo_Numbers=1,Species_Names)),0))),Combo_Gym_Offense),0))</f>
        <v>N/A</v>
      </c>
      <c r="J581" s="24" t="str">
        <f t="array" ref="J581">IF(OR(INDEX(Species_Availability,MATCH($N581,Species_Names,0))="No",INDEX(Species_Evo_Numbers,MATCH($N581,Species_Names,0))&lt;&gt;1),"N/A",$S581/MAX(IF(NOT(ISNA(MATCH(Combo_Species_Names,IF(Species_Availability="Yes",IF(Species_Evo_Numbers=1,Species_Names)),0))),Combo_Gym_Offense)))</f>
        <v>N/A</v>
      </c>
      <c r="K581" s="23" t="str">
        <f t="array" ref="K581">IF(OR(INDEX(Species_Availability,MATCH($N581,Species_Names,0))="No",INDEX(Species_Evo_Numbers,MATCH($N581,Species_Names,0))&lt;&gt;1),"N/A",RANK($Y581,IF(NOT(ISNA(MATCH(Combo_Species_Names,IF(Species_Availability="Yes",IF(Species_Evo_Numbers=1,Species_Names)),0))),Combo_Gym_Defense),0))</f>
        <v>N/A</v>
      </c>
      <c r="L581" s="24" t="str">
        <f t="array" ref="L581">IF(OR(INDEX(Species_Availability,MATCH($N581,Species_Names,0))="No",INDEX(Species_Evo_Numbers,MATCH($N581,Species_Names,0))&lt;&gt;1),"N/A",$Y581/MAX(IF(NOT(ISNA(MATCH(Combo_Species_Names,IF(Species_Availability="Yes",IF(Species_Evo_Numbers=1,Species_Names)),0))),Combo_Gym_Defense)))</f>
        <v>N/A</v>
      </c>
      <c r="M581" s="28">
        <f t="array" ref="M581">INDEX(Species_Pdex_Numbers,MATCH($N581,Species_Names,0))</f>
        <v>1</v>
      </c>
      <c r="N581" s="30" t="s">
        <v>27</v>
      </c>
      <c r="O581" s="31" t="s">
        <v>94</v>
      </c>
      <c r="P581" s="31" t="s">
        <v>165</v>
      </c>
      <c r="Q581" s="17" t="e">
        <f t="shared" si="16"/>
        <v>#VALUE!</v>
      </c>
      <c r="R581" s="32" t="e">
        <f t="array" ref="R581">IF(OR(AND(COUNTBLANK(Combo_Opponent_Type_1)=1,COUNTBLANK(Combo_Opponent_Type_2)=0),AND(AND(COUNTBLANK(Combo_Opponent_Type_1)=0,COUNTBLANK(Combo_Opponent_Type_2)=0),Combo_Opponent_Type_1=Combo_Opponent_Type_2)),
"Check Types",($S581*INDEX(Species_Tankiness,MATCH($N581,Species_Names,0)))/225)</f>
        <v>#VALUE!</v>
      </c>
      <c r="S581" s="32" t="e">
        <f t="array" ref="S581">IF(OR(AND(COUNTBLANK(Combo_Opponent_Type_1)=1,COUNTBLANK(Combo_Opponent_Type_2)=0),AND(AND(COUNTBLANK(Combo_Opponent_Type_1)=0,COUNTBLANK(Combo_Opponent_Type_2)=0),Combo_Opponent_Type_1=Combo_Opponent_Type_2)),
"Check Types",(
IF($W581&gt;=((1-Game_Weave_Human_Error)*$X581),$W581,$X581)*INDEX(Species_Attack,MATCH($N581,Species_Names,0)))/11)</f>
        <v>#VALUE!</v>
      </c>
      <c r="T581" s="33" t="e">
        <f t="shared" si="17"/>
        <v>#VALUE!</v>
      </c>
      <c r="U581" s="33">
        <f t="array" ref="U5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581,Quick_Names,0))),Type_Species)),0),1)*IF(COUNTBLANK(Combo_Opponent_Type_2)=0,INDEX(Type_Damage_Multipliers,MATCH(Combo_Opponent_Type_2,IF(Type_Move=(INDEX(Quick_Type,MATCH($O581,Quick_Names,0))),Type_Species)),0),1)*(IF(OR(INDEX(Quick_Type,MATCH($O581,Quick_Names,0))=INDEX(Species_Type_1,MATCH($N581,Species_Names,0)),INDEX(Quick_Type,MATCH($O581,Quick_Names,0))=INDEX(Species_Type_2,MATCH($N581,Species_Names,0))),Game_STAB_Multiplier,1)))</f>
        <v>1.25</v>
      </c>
      <c r="V581" s="33">
        <f t="array" ref="V5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581,Charge_Names,0))),Type_Species)),0),1)*IF(COUNTBLANK(Combo_Opponent_Type_2)=0,INDEX(Type_Damage_Multipliers,MATCH(Combo_Opponent_Type_2,IF(Type_Move=(INDEX(Charge_Type,MATCH($P581,Charge_Names,0))),Type_Species)),0),1)*
IF(OR(INDEX(Charge_Type,MATCH($P581,Charge_Names,0))=INDEX(Species_Type_1,MATCH($N581,Species_Names,0)),INDEX(Charge_Type,MATCH($P581,Charge_Names,0))=INDEX(Species_Type_2,MATCH($N581,Species_Names,0))),Game_STAB_Multiplier,1))</f>
        <v>1.25</v>
      </c>
      <c r="W581" s="33" t="s">
        <v>476</v>
      </c>
      <c r="X581" s="33" t="s">
        <v>761</v>
      </c>
      <c r="Y581" s="32" t="e">
        <f t="array" ref="Y581">((($Z581)*
INDEX(Species_Attack,MATCH($N581,Species_Names,0))*
INDEX(Species_Tankiness,MATCH($N581,Species_Names,0)))/1000)</f>
        <v>#VALUE!</v>
      </c>
      <c r="Z581" s="33" t="s">
        <v>623</v>
      </c>
    </row>
    <row r="582" spans="1:26" ht="14.25" customHeight="1" x14ac:dyDescent="0.2">
      <c r="A582" s="86"/>
      <c r="B582" s="22" t="str">
        <f t="array" ref="B582">CONCATENATE(TEXT($M582,"000"),".",TEXT(INDEX(Quick_Number,MATCH($O582,Quick_Names,0)),"000"),".",TEXT(INDEX(Charge_Number,MATCH($P582,Charge_Names,0)),"000"))</f>
        <v>048.201.099</v>
      </c>
      <c r="C582" s="23" t="e">
        <f t="array" ref="C582">RANK($S582,IF(Combo_Species_Names=$N582,Combo_Gym_Offense),0)</f>
        <v>#VALUE!</v>
      </c>
      <c r="D582" s="24" t="e">
        <f t="array" ref="D582">$S582/MAX(IF(Combo_Species_Names=$N582,Combo_Gym_Offense))</f>
        <v>#VALUE!</v>
      </c>
      <c r="E582" s="23" t="e">
        <f t="array" ref="E582">RANK($Y582,IF(Combo_Species_Names=$N582,Combo_Gym_Defense),0)</f>
        <v>#VALUE!</v>
      </c>
      <c r="F582" s="25" t="e">
        <f t="array" ref="F582">$Y582/MAX(IF(Combo_Species_Names=$N582,Combo_Gym_Defense))</f>
        <v>#VALUE!</v>
      </c>
      <c r="G582" s="23" t="str">
        <f t="array" ref="G582">IF(OR(INDEX(Species_Availability,MATCH($N582,Species_Names,0))="No",INDEX(Species_Evo_Numbers,MATCH($N582,Species_Names,0))&lt;&gt;1),"N/A",RANK($R582,IF(NOT(ISNA(MATCH(Combo_Species_Names,IF(Species_Availability="Yes",IF(Species_Evo_Numbers=1,Species_Names)),0))),Combo_Duel_Ability),0))</f>
        <v>N/A</v>
      </c>
      <c r="H582" s="24" t="str">
        <f t="array" ref="H582">IF(OR(INDEX(Species_Availability,MATCH($N582,Species_Names,0))="No",INDEX(Species_Evo_Numbers,MATCH($N582,Species_Names,0))&lt;&gt;1),"N/A",$R582/MAX(IF(NOT(ISNA(MATCH(Combo_Species_Names,IF(Species_Availability="Yes",IF(Species_Evo_Numbers=1,Species_Names)),0))),Combo_Duel_Ability)))</f>
        <v>N/A</v>
      </c>
      <c r="I582" s="23" t="str">
        <f t="array" ref="I582">IF(OR(INDEX(Species_Availability,MATCH($N582,Species_Names,0))="No",INDEX(Species_Evo_Numbers,MATCH($N582,Species_Names,0))&lt;&gt;1),"N/A",RANK($S582,IF(NOT(ISNA(MATCH(Combo_Species_Names,IF(Species_Availability="Yes",IF(Species_Evo_Numbers=1,Species_Names)),0))),Combo_Gym_Offense),0))</f>
        <v>N/A</v>
      </c>
      <c r="J582" s="24" t="str">
        <f t="array" ref="J582">IF(OR(INDEX(Species_Availability,MATCH($N582,Species_Names,0))="No",INDEX(Species_Evo_Numbers,MATCH($N582,Species_Names,0))&lt;&gt;1),"N/A",$S582/MAX(IF(NOT(ISNA(MATCH(Combo_Species_Names,IF(Species_Availability="Yes",IF(Species_Evo_Numbers=1,Species_Names)),0))),Combo_Gym_Offense)))</f>
        <v>N/A</v>
      </c>
      <c r="K582" s="23" t="str">
        <f t="array" ref="K582">IF(OR(INDEX(Species_Availability,MATCH($N582,Species_Names,0))="No",INDEX(Species_Evo_Numbers,MATCH($N582,Species_Names,0))&lt;&gt;1),"N/A",RANK($Y582,IF(NOT(ISNA(MATCH(Combo_Species_Names,IF(Species_Availability="Yes",IF(Species_Evo_Numbers=1,Species_Names)),0))),Combo_Gym_Defense),0))</f>
        <v>N/A</v>
      </c>
      <c r="L582" s="24" t="str">
        <f t="array" ref="L582">IF(OR(INDEX(Species_Availability,MATCH($N582,Species_Names,0))="No",INDEX(Species_Evo_Numbers,MATCH($N582,Species_Names,0))&lt;&gt;1),"N/A",$Y582/MAX(IF(NOT(ISNA(MATCH(Combo_Species_Names,IF(Species_Availability="Yes",IF(Species_Evo_Numbers=1,Species_Names)),0))),Combo_Gym_Defense)))</f>
        <v>N/A</v>
      </c>
      <c r="M582" s="28">
        <f t="array" ref="M582">INDEX(Species_Pdex_Numbers,MATCH($N582,Species_Names,0))</f>
        <v>48</v>
      </c>
      <c r="N582" s="30" t="s">
        <v>187</v>
      </c>
      <c r="O582" s="31" t="s">
        <v>82</v>
      </c>
      <c r="P582" s="31" t="s">
        <v>236</v>
      </c>
      <c r="Q582" s="17" t="e">
        <f t="shared" ref="Q582:Q645" si="18">IF(OR(AND(COUNTBLANK(Combo_Opponent_Type_1)=1,COUNTBLANK(Combo_Opponent_Type_2)=0),AND(AND(COUNTBLANK(Combo_Opponent_Type_1)=0,COUNTBLANK(Combo_Opponent_Type_2)=0),Combo_Opponent_Type_1=Combo_Opponent_Type_2)),
"Check Types",IF($W582&gt;=((1-Game_Weave_Human_Error)*$X582),"Quick Only","Weave"))</f>
        <v>#VALUE!</v>
      </c>
      <c r="R582" s="32" t="e">
        <f t="array" ref="R582">IF(OR(AND(COUNTBLANK(Combo_Opponent_Type_1)=1,COUNTBLANK(Combo_Opponent_Type_2)=0),AND(AND(COUNTBLANK(Combo_Opponent_Type_1)=0,COUNTBLANK(Combo_Opponent_Type_2)=0),Combo_Opponent_Type_1=Combo_Opponent_Type_2)),
"Check Types",($S582*INDEX(Species_Tankiness,MATCH($N582,Species_Names,0)))/225)</f>
        <v>#VALUE!</v>
      </c>
      <c r="S582" s="32" t="e">
        <f t="array" ref="S582">IF(OR(AND(COUNTBLANK(Combo_Opponent_Type_1)=1,COUNTBLANK(Combo_Opponent_Type_2)=0),AND(AND(COUNTBLANK(Combo_Opponent_Type_1)=0,COUNTBLANK(Combo_Opponent_Type_2)=0),Combo_Opponent_Type_1=Combo_Opponent_Type_2)),
"Check Types",(
IF($W582&gt;=((1-Game_Weave_Human_Error)*$X582),$W582,$X582)*INDEX(Species_Attack,MATCH($N582,Species_Names,0)))/11)</f>
        <v>#VALUE!</v>
      </c>
      <c r="T582" s="33" t="e">
        <f t="shared" ref="T582:T645" si="19">IF(OR(AND(COUNTBLANK(Combo_Opponent_Type_1)=1,COUNTBLANK(Combo_Opponent_Type_2)=0),AND(AND(COUNTBLANK(Combo_Opponent_Type_1)=0,COUNTBLANK(Combo_Opponent_Type_2)=0),Combo_Opponent_Type_1=Combo_Opponent_Type_2)),
"Check Types",IF($W582&gt;=((1-Game_Weave_Human_Error)*$X582),$W582,$X582))</f>
        <v>#VALUE!</v>
      </c>
      <c r="U582" s="33">
        <f t="array" ref="U5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582,Quick_Names,0))),Type_Species)),0),1)*IF(COUNTBLANK(Combo_Opponent_Type_2)=0,INDEX(Type_Damage_Multipliers,MATCH(Combo_Opponent_Type_2,IF(Type_Move=(INDEX(Quick_Type,MATCH($O582,Quick_Names,0))),Type_Species)),0),1)*(IF(OR(INDEX(Quick_Type,MATCH($O582,Quick_Names,0))=INDEX(Species_Type_1,MATCH($N582,Species_Names,0)),INDEX(Quick_Type,MATCH($O582,Quick_Names,0))=INDEX(Species_Type_2,MATCH($N582,Species_Names,0))),Game_STAB_Multiplier,1)))</f>
        <v>1.25</v>
      </c>
      <c r="V582" s="33">
        <f t="array" ref="V5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582,Charge_Names,0))),Type_Species)),0),1)*IF(COUNTBLANK(Combo_Opponent_Type_2)=0,INDEX(Type_Damage_Multipliers,MATCH(Combo_Opponent_Type_2,IF(Type_Move=(INDEX(Charge_Type,MATCH($P582,Charge_Names,0))),Type_Species)),0),1)*
IF(OR(INDEX(Charge_Type,MATCH($P582,Charge_Names,0))=INDEX(Species_Type_1,MATCH($N582,Species_Names,0)),INDEX(Charge_Type,MATCH($P582,Charge_Names,0))=INDEX(Species_Type_2,MATCH($N582,Species_Names,0))),Game_STAB_Multiplier,1))</f>
        <v>1.25</v>
      </c>
      <c r="W582" s="33" t="s">
        <v>436</v>
      </c>
      <c r="X582" s="33" t="s">
        <v>883</v>
      </c>
      <c r="Y582" s="32" t="e">
        <f t="array" ref="Y582">((($Z582)*
INDEX(Species_Attack,MATCH($N582,Species_Names,0))*
INDEX(Species_Tankiness,MATCH($N582,Species_Names,0)))/1000)</f>
        <v>#VALUE!</v>
      </c>
      <c r="Z582" s="33" t="s">
        <v>884</v>
      </c>
    </row>
    <row r="583" spans="1:26" ht="14.25" customHeight="1" x14ac:dyDescent="0.2">
      <c r="A583" s="86"/>
      <c r="B583" s="22" t="str">
        <f t="array" ref="B583">CONCATENATE(TEXT($M583,"000"),".",TEXT(INDEX(Quick_Number,MATCH($O583,Quick_Names,0)),"000"),".",TEXT(INDEX(Charge_Number,MATCH($P583,Charge_Names,0)),"000"))</f>
        <v>035.234.084</v>
      </c>
      <c r="C583" s="23" t="e">
        <f t="array" ref="C583">RANK($S583,IF(Combo_Species_Names=$N583,Combo_Gym_Offense),0)</f>
        <v>#VALUE!</v>
      </c>
      <c r="D583" s="24" t="e">
        <f t="array" ref="D583">$S583/MAX(IF(Combo_Species_Names=$N583,Combo_Gym_Offense))</f>
        <v>#VALUE!</v>
      </c>
      <c r="E583" s="23" t="e">
        <f t="array" ref="E583">RANK($Y583,IF(Combo_Species_Names=$N583,Combo_Gym_Defense),0)</f>
        <v>#VALUE!</v>
      </c>
      <c r="F583" s="25" t="e">
        <f t="array" ref="F583">$Y583/MAX(IF(Combo_Species_Names=$N583,Combo_Gym_Defense))</f>
        <v>#VALUE!</v>
      </c>
      <c r="G583" s="23" t="str">
        <f t="array" ref="G583">IF(OR(INDEX(Species_Availability,MATCH($N583,Species_Names,0))="No",INDEX(Species_Evo_Numbers,MATCH($N583,Species_Names,0))&lt;&gt;1),"N/A",RANK($R583,IF(NOT(ISNA(MATCH(Combo_Species_Names,IF(Species_Availability="Yes",IF(Species_Evo_Numbers=1,Species_Names)),0))),Combo_Duel_Ability),0))</f>
        <v>N/A</v>
      </c>
      <c r="H583" s="24" t="str">
        <f t="array" ref="H583">IF(OR(INDEX(Species_Availability,MATCH($N583,Species_Names,0))="No",INDEX(Species_Evo_Numbers,MATCH($N583,Species_Names,0))&lt;&gt;1),"N/A",$R583/MAX(IF(NOT(ISNA(MATCH(Combo_Species_Names,IF(Species_Availability="Yes",IF(Species_Evo_Numbers=1,Species_Names)),0))),Combo_Duel_Ability)))</f>
        <v>N/A</v>
      </c>
      <c r="I583" s="23" t="str">
        <f t="array" ref="I583">IF(OR(INDEX(Species_Availability,MATCH($N583,Species_Names,0))="No",INDEX(Species_Evo_Numbers,MATCH($N583,Species_Names,0))&lt;&gt;1),"N/A",RANK($S583,IF(NOT(ISNA(MATCH(Combo_Species_Names,IF(Species_Availability="Yes",IF(Species_Evo_Numbers=1,Species_Names)),0))),Combo_Gym_Offense),0))</f>
        <v>N/A</v>
      </c>
      <c r="J583" s="24" t="str">
        <f t="array" ref="J583">IF(OR(INDEX(Species_Availability,MATCH($N583,Species_Names,0))="No",INDEX(Species_Evo_Numbers,MATCH($N583,Species_Names,0))&lt;&gt;1),"N/A",$S583/MAX(IF(NOT(ISNA(MATCH(Combo_Species_Names,IF(Species_Availability="Yes",IF(Species_Evo_Numbers=1,Species_Names)),0))),Combo_Gym_Offense)))</f>
        <v>N/A</v>
      </c>
      <c r="K583" s="23" t="str">
        <f t="array" ref="K583">IF(OR(INDEX(Species_Availability,MATCH($N583,Species_Names,0))="No",INDEX(Species_Evo_Numbers,MATCH($N583,Species_Names,0))&lt;&gt;1),"N/A",RANK($Y583,IF(NOT(ISNA(MATCH(Combo_Species_Names,IF(Species_Availability="Yes",IF(Species_Evo_Numbers=1,Species_Names)),0))),Combo_Gym_Defense),0))</f>
        <v>N/A</v>
      </c>
      <c r="L583" s="24" t="str">
        <f t="array" ref="L583">IF(OR(INDEX(Species_Availability,MATCH($N583,Species_Names,0))="No",INDEX(Species_Evo_Numbers,MATCH($N583,Species_Names,0))&lt;&gt;1),"N/A",$Y583/MAX(IF(NOT(ISNA(MATCH(Combo_Species_Names,IF(Species_Availability="Yes",IF(Species_Evo_Numbers=1,Species_Names)),0))),Combo_Gym_Defense)))</f>
        <v>N/A</v>
      </c>
      <c r="M583" s="28">
        <f t="array" ref="M583">INDEX(Species_Pdex_Numbers,MATCH($N583,Species_Names,0))</f>
        <v>35</v>
      </c>
      <c r="N583" s="30" t="s">
        <v>161</v>
      </c>
      <c r="O583" s="31" t="s">
        <v>79</v>
      </c>
      <c r="P583" s="31" t="s">
        <v>319</v>
      </c>
      <c r="Q583" s="17" t="e">
        <f t="shared" si="18"/>
        <v>#VALUE!</v>
      </c>
      <c r="R583" s="32" t="e">
        <f t="array" ref="R583">IF(OR(AND(COUNTBLANK(Combo_Opponent_Type_1)=1,COUNTBLANK(Combo_Opponent_Type_2)=0),AND(AND(COUNTBLANK(Combo_Opponent_Type_1)=0,COUNTBLANK(Combo_Opponent_Type_2)=0),Combo_Opponent_Type_1=Combo_Opponent_Type_2)),
"Check Types",($S583*INDEX(Species_Tankiness,MATCH($N583,Species_Names,0)))/225)</f>
        <v>#VALUE!</v>
      </c>
      <c r="S583" s="32" t="e">
        <f t="array" ref="S583">IF(OR(AND(COUNTBLANK(Combo_Opponent_Type_1)=1,COUNTBLANK(Combo_Opponent_Type_2)=0),AND(AND(COUNTBLANK(Combo_Opponent_Type_1)=0,COUNTBLANK(Combo_Opponent_Type_2)=0),Combo_Opponent_Type_1=Combo_Opponent_Type_2)),
"Check Types",(
IF($W583&gt;=((1-Game_Weave_Human_Error)*$X583),$W583,$X583)*INDEX(Species_Attack,MATCH($N583,Species_Names,0)))/11)</f>
        <v>#VALUE!</v>
      </c>
      <c r="T583" s="33" t="e">
        <f t="shared" si="19"/>
        <v>#VALUE!</v>
      </c>
      <c r="U583" s="33">
        <f t="array" ref="U5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583,Quick_Names,0))),Type_Species)),0),1)*IF(COUNTBLANK(Combo_Opponent_Type_2)=0,INDEX(Type_Damage_Multipliers,MATCH(Combo_Opponent_Type_2,IF(Type_Move=(INDEX(Quick_Type,MATCH($O583,Quick_Names,0))),Type_Species)),0),1)*(IF(OR(INDEX(Quick_Type,MATCH($O583,Quick_Names,0))=INDEX(Species_Type_1,MATCH($N583,Species_Names,0)),INDEX(Quick_Type,MATCH($O583,Quick_Names,0))=INDEX(Species_Type_2,MATCH($N583,Species_Names,0))),Game_STAB_Multiplier,1)))</f>
        <v>1</v>
      </c>
      <c r="V583" s="33">
        <f t="array" ref="V5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583,Charge_Names,0))),Type_Species)),0),1)*IF(COUNTBLANK(Combo_Opponent_Type_2)=0,INDEX(Type_Damage_Multipliers,MATCH(Combo_Opponent_Type_2,IF(Type_Move=(INDEX(Charge_Type,MATCH($P583,Charge_Names,0))),Type_Species)),0),1)*
IF(OR(INDEX(Charge_Type,MATCH($P583,Charge_Names,0))=INDEX(Species_Type_1,MATCH($N583,Species_Names,0)),INDEX(Charge_Type,MATCH($P583,Charge_Names,0))=INDEX(Species_Type_2,MATCH($N583,Species_Names,0))),Game_STAB_Multiplier,1))</f>
        <v>1.25</v>
      </c>
      <c r="W583" s="33" t="s">
        <v>419</v>
      </c>
      <c r="X583" s="33" t="s">
        <v>1014</v>
      </c>
      <c r="Y583" s="32" t="e">
        <f t="array" ref="Y583">((($Z583)*
INDEX(Species_Attack,MATCH($N583,Species_Names,0))*
INDEX(Species_Tankiness,MATCH($N583,Species_Names,0)))/1000)</f>
        <v>#VALUE!</v>
      </c>
      <c r="Z583" s="33" t="s">
        <v>958</v>
      </c>
    </row>
    <row r="584" spans="1:26" ht="14.25" customHeight="1" x14ac:dyDescent="0.2">
      <c r="A584" s="86"/>
      <c r="B584" s="22" t="str">
        <f t="array" ref="B584">CONCATENATE(TEXT($M584,"000"),".",TEXT(INDEX(Quick_Number,MATCH($O584,Quick_Names,0)),"000"),".",TEXT(INDEX(Charge_Number,MATCH($P584,Charge_Names,0)),"000"))</f>
        <v>109.221.090</v>
      </c>
      <c r="C584" s="23" t="e">
        <f t="array" ref="C584">RANK($S584,IF(Combo_Species_Names=$N584,Combo_Gym_Offense),0)</f>
        <v>#VALUE!</v>
      </c>
      <c r="D584" s="24" t="e">
        <f t="array" ref="D584">$S584/MAX(IF(Combo_Species_Names=$N584,Combo_Gym_Offense))</f>
        <v>#VALUE!</v>
      </c>
      <c r="E584" s="23" t="e">
        <f t="array" ref="E584">RANK($Y584,IF(Combo_Species_Names=$N584,Combo_Gym_Defense),0)</f>
        <v>#VALUE!</v>
      </c>
      <c r="F584" s="25" t="e">
        <f t="array" ref="F584">$Y584/MAX(IF(Combo_Species_Names=$N584,Combo_Gym_Defense))</f>
        <v>#VALUE!</v>
      </c>
      <c r="G584" s="23" t="str">
        <f t="array" ref="G584">IF(OR(INDEX(Species_Availability,MATCH($N584,Species_Names,0))="No",INDEX(Species_Evo_Numbers,MATCH($N584,Species_Names,0))&lt;&gt;1),"N/A",RANK($R584,IF(NOT(ISNA(MATCH(Combo_Species_Names,IF(Species_Availability="Yes",IF(Species_Evo_Numbers=1,Species_Names)),0))),Combo_Duel_Ability),0))</f>
        <v>N/A</v>
      </c>
      <c r="H584" s="24" t="str">
        <f t="array" ref="H584">IF(OR(INDEX(Species_Availability,MATCH($N584,Species_Names,0))="No",INDEX(Species_Evo_Numbers,MATCH($N584,Species_Names,0))&lt;&gt;1),"N/A",$R584/MAX(IF(NOT(ISNA(MATCH(Combo_Species_Names,IF(Species_Availability="Yes",IF(Species_Evo_Numbers=1,Species_Names)),0))),Combo_Duel_Ability)))</f>
        <v>N/A</v>
      </c>
      <c r="I584" s="23" t="str">
        <f t="array" ref="I584">IF(OR(INDEX(Species_Availability,MATCH($N584,Species_Names,0))="No",INDEX(Species_Evo_Numbers,MATCH($N584,Species_Names,0))&lt;&gt;1),"N/A",RANK($S584,IF(NOT(ISNA(MATCH(Combo_Species_Names,IF(Species_Availability="Yes",IF(Species_Evo_Numbers=1,Species_Names)),0))),Combo_Gym_Offense),0))</f>
        <v>N/A</v>
      </c>
      <c r="J584" s="24" t="str">
        <f t="array" ref="J584">IF(OR(INDEX(Species_Availability,MATCH($N584,Species_Names,0))="No",INDEX(Species_Evo_Numbers,MATCH($N584,Species_Names,0))&lt;&gt;1),"N/A",$S584/MAX(IF(NOT(ISNA(MATCH(Combo_Species_Names,IF(Species_Availability="Yes",IF(Species_Evo_Numbers=1,Species_Names)),0))),Combo_Gym_Offense)))</f>
        <v>N/A</v>
      </c>
      <c r="K584" s="23" t="str">
        <f t="array" ref="K584">IF(OR(INDEX(Species_Availability,MATCH($N584,Species_Names,0))="No",INDEX(Species_Evo_Numbers,MATCH($N584,Species_Names,0))&lt;&gt;1),"N/A",RANK($Y584,IF(NOT(ISNA(MATCH(Combo_Species_Names,IF(Species_Availability="Yes",IF(Species_Evo_Numbers=1,Species_Names)),0))),Combo_Gym_Defense),0))</f>
        <v>N/A</v>
      </c>
      <c r="L584" s="24" t="str">
        <f t="array" ref="L584">IF(OR(INDEX(Species_Availability,MATCH($N584,Species_Names,0))="No",INDEX(Species_Evo_Numbers,MATCH($N584,Species_Names,0))&lt;&gt;1),"N/A",$Y584/MAX(IF(NOT(ISNA(MATCH(Combo_Species_Names,IF(Species_Availability="Yes",IF(Species_Evo_Numbers=1,Species_Names)),0))),Combo_Gym_Defense)))</f>
        <v>N/A</v>
      </c>
      <c r="M584" s="28">
        <f t="array" ref="M584">INDEX(Species_Pdex_Numbers,MATCH($N584,Species_Names,0))</f>
        <v>109</v>
      </c>
      <c r="N584" s="30" t="s">
        <v>322</v>
      </c>
      <c r="O584" s="31" t="s">
        <v>91</v>
      </c>
      <c r="P584" s="31" t="s">
        <v>180</v>
      </c>
      <c r="Q584" s="17" t="e">
        <f t="shared" si="18"/>
        <v>#VALUE!</v>
      </c>
      <c r="R584" s="32" t="e">
        <f t="array" ref="R584">IF(OR(AND(COUNTBLANK(Combo_Opponent_Type_1)=1,COUNTBLANK(Combo_Opponent_Type_2)=0),AND(AND(COUNTBLANK(Combo_Opponent_Type_1)=0,COUNTBLANK(Combo_Opponent_Type_2)=0),Combo_Opponent_Type_1=Combo_Opponent_Type_2)),
"Check Types",($S584*INDEX(Species_Tankiness,MATCH($N584,Species_Names,0)))/225)</f>
        <v>#VALUE!</v>
      </c>
      <c r="S584" s="32" t="e">
        <f t="array" ref="S584">IF(OR(AND(COUNTBLANK(Combo_Opponent_Type_1)=1,COUNTBLANK(Combo_Opponent_Type_2)=0),AND(AND(COUNTBLANK(Combo_Opponent_Type_1)=0,COUNTBLANK(Combo_Opponent_Type_2)=0),Combo_Opponent_Type_1=Combo_Opponent_Type_2)),
"Check Types",(
IF($W584&gt;=((1-Game_Weave_Human_Error)*$X584),$W584,$X584)*INDEX(Species_Attack,MATCH($N584,Species_Names,0)))/11)</f>
        <v>#VALUE!</v>
      </c>
      <c r="T584" s="33" t="e">
        <f t="shared" si="19"/>
        <v>#VALUE!</v>
      </c>
      <c r="U584" s="33">
        <f t="array" ref="U5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584,Quick_Names,0))),Type_Species)),0),1)*IF(COUNTBLANK(Combo_Opponent_Type_2)=0,INDEX(Type_Damage_Multipliers,MATCH(Combo_Opponent_Type_2,IF(Type_Move=(INDEX(Quick_Type,MATCH($O584,Quick_Names,0))),Type_Species)),0),1)*(IF(OR(INDEX(Quick_Type,MATCH($O584,Quick_Names,0))=INDEX(Species_Type_1,MATCH($N584,Species_Names,0)),INDEX(Quick_Type,MATCH($O584,Quick_Names,0))=INDEX(Species_Type_2,MATCH($N584,Species_Names,0))),Game_STAB_Multiplier,1)))</f>
        <v>1</v>
      </c>
      <c r="V584" s="33">
        <f t="array" ref="V5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584,Charge_Names,0))),Type_Species)),0),1)*IF(COUNTBLANK(Combo_Opponent_Type_2)=0,INDEX(Type_Damage_Multipliers,MATCH(Combo_Opponent_Type_2,IF(Type_Move=(INDEX(Charge_Type,MATCH($P584,Charge_Names,0))),Type_Species)),0),1)*
IF(OR(INDEX(Charge_Type,MATCH($P584,Charge_Names,0))=INDEX(Species_Type_1,MATCH($N584,Species_Names,0)),INDEX(Charge_Type,MATCH($P584,Charge_Names,0))=INDEX(Species_Type_2,MATCH($N584,Species_Names,0))),Game_STAB_Multiplier,1))</f>
        <v>1.25</v>
      </c>
      <c r="W584" s="33" t="s">
        <v>658</v>
      </c>
      <c r="X584" s="33" t="s">
        <v>659</v>
      </c>
      <c r="Y584" s="32" t="e">
        <f t="array" ref="Y584">((($Z584)*
INDEX(Species_Attack,MATCH($N584,Species_Names,0))*
INDEX(Species_Tankiness,MATCH($N584,Species_Names,0)))/1000)</f>
        <v>#VALUE!</v>
      </c>
      <c r="Z584" s="33" t="s">
        <v>643</v>
      </c>
    </row>
    <row r="585" spans="1:26" ht="14.25" customHeight="1" x14ac:dyDescent="0.2">
      <c r="A585" s="86"/>
      <c r="B585" s="22" t="str">
        <f t="array" ref="B585">CONCATENATE(TEXT($M585,"000"),".",TEXT(INDEX(Quick_Number,MATCH($O585,Quick_Names,0)),"000"),".",TEXT(INDEX(Charge_Number,MATCH($P585,Charge_Names,0)),"000"))</f>
        <v>039.222.131</v>
      </c>
      <c r="C585" s="23" t="e">
        <f t="array" ref="C585">RANK($S585,IF(Combo_Species_Names=$N585,Combo_Gym_Offense),0)</f>
        <v>#VALUE!</v>
      </c>
      <c r="D585" s="24" t="e">
        <f t="array" ref="D585">$S585/MAX(IF(Combo_Species_Names=$N585,Combo_Gym_Offense))</f>
        <v>#VALUE!</v>
      </c>
      <c r="E585" s="23" t="e">
        <f t="array" ref="E585">RANK($Y585,IF(Combo_Species_Names=$N585,Combo_Gym_Defense),0)</f>
        <v>#VALUE!</v>
      </c>
      <c r="F585" s="25" t="e">
        <f t="array" ref="F585">$Y585/MAX(IF(Combo_Species_Names=$N585,Combo_Gym_Defense))</f>
        <v>#VALUE!</v>
      </c>
      <c r="G585" s="23" t="str">
        <f t="array" ref="G585">IF(OR(INDEX(Species_Availability,MATCH($N585,Species_Names,0))="No",INDEX(Species_Evo_Numbers,MATCH($N585,Species_Names,0))&lt;&gt;1),"N/A",RANK($R585,IF(NOT(ISNA(MATCH(Combo_Species_Names,IF(Species_Availability="Yes",IF(Species_Evo_Numbers=1,Species_Names)),0))),Combo_Duel_Ability),0))</f>
        <v>N/A</v>
      </c>
      <c r="H585" s="24" t="str">
        <f t="array" ref="H585">IF(OR(INDEX(Species_Availability,MATCH($N585,Species_Names,0))="No",INDEX(Species_Evo_Numbers,MATCH($N585,Species_Names,0))&lt;&gt;1),"N/A",$R585/MAX(IF(NOT(ISNA(MATCH(Combo_Species_Names,IF(Species_Availability="Yes",IF(Species_Evo_Numbers=1,Species_Names)),0))),Combo_Duel_Ability)))</f>
        <v>N/A</v>
      </c>
      <c r="I585" s="23" t="str">
        <f t="array" ref="I585">IF(OR(INDEX(Species_Availability,MATCH($N585,Species_Names,0))="No",INDEX(Species_Evo_Numbers,MATCH($N585,Species_Names,0))&lt;&gt;1),"N/A",RANK($S585,IF(NOT(ISNA(MATCH(Combo_Species_Names,IF(Species_Availability="Yes",IF(Species_Evo_Numbers=1,Species_Names)),0))),Combo_Gym_Offense),0))</f>
        <v>N/A</v>
      </c>
      <c r="J585" s="24" t="str">
        <f t="array" ref="J585">IF(OR(INDEX(Species_Availability,MATCH($N585,Species_Names,0))="No",INDEX(Species_Evo_Numbers,MATCH($N585,Species_Names,0))&lt;&gt;1),"N/A",$S585/MAX(IF(NOT(ISNA(MATCH(Combo_Species_Names,IF(Species_Availability="Yes",IF(Species_Evo_Numbers=1,Species_Names)),0))),Combo_Gym_Offense)))</f>
        <v>N/A</v>
      </c>
      <c r="K585" s="23" t="str">
        <f t="array" ref="K585">IF(OR(INDEX(Species_Availability,MATCH($N585,Species_Names,0))="No",INDEX(Species_Evo_Numbers,MATCH($N585,Species_Names,0))&lt;&gt;1),"N/A",RANK($Y585,IF(NOT(ISNA(MATCH(Combo_Species_Names,IF(Species_Availability="Yes",IF(Species_Evo_Numbers=1,Species_Names)),0))),Combo_Gym_Defense),0))</f>
        <v>N/A</v>
      </c>
      <c r="L585" s="24" t="str">
        <f t="array" ref="L585">IF(OR(INDEX(Species_Availability,MATCH($N585,Species_Names,0))="No",INDEX(Species_Evo_Numbers,MATCH($N585,Species_Names,0))&lt;&gt;1),"N/A",$Y585/MAX(IF(NOT(ISNA(MATCH(Combo_Species_Names,IF(Species_Availability="Yes",IF(Species_Evo_Numbers=1,Species_Names)),0))),Combo_Gym_Defense)))</f>
        <v>N/A</v>
      </c>
      <c r="M585" s="28">
        <f t="array" ref="M585">INDEX(Species_Pdex_Numbers,MATCH($N585,Species_Names,0))</f>
        <v>39</v>
      </c>
      <c r="N585" s="30" t="s">
        <v>168</v>
      </c>
      <c r="O585" s="31" t="s">
        <v>32</v>
      </c>
      <c r="P585" s="31" t="s">
        <v>151</v>
      </c>
      <c r="Q585" s="17" t="e">
        <f t="shared" si="18"/>
        <v>#VALUE!</v>
      </c>
      <c r="R585" s="32" t="e">
        <f t="array" ref="R585">IF(OR(AND(COUNTBLANK(Combo_Opponent_Type_1)=1,COUNTBLANK(Combo_Opponent_Type_2)=0),AND(AND(COUNTBLANK(Combo_Opponent_Type_1)=0,COUNTBLANK(Combo_Opponent_Type_2)=0),Combo_Opponent_Type_1=Combo_Opponent_Type_2)),
"Check Types",($S585*INDEX(Species_Tankiness,MATCH($N585,Species_Names,0)))/225)</f>
        <v>#VALUE!</v>
      </c>
      <c r="S585" s="32" t="e">
        <f t="array" ref="S585">IF(OR(AND(COUNTBLANK(Combo_Opponent_Type_1)=1,COUNTBLANK(Combo_Opponent_Type_2)=0),AND(AND(COUNTBLANK(Combo_Opponent_Type_1)=0,COUNTBLANK(Combo_Opponent_Type_2)=0),Combo_Opponent_Type_1=Combo_Opponent_Type_2)),
"Check Types",(
IF($W585&gt;=((1-Game_Weave_Human_Error)*$X585),$W585,$X585)*INDEX(Species_Attack,MATCH($N585,Species_Names,0)))/11)</f>
        <v>#VALUE!</v>
      </c>
      <c r="T585" s="33" t="e">
        <f t="shared" si="19"/>
        <v>#VALUE!</v>
      </c>
      <c r="U585" s="33">
        <f t="array" ref="U5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585,Quick_Names,0))),Type_Species)),0),1)*IF(COUNTBLANK(Combo_Opponent_Type_2)=0,INDEX(Type_Damage_Multipliers,MATCH(Combo_Opponent_Type_2,IF(Type_Move=(INDEX(Quick_Type,MATCH($O585,Quick_Names,0))),Type_Species)),0),1)*(IF(OR(INDEX(Quick_Type,MATCH($O585,Quick_Names,0))=INDEX(Species_Type_1,MATCH($N585,Species_Names,0)),INDEX(Quick_Type,MATCH($O585,Quick_Names,0))=INDEX(Species_Type_2,MATCH($N585,Species_Names,0))),Game_STAB_Multiplier,1)))</f>
        <v>1.25</v>
      </c>
      <c r="V585" s="33">
        <f t="array" ref="V5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585,Charge_Names,0))),Type_Species)),0),1)*IF(COUNTBLANK(Combo_Opponent_Type_2)=0,INDEX(Type_Damage_Multipliers,MATCH(Combo_Opponent_Type_2,IF(Type_Move=(INDEX(Charge_Type,MATCH($P585,Charge_Names,0))),Type_Species)),0),1)*
IF(OR(INDEX(Charge_Type,MATCH($P585,Charge_Names,0))=INDEX(Species_Type_1,MATCH($N585,Species_Names,0)),INDEX(Charge_Type,MATCH($P585,Charge_Names,0))=INDEX(Species_Type_2,MATCH($N585,Species_Names,0))),Game_STAB_Multiplier,1))</f>
        <v>1.25</v>
      </c>
      <c r="W585" s="33" t="s">
        <v>508</v>
      </c>
      <c r="X585" s="33" t="s">
        <v>1015</v>
      </c>
      <c r="Y585" s="32" t="e">
        <f t="array" ref="Y585">((($Z585)*
INDEX(Species_Attack,MATCH($N585,Species_Names,0))*
INDEX(Species_Tankiness,MATCH($N585,Species_Names,0)))/1000)</f>
        <v>#VALUE!</v>
      </c>
      <c r="Z585" s="33" t="s">
        <v>945</v>
      </c>
    </row>
    <row r="586" spans="1:26" ht="14.25" customHeight="1" x14ac:dyDescent="0.2">
      <c r="A586" s="86"/>
      <c r="B586" s="22" t="str">
        <f t="array" ref="B586">CONCATENATE(TEXT($M586,"000"),".",TEXT(INDEX(Quick_Number,MATCH($O586,Quick_Names,0)),"000"),".",TEXT(INDEX(Charge_Number,MATCH($P586,Charge_Names,0)),"000"))</f>
        <v>093.212.016</v>
      </c>
      <c r="C586" s="23" t="e">
        <f t="array" ref="C586">RANK($S586,IF(Combo_Species_Names=$N586,Combo_Gym_Offense),0)</f>
        <v>#VALUE!</v>
      </c>
      <c r="D586" s="24" t="e">
        <f t="array" ref="D586">$S586/MAX(IF(Combo_Species_Names=$N586,Combo_Gym_Offense))</f>
        <v>#VALUE!</v>
      </c>
      <c r="E586" s="23" t="e">
        <f t="array" ref="E586">RANK($Y586,IF(Combo_Species_Names=$N586,Combo_Gym_Defense),0)</f>
        <v>#VALUE!</v>
      </c>
      <c r="F586" s="25" t="e">
        <f t="array" ref="F586">$Y586/MAX(IF(Combo_Species_Names=$N586,Combo_Gym_Defense))</f>
        <v>#VALUE!</v>
      </c>
      <c r="G586" s="23" t="str">
        <f t="array" ref="G586">IF(OR(INDEX(Species_Availability,MATCH($N586,Species_Names,0))="No",INDEX(Species_Evo_Numbers,MATCH($N586,Species_Names,0))&lt;&gt;1),"N/A",RANK($R586,IF(NOT(ISNA(MATCH(Combo_Species_Names,IF(Species_Availability="Yes",IF(Species_Evo_Numbers=1,Species_Names)),0))),Combo_Duel_Ability),0))</f>
        <v>N/A</v>
      </c>
      <c r="H586" s="24" t="str">
        <f t="array" ref="H586">IF(OR(INDEX(Species_Availability,MATCH($N586,Species_Names,0))="No",INDEX(Species_Evo_Numbers,MATCH($N586,Species_Names,0))&lt;&gt;1),"N/A",$R586/MAX(IF(NOT(ISNA(MATCH(Combo_Species_Names,IF(Species_Availability="Yes",IF(Species_Evo_Numbers=1,Species_Names)),0))),Combo_Duel_Ability)))</f>
        <v>N/A</v>
      </c>
      <c r="I586" s="23" t="str">
        <f t="array" ref="I586">IF(OR(INDEX(Species_Availability,MATCH($N586,Species_Names,0))="No",INDEX(Species_Evo_Numbers,MATCH($N586,Species_Names,0))&lt;&gt;1),"N/A",RANK($S586,IF(NOT(ISNA(MATCH(Combo_Species_Names,IF(Species_Availability="Yes",IF(Species_Evo_Numbers=1,Species_Names)),0))),Combo_Gym_Offense),0))</f>
        <v>N/A</v>
      </c>
      <c r="J586" s="24" t="str">
        <f t="array" ref="J586">IF(OR(INDEX(Species_Availability,MATCH($N586,Species_Names,0))="No",INDEX(Species_Evo_Numbers,MATCH($N586,Species_Names,0))&lt;&gt;1),"N/A",$S586/MAX(IF(NOT(ISNA(MATCH(Combo_Species_Names,IF(Species_Availability="Yes",IF(Species_Evo_Numbers=1,Species_Names)),0))),Combo_Gym_Offense)))</f>
        <v>N/A</v>
      </c>
      <c r="K586" s="23" t="str">
        <f t="array" ref="K586">IF(OR(INDEX(Species_Availability,MATCH($N586,Species_Names,0))="No",INDEX(Species_Evo_Numbers,MATCH($N586,Species_Names,0))&lt;&gt;1),"N/A",RANK($Y586,IF(NOT(ISNA(MATCH(Combo_Species_Names,IF(Species_Availability="Yes",IF(Species_Evo_Numbers=1,Species_Names)),0))),Combo_Gym_Defense),0))</f>
        <v>N/A</v>
      </c>
      <c r="L586" s="24" t="str">
        <f t="array" ref="L586">IF(OR(INDEX(Species_Availability,MATCH($N586,Species_Names,0))="No",INDEX(Species_Evo_Numbers,MATCH($N586,Species_Names,0))&lt;&gt;1),"N/A",$Y586/MAX(IF(NOT(ISNA(MATCH(Combo_Species_Names,IF(Species_Availability="Yes",IF(Species_Evo_Numbers=1,Species_Names)),0))),Combo_Gym_Defense)))</f>
        <v>N/A</v>
      </c>
      <c r="M586" s="28">
        <f t="array" ref="M586">INDEX(Species_Pdex_Numbers,MATCH($N586,Species_Names,0))</f>
        <v>93</v>
      </c>
      <c r="N586" s="30" t="s">
        <v>282</v>
      </c>
      <c r="O586" s="31" t="s">
        <v>105</v>
      </c>
      <c r="P586" s="31" t="s">
        <v>258</v>
      </c>
      <c r="Q586" s="17" t="e">
        <f t="shared" si="18"/>
        <v>#VALUE!</v>
      </c>
      <c r="R586" s="32" t="e">
        <f t="array" ref="R586">IF(OR(AND(COUNTBLANK(Combo_Opponent_Type_1)=1,COUNTBLANK(Combo_Opponent_Type_2)=0),AND(AND(COUNTBLANK(Combo_Opponent_Type_1)=0,COUNTBLANK(Combo_Opponent_Type_2)=0),Combo_Opponent_Type_1=Combo_Opponent_Type_2)),
"Check Types",($S586*INDEX(Species_Tankiness,MATCH($N586,Species_Names,0)))/225)</f>
        <v>#VALUE!</v>
      </c>
      <c r="S586" s="32" t="e">
        <f t="array" ref="S586">IF(OR(AND(COUNTBLANK(Combo_Opponent_Type_1)=1,COUNTBLANK(Combo_Opponent_Type_2)=0),AND(AND(COUNTBLANK(Combo_Opponent_Type_1)=0,COUNTBLANK(Combo_Opponent_Type_2)=0),Combo_Opponent_Type_1=Combo_Opponent_Type_2)),
"Check Types",(
IF($W586&gt;=((1-Game_Weave_Human_Error)*$X586),$W586,$X586)*INDEX(Species_Attack,MATCH($N586,Species_Names,0)))/11)</f>
        <v>#VALUE!</v>
      </c>
      <c r="T586" s="33" t="e">
        <f t="shared" si="19"/>
        <v>#VALUE!</v>
      </c>
      <c r="U586" s="33">
        <f t="array" ref="U5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586,Quick_Names,0))),Type_Species)),0),1)*IF(COUNTBLANK(Combo_Opponent_Type_2)=0,INDEX(Type_Damage_Multipliers,MATCH(Combo_Opponent_Type_2,IF(Type_Move=(INDEX(Quick_Type,MATCH($O586,Quick_Names,0))),Type_Species)),0),1)*(IF(OR(INDEX(Quick_Type,MATCH($O586,Quick_Names,0))=INDEX(Species_Type_1,MATCH($N586,Species_Names,0)),INDEX(Quick_Type,MATCH($O586,Quick_Names,0))=INDEX(Species_Type_2,MATCH($N586,Species_Names,0))),Game_STAB_Multiplier,1)))</f>
        <v>1.25</v>
      </c>
      <c r="V586" s="33">
        <f t="array" ref="V5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586,Charge_Names,0))),Type_Species)),0),1)*IF(COUNTBLANK(Combo_Opponent_Type_2)=0,INDEX(Type_Damage_Multipliers,MATCH(Combo_Opponent_Type_2,IF(Type_Move=(INDEX(Charge_Type,MATCH($P586,Charge_Names,0))),Type_Species)),0),1)*
IF(OR(INDEX(Charge_Type,MATCH($P586,Charge_Names,0))=INDEX(Species_Type_1,MATCH($N586,Species_Names,0)),INDEX(Charge_Type,MATCH($P586,Charge_Names,0))=INDEX(Species_Type_2,MATCH($N586,Species_Names,0))),Game_STAB_Multiplier,1))</f>
        <v>1</v>
      </c>
      <c r="W586" s="33" t="s">
        <v>622</v>
      </c>
      <c r="X586" s="33" t="s">
        <v>1016</v>
      </c>
      <c r="Y586" s="32" t="e">
        <f t="array" ref="Y586">((($Z586)*
INDEX(Species_Attack,MATCH($N586,Species_Names,0))*
INDEX(Species_Tankiness,MATCH($N586,Species_Names,0)))/1000)</f>
        <v>#VALUE!</v>
      </c>
      <c r="Z586" s="33" t="s">
        <v>705</v>
      </c>
    </row>
    <row r="587" spans="1:26" ht="14.25" customHeight="1" x14ac:dyDescent="0.2">
      <c r="A587" s="86"/>
      <c r="B587" s="22" t="str">
        <f t="array" ref="B587">CONCATENATE(TEXT($M587,"000"),".",TEXT(INDEX(Quick_Number,MATCH($O587,Quick_Names,0)),"000"),".",TEXT(INDEX(Charge_Number,MATCH($P587,Charge_Names,0)),"000"))</f>
        <v>043.215.059</v>
      </c>
      <c r="C587" s="23" t="e">
        <f t="array" ref="C587">RANK($S587,IF(Combo_Species_Names=$N587,Combo_Gym_Offense),0)</f>
        <v>#VALUE!</v>
      </c>
      <c r="D587" s="24" t="e">
        <f t="array" ref="D587">$S587/MAX(IF(Combo_Species_Names=$N587,Combo_Gym_Offense))</f>
        <v>#VALUE!</v>
      </c>
      <c r="E587" s="23" t="e">
        <f t="array" ref="E587">RANK($Y587,IF(Combo_Species_Names=$N587,Combo_Gym_Defense),0)</f>
        <v>#VALUE!</v>
      </c>
      <c r="F587" s="25" t="e">
        <f t="array" ref="F587">$Y587/MAX(IF(Combo_Species_Names=$N587,Combo_Gym_Defense))</f>
        <v>#VALUE!</v>
      </c>
      <c r="G587" s="23" t="str">
        <f t="array" ref="G587">IF(OR(INDEX(Species_Availability,MATCH($N587,Species_Names,0))="No",INDEX(Species_Evo_Numbers,MATCH($N587,Species_Names,0))&lt;&gt;1),"N/A",RANK($R587,IF(NOT(ISNA(MATCH(Combo_Species_Names,IF(Species_Availability="Yes",IF(Species_Evo_Numbers=1,Species_Names)),0))),Combo_Duel_Ability),0))</f>
        <v>N/A</v>
      </c>
      <c r="H587" s="24" t="str">
        <f t="array" ref="H587">IF(OR(INDEX(Species_Availability,MATCH($N587,Species_Names,0))="No",INDEX(Species_Evo_Numbers,MATCH($N587,Species_Names,0))&lt;&gt;1),"N/A",$R587/MAX(IF(NOT(ISNA(MATCH(Combo_Species_Names,IF(Species_Availability="Yes",IF(Species_Evo_Numbers=1,Species_Names)),0))),Combo_Duel_Ability)))</f>
        <v>N/A</v>
      </c>
      <c r="I587" s="23" t="str">
        <f t="array" ref="I587">IF(OR(INDEX(Species_Availability,MATCH($N587,Species_Names,0))="No",INDEX(Species_Evo_Numbers,MATCH($N587,Species_Names,0))&lt;&gt;1),"N/A",RANK($S587,IF(NOT(ISNA(MATCH(Combo_Species_Names,IF(Species_Availability="Yes",IF(Species_Evo_Numbers=1,Species_Names)),0))),Combo_Gym_Offense),0))</f>
        <v>N/A</v>
      </c>
      <c r="J587" s="24" t="str">
        <f t="array" ref="J587">IF(OR(INDEX(Species_Availability,MATCH($N587,Species_Names,0))="No",INDEX(Species_Evo_Numbers,MATCH($N587,Species_Names,0))&lt;&gt;1),"N/A",$S587/MAX(IF(NOT(ISNA(MATCH(Combo_Species_Names,IF(Species_Availability="Yes",IF(Species_Evo_Numbers=1,Species_Names)),0))),Combo_Gym_Offense)))</f>
        <v>N/A</v>
      </c>
      <c r="K587" s="23" t="str">
        <f t="array" ref="K587">IF(OR(INDEX(Species_Availability,MATCH($N587,Species_Names,0))="No",INDEX(Species_Evo_Numbers,MATCH($N587,Species_Names,0))&lt;&gt;1),"N/A",RANK($Y587,IF(NOT(ISNA(MATCH(Combo_Species_Names,IF(Species_Availability="Yes",IF(Species_Evo_Numbers=1,Species_Names)),0))),Combo_Gym_Defense),0))</f>
        <v>N/A</v>
      </c>
      <c r="L587" s="24" t="str">
        <f t="array" ref="L587">IF(OR(INDEX(Species_Availability,MATCH($N587,Species_Names,0))="No",INDEX(Species_Evo_Numbers,MATCH($N587,Species_Names,0))&lt;&gt;1),"N/A",$Y587/MAX(IF(NOT(ISNA(MATCH(Combo_Species_Names,IF(Species_Availability="Yes",IF(Species_Evo_Numbers=1,Species_Names)),0))),Combo_Gym_Defense)))</f>
        <v>N/A</v>
      </c>
      <c r="M587" s="28">
        <f t="array" ref="M587">INDEX(Species_Pdex_Numbers,MATCH($N587,Species_Names,0))</f>
        <v>43</v>
      </c>
      <c r="N587" s="30" t="s">
        <v>177</v>
      </c>
      <c r="O587" s="31" t="s">
        <v>102</v>
      </c>
      <c r="P587" s="31" t="s">
        <v>213</v>
      </c>
      <c r="Q587" s="17" t="e">
        <f t="shared" si="18"/>
        <v>#VALUE!</v>
      </c>
      <c r="R587" s="32" t="e">
        <f t="array" ref="R587">IF(OR(AND(COUNTBLANK(Combo_Opponent_Type_1)=1,COUNTBLANK(Combo_Opponent_Type_2)=0),AND(AND(COUNTBLANK(Combo_Opponent_Type_1)=0,COUNTBLANK(Combo_Opponent_Type_2)=0),Combo_Opponent_Type_1=Combo_Opponent_Type_2)),
"Check Types",($S587*INDEX(Species_Tankiness,MATCH($N587,Species_Names,0)))/225)</f>
        <v>#VALUE!</v>
      </c>
      <c r="S587" s="32" t="e">
        <f t="array" ref="S587">IF(OR(AND(COUNTBLANK(Combo_Opponent_Type_1)=1,COUNTBLANK(Combo_Opponent_Type_2)=0),AND(AND(COUNTBLANK(Combo_Opponent_Type_1)=0,COUNTBLANK(Combo_Opponent_Type_2)=0),Combo_Opponent_Type_1=Combo_Opponent_Type_2)),
"Check Types",(
IF($W587&gt;=((1-Game_Weave_Human_Error)*$X587),$W587,$X587)*INDEX(Species_Attack,MATCH($N587,Species_Names,0)))/11)</f>
        <v>#VALUE!</v>
      </c>
      <c r="T587" s="33" t="e">
        <f t="shared" si="19"/>
        <v>#VALUE!</v>
      </c>
      <c r="U587" s="33">
        <f t="array" ref="U5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587,Quick_Names,0))),Type_Species)),0),1)*IF(COUNTBLANK(Combo_Opponent_Type_2)=0,INDEX(Type_Damage_Multipliers,MATCH(Combo_Opponent_Type_2,IF(Type_Move=(INDEX(Quick_Type,MATCH($O587,Quick_Names,0))),Type_Species)),0),1)*(IF(OR(INDEX(Quick_Type,MATCH($O587,Quick_Names,0))=INDEX(Species_Type_1,MATCH($N587,Species_Names,0)),INDEX(Quick_Type,MATCH($O587,Quick_Names,0))=INDEX(Species_Type_2,MATCH($N587,Species_Names,0))),Game_STAB_Multiplier,1)))</f>
        <v>1.25</v>
      </c>
      <c r="V587" s="33">
        <f t="array" ref="V5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587,Charge_Names,0))),Type_Species)),0),1)*IF(COUNTBLANK(Combo_Opponent_Type_2)=0,INDEX(Type_Damage_Multipliers,MATCH(Combo_Opponent_Type_2,IF(Type_Move=(INDEX(Charge_Type,MATCH($P587,Charge_Names,0))),Type_Species)),0),1)*
IF(OR(INDEX(Charge_Type,MATCH($P587,Charge_Names,0))=INDEX(Species_Type_1,MATCH($N587,Species_Names,0)),INDEX(Charge_Type,MATCH($P587,Charge_Names,0))=INDEX(Species_Type_2,MATCH($N587,Species_Names,0))),Game_STAB_Multiplier,1))</f>
        <v>1.25</v>
      </c>
      <c r="W587" s="33" t="s">
        <v>501</v>
      </c>
      <c r="X587" s="33" t="s">
        <v>955</v>
      </c>
      <c r="Y587" s="32" t="e">
        <f t="array" ref="Y587">((($Z587)*
INDEX(Species_Attack,MATCH($N587,Species_Names,0))*
INDEX(Species_Tankiness,MATCH($N587,Species_Names,0)))/1000)</f>
        <v>#VALUE!</v>
      </c>
      <c r="Z587" s="33" t="s">
        <v>517</v>
      </c>
    </row>
    <row r="588" spans="1:26" ht="14.25" customHeight="1" x14ac:dyDescent="0.2">
      <c r="A588" s="86"/>
      <c r="B588" s="22" t="str">
        <f t="array" ref="B588">CONCATENATE(TEXT($M588,"000"),".",TEXT(INDEX(Quick_Number,MATCH($O588,Quick_Names,0)),"000"),".",TEXT(INDEX(Charge_Number,MATCH($P588,Charge_Names,0)),"000"))</f>
        <v>058.202.021</v>
      </c>
      <c r="C588" s="23" t="e">
        <f t="array" ref="C588">RANK($S588,IF(Combo_Species_Names=$N588,Combo_Gym_Offense),0)</f>
        <v>#VALUE!</v>
      </c>
      <c r="D588" s="24" t="e">
        <f t="array" ref="D588">$S588/MAX(IF(Combo_Species_Names=$N588,Combo_Gym_Offense))</f>
        <v>#VALUE!</v>
      </c>
      <c r="E588" s="23" t="e">
        <f t="array" ref="E588">RANK($Y588,IF(Combo_Species_Names=$N588,Combo_Gym_Defense),0)</f>
        <v>#VALUE!</v>
      </c>
      <c r="F588" s="25" t="e">
        <f t="array" ref="F588">$Y588/MAX(IF(Combo_Species_Names=$N588,Combo_Gym_Defense))</f>
        <v>#VALUE!</v>
      </c>
      <c r="G588" s="23" t="str">
        <f t="array" ref="G588">IF(OR(INDEX(Species_Availability,MATCH($N588,Species_Names,0))="No",INDEX(Species_Evo_Numbers,MATCH($N588,Species_Names,0))&lt;&gt;1),"N/A",RANK($R588,IF(NOT(ISNA(MATCH(Combo_Species_Names,IF(Species_Availability="Yes",IF(Species_Evo_Numbers=1,Species_Names)),0))),Combo_Duel_Ability),0))</f>
        <v>N/A</v>
      </c>
      <c r="H588" s="24" t="str">
        <f t="array" ref="H588">IF(OR(INDEX(Species_Availability,MATCH($N588,Species_Names,0))="No",INDEX(Species_Evo_Numbers,MATCH($N588,Species_Names,0))&lt;&gt;1),"N/A",$R588/MAX(IF(NOT(ISNA(MATCH(Combo_Species_Names,IF(Species_Availability="Yes",IF(Species_Evo_Numbers=1,Species_Names)),0))),Combo_Duel_Ability)))</f>
        <v>N/A</v>
      </c>
      <c r="I588" s="23" t="str">
        <f t="array" ref="I588">IF(OR(INDEX(Species_Availability,MATCH($N588,Species_Names,0))="No",INDEX(Species_Evo_Numbers,MATCH($N588,Species_Names,0))&lt;&gt;1),"N/A",RANK($S588,IF(NOT(ISNA(MATCH(Combo_Species_Names,IF(Species_Availability="Yes",IF(Species_Evo_Numbers=1,Species_Names)),0))),Combo_Gym_Offense),0))</f>
        <v>N/A</v>
      </c>
      <c r="J588" s="24" t="str">
        <f t="array" ref="J588">IF(OR(INDEX(Species_Availability,MATCH($N588,Species_Names,0))="No",INDEX(Species_Evo_Numbers,MATCH($N588,Species_Names,0))&lt;&gt;1),"N/A",$S588/MAX(IF(NOT(ISNA(MATCH(Combo_Species_Names,IF(Species_Availability="Yes",IF(Species_Evo_Numbers=1,Species_Names)),0))),Combo_Gym_Offense)))</f>
        <v>N/A</v>
      </c>
      <c r="K588" s="23" t="str">
        <f t="array" ref="K588">IF(OR(INDEX(Species_Availability,MATCH($N588,Species_Names,0))="No",INDEX(Species_Evo_Numbers,MATCH($N588,Species_Names,0))&lt;&gt;1),"N/A",RANK($Y588,IF(NOT(ISNA(MATCH(Combo_Species_Names,IF(Species_Availability="Yes",IF(Species_Evo_Numbers=1,Species_Names)),0))),Combo_Gym_Defense),0))</f>
        <v>N/A</v>
      </c>
      <c r="L588" s="24" t="str">
        <f t="array" ref="L588">IF(OR(INDEX(Species_Availability,MATCH($N588,Species_Names,0))="No",INDEX(Species_Evo_Numbers,MATCH($N588,Species_Names,0))&lt;&gt;1),"N/A",$Y588/MAX(IF(NOT(ISNA(MATCH(Combo_Species_Names,IF(Species_Availability="Yes",IF(Species_Evo_Numbers=1,Species_Names)),0))),Combo_Gym_Defense)))</f>
        <v>N/A</v>
      </c>
      <c r="M588" s="28">
        <f t="array" ref="M588">INDEX(Species_Pdex_Numbers,MATCH($N588,Species_Names,0))</f>
        <v>58</v>
      </c>
      <c r="N588" s="30" t="s">
        <v>205</v>
      </c>
      <c r="O588" s="31" t="s">
        <v>59</v>
      </c>
      <c r="P588" s="31" t="s">
        <v>306</v>
      </c>
      <c r="Q588" s="17" t="e">
        <f t="shared" si="18"/>
        <v>#VALUE!</v>
      </c>
      <c r="R588" s="32" t="e">
        <f t="array" ref="R588">IF(OR(AND(COUNTBLANK(Combo_Opponent_Type_1)=1,COUNTBLANK(Combo_Opponent_Type_2)=0),AND(AND(COUNTBLANK(Combo_Opponent_Type_1)=0,COUNTBLANK(Combo_Opponent_Type_2)=0),Combo_Opponent_Type_1=Combo_Opponent_Type_2)),
"Check Types",($S588*INDEX(Species_Tankiness,MATCH($N588,Species_Names,0)))/225)</f>
        <v>#VALUE!</v>
      </c>
      <c r="S588" s="32" t="e">
        <f t="array" ref="S588">IF(OR(AND(COUNTBLANK(Combo_Opponent_Type_1)=1,COUNTBLANK(Combo_Opponent_Type_2)=0),AND(AND(COUNTBLANK(Combo_Opponent_Type_1)=0,COUNTBLANK(Combo_Opponent_Type_2)=0),Combo_Opponent_Type_1=Combo_Opponent_Type_2)),
"Check Types",(
IF($W588&gt;=((1-Game_Weave_Human_Error)*$X588),$W588,$X588)*INDEX(Species_Attack,MATCH($N588,Species_Names,0)))/11)</f>
        <v>#VALUE!</v>
      </c>
      <c r="T588" s="33" t="e">
        <f t="shared" si="19"/>
        <v>#VALUE!</v>
      </c>
      <c r="U588" s="33">
        <f t="array" ref="U5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588,Quick_Names,0))),Type_Species)),0),1)*IF(COUNTBLANK(Combo_Opponent_Type_2)=0,INDEX(Type_Damage_Multipliers,MATCH(Combo_Opponent_Type_2,IF(Type_Move=(INDEX(Quick_Type,MATCH($O588,Quick_Names,0))),Type_Species)),0),1)*(IF(OR(INDEX(Quick_Type,MATCH($O588,Quick_Names,0))=INDEX(Species_Type_1,MATCH($N588,Species_Names,0)),INDEX(Quick_Type,MATCH($O588,Quick_Names,0))=INDEX(Species_Type_2,MATCH($N588,Species_Names,0))),Game_STAB_Multiplier,1)))</f>
        <v>1</v>
      </c>
      <c r="V588" s="33">
        <f t="array" ref="V5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588,Charge_Names,0))),Type_Species)),0),1)*IF(COUNTBLANK(Combo_Opponent_Type_2)=0,INDEX(Type_Damage_Multipliers,MATCH(Combo_Opponent_Type_2,IF(Type_Move=(INDEX(Charge_Type,MATCH($P588,Charge_Names,0))),Type_Species)),0),1)*
IF(OR(INDEX(Charge_Type,MATCH($P588,Charge_Names,0))=INDEX(Species_Type_1,MATCH($N588,Species_Names,0)),INDEX(Charge_Type,MATCH($P588,Charge_Names,0))=INDEX(Species_Type_2,MATCH($N588,Species_Names,0))),Game_STAB_Multiplier,1))</f>
        <v>1.25</v>
      </c>
      <c r="W588" s="33" t="s">
        <v>453</v>
      </c>
      <c r="X588" s="33" t="s">
        <v>1012</v>
      </c>
      <c r="Y588" s="32" t="e">
        <f t="array" ref="Y588">((($Z588)*
INDEX(Species_Attack,MATCH($N588,Species_Names,0))*
INDEX(Species_Tankiness,MATCH($N588,Species_Names,0)))/1000)</f>
        <v>#VALUE!</v>
      </c>
      <c r="Z588" s="33" t="s">
        <v>777</v>
      </c>
    </row>
    <row r="589" spans="1:26" ht="14.25" customHeight="1" x14ac:dyDescent="0.2">
      <c r="A589" s="86"/>
      <c r="B589" s="22" t="str">
        <f t="array" ref="B589">CONCATENATE(TEXT($M589,"000"),".",TEXT(INDEX(Quick_Number,MATCH($O589,Quick_Names,0)),"000"),".",TEXT(INDEX(Charge_Number,MATCH($P589,Charge_Names,0)),"000"))</f>
        <v>096.222.030</v>
      </c>
      <c r="C589" s="23" t="e">
        <f t="array" ref="C589">RANK($S589,IF(Combo_Species_Names=$N589,Combo_Gym_Offense),0)</f>
        <v>#VALUE!</v>
      </c>
      <c r="D589" s="24" t="e">
        <f t="array" ref="D589">$S589/MAX(IF(Combo_Species_Names=$N589,Combo_Gym_Offense))</f>
        <v>#VALUE!</v>
      </c>
      <c r="E589" s="23" t="e">
        <f t="array" ref="E589">RANK($Y589,IF(Combo_Species_Names=$N589,Combo_Gym_Defense),0)</f>
        <v>#VALUE!</v>
      </c>
      <c r="F589" s="25" t="e">
        <f t="array" ref="F589">$Y589/MAX(IF(Combo_Species_Names=$N589,Combo_Gym_Defense))</f>
        <v>#VALUE!</v>
      </c>
      <c r="G589" s="23" t="str">
        <f t="array" ref="G589">IF(OR(INDEX(Species_Availability,MATCH($N589,Species_Names,0))="No",INDEX(Species_Evo_Numbers,MATCH($N589,Species_Names,0))&lt;&gt;1),"N/A",RANK($R589,IF(NOT(ISNA(MATCH(Combo_Species_Names,IF(Species_Availability="Yes",IF(Species_Evo_Numbers=1,Species_Names)),0))),Combo_Duel_Ability),0))</f>
        <v>N/A</v>
      </c>
      <c r="H589" s="24" t="str">
        <f t="array" ref="H589">IF(OR(INDEX(Species_Availability,MATCH($N589,Species_Names,0))="No",INDEX(Species_Evo_Numbers,MATCH($N589,Species_Names,0))&lt;&gt;1),"N/A",$R589/MAX(IF(NOT(ISNA(MATCH(Combo_Species_Names,IF(Species_Availability="Yes",IF(Species_Evo_Numbers=1,Species_Names)),0))),Combo_Duel_Ability)))</f>
        <v>N/A</v>
      </c>
      <c r="I589" s="23" t="str">
        <f t="array" ref="I589">IF(OR(INDEX(Species_Availability,MATCH($N589,Species_Names,0))="No",INDEX(Species_Evo_Numbers,MATCH($N589,Species_Names,0))&lt;&gt;1),"N/A",RANK($S589,IF(NOT(ISNA(MATCH(Combo_Species_Names,IF(Species_Availability="Yes",IF(Species_Evo_Numbers=1,Species_Names)),0))),Combo_Gym_Offense),0))</f>
        <v>N/A</v>
      </c>
      <c r="J589" s="24" t="str">
        <f t="array" ref="J589">IF(OR(INDEX(Species_Availability,MATCH($N589,Species_Names,0))="No",INDEX(Species_Evo_Numbers,MATCH($N589,Species_Names,0))&lt;&gt;1),"N/A",$S589/MAX(IF(NOT(ISNA(MATCH(Combo_Species_Names,IF(Species_Availability="Yes",IF(Species_Evo_Numbers=1,Species_Names)),0))),Combo_Gym_Offense)))</f>
        <v>N/A</v>
      </c>
      <c r="K589" s="23" t="str">
        <f t="array" ref="K589">IF(OR(INDEX(Species_Availability,MATCH($N589,Species_Names,0))="No",INDEX(Species_Evo_Numbers,MATCH($N589,Species_Names,0))&lt;&gt;1),"N/A",RANK($Y589,IF(NOT(ISNA(MATCH(Combo_Species_Names,IF(Species_Availability="Yes",IF(Species_Evo_Numbers=1,Species_Names)),0))),Combo_Gym_Defense),0))</f>
        <v>N/A</v>
      </c>
      <c r="L589" s="24" t="str">
        <f t="array" ref="L589">IF(OR(INDEX(Species_Availability,MATCH($N589,Species_Names,0))="No",INDEX(Species_Evo_Numbers,MATCH($N589,Species_Names,0))&lt;&gt;1),"N/A",$Y589/MAX(IF(NOT(ISNA(MATCH(Combo_Species_Names,IF(Species_Availability="Yes",IF(Species_Evo_Numbers=1,Species_Names)),0))),Combo_Gym_Defense)))</f>
        <v>N/A</v>
      </c>
      <c r="M589" s="28">
        <f t="array" ref="M589">INDEX(Species_Pdex_Numbers,MATCH($N589,Species_Names,0))</f>
        <v>96</v>
      </c>
      <c r="N589" s="30" t="s">
        <v>290</v>
      </c>
      <c r="O589" s="31" t="s">
        <v>32</v>
      </c>
      <c r="P589" s="31" t="s">
        <v>283</v>
      </c>
      <c r="Q589" s="17" t="e">
        <f t="shared" si="18"/>
        <v>#VALUE!</v>
      </c>
      <c r="R589" s="32" t="e">
        <f t="array" ref="R589">IF(OR(AND(COUNTBLANK(Combo_Opponent_Type_1)=1,COUNTBLANK(Combo_Opponent_Type_2)=0),AND(AND(COUNTBLANK(Combo_Opponent_Type_1)=0,COUNTBLANK(Combo_Opponent_Type_2)=0),Combo_Opponent_Type_1=Combo_Opponent_Type_2)),
"Check Types",($S589*INDEX(Species_Tankiness,MATCH($N589,Species_Names,0)))/225)</f>
        <v>#VALUE!</v>
      </c>
      <c r="S589" s="32" t="e">
        <f t="array" ref="S589">IF(OR(AND(COUNTBLANK(Combo_Opponent_Type_1)=1,COUNTBLANK(Combo_Opponent_Type_2)=0),AND(AND(COUNTBLANK(Combo_Opponent_Type_1)=0,COUNTBLANK(Combo_Opponent_Type_2)=0),Combo_Opponent_Type_1=Combo_Opponent_Type_2)),
"Check Types",(
IF($W589&gt;=((1-Game_Weave_Human_Error)*$X589),$W589,$X589)*INDEX(Species_Attack,MATCH($N589,Species_Names,0)))/11)</f>
        <v>#VALUE!</v>
      </c>
      <c r="T589" s="33" t="e">
        <f t="shared" si="19"/>
        <v>#VALUE!</v>
      </c>
      <c r="U589" s="33">
        <f t="array" ref="U5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589,Quick_Names,0))),Type_Species)),0),1)*IF(COUNTBLANK(Combo_Opponent_Type_2)=0,INDEX(Type_Damage_Multipliers,MATCH(Combo_Opponent_Type_2,IF(Type_Move=(INDEX(Quick_Type,MATCH($O589,Quick_Names,0))),Type_Species)),0),1)*(IF(OR(INDEX(Quick_Type,MATCH($O589,Quick_Names,0))=INDEX(Species_Type_1,MATCH($N589,Species_Names,0)),INDEX(Quick_Type,MATCH($O589,Quick_Names,0))=INDEX(Species_Type_2,MATCH($N589,Species_Names,0))),Game_STAB_Multiplier,1)))</f>
        <v>1</v>
      </c>
      <c r="V589" s="33">
        <f t="array" ref="V5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589,Charge_Names,0))),Type_Species)),0),1)*IF(COUNTBLANK(Combo_Opponent_Type_2)=0,INDEX(Type_Damage_Multipliers,MATCH(Combo_Opponent_Type_2,IF(Type_Move=(INDEX(Charge_Type,MATCH($P589,Charge_Names,0))),Type_Species)),0),1)*
IF(OR(INDEX(Charge_Type,MATCH($P589,Charge_Names,0))=INDEX(Species_Type_1,MATCH($N589,Species_Names,0)),INDEX(Charge_Type,MATCH($P589,Charge_Names,0))=INDEX(Species_Type_2,MATCH($N589,Species_Names,0))),Game_STAB_Multiplier,1))</f>
        <v>1.25</v>
      </c>
      <c r="W589" s="33" t="s">
        <v>536</v>
      </c>
      <c r="X589" s="33" t="s">
        <v>688</v>
      </c>
      <c r="Y589" s="32" t="e">
        <f t="array" ref="Y589">((($Z589)*
INDEX(Species_Attack,MATCH($N589,Species_Names,0))*
INDEX(Species_Tankiness,MATCH($N589,Species_Names,0)))/1000)</f>
        <v>#VALUE!</v>
      </c>
      <c r="Z589" s="33" t="s">
        <v>964</v>
      </c>
    </row>
    <row r="590" spans="1:26" ht="14.25" customHeight="1" x14ac:dyDescent="0.2">
      <c r="A590" s="86"/>
      <c r="B590" s="22" t="str">
        <f t="array" ref="B590">CONCATENATE(TEXT($M590,"000"),".",TEXT(INDEX(Quick_Number,MATCH($O590,Quick_Names,0)),"000"),".",TEXT(INDEX(Charge_Number,MATCH($P590,Charge_Names,0)),"000"))</f>
        <v>066.207.123</v>
      </c>
      <c r="C590" s="23" t="e">
        <f t="array" ref="C590">RANK($S590,IF(Combo_Species_Names=$N590,Combo_Gym_Offense),0)</f>
        <v>#VALUE!</v>
      </c>
      <c r="D590" s="24" t="e">
        <f t="array" ref="D590">$S590/MAX(IF(Combo_Species_Names=$N590,Combo_Gym_Offense))</f>
        <v>#VALUE!</v>
      </c>
      <c r="E590" s="23" t="e">
        <f t="array" ref="E590">RANK($Y590,IF(Combo_Species_Names=$N590,Combo_Gym_Defense),0)</f>
        <v>#VALUE!</v>
      </c>
      <c r="F590" s="25" t="e">
        <f t="array" ref="F590">$Y590/MAX(IF(Combo_Species_Names=$N590,Combo_Gym_Defense))</f>
        <v>#VALUE!</v>
      </c>
      <c r="G590" s="23" t="str">
        <f t="array" ref="G590">IF(OR(INDEX(Species_Availability,MATCH($N590,Species_Names,0))="No",INDEX(Species_Evo_Numbers,MATCH($N590,Species_Names,0))&lt;&gt;1),"N/A",RANK($R590,IF(NOT(ISNA(MATCH(Combo_Species_Names,IF(Species_Availability="Yes",IF(Species_Evo_Numbers=1,Species_Names)),0))),Combo_Duel_Ability),0))</f>
        <v>N/A</v>
      </c>
      <c r="H590" s="24" t="str">
        <f t="array" ref="H590">IF(OR(INDEX(Species_Availability,MATCH($N590,Species_Names,0))="No",INDEX(Species_Evo_Numbers,MATCH($N590,Species_Names,0))&lt;&gt;1),"N/A",$R590/MAX(IF(NOT(ISNA(MATCH(Combo_Species_Names,IF(Species_Availability="Yes",IF(Species_Evo_Numbers=1,Species_Names)),0))),Combo_Duel_Ability)))</f>
        <v>N/A</v>
      </c>
      <c r="I590" s="23" t="str">
        <f t="array" ref="I590">IF(OR(INDEX(Species_Availability,MATCH($N590,Species_Names,0))="No",INDEX(Species_Evo_Numbers,MATCH($N590,Species_Names,0))&lt;&gt;1),"N/A",RANK($S590,IF(NOT(ISNA(MATCH(Combo_Species_Names,IF(Species_Availability="Yes",IF(Species_Evo_Numbers=1,Species_Names)),0))),Combo_Gym_Offense),0))</f>
        <v>N/A</v>
      </c>
      <c r="J590" s="24" t="str">
        <f t="array" ref="J590">IF(OR(INDEX(Species_Availability,MATCH($N590,Species_Names,0))="No",INDEX(Species_Evo_Numbers,MATCH($N590,Species_Names,0))&lt;&gt;1),"N/A",$S590/MAX(IF(NOT(ISNA(MATCH(Combo_Species_Names,IF(Species_Availability="Yes",IF(Species_Evo_Numbers=1,Species_Names)),0))),Combo_Gym_Offense)))</f>
        <v>N/A</v>
      </c>
      <c r="K590" s="23" t="str">
        <f t="array" ref="K590">IF(OR(INDEX(Species_Availability,MATCH($N590,Species_Names,0))="No",INDEX(Species_Evo_Numbers,MATCH($N590,Species_Names,0))&lt;&gt;1),"N/A",RANK($Y590,IF(NOT(ISNA(MATCH(Combo_Species_Names,IF(Species_Availability="Yes",IF(Species_Evo_Numbers=1,Species_Names)),0))),Combo_Gym_Defense),0))</f>
        <v>N/A</v>
      </c>
      <c r="L590" s="24" t="str">
        <f t="array" ref="L590">IF(OR(INDEX(Species_Availability,MATCH($N590,Species_Names,0))="No",INDEX(Species_Evo_Numbers,MATCH($N590,Species_Names,0))&lt;&gt;1),"N/A",$Y590/MAX(IF(NOT(ISNA(MATCH(Combo_Species_Names,IF(Species_Availability="Yes",IF(Species_Evo_Numbers=1,Species_Names)),0))),Combo_Gym_Defense)))</f>
        <v>N/A</v>
      </c>
      <c r="M590" s="28">
        <f t="array" ref="M590">INDEX(Species_Pdex_Numbers,MATCH($N590,Species_Names,0))</f>
        <v>66</v>
      </c>
      <c r="N590" s="30" t="s">
        <v>223</v>
      </c>
      <c r="O590" s="31" t="s">
        <v>117</v>
      </c>
      <c r="P590" s="31" t="s">
        <v>188</v>
      </c>
      <c r="Q590" s="17" t="e">
        <f t="shared" si="18"/>
        <v>#VALUE!</v>
      </c>
      <c r="R590" s="32" t="e">
        <f t="array" ref="R590">IF(OR(AND(COUNTBLANK(Combo_Opponent_Type_1)=1,COUNTBLANK(Combo_Opponent_Type_2)=0),AND(AND(COUNTBLANK(Combo_Opponent_Type_1)=0,COUNTBLANK(Combo_Opponent_Type_2)=0),Combo_Opponent_Type_1=Combo_Opponent_Type_2)),
"Check Types",($S590*INDEX(Species_Tankiness,MATCH($N590,Species_Names,0)))/225)</f>
        <v>#VALUE!</v>
      </c>
      <c r="S590" s="32" t="e">
        <f t="array" ref="S590">IF(OR(AND(COUNTBLANK(Combo_Opponent_Type_1)=1,COUNTBLANK(Combo_Opponent_Type_2)=0),AND(AND(COUNTBLANK(Combo_Opponent_Type_1)=0,COUNTBLANK(Combo_Opponent_Type_2)=0),Combo_Opponent_Type_1=Combo_Opponent_Type_2)),
"Check Types",(
IF($W590&gt;=((1-Game_Weave_Human_Error)*$X590),$W590,$X590)*INDEX(Species_Attack,MATCH($N590,Species_Names,0)))/11)</f>
        <v>#VALUE!</v>
      </c>
      <c r="T590" s="33" t="e">
        <f t="shared" si="19"/>
        <v>#VALUE!</v>
      </c>
      <c r="U590" s="33">
        <f t="array" ref="U5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590,Quick_Names,0))),Type_Species)),0),1)*IF(COUNTBLANK(Combo_Opponent_Type_2)=0,INDEX(Type_Damage_Multipliers,MATCH(Combo_Opponent_Type_2,IF(Type_Move=(INDEX(Quick_Type,MATCH($O590,Quick_Names,0))),Type_Species)),0),1)*(IF(OR(INDEX(Quick_Type,MATCH($O590,Quick_Names,0))=INDEX(Species_Type_1,MATCH($N590,Species_Names,0)),INDEX(Quick_Type,MATCH($O590,Quick_Names,0))=INDEX(Species_Type_2,MATCH($N590,Species_Names,0))),Game_STAB_Multiplier,1)))</f>
        <v>1.25</v>
      </c>
      <c r="V590" s="33">
        <f t="array" ref="V5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590,Charge_Names,0))),Type_Species)),0),1)*IF(COUNTBLANK(Combo_Opponent_Type_2)=0,INDEX(Type_Damage_Multipliers,MATCH(Combo_Opponent_Type_2,IF(Type_Move=(INDEX(Charge_Type,MATCH($P590,Charge_Names,0))),Type_Species)),0),1)*
IF(OR(INDEX(Charge_Type,MATCH($P590,Charge_Names,0))=INDEX(Species_Type_1,MATCH($N590,Species_Names,0)),INDEX(Charge_Type,MATCH($P590,Charge_Names,0))=INDEX(Species_Type_2,MATCH($N590,Species_Names,0))),Game_STAB_Multiplier,1))</f>
        <v>1.25</v>
      </c>
      <c r="W590" s="33" t="s">
        <v>678</v>
      </c>
      <c r="X590" s="33" t="s">
        <v>632</v>
      </c>
      <c r="Y590" s="32" t="e">
        <f t="array" ref="Y590">((($Z590)*
INDEX(Species_Attack,MATCH($N590,Species_Names,0))*
INDEX(Species_Tankiness,MATCH($N590,Species_Names,0)))/1000)</f>
        <v>#VALUE!</v>
      </c>
      <c r="Z590" s="33" t="s">
        <v>946</v>
      </c>
    </row>
    <row r="591" spans="1:26" ht="14.25" customHeight="1" x14ac:dyDescent="0.2">
      <c r="A591" s="86"/>
      <c r="B591" s="22" t="str">
        <f t="array" ref="B591">CONCATENATE(TEXT($M591,"000"),".",TEXT(INDEX(Quick_Number,MATCH($O591,Quick_Names,0)),"000"),".",TEXT(INDEX(Charge_Number,MATCH($P591,Charge_Names,0)),"000"))</f>
        <v>111.241.127</v>
      </c>
      <c r="C591" s="23" t="e">
        <f t="array" ref="C591">RANK($S591,IF(Combo_Species_Names=$N591,Combo_Gym_Offense),0)</f>
        <v>#VALUE!</v>
      </c>
      <c r="D591" s="24" t="e">
        <f t="array" ref="D591">$S591/MAX(IF(Combo_Species_Names=$N591,Combo_Gym_Offense))</f>
        <v>#VALUE!</v>
      </c>
      <c r="E591" s="23" t="e">
        <f t="array" ref="E591">RANK($Y591,IF(Combo_Species_Names=$N591,Combo_Gym_Defense),0)</f>
        <v>#VALUE!</v>
      </c>
      <c r="F591" s="25" t="e">
        <f t="array" ref="F591">$Y591/MAX(IF(Combo_Species_Names=$N591,Combo_Gym_Defense))</f>
        <v>#VALUE!</v>
      </c>
      <c r="G591" s="23" t="str">
        <f t="array" ref="G591">IF(OR(INDEX(Species_Availability,MATCH($N591,Species_Names,0))="No",INDEX(Species_Evo_Numbers,MATCH($N591,Species_Names,0))&lt;&gt;1),"N/A",RANK($R591,IF(NOT(ISNA(MATCH(Combo_Species_Names,IF(Species_Availability="Yes",IF(Species_Evo_Numbers=1,Species_Names)),0))),Combo_Duel_Ability),0))</f>
        <v>N/A</v>
      </c>
      <c r="H591" s="24" t="str">
        <f t="array" ref="H591">IF(OR(INDEX(Species_Availability,MATCH($N591,Species_Names,0))="No",INDEX(Species_Evo_Numbers,MATCH($N591,Species_Names,0))&lt;&gt;1),"N/A",$R591/MAX(IF(NOT(ISNA(MATCH(Combo_Species_Names,IF(Species_Availability="Yes",IF(Species_Evo_Numbers=1,Species_Names)),0))),Combo_Duel_Ability)))</f>
        <v>N/A</v>
      </c>
      <c r="I591" s="23" t="str">
        <f t="array" ref="I591">IF(OR(INDEX(Species_Availability,MATCH($N591,Species_Names,0))="No",INDEX(Species_Evo_Numbers,MATCH($N591,Species_Names,0))&lt;&gt;1),"N/A",RANK($S591,IF(NOT(ISNA(MATCH(Combo_Species_Names,IF(Species_Availability="Yes",IF(Species_Evo_Numbers=1,Species_Names)),0))),Combo_Gym_Offense),0))</f>
        <v>N/A</v>
      </c>
      <c r="J591" s="24" t="str">
        <f t="array" ref="J591">IF(OR(INDEX(Species_Availability,MATCH($N591,Species_Names,0))="No",INDEX(Species_Evo_Numbers,MATCH($N591,Species_Names,0))&lt;&gt;1),"N/A",$S591/MAX(IF(NOT(ISNA(MATCH(Combo_Species_Names,IF(Species_Availability="Yes",IF(Species_Evo_Numbers=1,Species_Names)),0))),Combo_Gym_Offense)))</f>
        <v>N/A</v>
      </c>
      <c r="K591" s="23" t="str">
        <f t="array" ref="K591">IF(OR(INDEX(Species_Availability,MATCH($N591,Species_Names,0))="No",INDEX(Species_Evo_Numbers,MATCH($N591,Species_Names,0))&lt;&gt;1),"N/A",RANK($Y591,IF(NOT(ISNA(MATCH(Combo_Species_Names,IF(Species_Availability="Yes",IF(Species_Evo_Numbers=1,Species_Names)),0))),Combo_Gym_Defense),0))</f>
        <v>N/A</v>
      </c>
      <c r="L591" s="24" t="str">
        <f t="array" ref="L591">IF(OR(INDEX(Species_Availability,MATCH($N591,Species_Names,0))="No",INDEX(Species_Evo_Numbers,MATCH($N591,Species_Names,0))&lt;&gt;1),"N/A",$Y591/MAX(IF(NOT(ISNA(MATCH(Combo_Species_Names,IF(Species_Availability="Yes",IF(Species_Evo_Numbers=1,Species_Names)),0))),Combo_Gym_Defense)))</f>
        <v>N/A</v>
      </c>
      <c r="M591" s="28">
        <f t="array" ref="M591">INDEX(Species_Pdex_Numbers,MATCH($N591,Species_Names,0))</f>
        <v>111</v>
      </c>
      <c r="N591" s="30" t="s">
        <v>324</v>
      </c>
      <c r="O591" s="31" t="s">
        <v>97</v>
      </c>
      <c r="P591" s="31" t="s">
        <v>241</v>
      </c>
      <c r="Q591" s="17" t="e">
        <f t="shared" si="18"/>
        <v>#VALUE!</v>
      </c>
      <c r="R591" s="32" t="e">
        <f t="array" ref="R591">IF(OR(AND(COUNTBLANK(Combo_Opponent_Type_1)=1,COUNTBLANK(Combo_Opponent_Type_2)=0),AND(AND(COUNTBLANK(Combo_Opponent_Type_1)=0,COUNTBLANK(Combo_Opponent_Type_2)=0),Combo_Opponent_Type_1=Combo_Opponent_Type_2)),
"Check Types",($S591*INDEX(Species_Tankiness,MATCH($N591,Species_Names,0)))/225)</f>
        <v>#VALUE!</v>
      </c>
      <c r="S591" s="32" t="e">
        <f t="array" ref="S591">IF(OR(AND(COUNTBLANK(Combo_Opponent_Type_1)=1,COUNTBLANK(Combo_Opponent_Type_2)=0),AND(AND(COUNTBLANK(Combo_Opponent_Type_1)=0,COUNTBLANK(Combo_Opponent_Type_2)=0),Combo_Opponent_Type_1=Combo_Opponent_Type_2)),
"Check Types",(
IF($W591&gt;=((1-Game_Weave_Human_Error)*$X591),$W591,$X591)*INDEX(Species_Attack,MATCH($N591,Species_Names,0)))/11)</f>
        <v>#VALUE!</v>
      </c>
      <c r="T591" s="33" t="e">
        <f t="shared" si="19"/>
        <v>#VALUE!</v>
      </c>
      <c r="U591" s="33">
        <f t="array" ref="U5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591,Quick_Names,0))),Type_Species)),0),1)*IF(COUNTBLANK(Combo_Opponent_Type_2)=0,INDEX(Type_Damage_Multipliers,MATCH(Combo_Opponent_Type_2,IF(Type_Move=(INDEX(Quick_Type,MATCH($O591,Quick_Names,0))),Type_Species)),0),1)*(IF(OR(INDEX(Quick_Type,MATCH($O591,Quick_Names,0))=INDEX(Species_Type_1,MATCH($N591,Species_Names,0)),INDEX(Quick_Type,MATCH($O591,Quick_Names,0))=INDEX(Species_Type_2,MATCH($N591,Species_Names,0))),Game_STAB_Multiplier,1)))</f>
        <v>1</v>
      </c>
      <c r="V591" s="33">
        <f t="array" ref="V5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591,Charge_Names,0))),Type_Species)),0),1)*IF(COUNTBLANK(Combo_Opponent_Type_2)=0,INDEX(Type_Damage_Multipliers,MATCH(Combo_Opponent_Type_2,IF(Type_Move=(INDEX(Charge_Type,MATCH($P591,Charge_Names,0))),Type_Species)),0),1)*
IF(OR(INDEX(Charge_Type,MATCH($P591,Charge_Names,0))=INDEX(Species_Type_1,MATCH($N591,Species_Names,0)),INDEX(Charge_Type,MATCH($P591,Charge_Names,0))=INDEX(Species_Type_2,MATCH($N591,Species_Names,0))),Game_STAB_Multiplier,1))</f>
        <v>1</v>
      </c>
      <c r="W591" s="33" t="s">
        <v>577</v>
      </c>
      <c r="X591" s="33" t="s">
        <v>766</v>
      </c>
      <c r="Y591" s="32" t="e">
        <f t="array" ref="Y591">((($Z591)*
INDEX(Species_Attack,MATCH($N591,Species_Names,0))*
INDEX(Species_Tankiness,MATCH($N591,Species_Names,0)))/1000)</f>
        <v>#VALUE!</v>
      </c>
      <c r="Z591" s="33" t="s">
        <v>788</v>
      </c>
    </row>
    <row r="592" spans="1:26" ht="14.25" customHeight="1" x14ac:dyDescent="0.2">
      <c r="A592" s="86"/>
      <c r="B592" s="22" t="str">
        <f t="array" ref="B592">CONCATENATE(TEXT($M592,"000"),".",TEXT(INDEX(Quick_Number,MATCH($O592,Quick_Names,0)),"000"),".",TEXT(INDEX(Charge_Number,MATCH($P592,Charge_Names,0)),"000"))</f>
        <v>058.209.021</v>
      </c>
      <c r="C592" s="23" t="e">
        <f t="array" ref="C592">RANK($S592,IF(Combo_Species_Names=$N592,Combo_Gym_Offense),0)</f>
        <v>#VALUE!</v>
      </c>
      <c r="D592" s="24" t="e">
        <f t="array" ref="D592">$S592/MAX(IF(Combo_Species_Names=$N592,Combo_Gym_Offense))</f>
        <v>#VALUE!</v>
      </c>
      <c r="E592" s="23" t="e">
        <f t="array" ref="E592">RANK($Y592,IF(Combo_Species_Names=$N592,Combo_Gym_Defense),0)</f>
        <v>#VALUE!</v>
      </c>
      <c r="F592" s="25" t="e">
        <f t="array" ref="F592">$Y592/MAX(IF(Combo_Species_Names=$N592,Combo_Gym_Defense))</f>
        <v>#VALUE!</v>
      </c>
      <c r="G592" s="23" t="str">
        <f t="array" ref="G592">IF(OR(INDEX(Species_Availability,MATCH($N592,Species_Names,0))="No",INDEX(Species_Evo_Numbers,MATCH($N592,Species_Names,0))&lt;&gt;1),"N/A",RANK($R592,IF(NOT(ISNA(MATCH(Combo_Species_Names,IF(Species_Availability="Yes",IF(Species_Evo_Numbers=1,Species_Names)),0))),Combo_Duel_Ability),0))</f>
        <v>N/A</v>
      </c>
      <c r="H592" s="24" t="str">
        <f t="array" ref="H592">IF(OR(INDEX(Species_Availability,MATCH($N592,Species_Names,0))="No",INDEX(Species_Evo_Numbers,MATCH($N592,Species_Names,0))&lt;&gt;1),"N/A",$R592/MAX(IF(NOT(ISNA(MATCH(Combo_Species_Names,IF(Species_Availability="Yes",IF(Species_Evo_Numbers=1,Species_Names)),0))),Combo_Duel_Ability)))</f>
        <v>N/A</v>
      </c>
      <c r="I592" s="23" t="str">
        <f t="array" ref="I592">IF(OR(INDEX(Species_Availability,MATCH($N592,Species_Names,0))="No",INDEX(Species_Evo_Numbers,MATCH($N592,Species_Names,0))&lt;&gt;1),"N/A",RANK($S592,IF(NOT(ISNA(MATCH(Combo_Species_Names,IF(Species_Availability="Yes",IF(Species_Evo_Numbers=1,Species_Names)),0))),Combo_Gym_Offense),0))</f>
        <v>N/A</v>
      </c>
      <c r="J592" s="24" t="str">
        <f t="array" ref="J592">IF(OR(INDEX(Species_Availability,MATCH($N592,Species_Names,0))="No",INDEX(Species_Evo_Numbers,MATCH($N592,Species_Names,0))&lt;&gt;1),"N/A",$S592/MAX(IF(NOT(ISNA(MATCH(Combo_Species_Names,IF(Species_Availability="Yes",IF(Species_Evo_Numbers=1,Species_Names)),0))),Combo_Gym_Offense)))</f>
        <v>N/A</v>
      </c>
      <c r="K592" s="23" t="str">
        <f t="array" ref="K592">IF(OR(INDEX(Species_Availability,MATCH($N592,Species_Names,0))="No",INDEX(Species_Evo_Numbers,MATCH($N592,Species_Names,0))&lt;&gt;1),"N/A",RANK($Y592,IF(NOT(ISNA(MATCH(Combo_Species_Names,IF(Species_Availability="Yes",IF(Species_Evo_Numbers=1,Species_Names)),0))),Combo_Gym_Defense),0))</f>
        <v>N/A</v>
      </c>
      <c r="L592" s="24" t="str">
        <f t="array" ref="L592">IF(OR(INDEX(Species_Availability,MATCH($N592,Species_Names,0))="No",INDEX(Species_Evo_Numbers,MATCH($N592,Species_Names,0))&lt;&gt;1),"N/A",$Y592/MAX(IF(NOT(ISNA(MATCH(Combo_Species_Names,IF(Species_Availability="Yes",IF(Species_Evo_Numbers=1,Species_Names)),0))),Combo_Gym_Defense)))</f>
        <v>N/A</v>
      </c>
      <c r="M592" s="28">
        <f t="array" ref="M592">INDEX(Species_Pdex_Numbers,MATCH($N592,Species_Names,0))</f>
        <v>58</v>
      </c>
      <c r="N592" s="30" t="s">
        <v>205</v>
      </c>
      <c r="O592" s="31" t="s">
        <v>111</v>
      </c>
      <c r="P592" s="31" t="s">
        <v>306</v>
      </c>
      <c r="Q592" s="17" t="e">
        <f t="shared" si="18"/>
        <v>#VALUE!</v>
      </c>
      <c r="R592" s="32" t="e">
        <f t="array" ref="R592">IF(OR(AND(COUNTBLANK(Combo_Opponent_Type_1)=1,COUNTBLANK(Combo_Opponent_Type_2)=0),AND(AND(COUNTBLANK(Combo_Opponent_Type_1)=0,COUNTBLANK(Combo_Opponent_Type_2)=0),Combo_Opponent_Type_1=Combo_Opponent_Type_2)),
"Check Types",($S592*INDEX(Species_Tankiness,MATCH($N592,Species_Names,0)))/225)</f>
        <v>#VALUE!</v>
      </c>
      <c r="S592" s="32" t="e">
        <f t="array" ref="S592">IF(OR(AND(COUNTBLANK(Combo_Opponent_Type_1)=1,COUNTBLANK(Combo_Opponent_Type_2)=0),AND(AND(COUNTBLANK(Combo_Opponent_Type_1)=0,COUNTBLANK(Combo_Opponent_Type_2)=0),Combo_Opponent_Type_1=Combo_Opponent_Type_2)),
"Check Types",(
IF($W592&gt;=((1-Game_Weave_Human_Error)*$X592),$W592,$X592)*INDEX(Species_Attack,MATCH($N592,Species_Names,0)))/11)</f>
        <v>#VALUE!</v>
      </c>
      <c r="T592" s="33" t="e">
        <f t="shared" si="19"/>
        <v>#VALUE!</v>
      </c>
      <c r="U592" s="33">
        <f t="array" ref="U5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592,Quick_Names,0))),Type_Species)),0),1)*IF(COUNTBLANK(Combo_Opponent_Type_2)=0,INDEX(Type_Damage_Multipliers,MATCH(Combo_Opponent_Type_2,IF(Type_Move=(INDEX(Quick_Type,MATCH($O592,Quick_Names,0))),Type_Species)),0),1)*(IF(OR(INDEX(Quick_Type,MATCH($O592,Quick_Names,0))=INDEX(Species_Type_1,MATCH($N592,Species_Names,0)),INDEX(Quick_Type,MATCH($O592,Quick_Names,0))=INDEX(Species_Type_2,MATCH($N592,Species_Names,0))),Game_STAB_Multiplier,1)))</f>
        <v>1.25</v>
      </c>
      <c r="V592" s="33">
        <f t="array" ref="V5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592,Charge_Names,0))),Type_Species)),0),1)*IF(COUNTBLANK(Combo_Opponent_Type_2)=0,INDEX(Type_Damage_Multipliers,MATCH(Combo_Opponent_Type_2,IF(Type_Move=(INDEX(Charge_Type,MATCH($P592,Charge_Names,0))),Type_Species)),0),1)*
IF(OR(INDEX(Charge_Type,MATCH($P592,Charge_Names,0))=INDEX(Species_Type_1,MATCH($N592,Species_Names,0)),INDEX(Charge_Type,MATCH($P592,Charge_Names,0))=INDEX(Species_Type_2,MATCH($N592,Species_Names,0))),Game_STAB_Multiplier,1))</f>
        <v>1.25</v>
      </c>
      <c r="W592" s="33" t="s">
        <v>511</v>
      </c>
      <c r="X592" s="33" t="s">
        <v>805</v>
      </c>
      <c r="Y592" s="32" t="e">
        <f t="array" ref="Y592">((($Z592)*
INDEX(Species_Attack,MATCH($N592,Species_Names,0))*
INDEX(Species_Tankiness,MATCH($N592,Species_Names,0)))/1000)</f>
        <v>#VALUE!</v>
      </c>
      <c r="Z592" s="33" t="s">
        <v>994</v>
      </c>
    </row>
    <row r="593" spans="1:26" ht="14.25" customHeight="1" x14ac:dyDescent="0.2">
      <c r="A593" s="86"/>
      <c r="B593" s="22" t="str">
        <f t="array" ref="B593">CONCATENATE(TEXT($M593,"000"),".",TEXT(INDEX(Quick_Number,MATCH($O593,Quick_Names,0)),"000"),".",TEXT(INDEX(Charge_Number,MATCH($P593,Charge_Names,0)),"000"))</f>
        <v>043.215.087</v>
      </c>
      <c r="C593" s="23" t="e">
        <f t="array" ref="C593">RANK($S593,IF(Combo_Species_Names=$N593,Combo_Gym_Offense),0)</f>
        <v>#VALUE!</v>
      </c>
      <c r="D593" s="24" t="e">
        <f t="array" ref="D593">$S593/MAX(IF(Combo_Species_Names=$N593,Combo_Gym_Offense))</f>
        <v>#VALUE!</v>
      </c>
      <c r="E593" s="23" t="e">
        <f t="array" ref="E593">RANK($Y593,IF(Combo_Species_Names=$N593,Combo_Gym_Defense),0)</f>
        <v>#VALUE!</v>
      </c>
      <c r="F593" s="25" t="e">
        <f t="array" ref="F593">$Y593/MAX(IF(Combo_Species_Names=$N593,Combo_Gym_Defense))</f>
        <v>#VALUE!</v>
      </c>
      <c r="G593" s="23" t="str">
        <f t="array" ref="G593">IF(OR(INDEX(Species_Availability,MATCH($N593,Species_Names,0))="No",INDEX(Species_Evo_Numbers,MATCH($N593,Species_Names,0))&lt;&gt;1),"N/A",RANK($R593,IF(NOT(ISNA(MATCH(Combo_Species_Names,IF(Species_Availability="Yes",IF(Species_Evo_Numbers=1,Species_Names)),0))),Combo_Duel_Ability),0))</f>
        <v>N/A</v>
      </c>
      <c r="H593" s="24" t="str">
        <f t="array" ref="H593">IF(OR(INDEX(Species_Availability,MATCH($N593,Species_Names,0))="No",INDEX(Species_Evo_Numbers,MATCH($N593,Species_Names,0))&lt;&gt;1),"N/A",$R593/MAX(IF(NOT(ISNA(MATCH(Combo_Species_Names,IF(Species_Availability="Yes",IF(Species_Evo_Numbers=1,Species_Names)),0))),Combo_Duel_Ability)))</f>
        <v>N/A</v>
      </c>
      <c r="I593" s="23" t="str">
        <f t="array" ref="I593">IF(OR(INDEX(Species_Availability,MATCH($N593,Species_Names,0))="No",INDEX(Species_Evo_Numbers,MATCH($N593,Species_Names,0))&lt;&gt;1),"N/A",RANK($S593,IF(NOT(ISNA(MATCH(Combo_Species_Names,IF(Species_Availability="Yes",IF(Species_Evo_Numbers=1,Species_Names)),0))),Combo_Gym_Offense),0))</f>
        <v>N/A</v>
      </c>
      <c r="J593" s="24" t="str">
        <f t="array" ref="J593">IF(OR(INDEX(Species_Availability,MATCH($N593,Species_Names,0))="No",INDEX(Species_Evo_Numbers,MATCH($N593,Species_Names,0))&lt;&gt;1),"N/A",$S593/MAX(IF(NOT(ISNA(MATCH(Combo_Species_Names,IF(Species_Availability="Yes",IF(Species_Evo_Numbers=1,Species_Names)),0))),Combo_Gym_Offense)))</f>
        <v>N/A</v>
      </c>
      <c r="K593" s="23" t="str">
        <f t="array" ref="K593">IF(OR(INDEX(Species_Availability,MATCH($N593,Species_Names,0))="No",INDEX(Species_Evo_Numbers,MATCH($N593,Species_Names,0))&lt;&gt;1),"N/A",RANK($Y593,IF(NOT(ISNA(MATCH(Combo_Species_Names,IF(Species_Availability="Yes",IF(Species_Evo_Numbers=1,Species_Names)),0))),Combo_Gym_Defense),0))</f>
        <v>N/A</v>
      </c>
      <c r="L593" s="24" t="str">
        <f t="array" ref="L593">IF(OR(INDEX(Species_Availability,MATCH($N593,Species_Names,0))="No",INDEX(Species_Evo_Numbers,MATCH($N593,Species_Names,0))&lt;&gt;1),"N/A",$Y593/MAX(IF(NOT(ISNA(MATCH(Combo_Species_Names,IF(Species_Availability="Yes",IF(Species_Evo_Numbers=1,Species_Names)),0))),Combo_Gym_Defense)))</f>
        <v>N/A</v>
      </c>
      <c r="M593" s="28">
        <f t="array" ref="M593">INDEX(Species_Pdex_Numbers,MATCH($N593,Species_Names,0))</f>
        <v>43</v>
      </c>
      <c r="N593" s="30" t="s">
        <v>177</v>
      </c>
      <c r="O593" s="31" t="s">
        <v>102</v>
      </c>
      <c r="P593" s="31" t="s">
        <v>185</v>
      </c>
      <c r="Q593" s="17" t="e">
        <f t="shared" si="18"/>
        <v>#VALUE!</v>
      </c>
      <c r="R593" s="32" t="e">
        <f t="array" ref="R593">IF(OR(AND(COUNTBLANK(Combo_Opponent_Type_1)=1,COUNTBLANK(Combo_Opponent_Type_2)=0),AND(AND(COUNTBLANK(Combo_Opponent_Type_1)=0,COUNTBLANK(Combo_Opponent_Type_2)=0),Combo_Opponent_Type_1=Combo_Opponent_Type_2)),
"Check Types",($S593*INDEX(Species_Tankiness,MATCH($N593,Species_Names,0)))/225)</f>
        <v>#VALUE!</v>
      </c>
      <c r="S593" s="32" t="e">
        <f t="array" ref="S593">IF(OR(AND(COUNTBLANK(Combo_Opponent_Type_1)=1,COUNTBLANK(Combo_Opponent_Type_2)=0),AND(AND(COUNTBLANK(Combo_Opponent_Type_1)=0,COUNTBLANK(Combo_Opponent_Type_2)=0),Combo_Opponent_Type_1=Combo_Opponent_Type_2)),
"Check Types",(
IF($W593&gt;=((1-Game_Weave_Human_Error)*$X593),$W593,$X593)*INDEX(Species_Attack,MATCH($N593,Species_Names,0)))/11)</f>
        <v>#VALUE!</v>
      </c>
      <c r="T593" s="33" t="e">
        <f t="shared" si="19"/>
        <v>#VALUE!</v>
      </c>
      <c r="U593" s="33">
        <f t="array" ref="U5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593,Quick_Names,0))),Type_Species)),0),1)*IF(COUNTBLANK(Combo_Opponent_Type_2)=0,INDEX(Type_Damage_Multipliers,MATCH(Combo_Opponent_Type_2,IF(Type_Move=(INDEX(Quick_Type,MATCH($O593,Quick_Names,0))),Type_Species)),0),1)*(IF(OR(INDEX(Quick_Type,MATCH($O593,Quick_Names,0))=INDEX(Species_Type_1,MATCH($N593,Species_Names,0)),INDEX(Quick_Type,MATCH($O593,Quick_Names,0))=INDEX(Species_Type_2,MATCH($N593,Species_Names,0))),Game_STAB_Multiplier,1)))</f>
        <v>1.25</v>
      </c>
      <c r="V593" s="33">
        <f t="array" ref="V5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593,Charge_Names,0))),Type_Species)),0),1)*IF(COUNTBLANK(Combo_Opponent_Type_2)=0,INDEX(Type_Damage_Multipliers,MATCH(Combo_Opponent_Type_2,IF(Type_Move=(INDEX(Charge_Type,MATCH($P593,Charge_Names,0))),Type_Species)),0),1)*
IF(OR(INDEX(Charge_Type,MATCH($P593,Charge_Names,0))=INDEX(Species_Type_1,MATCH($N593,Species_Names,0)),INDEX(Charge_Type,MATCH($P593,Charge_Names,0))=INDEX(Species_Type_2,MATCH($N593,Species_Names,0))),Game_STAB_Multiplier,1))</f>
        <v>1</v>
      </c>
      <c r="W593" s="33" t="s">
        <v>501</v>
      </c>
      <c r="X593" s="33" t="s">
        <v>613</v>
      </c>
      <c r="Y593" s="32" t="e">
        <f t="array" ref="Y593">((($Z593)*
INDEX(Species_Attack,MATCH($N593,Species_Names,0))*
INDEX(Species_Tankiness,MATCH($N593,Species_Names,0)))/1000)</f>
        <v>#VALUE!</v>
      </c>
      <c r="Z593" s="33" t="s">
        <v>614</v>
      </c>
    </row>
    <row r="594" spans="1:26" ht="14.25" customHeight="1" x14ac:dyDescent="0.2">
      <c r="A594" s="86"/>
      <c r="B594" s="22" t="str">
        <f t="array" ref="B594">CONCATENATE(TEXT($M594,"000"),".",TEXT(INDEX(Quick_Number,MATCH($O594,Quick_Names,0)),"000"),".",TEXT(INDEX(Charge_Number,MATCH($P594,Charge_Names,0)),"000"))</f>
        <v>007.237.058</v>
      </c>
      <c r="C594" s="23" t="e">
        <f t="array" ref="C594">RANK($S594,IF(Combo_Species_Names=$N594,Combo_Gym_Offense),0)</f>
        <v>#VALUE!</v>
      </c>
      <c r="D594" s="24" t="e">
        <f t="array" ref="D594">$S594/MAX(IF(Combo_Species_Names=$N594,Combo_Gym_Offense))</f>
        <v>#VALUE!</v>
      </c>
      <c r="E594" s="23" t="e">
        <f t="array" ref="E594">RANK($Y594,IF(Combo_Species_Names=$N594,Combo_Gym_Defense),0)</f>
        <v>#VALUE!</v>
      </c>
      <c r="F594" s="25" t="e">
        <f t="array" ref="F594">$Y594/MAX(IF(Combo_Species_Names=$N594,Combo_Gym_Defense))</f>
        <v>#VALUE!</v>
      </c>
      <c r="G594" s="23" t="str">
        <f t="array" ref="G594">IF(OR(INDEX(Species_Availability,MATCH($N594,Species_Names,0))="No",INDEX(Species_Evo_Numbers,MATCH($N594,Species_Names,0))&lt;&gt;1),"N/A",RANK($R594,IF(NOT(ISNA(MATCH(Combo_Species_Names,IF(Species_Availability="Yes",IF(Species_Evo_Numbers=1,Species_Names)),0))),Combo_Duel_Ability),0))</f>
        <v>N/A</v>
      </c>
      <c r="H594" s="24" t="str">
        <f t="array" ref="H594">IF(OR(INDEX(Species_Availability,MATCH($N594,Species_Names,0))="No",INDEX(Species_Evo_Numbers,MATCH($N594,Species_Names,0))&lt;&gt;1),"N/A",$R594/MAX(IF(NOT(ISNA(MATCH(Combo_Species_Names,IF(Species_Availability="Yes",IF(Species_Evo_Numbers=1,Species_Names)),0))),Combo_Duel_Ability)))</f>
        <v>N/A</v>
      </c>
      <c r="I594" s="23" t="str">
        <f t="array" ref="I594">IF(OR(INDEX(Species_Availability,MATCH($N594,Species_Names,0))="No",INDEX(Species_Evo_Numbers,MATCH($N594,Species_Names,0))&lt;&gt;1),"N/A",RANK($S594,IF(NOT(ISNA(MATCH(Combo_Species_Names,IF(Species_Availability="Yes",IF(Species_Evo_Numbers=1,Species_Names)),0))),Combo_Gym_Offense),0))</f>
        <v>N/A</v>
      </c>
      <c r="J594" s="24" t="str">
        <f t="array" ref="J594">IF(OR(INDEX(Species_Availability,MATCH($N594,Species_Names,0))="No",INDEX(Species_Evo_Numbers,MATCH($N594,Species_Names,0))&lt;&gt;1),"N/A",$S594/MAX(IF(NOT(ISNA(MATCH(Combo_Species_Names,IF(Species_Availability="Yes",IF(Species_Evo_Numbers=1,Species_Names)),0))),Combo_Gym_Offense)))</f>
        <v>N/A</v>
      </c>
      <c r="K594" s="23" t="str">
        <f t="array" ref="K594">IF(OR(INDEX(Species_Availability,MATCH($N594,Species_Names,0))="No",INDEX(Species_Evo_Numbers,MATCH($N594,Species_Names,0))&lt;&gt;1),"N/A",RANK($Y594,IF(NOT(ISNA(MATCH(Combo_Species_Names,IF(Species_Availability="Yes",IF(Species_Evo_Numbers=1,Species_Names)),0))),Combo_Gym_Defense),0))</f>
        <v>N/A</v>
      </c>
      <c r="L594" s="24" t="str">
        <f t="array" ref="L594">IF(OR(INDEX(Species_Availability,MATCH($N594,Species_Names,0))="No",INDEX(Species_Evo_Numbers,MATCH($N594,Species_Names,0))&lt;&gt;1),"N/A",$Y594/MAX(IF(NOT(ISNA(MATCH(Combo_Species_Names,IF(Species_Availability="Yes",IF(Species_Evo_Numbers=1,Species_Names)),0))),Combo_Gym_Defense)))</f>
        <v>N/A</v>
      </c>
      <c r="M594" s="28">
        <f t="array" ref="M594">INDEX(Species_Pdex_Numbers,MATCH($N594,Species_Names,0))</f>
        <v>7</v>
      </c>
      <c r="N594" s="30" t="s">
        <v>86</v>
      </c>
      <c r="O594" s="31" t="s">
        <v>92</v>
      </c>
      <c r="P594" s="31" t="s">
        <v>198</v>
      </c>
      <c r="Q594" s="17" t="e">
        <f t="shared" si="18"/>
        <v>#VALUE!</v>
      </c>
      <c r="R594" s="32" t="e">
        <f t="array" ref="R594">IF(OR(AND(COUNTBLANK(Combo_Opponent_Type_1)=1,COUNTBLANK(Combo_Opponent_Type_2)=0),AND(AND(COUNTBLANK(Combo_Opponent_Type_1)=0,COUNTBLANK(Combo_Opponent_Type_2)=0),Combo_Opponent_Type_1=Combo_Opponent_Type_2)),
"Check Types",($S594*INDEX(Species_Tankiness,MATCH($N594,Species_Names,0)))/225)</f>
        <v>#VALUE!</v>
      </c>
      <c r="S594" s="32" t="e">
        <f t="array" ref="S594">IF(OR(AND(COUNTBLANK(Combo_Opponent_Type_1)=1,COUNTBLANK(Combo_Opponent_Type_2)=0),AND(AND(COUNTBLANK(Combo_Opponent_Type_1)=0,COUNTBLANK(Combo_Opponent_Type_2)=0),Combo_Opponent_Type_1=Combo_Opponent_Type_2)),
"Check Types",(
IF($W594&gt;=((1-Game_Weave_Human_Error)*$X594),$W594,$X594)*INDEX(Species_Attack,MATCH($N594,Species_Names,0)))/11)</f>
        <v>#VALUE!</v>
      </c>
      <c r="T594" s="33" t="e">
        <f t="shared" si="19"/>
        <v>#VALUE!</v>
      </c>
      <c r="U594" s="33">
        <f t="array" ref="U5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594,Quick_Names,0))),Type_Species)),0),1)*IF(COUNTBLANK(Combo_Opponent_Type_2)=0,INDEX(Type_Damage_Multipliers,MATCH(Combo_Opponent_Type_2,IF(Type_Move=(INDEX(Quick_Type,MATCH($O594,Quick_Names,0))),Type_Species)),0),1)*(IF(OR(INDEX(Quick_Type,MATCH($O594,Quick_Names,0))=INDEX(Species_Type_1,MATCH($N594,Species_Names,0)),INDEX(Quick_Type,MATCH($O594,Quick_Names,0))=INDEX(Species_Type_2,MATCH($N594,Species_Names,0))),Game_STAB_Multiplier,1)))</f>
        <v>1.25</v>
      </c>
      <c r="V594" s="33">
        <f t="array" ref="V5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594,Charge_Names,0))),Type_Species)),0),1)*IF(COUNTBLANK(Combo_Opponent_Type_2)=0,INDEX(Type_Damage_Multipliers,MATCH(Combo_Opponent_Type_2,IF(Type_Move=(INDEX(Charge_Type,MATCH($P594,Charge_Names,0))),Type_Species)),0),1)*
IF(OR(INDEX(Charge_Type,MATCH($P594,Charge_Names,0))=INDEX(Species_Type_1,MATCH($N594,Species_Names,0)),INDEX(Charge_Type,MATCH($P594,Charge_Names,0))=INDEX(Species_Type_2,MATCH($N594,Species_Names,0))),Game_STAB_Multiplier,1))</f>
        <v>1.25</v>
      </c>
      <c r="W594" s="33" t="s">
        <v>481</v>
      </c>
      <c r="X594" s="33" t="s">
        <v>1017</v>
      </c>
      <c r="Y594" s="32" t="e">
        <f t="array" ref="Y594">((($Z594)*
INDEX(Species_Attack,MATCH($N594,Species_Names,0))*
INDEX(Species_Tankiness,MATCH($N594,Species_Names,0)))/1000)</f>
        <v>#VALUE!</v>
      </c>
      <c r="Z594" s="33" t="s">
        <v>567</v>
      </c>
    </row>
    <row r="595" spans="1:26" ht="14.25" customHeight="1" x14ac:dyDescent="0.2">
      <c r="A595" s="86"/>
      <c r="B595" s="22" t="str">
        <f t="array" ref="B595">CONCATENATE(TEXT($M595,"000"),".",TEXT(INDEX(Quick_Number,MATCH($O595,Quick_Names,0)),"000"),".",TEXT(INDEX(Charge_Number,MATCH($P595,Charge_Names,0)),"000"))</f>
        <v>043.225.059</v>
      </c>
      <c r="C595" s="23" t="e">
        <f t="array" ref="C595">RANK($S595,IF(Combo_Species_Names=$N595,Combo_Gym_Offense),0)</f>
        <v>#VALUE!</v>
      </c>
      <c r="D595" s="24" t="e">
        <f t="array" ref="D595">$S595/MAX(IF(Combo_Species_Names=$N595,Combo_Gym_Offense))</f>
        <v>#VALUE!</v>
      </c>
      <c r="E595" s="23" t="e">
        <f t="array" ref="E595">RANK($Y595,IF(Combo_Species_Names=$N595,Combo_Gym_Defense),0)</f>
        <v>#VALUE!</v>
      </c>
      <c r="F595" s="25" t="e">
        <f t="array" ref="F595">$Y595/MAX(IF(Combo_Species_Names=$N595,Combo_Gym_Defense))</f>
        <v>#VALUE!</v>
      </c>
      <c r="G595" s="23" t="str">
        <f t="array" ref="G595">IF(OR(INDEX(Species_Availability,MATCH($N595,Species_Names,0))="No",INDEX(Species_Evo_Numbers,MATCH($N595,Species_Names,0))&lt;&gt;1),"N/A",RANK($R595,IF(NOT(ISNA(MATCH(Combo_Species_Names,IF(Species_Availability="Yes",IF(Species_Evo_Numbers=1,Species_Names)),0))),Combo_Duel_Ability),0))</f>
        <v>N/A</v>
      </c>
      <c r="H595" s="24" t="str">
        <f t="array" ref="H595">IF(OR(INDEX(Species_Availability,MATCH($N595,Species_Names,0))="No",INDEX(Species_Evo_Numbers,MATCH($N595,Species_Names,0))&lt;&gt;1),"N/A",$R595/MAX(IF(NOT(ISNA(MATCH(Combo_Species_Names,IF(Species_Availability="Yes",IF(Species_Evo_Numbers=1,Species_Names)),0))),Combo_Duel_Ability)))</f>
        <v>N/A</v>
      </c>
      <c r="I595" s="23" t="str">
        <f t="array" ref="I595">IF(OR(INDEX(Species_Availability,MATCH($N595,Species_Names,0))="No",INDEX(Species_Evo_Numbers,MATCH($N595,Species_Names,0))&lt;&gt;1),"N/A",RANK($S595,IF(NOT(ISNA(MATCH(Combo_Species_Names,IF(Species_Availability="Yes",IF(Species_Evo_Numbers=1,Species_Names)),0))),Combo_Gym_Offense),0))</f>
        <v>N/A</v>
      </c>
      <c r="J595" s="24" t="str">
        <f t="array" ref="J595">IF(OR(INDEX(Species_Availability,MATCH($N595,Species_Names,0))="No",INDEX(Species_Evo_Numbers,MATCH($N595,Species_Names,0))&lt;&gt;1),"N/A",$S595/MAX(IF(NOT(ISNA(MATCH(Combo_Species_Names,IF(Species_Availability="Yes",IF(Species_Evo_Numbers=1,Species_Names)),0))),Combo_Gym_Offense)))</f>
        <v>N/A</v>
      </c>
      <c r="K595" s="23" t="str">
        <f t="array" ref="K595">IF(OR(INDEX(Species_Availability,MATCH($N595,Species_Names,0))="No",INDEX(Species_Evo_Numbers,MATCH($N595,Species_Names,0))&lt;&gt;1),"N/A",RANK($Y595,IF(NOT(ISNA(MATCH(Combo_Species_Names,IF(Species_Availability="Yes",IF(Species_Evo_Numbers=1,Species_Names)),0))),Combo_Gym_Defense),0))</f>
        <v>N/A</v>
      </c>
      <c r="L595" s="24" t="str">
        <f t="array" ref="L595">IF(OR(INDEX(Species_Availability,MATCH($N595,Species_Names,0))="No",INDEX(Species_Evo_Numbers,MATCH($N595,Species_Names,0))&lt;&gt;1),"N/A",$Y595/MAX(IF(NOT(ISNA(MATCH(Combo_Species_Names,IF(Species_Availability="Yes",IF(Species_Evo_Numbers=1,Species_Names)),0))),Combo_Gym_Defense)))</f>
        <v>N/A</v>
      </c>
      <c r="M595" s="28">
        <f t="array" ref="M595">INDEX(Species_Pdex_Numbers,MATCH($N595,Species_Names,0))</f>
        <v>43</v>
      </c>
      <c r="N595" s="30" t="s">
        <v>177</v>
      </c>
      <c r="O595" s="31" t="s">
        <v>110</v>
      </c>
      <c r="P595" s="31" t="s">
        <v>213</v>
      </c>
      <c r="Q595" s="17" t="e">
        <f t="shared" si="18"/>
        <v>#VALUE!</v>
      </c>
      <c r="R595" s="32" t="e">
        <f t="array" ref="R595">IF(OR(AND(COUNTBLANK(Combo_Opponent_Type_1)=1,COUNTBLANK(Combo_Opponent_Type_2)=0),AND(AND(COUNTBLANK(Combo_Opponent_Type_1)=0,COUNTBLANK(Combo_Opponent_Type_2)=0),Combo_Opponent_Type_1=Combo_Opponent_Type_2)),
"Check Types",($S595*INDEX(Species_Tankiness,MATCH($N595,Species_Names,0)))/225)</f>
        <v>#VALUE!</v>
      </c>
      <c r="S595" s="32" t="e">
        <f t="array" ref="S595">IF(OR(AND(COUNTBLANK(Combo_Opponent_Type_1)=1,COUNTBLANK(Combo_Opponent_Type_2)=0),AND(AND(COUNTBLANK(Combo_Opponent_Type_1)=0,COUNTBLANK(Combo_Opponent_Type_2)=0),Combo_Opponent_Type_1=Combo_Opponent_Type_2)),
"Check Types",(
IF($W595&gt;=((1-Game_Weave_Human_Error)*$X595),$W595,$X595)*INDEX(Species_Attack,MATCH($N595,Species_Names,0)))/11)</f>
        <v>#VALUE!</v>
      </c>
      <c r="T595" s="33" t="e">
        <f t="shared" si="19"/>
        <v>#VALUE!</v>
      </c>
      <c r="U595" s="33">
        <f t="array" ref="U5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595,Quick_Names,0))),Type_Species)),0),1)*IF(COUNTBLANK(Combo_Opponent_Type_2)=0,INDEX(Type_Damage_Multipliers,MATCH(Combo_Opponent_Type_2,IF(Type_Move=(INDEX(Quick_Type,MATCH($O595,Quick_Names,0))),Type_Species)),0),1)*(IF(OR(INDEX(Quick_Type,MATCH($O595,Quick_Names,0))=INDEX(Species_Type_1,MATCH($N595,Species_Names,0)),INDEX(Quick_Type,MATCH($O595,Quick_Names,0))=INDEX(Species_Type_2,MATCH($N595,Species_Names,0))),Game_STAB_Multiplier,1)))</f>
        <v>1.25</v>
      </c>
      <c r="V595" s="33">
        <f t="array" ref="V5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595,Charge_Names,0))),Type_Species)),0),1)*IF(COUNTBLANK(Combo_Opponent_Type_2)=0,INDEX(Type_Damage_Multipliers,MATCH(Combo_Opponent_Type_2,IF(Type_Move=(INDEX(Charge_Type,MATCH($P595,Charge_Names,0))),Type_Species)),0),1)*
IF(OR(INDEX(Charge_Type,MATCH($P595,Charge_Names,0))=INDEX(Species_Type_1,MATCH($N595,Species_Names,0)),INDEX(Charge_Type,MATCH($P595,Charge_Names,0))=INDEX(Species_Type_2,MATCH($N595,Species_Names,0))),Game_STAB_Multiplier,1))</f>
        <v>1.25</v>
      </c>
      <c r="W595" s="33" t="s">
        <v>511</v>
      </c>
      <c r="X595" s="33" t="s">
        <v>956</v>
      </c>
      <c r="Y595" s="32" t="e">
        <f t="array" ref="Y595">((($Z595)*
INDEX(Species_Attack,MATCH($N595,Species_Names,0))*
INDEX(Species_Tankiness,MATCH($N595,Species_Names,0)))/1000)</f>
        <v>#VALUE!</v>
      </c>
      <c r="Z595" s="33" t="s">
        <v>681</v>
      </c>
    </row>
    <row r="596" spans="1:26" ht="14.25" customHeight="1" x14ac:dyDescent="0.2">
      <c r="A596" s="86"/>
      <c r="B596" s="22" t="str">
        <f t="array" ref="B596">CONCATENATE(TEXT($M596,"000"),".",TEXT(INDEX(Quick_Number,MATCH($O596,Quick_Names,0)),"000"),".",TEXT(INDEX(Charge_Number,MATCH($P596,Charge_Names,0)),"000"))</f>
        <v>138.230.062</v>
      </c>
      <c r="C596" s="23" t="e">
        <f t="array" ref="C596">RANK($S596,IF(Combo_Species_Names=$N596,Combo_Gym_Offense),0)</f>
        <v>#VALUE!</v>
      </c>
      <c r="D596" s="24" t="e">
        <f t="array" ref="D596">$S596/MAX(IF(Combo_Species_Names=$N596,Combo_Gym_Offense))</f>
        <v>#VALUE!</v>
      </c>
      <c r="E596" s="23" t="e">
        <f t="array" ref="E596">RANK($Y596,IF(Combo_Species_Names=$N596,Combo_Gym_Defense),0)</f>
        <v>#VALUE!</v>
      </c>
      <c r="F596" s="25" t="e">
        <f t="array" ref="F596">$Y596/MAX(IF(Combo_Species_Names=$N596,Combo_Gym_Defense))</f>
        <v>#VALUE!</v>
      </c>
      <c r="G596" s="23" t="str">
        <f t="array" ref="G596">IF(OR(INDEX(Species_Availability,MATCH($N596,Species_Names,0))="No",INDEX(Species_Evo_Numbers,MATCH($N596,Species_Names,0))&lt;&gt;1),"N/A",RANK($R596,IF(NOT(ISNA(MATCH(Combo_Species_Names,IF(Species_Availability="Yes",IF(Species_Evo_Numbers=1,Species_Names)),0))),Combo_Duel_Ability),0))</f>
        <v>N/A</v>
      </c>
      <c r="H596" s="24" t="str">
        <f t="array" ref="H596">IF(OR(INDEX(Species_Availability,MATCH($N596,Species_Names,0))="No",INDEX(Species_Evo_Numbers,MATCH($N596,Species_Names,0))&lt;&gt;1),"N/A",$R596/MAX(IF(NOT(ISNA(MATCH(Combo_Species_Names,IF(Species_Availability="Yes",IF(Species_Evo_Numbers=1,Species_Names)),0))),Combo_Duel_Ability)))</f>
        <v>N/A</v>
      </c>
      <c r="I596" s="23" t="str">
        <f t="array" ref="I596">IF(OR(INDEX(Species_Availability,MATCH($N596,Species_Names,0))="No",INDEX(Species_Evo_Numbers,MATCH($N596,Species_Names,0))&lt;&gt;1),"N/A",RANK($S596,IF(NOT(ISNA(MATCH(Combo_Species_Names,IF(Species_Availability="Yes",IF(Species_Evo_Numbers=1,Species_Names)),0))),Combo_Gym_Offense),0))</f>
        <v>N/A</v>
      </c>
      <c r="J596" s="24" t="str">
        <f t="array" ref="J596">IF(OR(INDEX(Species_Availability,MATCH($N596,Species_Names,0))="No",INDEX(Species_Evo_Numbers,MATCH($N596,Species_Names,0))&lt;&gt;1),"N/A",$S596/MAX(IF(NOT(ISNA(MATCH(Combo_Species_Names,IF(Species_Availability="Yes",IF(Species_Evo_Numbers=1,Species_Names)),0))),Combo_Gym_Offense)))</f>
        <v>N/A</v>
      </c>
      <c r="K596" s="23" t="str">
        <f t="array" ref="K596">IF(OR(INDEX(Species_Availability,MATCH($N596,Species_Names,0))="No",INDEX(Species_Evo_Numbers,MATCH($N596,Species_Names,0))&lt;&gt;1),"N/A",RANK($Y596,IF(NOT(ISNA(MATCH(Combo_Species_Names,IF(Species_Availability="Yes",IF(Species_Evo_Numbers=1,Species_Names)),0))),Combo_Gym_Defense),0))</f>
        <v>N/A</v>
      </c>
      <c r="L596" s="24" t="str">
        <f t="array" ref="L596">IF(OR(INDEX(Species_Availability,MATCH($N596,Species_Names,0))="No",INDEX(Species_Evo_Numbers,MATCH($N596,Species_Names,0))&lt;&gt;1),"N/A",$Y596/MAX(IF(NOT(ISNA(MATCH(Combo_Species_Names,IF(Species_Availability="Yes",IF(Species_Evo_Numbers=1,Species_Names)),0))),Combo_Gym_Defense)))</f>
        <v>N/A</v>
      </c>
      <c r="M596" s="28">
        <f t="array" ref="M596">INDEX(Species_Pdex_Numbers,MATCH($N596,Species_Names,0))</f>
        <v>138</v>
      </c>
      <c r="N596" s="30" t="s">
        <v>356</v>
      </c>
      <c r="O596" s="31" t="s">
        <v>65</v>
      </c>
      <c r="P596" s="31" t="s">
        <v>297</v>
      </c>
      <c r="Q596" s="17" t="e">
        <f t="shared" si="18"/>
        <v>#VALUE!</v>
      </c>
      <c r="R596" s="32" t="e">
        <f t="array" ref="R596">IF(OR(AND(COUNTBLANK(Combo_Opponent_Type_1)=1,COUNTBLANK(Combo_Opponent_Type_2)=0),AND(AND(COUNTBLANK(Combo_Opponent_Type_1)=0,COUNTBLANK(Combo_Opponent_Type_2)=0),Combo_Opponent_Type_1=Combo_Opponent_Type_2)),
"Check Types",($S596*INDEX(Species_Tankiness,MATCH($N596,Species_Names,0)))/225)</f>
        <v>#VALUE!</v>
      </c>
      <c r="S596" s="32" t="e">
        <f t="array" ref="S596">IF(OR(AND(COUNTBLANK(Combo_Opponent_Type_1)=1,COUNTBLANK(Combo_Opponent_Type_2)=0),AND(AND(COUNTBLANK(Combo_Opponent_Type_1)=0,COUNTBLANK(Combo_Opponent_Type_2)=0),Combo_Opponent_Type_1=Combo_Opponent_Type_2)),
"Check Types",(
IF($W596&gt;=((1-Game_Weave_Human_Error)*$X596),$W596,$X596)*INDEX(Species_Attack,MATCH($N596,Species_Names,0)))/11)</f>
        <v>#VALUE!</v>
      </c>
      <c r="T596" s="33" t="e">
        <f t="shared" si="19"/>
        <v>#VALUE!</v>
      </c>
      <c r="U596" s="33">
        <f t="array" ref="U5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596,Quick_Names,0))),Type_Species)),0),1)*IF(COUNTBLANK(Combo_Opponent_Type_2)=0,INDEX(Type_Damage_Multipliers,MATCH(Combo_Opponent_Type_2,IF(Type_Move=(INDEX(Quick_Type,MATCH($O596,Quick_Names,0))),Type_Species)),0),1)*(IF(OR(INDEX(Quick_Type,MATCH($O596,Quick_Names,0))=INDEX(Species_Type_1,MATCH($N596,Species_Names,0)),INDEX(Quick_Type,MATCH($O596,Quick_Names,0))=INDEX(Species_Type_2,MATCH($N596,Species_Names,0))),Game_STAB_Multiplier,1)))</f>
        <v>1.25</v>
      </c>
      <c r="V596" s="33">
        <f t="array" ref="V5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596,Charge_Names,0))),Type_Species)),0),1)*IF(COUNTBLANK(Combo_Opponent_Type_2)=0,INDEX(Type_Damage_Multipliers,MATCH(Combo_Opponent_Type_2,IF(Type_Move=(INDEX(Charge_Type,MATCH($P596,Charge_Names,0))),Type_Species)),0),1)*
IF(OR(INDEX(Charge_Type,MATCH($P596,Charge_Names,0))=INDEX(Species_Type_1,MATCH($N596,Species_Names,0)),INDEX(Charge_Type,MATCH($P596,Charge_Names,0))=INDEX(Species_Type_2,MATCH($N596,Species_Names,0))),Game_STAB_Multiplier,1))</f>
        <v>1.25</v>
      </c>
      <c r="W596" s="33" t="s">
        <v>412</v>
      </c>
      <c r="X596" s="33" t="s">
        <v>640</v>
      </c>
      <c r="Y596" s="32" t="e">
        <f t="array" ref="Y596">((($Z596)*
INDEX(Species_Attack,MATCH($N596,Species_Names,0))*
INDEX(Species_Tankiness,MATCH($N596,Species_Names,0)))/1000)</f>
        <v>#VALUE!</v>
      </c>
      <c r="Z596" s="33" t="s">
        <v>641</v>
      </c>
    </row>
    <row r="597" spans="1:26" ht="14.25" customHeight="1" x14ac:dyDescent="0.2">
      <c r="A597" s="86"/>
      <c r="B597" s="22" t="str">
        <f t="array" ref="B597">CONCATENATE(TEXT($M597,"000"),".",TEXT(INDEX(Quick_Number,MATCH($O597,Quick_Names,0)),"000"),".",TEXT(INDEX(Charge_Number,MATCH($P597,Charge_Names,0)),"000"))</f>
        <v>138.230.063</v>
      </c>
      <c r="C597" s="23" t="e">
        <f t="array" ref="C597">RANK($S597,IF(Combo_Species_Names=$N597,Combo_Gym_Offense),0)</f>
        <v>#VALUE!</v>
      </c>
      <c r="D597" s="24" t="e">
        <f t="array" ref="D597">$S597/MAX(IF(Combo_Species_Names=$N597,Combo_Gym_Offense))</f>
        <v>#VALUE!</v>
      </c>
      <c r="E597" s="23" t="e">
        <f t="array" ref="E597">RANK($Y597,IF(Combo_Species_Names=$N597,Combo_Gym_Defense),0)</f>
        <v>#VALUE!</v>
      </c>
      <c r="F597" s="25" t="e">
        <f t="array" ref="F597">$Y597/MAX(IF(Combo_Species_Names=$N597,Combo_Gym_Defense))</f>
        <v>#VALUE!</v>
      </c>
      <c r="G597" s="23" t="str">
        <f t="array" ref="G597">IF(OR(INDEX(Species_Availability,MATCH($N597,Species_Names,0))="No",INDEX(Species_Evo_Numbers,MATCH($N597,Species_Names,0))&lt;&gt;1),"N/A",RANK($R597,IF(NOT(ISNA(MATCH(Combo_Species_Names,IF(Species_Availability="Yes",IF(Species_Evo_Numbers=1,Species_Names)),0))),Combo_Duel_Ability),0))</f>
        <v>N/A</v>
      </c>
      <c r="H597" s="24" t="str">
        <f t="array" ref="H597">IF(OR(INDEX(Species_Availability,MATCH($N597,Species_Names,0))="No",INDEX(Species_Evo_Numbers,MATCH($N597,Species_Names,0))&lt;&gt;1),"N/A",$R597/MAX(IF(NOT(ISNA(MATCH(Combo_Species_Names,IF(Species_Availability="Yes",IF(Species_Evo_Numbers=1,Species_Names)),0))),Combo_Duel_Ability)))</f>
        <v>N/A</v>
      </c>
      <c r="I597" s="23" t="str">
        <f t="array" ref="I597">IF(OR(INDEX(Species_Availability,MATCH($N597,Species_Names,0))="No",INDEX(Species_Evo_Numbers,MATCH($N597,Species_Names,0))&lt;&gt;1),"N/A",RANK($S597,IF(NOT(ISNA(MATCH(Combo_Species_Names,IF(Species_Availability="Yes",IF(Species_Evo_Numbers=1,Species_Names)),0))),Combo_Gym_Offense),0))</f>
        <v>N/A</v>
      </c>
      <c r="J597" s="24" t="str">
        <f t="array" ref="J597">IF(OR(INDEX(Species_Availability,MATCH($N597,Species_Names,0))="No",INDEX(Species_Evo_Numbers,MATCH($N597,Species_Names,0))&lt;&gt;1),"N/A",$S597/MAX(IF(NOT(ISNA(MATCH(Combo_Species_Names,IF(Species_Availability="Yes",IF(Species_Evo_Numbers=1,Species_Names)),0))),Combo_Gym_Offense)))</f>
        <v>N/A</v>
      </c>
      <c r="K597" s="23" t="str">
        <f t="array" ref="K597">IF(OR(INDEX(Species_Availability,MATCH($N597,Species_Names,0))="No",INDEX(Species_Evo_Numbers,MATCH($N597,Species_Names,0))&lt;&gt;1),"N/A",RANK($Y597,IF(NOT(ISNA(MATCH(Combo_Species_Names,IF(Species_Availability="Yes",IF(Species_Evo_Numbers=1,Species_Names)),0))),Combo_Gym_Defense),0))</f>
        <v>N/A</v>
      </c>
      <c r="L597" s="24" t="str">
        <f t="array" ref="L597">IF(OR(INDEX(Species_Availability,MATCH($N597,Species_Names,0))="No",INDEX(Species_Evo_Numbers,MATCH($N597,Species_Names,0))&lt;&gt;1),"N/A",$Y597/MAX(IF(NOT(ISNA(MATCH(Combo_Species_Names,IF(Species_Availability="Yes",IF(Species_Evo_Numbers=1,Species_Names)),0))),Combo_Gym_Defense)))</f>
        <v>N/A</v>
      </c>
      <c r="M597" s="28">
        <f t="array" ref="M597">INDEX(Species_Pdex_Numbers,MATCH($N597,Species_Names,0))</f>
        <v>138</v>
      </c>
      <c r="N597" s="30" t="s">
        <v>356</v>
      </c>
      <c r="O597" s="31" t="s">
        <v>65</v>
      </c>
      <c r="P597" s="31" t="s">
        <v>299</v>
      </c>
      <c r="Q597" s="17" t="e">
        <f t="shared" si="18"/>
        <v>#VALUE!</v>
      </c>
      <c r="R597" s="32" t="e">
        <f t="array" ref="R597">IF(OR(AND(COUNTBLANK(Combo_Opponent_Type_1)=1,COUNTBLANK(Combo_Opponent_Type_2)=0),AND(AND(COUNTBLANK(Combo_Opponent_Type_1)=0,COUNTBLANK(Combo_Opponent_Type_2)=0),Combo_Opponent_Type_1=Combo_Opponent_Type_2)),
"Check Types",($S597*INDEX(Species_Tankiness,MATCH($N597,Species_Names,0)))/225)</f>
        <v>#VALUE!</v>
      </c>
      <c r="S597" s="32" t="e">
        <f t="array" ref="S597">IF(OR(AND(COUNTBLANK(Combo_Opponent_Type_1)=1,COUNTBLANK(Combo_Opponent_Type_2)=0),AND(AND(COUNTBLANK(Combo_Opponent_Type_1)=0,COUNTBLANK(Combo_Opponent_Type_2)=0),Combo_Opponent_Type_1=Combo_Opponent_Type_2)),
"Check Types",(
IF($W597&gt;=((1-Game_Weave_Human_Error)*$X597),$W597,$X597)*INDEX(Species_Attack,MATCH($N597,Species_Names,0)))/11)</f>
        <v>#VALUE!</v>
      </c>
      <c r="T597" s="33" t="e">
        <f t="shared" si="19"/>
        <v>#VALUE!</v>
      </c>
      <c r="U597" s="33">
        <f t="array" ref="U5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597,Quick_Names,0))),Type_Species)),0),1)*IF(COUNTBLANK(Combo_Opponent_Type_2)=0,INDEX(Type_Damage_Multipliers,MATCH(Combo_Opponent_Type_2,IF(Type_Move=(INDEX(Quick_Type,MATCH($O597,Quick_Names,0))),Type_Species)),0),1)*(IF(OR(INDEX(Quick_Type,MATCH($O597,Quick_Names,0))=INDEX(Species_Type_1,MATCH($N597,Species_Names,0)),INDEX(Quick_Type,MATCH($O597,Quick_Names,0))=INDEX(Species_Type_2,MATCH($N597,Species_Names,0))),Game_STAB_Multiplier,1)))</f>
        <v>1.25</v>
      </c>
      <c r="V597" s="33">
        <f t="array" ref="V5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597,Charge_Names,0))),Type_Species)),0),1)*IF(COUNTBLANK(Combo_Opponent_Type_2)=0,INDEX(Type_Damage_Multipliers,MATCH(Combo_Opponent_Type_2,IF(Type_Move=(INDEX(Charge_Type,MATCH($P597,Charge_Names,0))),Type_Species)),0),1)*
IF(OR(INDEX(Charge_Type,MATCH($P597,Charge_Names,0))=INDEX(Species_Type_1,MATCH($N597,Species_Names,0)),INDEX(Charge_Type,MATCH($P597,Charge_Names,0))=INDEX(Species_Type_2,MATCH($N597,Species_Names,0))),Game_STAB_Multiplier,1))</f>
        <v>1.25</v>
      </c>
      <c r="W597" s="33" t="s">
        <v>412</v>
      </c>
      <c r="X597" s="33" t="s">
        <v>467</v>
      </c>
      <c r="Y597" s="32" t="e">
        <f t="array" ref="Y597">((($Z597)*
INDEX(Species_Attack,MATCH($N597,Species_Names,0))*
INDEX(Species_Tankiness,MATCH($N597,Species_Names,0)))/1000)</f>
        <v>#VALUE!</v>
      </c>
      <c r="Z597" s="33" t="s">
        <v>950</v>
      </c>
    </row>
    <row r="598" spans="1:26" ht="14.25" customHeight="1" x14ac:dyDescent="0.2">
      <c r="A598" s="86"/>
      <c r="B598" s="22" t="str">
        <f t="array" ref="B598">CONCATENATE(TEXT($M598,"000"),".",TEXT(INDEX(Quick_Number,MATCH($O598,Quick_Names,0)),"000"),".",TEXT(INDEX(Charge_Number,MATCH($P598,Charge_Names,0)),"000"))</f>
        <v>138.230.104</v>
      </c>
      <c r="C598" s="23" t="e">
        <f t="array" ref="C598">RANK($S598,IF(Combo_Species_Names=$N598,Combo_Gym_Offense),0)</f>
        <v>#VALUE!</v>
      </c>
      <c r="D598" s="24" t="e">
        <f t="array" ref="D598">$S598/MAX(IF(Combo_Species_Names=$N598,Combo_Gym_Offense))</f>
        <v>#VALUE!</v>
      </c>
      <c r="E598" s="23" t="e">
        <f t="array" ref="E598">RANK($Y598,IF(Combo_Species_Names=$N598,Combo_Gym_Defense),0)</f>
        <v>#VALUE!</v>
      </c>
      <c r="F598" s="25" t="e">
        <f t="array" ref="F598">$Y598/MAX(IF(Combo_Species_Names=$N598,Combo_Gym_Defense))</f>
        <v>#VALUE!</v>
      </c>
      <c r="G598" s="23" t="str">
        <f t="array" ref="G598">IF(OR(INDEX(Species_Availability,MATCH($N598,Species_Names,0))="No",INDEX(Species_Evo_Numbers,MATCH($N598,Species_Names,0))&lt;&gt;1),"N/A",RANK($R598,IF(NOT(ISNA(MATCH(Combo_Species_Names,IF(Species_Availability="Yes",IF(Species_Evo_Numbers=1,Species_Names)),0))),Combo_Duel_Ability),0))</f>
        <v>N/A</v>
      </c>
      <c r="H598" s="24" t="str">
        <f t="array" ref="H598">IF(OR(INDEX(Species_Availability,MATCH($N598,Species_Names,0))="No",INDEX(Species_Evo_Numbers,MATCH($N598,Species_Names,0))&lt;&gt;1),"N/A",$R598/MAX(IF(NOT(ISNA(MATCH(Combo_Species_Names,IF(Species_Availability="Yes",IF(Species_Evo_Numbers=1,Species_Names)),0))),Combo_Duel_Ability)))</f>
        <v>N/A</v>
      </c>
      <c r="I598" s="23" t="str">
        <f t="array" ref="I598">IF(OR(INDEX(Species_Availability,MATCH($N598,Species_Names,0))="No",INDEX(Species_Evo_Numbers,MATCH($N598,Species_Names,0))&lt;&gt;1),"N/A",RANK($S598,IF(NOT(ISNA(MATCH(Combo_Species_Names,IF(Species_Availability="Yes",IF(Species_Evo_Numbers=1,Species_Names)),0))),Combo_Gym_Offense),0))</f>
        <v>N/A</v>
      </c>
      <c r="J598" s="24" t="str">
        <f t="array" ref="J598">IF(OR(INDEX(Species_Availability,MATCH($N598,Species_Names,0))="No",INDEX(Species_Evo_Numbers,MATCH($N598,Species_Names,0))&lt;&gt;1),"N/A",$S598/MAX(IF(NOT(ISNA(MATCH(Combo_Species_Names,IF(Species_Availability="Yes",IF(Species_Evo_Numbers=1,Species_Names)),0))),Combo_Gym_Offense)))</f>
        <v>N/A</v>
      </c>
      <c r="K598" s="23" t="str">
        <f t="array" ref="K598">IF(OR(INDEX(Species_Availability,MATCH($N598,Species_Names,0))="No",INDEX(Species_Evo_Numbers,MATCH($N598,Species_Names,0))&lt;&gt;1),"N/A",RANK($Y598,IF(NOT(ISNA(MATCH(Combo_Species_Names,IF(Species_Availability="Yes",IF(Species_Evo_Numbers=1,Species_Names)),0))),Combo_Gym_Defense),0))</f>
        <v>N/A</v>
      </c>
      <c r="L598" s="24" t="str">
        <f t="array" ref="L598">IF(OR(INDEX(Species_Availability,MATCH($N598,Species_Names,0))="No",INDEX(Species_Evo_Numbers,MATCH($N598,Species_Names,0))&lt;&gt;1),"N/A",$Y598/MAX(IF(NOT(ISNA(MATCH(Combo_Species_Names,IF(Species_Availability="Yes",IF(Species_Evo_Numbers=1,Species_Names)),0))),Combo_Gym_Defense)))</f>
        <v>N/A</v>
      </c>
      <c r="M598" s="28">
        <f t="array" ref="M598">INDEX(Species_Pdex_Numbers,MATCH($N598,Species_Names,0))</f>
        <v>138</v>
      </c>
      <c r="N598" s="30" t="s">
        <v>356</v>
      </c>
      <c r="O598" s="31" t="s">
        <v>65</v>
      </c>
      <c r="P598" s="31" t="s">
        <v>286</v>
      </c>
      <c r="Q598" s="17" t="e">
        <f t="shared" si="18"/>
        <v>#VALUE!</v>
      </c>
      <c r="R598" s="32" t="e">
        <f t="array" ref="R598">IF(OR(AND(COUNTBLANK(Combo_Opponent_Type_1)=1,COUNTBLANK(Combo_Opponent_Type_2)=0),AND(AND(COUNTBLANK(Combo_Opponent_Type_1)=0,COUNTBLANK(Combo_Opponent_Type_2)=0),Combo_Opponent_Type_1=Combo_Opponent_Type_2)),
"Check Types",($S598*INDEX(Species_Tankiness,MATCH($N598,Species_Names,0)))/225)</f>
        <v>#VALUE!</v>
      </c>
      <c r="S598" s="32" t="e">
        <f t="array" ref="S598">IF(OR(AND(COUNTBLANK(Combo_Opponent_Type_1)=1,COUNTBLANK(Combo_Opponent_Type_2)=0),AND(AND(COUNTBLANK(Combo_Opponent_Type_1)=0,COUNTBLANK(Combo_Opponent_Type_2)=0),Combo_Opponent_Type_1=Combo_Opponent_Type_2)),
"Check Types",(
IF($W598&gt;=((1-Game_Weave_Human_Error)*$X598),$W598,$X598)*INDEX(Species_Attack,MATCH($N598,Species_Names,0)))/11)</f>
        <v>#VALUE!</v>
      </c>
      <c r="T598" s="33" t="e">
        <f t="shared" si="19"/>
        <v>#VALUE!</v>
      </c>
      <c r="U598" s="33">
        <f t="array" ref="U5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598,Quick_Names,0))),Type_Species)),0),1)*IF(COUNTBLANK(Combo_Opponent_Type_2)=0,INDEX(Type_Damage_Multipliers,MATCH(Combo_Opponent_Type_2,IF(Type_Move=(INDEX(Quick_Type,MATCH($O598,Quick_Names,0))),Type_Species)),0),1)*(IF(OR(INDEX(Quick_Type,MATCH($O598,Quick_Names,0))=INDEX(Species_Type_1,MATCH($N598,Species_Names,0)),INDEX(Quick_Type,MATCH($O598,Quick_Names,0))=INDEX(Species_Type_2,MATCH($N598,Species_Names,0))),Game_STAB_Multiplier,1)))</f>
        <v>1.25</v>
      </c>
      <c r="V598" s="33">
        <f t="array" ref="V5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598,Charge_Names,0))),Type_Species)),0),1)*IF(COUNTBLANK(Combo_Opponent_Type_2)=0,INDEX(Type_Damage_Multipliers,MATCH(Combo_Opponent_Type_2,IF(Type_Move=(INDEX(Charge_Type,MATCH($P598,Charge_Names,0))),Type_Species)),0),1)*
IF(OR(INDEX(Charge_Type,MATCH($P598,Charge_Names,0))=INDEX(Species_Type_1,MATCH($N598,Species_Names,0)),INDEX(Charge_Type,MATCH($P598,Charge_Names,0))=INDEX(Species_Type_2,MATCH($N598,Species_Names,0))),Game_STAB_Multiplier,1))</f>
        <v>1.25</v>
      </c>
      <c r="W598" s="33" t="s">
        <v>412</v>
      </c>
      <c r="X598" s="33" t="s">
        <v>1018</v>
      </c>
      <c r="Y598" s="32" t="e">
        <f t="array" ref="Y598">((($Z598)*
INDEX(Species_Attack,MATCH($N598,Species_Names,0))*
INDEX(Species_Tankiness,MATCH($N598,Species_Names,0)))/1000)</f>
        <v>#VALUE!</v>
      </c>
      <c r="Z598" s="33" t="s">
        <v>572</v>
      </c>
    </row>
    <row r="599" spans="1:26" ht="14.25" customHeight="1" x14ac:dyDescent="0.2">
      <c r="A599" s="86"/>
      <c r="B599" s="22" t="str">
        <f t="array" ref="B599">CONCATENATE(TEXT($M599,"000"),".",TEXT(INDEX(Quick_Number,MATCH($O599,Quick_Names,0)),"000"),".",TEXT(INDEX(Charge_Number,MATCH($P599,Charge_Names,0)),"000"))</f>
        <v>054.230.030</v>
      </c>
      <c r="C599" s="23" t="e">
        <f t="array" ref="C599">RANK($S599,IF(Combo_Species_Names=$N599,Combo_Gym_Offense),0)</f>
        <v>#VALUE!</v>
      </c>
      <c r="D599" s="24" t="e">
        <f t="array" ref="D599">$S599/MAX(IF(Combo_Species_Names=$N599,Combo_Gym_Offense))</f>
        <v>#VALUE!</v>
      </c>
      <c r="E599" s="23" t="e">
        <f t="array" ref="E599">RANK($Y599,IF(Combo_Species_Names=$N599,Combo_Gym_Defense),0)</f>
        <v>#VALUE!</v>
      </c>
      <c r="F599" s="25" t="e">
        <f t="array" ref="F599">$Y599/MAX(IF(Combo_Species_Names=$N599,Combo_Gym_Defense))</f>
        <v>#VALUE!</v>
      </c>
      <c r="G599" s="23" t="str">
        <f t="array" ref="G599">IF(OR(INDEX(Species_Availability,MATCH($N599,Species_Names,0))="No",INDEX(Species_Evo_Numbers,MATCH($N599,Species_Names,0))&lt;&gt;1),"N/A",RANK($R599,IF(NOT(ISNA(MATCH(Combo_Species_Names,IF(Species_Availability="Yes",IF(Species_Evo_Numbers=1,Species_Names)),0))),Combo_Duel_Ability),0))</f>
        <v>N/A</v>
      </c>
      <c r="H599" s="24" t="str">
        <f t="array" ref="H599">IF(OR(INDEX(Species_Availability,MATCH($N599,Species_Names,0))="No",INDEX(Species_Evo_Numbers,MATCH($N599,Species_Names,0))&lt;&gt;1),"N/A",$R599/MAX(IF(NOT(ISNA(MATCH(Combo_Species_Names,IF(Species_Availability="Yes",IF(Species_Evo_Numbers=1,Species_Names)),0))),Combo_Duel_Ability)))</f>
        <v>N/A</v>
      </c>
      <c r="I599" s="23" t="str">
        <f t="array" ref="I599">IF(OR(INDEX(Species_Availability,MATCH($N599,Species_Names,0))="No",INDEX(Species_Evo_Numbers,MATCH($N599,Species_Names,0))&lt;&gt;1),"N/A",RANK($S599,IF(NOT(ISNA(MATCH(Combo_Species_Names,IF(Species_Availability="Yes",IF(Species_Evo_Numbers=1,Species_Names)),0))),Combo_Gym_Offense),0))</f>
        <v>N/A</v>
      </c>
      <c r="J599" s="24" t="str">
        <f t="array" ref="J599">IF(OR(INDEX(Species_Availability,MATCH($N599,Species_Names,0))="No",INDEX(Species_Evo_Numbers,MATCH($N599,Species_Names,0))&lt;&gt;1),"N/A",$S599/MAX(IF(NOT(ISNA(MATCH(Combo_Species_Names,IF(Species_Availability="Yes",IF(Species_Evo_Numbers=1,Species_Names)),0))),Combo_Gym_Offense)))</f>
        <v>N/A</v>
      </c>
      <c r="K599" s="23" t="str">
        <f t="array" ref="K599">IF(OR(INDEX(Species_Availability,MATCH($N599,Species_Names,0))="No",INDEX(Species_Evo_Numbers,MATCH($N599,Species_Names,0))&lt;&gt;1),"N/A",RANK($Y599,IF(NOT(ISNA(MATCH(Combo_Species_Names,IF(Species_Availability="Yes",IF(Species_Evo_Numbers=1,Species_Names)),0))),Combo_Gym_Defense),0))</f>
        <v>N/A</v>
      </c>
      <c r="L599" s="24" t="str">
        <f t="array" ref="L599">IF(OR(INDEX(Species_Availability,MATCH($N599,Species_Names,0))="No",INDEX(Species_Evo_Numbers,MATCH($N599,Species_Names,0))&lt;&gt;1),"N/A",$Y599/MAX(IF(NOT(ISNA(MATCH(Combo_Species_Names,IF(Species_Availability="Yes",IF(Species_Evo_Numbers=1,Species_Names)),0))),Combo_Gym_Defense)))</f>
        <v>N/A</v>
      </c>
      <c r="M599" s="28">
        <f t="array" ref="M599">INDEX(Species_Pdex_Numbers,MATCH($N599,Species_Names,0))</f>
        <v>54</v>
      </c>
      <c r="N599" s="30" t="s">
        <v>197</v>
      </c>
      <c r="O599" s="31" t="s">
        <v>65</v>
      </c>
      <c r="P599" s="31" t="s">
        <v>283</v>
      </c>
      <c r="Q599" s="17" t="e">
        <f t="shared" si="18"/>
        <v>#VALUE!</v>
      </c>
      <c r="R599" s="32" t="e">
        <f t="array" ref="R599">IF(OR(AND(COUNTBLANK(Combo_Opponent_Type_1)=1,COUNTBLANK(Combo_Opponent_Type_2)=0),AND(AND(COUNTBLANK(Combo_Opponent_Type_1)=0,COUNTBLANK(Combo_Opponent_Type_2)=0),Combo_Opponent_Type_1=Combo_Opponent_Type_2)),
"Check Types",($S599*INDEX(Species_Tankiness,MATCH($N599,Species_Names,0)))/225)</f>
        <v>#VALUE!</v>
      </c>
      <c r="S599" s="32" t="e">
        <f t="array" ref="S599">IF(OR(AND(COUNTBLANK(Combo_Opponent_Type_1)=1,COUNTBLANK(Combo_Opponent_Type_2)=0),AND(AND(COUNTBLANK(Combo_Opponent_Type_1)=0,COUNTBLANK(Combo_Opponent_Type_2)=0),Combo_Opponent_Type_1=Combo_Opponent_Type_2)),
"Check Types",(
IF($W599&gt;=((1-Game_Weave_Human_Error)*$X599),$W599,$X599)*INDEX(Species_Attack,MATCH($N599,Species_Names,0)))/11)</f>
        <v>#VALUE!</v>
      </c>
      <c r="T599" s="33" t="e">
        <f t="shared" si="19"/>
        <v>#VALUE!</v>
      </c>
      <c r="U599" s="33">
        <f t="array" ref="U5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599,Quick_Names,0))),Type_Species)),0),1)*IF(COUNTBLANK(Combo_Opponent_Type_2)=0,INDEX(Type_Damage_Multipliers,MATCH(Combo_Opponent_Type_2,IF(Type_Move=(INDEX(Quick_Type,MATCH($O599,Quick_Names,0))),Type_Species)),0),1)*(IF(OR(INDEX(Quick_Type,MATCH($O599,Quick_Names,0))=INDEX(Species_Type_1,MATCH($N599,Species_Names,0)),INDEX(Quick_Type,MATCH($O599,Quick_Names,0))=INDEX(Species_Type_2,MATCH($N599,Species_Names,0))),Game_STAB_Multiplier,1)))</f>
        <v>1.25</v>
      </c>
      <c r="V599" s="33">
        <f t="array" ref="V5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599,Charge_Names,0))),Type_Species)),0),1)*IF(COUNTBLANK(Combo_Opponent_Type_2)=0,INDEX(Type_Damage_Multipliers,MATCH(Combo_Opponent_Type_2,IF(Type_Move=(INDEX(Charge_Type,MATCH($P599,Charge_Names,0))),Type_Species)),0),1)*
IF(OR(INDEX(Charge_Type,MATCH($P599,Charge_Names,0))=INDEX(Species_Type_1,MATCH($N599,Species_Names,0)),INDEX(Charge_Type,MATCH($P599,Charge_Names,0))=INDEX(Species_Type_2,MATCH($N599,Species_Names,0))),Game_STAB_Multiplier,1))</f>
        <v>1</v>
      </c>
      <c r="W599" s="33" t="s">
        <v>412</v>
      </c>
      <c r="X599" s="33" t="s">
        <v>720</v>
      </c>
      <c r="Y599" s="32" t="e">
        <f t="array" ref="Y599">((($Z599)*
INDEX(Species_Attack,MATCH($N599,Species_Names,0))*
INDEX(Species_Tankiness,MATCH($N599,Species_Names,0)))/1000)</f>
        <v>#VALUE!</v>
      </c>
      <c r="Z599" s="33" t="s">
        <v>1019</v>
      </c>
    </row>
    <row r="600" spans="1:26" ht="14.25" customHeight="1" x14ac:dyDescent="0.2">
      <c r="A600" s="86"/>
      <c r="B600" s="22" t="str">
        <f t="array" ref="B600">CONCATENATE(TEXT($M600,"000"),".",TEXT(INDEX(Quick_Number,MATCH($O600,Quick_Names,0)),"000"),".",TEXT(INDEX(Charge_Number,MATCH($P600,Charge_Names,0)),"000"))</f>
        <v>001.214.059</v>
      </c>
      <c r="C600" s="23" t="e">
        <f t="array" ref="C600">RANK($S600,IF(Combo_Species_Names=$N600,Combo_Gym_Offense),0)</f>
        <v>#VALUE!</v>
      </c>
      <c r="D600" s="24" t="e">
        <f t="array" ref="D600">$S600/MAX(IF(Combo_Species_Names=$N600,Combo_Gym_Offense))</f>
        <v>#VALUE!</v>
      </c>
      <c r="E600" s="23" t="e">
        <f t="array" ref="E600">RANK($Y600,IF(Combo_Species_Names=$N600,Combo_Gym_Defense),0)</f>
        <v>#VALUE!</v>
      </c>
      <c r="F600" s="25" t="e">
        <f t="array" ref="F600">$Y600/MAX(IF(Combo_Species_Names=$N600,Combo_Gym_Defense))</f>
        <v>#VALUE!</v>
      </c>
      <c r="G600" s="23" t="str">
        <f t="array" ref="G600">IF(OR(INDEX(Species_Availability,MATCH($N600,Species_Names,0))="No",INDEX(Species_Evo_Numbers,MATCH($N600,Species_Names,0))&lt;&gt;1),"N/A",RANK($R600,IF(NOT(ISNA(MATCH(Combo_Species_Names,IF(Species_Availability="Yes",IF(Species_Evo_Numbers=1,Species_Names)),0))),Combo_Duel_Ability),0))</f>
        <v>N/A</v>
      </c>
      <c r="H600" s="24" t="str">
        <f t="array" ref="H600">IF(OR(INDEX(Species_Availability,MATCH($N600,Species_Names,0))="No",INDEX(Species_Evo_Numbers,MATCH($N600,Species_Names,0))&lt;&gt;1),"N/A",$R600/MAX(IF(NOT(ISNA(MATCH(Combo_Species_Names,IF(Species_Availability="Yes",IF(Species_Evo_Numbers=1,Species_Names)),0))),Combo_Duel_Ability)))</f>
        <v>N/A</v>
      </c>
      <c r="I600" s="23" t="str">
        <f t="array" ref="I600">IF(OR(INDEX(Species_Availability,MATCH($N600,Species_Names,0))="No",INDEX(Species_Evo_Numbers,MATCH($N600,Species_Names,0))&lt;&gt;1),"N/A",RANK($S600,IF(NOT(ISNA(MATCH(Combo_Species_Names,IF(Species_Availability="Yes",IF(Species_Evo_Numbers=1,Species_Names)),0))),Combo_Gym_Offense),0))</f>
        <v>N/A</v>
      </c>
      <c r="J600" s="24" t="str">
        <f t="array" ref="J600">IF(OR(INDEX(Species_Availability,MATCH($N600,Species_Names,0))="No",INDEX(Species_Evo_Numbers,MATCH($N600,Species_Names,0))&lt;&gt;1),"N/A",$S600/MAX(IF(NOT(ISNA(MATCH(Combo_Species_Names,IF(Species_Availability="Yes",IF(Species_Evo_Numbers=1,Species_Names)),0))),Combo_Gym_Offense)))</f>
        <v>N/A</v>
      </c>
      <c r="K600" s="23" t="str">
        <f t="array" ref="K600">IF(OR(INDEX(Species_Availability,MATCH($N600,Species_Names,0))="No",INDEX(Species_Evo_Numbers,MATCH($N600,Species_Names,0))&lt;&gt;1),"N/A",RANK($Y600,IF(NOT(ISNA(MATCH(Combo_Species_Names,IF(Species_Availability="Yes",IF(Species_Evo_Numbers=1,Species_Names)),0))),Combo_Gym_Defense),0))</f>
        <v>N/A</v>
      </c>
      <c r="L600" s="24" t="str">
        <f t="array" ref="L600">IF(OR(INDEX(Species_Availability,MATCH($N600,Species_Names,0))="No",INDEX(Species_Evo_Numbers,MATCH($N600,Species_Names,0))&lt;&gt;1),"N/A",$Y600/MAX(IF(NOT(ISNA(MATCH(Combo_Species_Names,IF(Species_Availability="Yes",IF(Species_Evo_Numbers=1,Species_Names)),0))),Combo_Gym_Defense)))</f>
        <v>N/A</v>
      </c>
      <c r="M600" s="28">
        <f t="array" ref="M600">INDEX(Species_Pdex_Numbers,MATCH($N600,Species_Names,0))</f>
        <v>1</v>
      </c>
      <c r="N600" s="30" t="s">
        <v>27</v>
      </c>
      <c r="O600" s="31" t="s">
        <v>94</v>
      </c>
      <c r="P600" s="31" t="s">
        <v>213</v>
      </c>
      <c r="Q600" s="17" t="e">
        <f t="shared" si="18"/>
        <v>#VALUE!</v>
      </c>
      <c r="R600" s="32" t="e">
        <f t="array" ref="R600">IF(OR(AND(COUNTBLANK(Combo_Opponent_Type_1)=1,COUNTBLANK(Combo_Opponent_Type_2)=0),AND(AND(COUNTBLANK(Combo_Opponent_Type_1)=0,COUNTBLANK(Combo_Opponent_Type_2)=0),Combo_Opponent_Type_1=Combo_Opponent_Type_2)),
"Check Types",($S600*INDEX(Species_Tankiness,MATCH($N600,Species_Names,0)))/225)</f>
        <v>#VALUE!</v>
      </c>
      <c r="S600" s="32" t="e">
        <f t="array" ref="S600">IF(OR(AND(COUNTBLANK(Combo_Opponent_Type_1)=1,COUNTBLANK(Combo_Opponent_Type_2)=0),AND(AND(COUNTBLANK(Combo_Opponent_Type_1)=0,COUNTBLANK(Combo_Opponent_Type_2)=0),Combo_Opponent_Type_1=Combo_Opponent_Type_2)),
"Check Types",(
IF($W600&gt;=((1-Game_Weave_Human_Error)*$X600),$W600,$X600)*INDEX(Species_Attack,MATCH($N600,Species_Names,0)))/11)</f>
        <v>#VALUE!</v>
      </c>
      <c r="T600" s="33" t="e">
        <f t="shared" si="19"/>
        <v>#VALUE!</v>
      </c>
      <c r="U600" s="33">
        <f t="array" ref="U6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600,Quick_Names,0))),Type_Species)),0),1)*IF(COUNTBLANK(Combo_Opponent_Type_2)=0,INDEX(Type_Damage_Multipliers,MATCH(Combo_Opponent_Type_2,IF(Type_Move=(INDEX(Quick_Type,MATCH($O600,Quick_Names,0))),Type_Species)),0),1)*(IF(OR(INDEX(Quick_Type,MATCH($O600,Quick_Names,0))=INDEX(Species_Type_1,MATCH($N600,Species_Names,0)),INDEX(Quick_Type,MATCH($O600,Quick_Names,0))=INDEX(Species_Type_2,MATCH($N600,Species_Names,0))),Game_STAB_Multiplier,1)))</f>
        <v>1.25</v>
      </c>
      <c r="V600" s="33">
        <f t="array" ref="V6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600,Charge_Names,0))),Type_Species)),0),1)*IF(COUNTBLANK(Combo_Opponent_Type_2)=0,INDEX(Type_Damage_Multipliers,MATCH(Combo_Opponent_Type_2,IF(Type_Move=(INDEX(Charge_Type,MATCH($P600,Charge_Names,0))),Type_Species)),0),1)*
IF(OR(INDEX(Charge_Type,MATCH($P600,Charge_Names,0))=INDEX(Species_Type_1,MATCH($N600,Species_Names,0)),INDEX(Charge_Type,MATCH($P600,Charge_Names,0))=INDEX(Species_Type_2,MATCH($N600,Species_Names,0))),Game_STAB_Multiplier,1))</f>
        <v>1.25</v>
      </c>
      <c r="W600" s="33" t="s">
        <v>476</v>
      </c>
      <c r="X600" s="33" t="s">
        <v>1020</v>
      </c>
      <c r="Y600" s="32" t="e">
        <f t="array" ref="Y600">((($Z600)*
INDEX(Species_Attack,MATCH($N600,Species_Names,0))*
INDEX(Species_Tankiness,MATCH($N600,Species_Names,0)))/1000)</f>
        <v>#VALUE!</v>
      </c>
      <c r="Z600" s="33" t="s">
        <v>557</v>
      </c>
    </row>
    <row r="601" spans="1:26" ht="14.25" customHeight="1" x14ac:dyDescent="0.2">
      <c r="A601" s="86"/>
      <c r="B601" s="22" t="str">
        <f t="array" ref="B601">CONCATENATE(TEXT($M601,"000"),".",TEXT(INDEX(Quick_Number,MATCH($O601,Quick_Names,0)),"000"),".",TEXT(INDEX(Charge_Number,MATCH($P601,Charge_Names,0)),"000"))</f>
        <v>039.222.088</v>
      </c>
      <c r="C601" s="23" t="e">
        <f t="array" ref="C601">RANK($S601,IF(Combo_Species_Names=$N601,Combo_Gym_Offense),0)</f>
        <v>#VALUE!</v>
      </c>
      <c r="D601" s="24" t="e">
        <f t="array" ref="D601">$S601/MAX(IF(Combo_Species_Names=$N601,Combo_Gym_Offense))</f>
        <v>#VALUE!</v>
      </c>
      <c r="E601" s="23" t="e">
        <f t="array" ref="E601">RANK($Y601,IF(Combo_Species_Names=$N601,Combo_Gym_Defense),0)</f>
        <v>#VALUE!</v>
      </c>
      <c r="F601" s="25" t="e">
        <f t="array" ref="F601">$Y601/MAX(IF(Combo_Species_Names=$N601,Combo_Gym_Defense))</f>
        <v>#VALUE!</v>
      </c>
      <c r="G601" s="23" t="str">
        <f t="array" ref="G601">IF(OR(INDEX(Species_Availability,MATCH($N601,Species_Names,0))="No",INDEX(Species_Evo_Numbers,MATCH($N601,Species_Names,0))&lt;&gt;1),"N/A",RANK($R601,IF(NOT(ISNA(MATCH(Combo_Species_Names,IF(Species_Availability="Yes",IF(Species_Evo_Numbers=1,Species_Names)),0))),Combo_Duel_Ability),0))</f>
        <v>N/A</v>
      </c>
      <c r="H601" s="24" t="str">
        <f t="array" ref="H601">IF(OR(INDEX(Species_Availability,MATCH($N601,Species_Names,0))="No",INDEX(Species_Evo_Numbers,MATCH($N601,Species_Names,0))&lt;&gt;1),"N/A",$R601/MAX(IF(NOT(ISNA(MATCH(Combo_Species_Names,IF(Species_Availability="Yes",IF(Species_Evo_Numbers=1,Species_Names)),0))),Combo_Duel_Ability)))</f>
        <v>N/A</v>
      </c>
      <c r="I601" s="23" t="str">
        <f t="array" ref="I601">IF(OR(INDEX(Species_Availability,MATCH($N601,Species_Names,0))="No",INDEX(Species_Evo_Numbers,MATCH($N601,Species_Names,0))&lt;&gt;1),"N/A",RANK($S601,IF(NOT(ISNA(MATCH(Combo_Species_Names,IF(Species_Availability="Yes",IF(Species_Evo_Numbers=1,Species_Names)),0))),Combo_Gym_Offense),0))</f>
        <v>N/A</v>
      </c>
      <c r="J601" s="24" t="str">
        <f t="array" ref="J601">IF(OR(INDEX(Species_Availability,MATCH($N601,Species_Names,0))="No",INDEX(Species_Evo_Numbers,MATCH($N601,Species_Names,0))&lt;&gt;1),"N/A",$S601/MAX(IF(NOT(ISNA(MATCH(Combo_Species_Names,IF(Species_Availability="Yes",IF(Species_Evo_Numbers=1,Species_Names)),0))),Combo_Gym_Offense)))</f>
        <v>N/A</v>
      </c>
      <c r="K601" s="23" t="str">
        <f t="array" ref="K601">IF(OR(INDEX(Species_Availability,MATCH($N601,Species_Names,0))="No",INDEX(Species_Evo_Numbers,MATCH($N601,Species_Names,0))&lt;&gt;1),"N/A",RANK($Y601,IF(NOT(ISNA(MATCH(Combo_Species_Names,IF(Species_Availability="Yes",IF(Species_Evo_Numbers=1,Species_Names)),0))),Combo_Gym_Defense),0))</f>
        <v>N/A</v>
      </c>
      <c r="L601" s="24" t="str">
        <f t="array" ref="L601">IF(OR(INDEX(Species_Availability,MATCH($N601,Species_Names,0))="No",INDEX(Species_Evo_Numbers,MATCH($N601,Species_Names,0))&lt;&gt;1),"N/A",$Y601/MAX(IF(NOT(ISNA(MATCH(Combo_Species_Names,IF(Species_Availability="Yes",IF(Species_Evo_Numbers=1,Species_Names)),0))),Combo_Gym_Defense)))</f>
        <v>N/A</v>
      </c>
      <c r="M601" s="28">
        <f t="array" ref="M601">INDEX(Species_Pdex_Numbers,MATCH($N601,Species_Names,0))</f>
        <v>39</v>
      </c>
      <c r="N601" s="30" t="s">
        <v>168</v>
      </c>
      <c r="O601" s="31" t="s">
        <v>32</v>
      </c>
      <c r="P601" s="31" t="s">
        <v>202</v>
      </c>
      <c r="Q601" s="17" t="e">
        <f t="shared" si="18"/>
        <v>#VALUE!</v>
      </c>
      <c r="R601" s="32" t="e">
        <f t="array" ref="R601">IF(OR(AND(COUNTBLANK(Combo_Opponent_Type_1)=1,COUNTBLANK(Combo_Opponent_Type_2)=0),AND(AND(COUNTBLANK(Combo_Opponent_Type_1)=0,COUNTBLANK(Combo_Opponent_Type_2)=0),Combo_Opponent_Type_1=Combo_Opponent_Type_2)),
"Check Types",($S601*INDEX(Species_Tankiness,MATCH($N601,Species_Names,0)))/225)</f>
        <v>#VALUE!</v>
      </c>
      <c r="S601" s="32" t="e">
        <f t="array" ref="S601">IF(OR(AND(COUNTBLANK(Combo_Opponent_Type_1)=1,COUNTBLANK(Combo_Opponent_Type_2)=0),AND(AND(COUNTBLANK(Combo_Opponent_Type_1)=0,COUNTBLANK(Combo_Opponent_Type_2)=0),Combo_Opponent_Type_1=Combo_Opponent_Type_2)),
"Check Types",(
IF($W601&gt;=((1-Game_Weave_Human_Error)*$X601),$W601,$X601)*INDEX(Species_Attack,MATCH($N601,Species_Names,0)))/11)</f>
        <v>#VALUE!</v>
      </c>
      <c r="T601" s="33" t="e">
        <f t="shared" si="19"/>
        <v>#VALUE!</v>
      </c>
      <c r="U601" s="33">
        <f t="array" ref="U6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601,Quick_Names,0))),Type_Species)),0),1)*IF(COUNTBLANK(Combo_Opponent_Type_2)=0,INDEX(Type_Damage_Multipliers,MATCH(Combo_Opponent_Type_2,IF(Type_Move=(INDEX(Quick_Type,MATCH($O601,Quick_Names,0))),Type_Species)),0),1)*(IF(OR(INDEX(Quick_Type,MATCH($O601,Quick_Names,0))=INDEX(Species_Type_1,MATCH($N601,Species_Names,0)),INDEX(Quick_Type,MATCH($O601,Quick_Names,0))=INDEX(Species_Type_2,MATCH($N601,Species_Names,0))),Game_STAB_Multiplier,1)))</f>
        <v>1.25</v>
      </c>
      <c r="V601" s="33">
        <f t="array" ref="V6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601,Charge_Names,0))),Type_Species)),0),1)*IF(COUNTBLANK(Combo_Opponent_Type_2)=0,INDEX(Type_Damage_Multipliers,MATCH(Combo_Opponent_Type_2,IF(Type_Move=(INDEX(Charge_Type,MATCH($P601,Charge_Names,0))),Type_Species)),0),1)*
IF(OR(INDEX(Charge_Type,MATCH($P601,Charge_Names,0))=INDEX(Species_Type_1,MATCH($N601,Species_Names,0)),INDEX(Charge_Type,MATCH($P601,Charge_Names,0))=INDEX(Species_Type_2,MATCH($N601,Species_Names,0))),Game_STAB_Multiplier,1))</f>
        <v>1.25</v>
      </c>
      <c r="W601" s="33" t="s">
        <v>508</v>
      </c>
      <c r="X601" s="33" t="s">
        <v>556</v>
      </c>
      <c r="Y601" s="32" t="e">
        <f t="array" ref="Y601">((($Z601)*
INDEX(Species_Attack,MATCH($N601,Species_Names,0))*
INDEX(Species_Tankiness,MATCH($N601,Species_Names,0)))/1000)</f>
        <v>#VALUE!</v>
      </c>
      <c r="Z601" s="33" t="s">
        <v>557</v>
      </c>
    </row>
    <row r="602" spans="1:26" ht="14.25" customHeight="1" x14ac:dyDescent="0.2">
      <c r="A602" s="86"/>
      <c r="B602" s="22" t="str">
        <f t="array" ref="B602">CONCATENATE(TEXT($M602,"000"),".",TEXT(INDEX(Quick_Number,MATCH($O602,Quick_Names,0)),"000"),".",TEXT(INDEX(Charge_Number,MATCH($P602,Charge_Names,0)),"000"))</f>
        <v>017.239.121</v>
      </c>
      <c r="C602" s="23" t="e">
        <f t="array" ref="C602">RANK($S602,IF(Combo_Species_Names=$N602,Combo_Gym_Offense),0)</f>
        <v>#VALUE!</v>
      </c>
      <c r="D602" s="24" t="e">
        <f t="array" ref="D602">$S602/MAX(IF(Combo_Species_Names=$N602,Combo_Gym_Offense))</f>
        <v>#VALUE!</v>
      </c>
      <c r="E602" s="23" t="e">
        <f t="array" ref="E602">RANK($Y602,IF(Combo_Species_Names=$N602,Combo_Gym_Defense),0)</f>
        <v>#VALUE!</v>
      </c>
      <c r="F602" s="25" t="e">
        <f t="array" ref="F602">$Y602/MAX(IF(Combo_Species_Names=$N602,Combo_Gym_Defense))</f>
        <v>#VALUE!</v>
      </c>
      <c r="G602" s="23" t="str">
        <f t="array" ref="G602">IF(OR(INDEX(Species_Availability,MATCH($N602,Species_Names,0))="No",INDEX(Species_Evo_Numbers,MATCH($N602,Species_Names,0))&lt;&gt;1),"N/A",RANK($R602,IF(NOT(ISNA(MATCH(Combo_Species_Names,IF(Species_Availability="Yes",IF(Species_Evo_Numbers=1,Species_Names)),0))),Combo_Duel_Ability),0))</f>
        <v>N/A</v>
      </c>
      <c r="H602" s="24" t="str">
        <f t="array" ref="H602">IF(OR(INDEX(Species_Availability,MATCH($N602,Species_Names,0))="No",INDEX(Species_Evo_Numbers,MATCH($N602,Species_Names,0))&lt;&gt;1),"N/A",$R602/MAX(IF(NOT(ISNA(MATCH(Combo_Species_Names,IF(Species_Availability="Yes",IF(Species_Evo_Numbers=1,Species_Names)),0))),Combo_Duel_Ability)))</f>
        <v>N/A</v>
      </c>
      <c r="I602" s="23" t="str">
        <f t="array" ref="I602">IF(OR(INDEX(Species_Availability,MATCH($N602,Species_Names,0))="No",INDEX(Species_Evo_Numbers,MATCH($N602,Species_Names,0))&lt;&gt;1),"N/A",RANK($S602,IF(NOT(ISNA(MATCH(Combo_Species_Names,IF(Species_Availability="Yes",IF(Species_Evo_Numbers=1,Species_Names)),0))),Combo_Gym_Offense),0))</f>
        <v>N/A</v>
      </c>
      <c r="J602" s="24" t="str">
        <f t="array" ref="J602">IF(OR(INDEX(Species_Availability,MATCH($N602,Species_Names,0))="No",INDEX(Species_Evo_Numbers,MATCH($N602,Species_Names,0))&lt;&gt;1),"N/A",$S602/MAX(IF(NOT(ISNA(MATCH(Combo_Species_Names,IF(Species_Availability="Yes",IF(Species_Evo_Numbers=1,Species_Names)),0))),Combo_Gym_Offense)))</f>
        <v>N/A</v>
      </c>
      <c r="K602" s="23" t="str">
        <f t="array" ref="K602">IF(OR(INDEX(Species_Availability,MATCH($N602,Species_Names,0))="No",INDEX(Species_Evo_Numbers,MATCH($N602,Species_Names,0))&lt;&gt;1),"N/A",RANK($Y602,IF(NOT(ISNA(MATCH(Combo_Species_Names,IF(Species_Availability="Yes",IF(Species_Evo_Numbers=1,Species_Names)),0))),Combo_Gym_Defense),0))</f>
        <v>N/A</v>
      </c>
      <c r="L602" s="24" t="str">
        <f t="array" ref="L602">IF(OR(INDEX(Species_Availability,MATCH($N602,Species_Names,0))="No",INDEX(Species_Evo_Numbers,MATCH($N602,Species_Names,0))&lt;&gt;1),"N/A",$Y602/MAX(IF(NOT(ISNA(MATCH(Combo_Species_Names,IF(Species_Availability="Yes",IF(Species_Evo_Numbers=1,Species_Names)),0))),Combo_Gym_Defense)))</f>
        <v>N/A</v>
      </c>
      <c r="M602" s="28">
        <f t="array" ref="M602">INDEX(Species_Pdex_Numbers,MATCH($N602,Species_Names,0))</f>
        <v>17</v>
      </c>
      <c r="N602" s="30" t="s">
        <v>125</v>
      </c>
      <c r="O602" s="31" t="s">
        <v>80</v>
      </c>
      <c r="P602" s="31" t="s">
        <v>294</v>
      </c>
      <c r="Q602" s="17" t="e">
        <f t="shared" si="18"/>
        <v>#VALUE!</v>
      </c>
      <c r="R602" s="32" t="e">
        <f t="array" ref="R602">IF(OR(AND(COUNTBLANK(Combo_Opponent_Type_1)=1,COUNTBLANK(Combo_Opponent_Type_2)=0),AND(AND(COUNTBLANK(Combo_Opponent_Type_1)=0,COUNTBLANK(Combo_Opponent_Type_2)=0),Combo_Opponent_Type_1=Combo_Opponent_Type_2)),
"Check Types",($S602*INDEX(Species_Tankiness,MATCH($N602,Species_Names,0)))/225)</f>
        <v>#VALUE!</v>
      </c>
      <c r="S602" s="32" t="e">
        <f t="array" ref="S602">IF(OR(AND(COUNTBLANK(Combo_Opponent_Type_1)=1,COUNTBLANK(Combo_Opponent_Type_2)=0),AND(AND(COUNTBLANK(Combo_Opponent_Type_1)=0,COUNTBLANK(Combo_Opponent_Type_2)=0),Combo_Opponent_Type_1=Combo_Opponent_Type_2)),
"Check Types",(
IF($W602&gt;=((1-Game_Weave_Human_Error)*$X602),$W602,$X602)*INDEX(Species_Attack,MATCH($N602,Species_Names,0)))/11)</f>
        <v>#VALUE!</v>
      </c>
      <c r="T602" s="33" t="e">
        <f t="shared" si="19"/>
        <v>#VALUE!</v>
      </c>
      <c r="U602" s="33">
        <f t="array" ref="U6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602,Quick_Names,0))),Type_Species)),0),1)*IF(COUNTBLANK(Combo_Opponent_Type_2)=0,INDEX(Type_Damage_Multipliers,MATCH(Combo_Opponent_Type_2,IF(Type_Move=(INDEX(Quick_Type,MATCH($O602,Quick_Names,0))),Type_Species)),0),1)*(IF(OR(INDEX(Quick_Type,MATCH($O602,Quick_Names,0))=INDEX(Species_Type_1,MATCH($N602,Species_Names,0)),INDEX(Quick_Type,MATCH($O602,Quick_Names,0))=INDEX(Species_Type_2,MATCH($N602,Species_Names,0))),Game_STAB_Multiplier,1)))</f>
        <v>1</v>
      </c>
      <c r="V602" s="33">
        <f t="array" ref="V6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602,Charge_Names,0))),Type_Species)),0),1)*IF(COUNTBLANK(Combo_Opponent_Type_2)=0,INDEX(Type_Damage_Multipliers,MATCH(Combo_Opponent_Type_2,IF(Type_Move=(INDEX(Charge_Type,MATCH($P602,Charge_Names,0))),Type_Species)),0),1)*
IF(OR(INDEX(Charge_Type,MATCH($P602,Charge_Names,0))=INDEX(Species_Type_1,MATCH($N602,Species_Names,0)),INDEX(Charge_Type,MATCH($P602,Charge_Names,0))=INDEX(Species_Type_2,MATCH($N602,Species_Names,0))),Game_STAB_Multiplier,1))</f>
        <v>1.25</v>
      </c>
      <c r="W602" s="33" t="s">
        <v>441</v>
      </c>
      <c r="X602" s="33" t="s">
        <v>766</v>
      </c>
      <c r="Y602" s="32" t="e">
        <f t="array" ref="Y602">((($Z602)*
INDEX(Species_Attack,MATCH($N602,Species_Names,0))*
INDEX(Species_Tankiness,MATCH($N602,Species_Names,0)))/1000)</f>
        <v>#VALUE!</v>
      </c>
      <c r="Z602" s="33" t="s">
        <v>513</v>
      </c>
    </row>
    <row r="603" spans="1:26" ht="14.25" customHeight="1" x14ac:dyDescent="0.2">
      <c r="A603" s="86"/>
      <c r="B603" s="22" t="str">
        <f t="array" ref="B603">CONCATENATE(TEXT($M603,"000"),".",TEXT(INDEX(Quick_Number,MATCH($O603,Quick_Names,0)),"000"),".",TEXT(INDEX(Charge_Number,MATCH($P603,Charge_Names,0)),"000"))</f>
        <v>017.239.045</v>
      </c>
      <c r="C603" s="23" t="e">
        <f t="array" ref="C603">RANK($S603,IF(Combo_Species_Names=$N603,Combo_Gym_Offense),0)</f>
        <v>#VALUE!</v>
      </c>
      <c r="D603" s="24" t="e">
        <f t="array" ref="D603">$S603/MAX(IF(Combo_Species_Names=$N603,Combo_Gym_Offense))</f>
        <v>#VALUE!</v>
      </c>
      <c r="E603" s="23" t="e">
        <f t="array" ref="E603">RANK($Y603,IF(Combo_Species_Names=$N603,Combo_Gym_Defense),0)</f>
        <v>#VALUE!</v>
      </c>
      <c r="F603" s="25" t="e">
        <f t="array" ref="F603">$Y603/MAX(IF(Combo_Species_Names=$N603,Combo_Gym_Defense))</f>
        <v>#VALUE!</v>
      </c>
      <c r="G603" s="23" t="str">
        <f t="array" ref="G603">IF(OR(INDEX(Species_Availability,MATCH($N603,Species_Names,0))="No",INDEX(Species_Evo_Numbers,MATCH($N603,Species_Names,0))&lt;&gt;1),"N/A",RANK($R603,IF(NOT(ISNA(MATCH(Combo_Species_Names,IF(Species_Availability="Yes",IF(Species_Evo_Numbers=1,Species_Names)),0))),Combo_Duel_Ability),0))</f>
        <v>N/A</v>
      </c>
      <c r="H603" s="24" t="str">
        <f t="array" ref="H603">IF(OR(INDEX(Species_Availability,MATCH($N603,Species_Names,0))="No",INDEX(Species_Evo_Numbers,MATCH($N603,Species_Names,0))&lt;&gt;1),"N/A",$R603/MAX(IF(NOT(ISNA(MATCH(Combo_Species_Names,IF(Species_Availability="Yes",IF(Species_Evo_Numbers=1,Species_Names)),0))),Combo_Duel_Ability)))</f>
        <v>N/A</v>
      </c>
      <c r="I603" s="23" t="str">
        <f t="array" ref="I603">IF(OR(INDEX(Species_Availability,MATCH($N603,Species_Names,0))="No",INDEX(Species_Evo_Numbers,MATCH($N603,Species_Names,0))&lt;&gt;1),"N/A",RANK($S603,IF(NOT(ISNA(MATCH(Combo_Species_Names,IF(Species_Availability="Yes",IF(Species_Evo_Numbers=1,Species_Names)),0))),Combo_Gym_Offense),0))</f>
        <v>N/A</v>
      </c>
      <c r="J603" s="24" t="str">
        <f t="array" ref="J603">IF(OR(INDEX(Species_Availability,MATCH($N603,Species_Names,0))="No",INDEX(Species_Evo_Numbers,MATCH($N603,Species_Names,0))&lt;&gt;1),"N/A",$S603/MAX(IF(NOT(ISNA(MATCH(Combo_Species_Names,IF(Species_Availability="Yes",IF(Species_Evo_Numbers=1,Species_Names)),0))),Combo_Gym_Offense)))</f>
        <v>N/A</v>
      </c>
      <c r="K603" s="23" t="str">
        <f t="array" ref="K603">IF(OR(INDEX(Species_Availability,MATCH($N603,Species_Names,0))="No",INDEX(Species_Evo_Numbers,MATCH($N603,Species_Names,0))&lt;&gt;1),"N/A",RANK($Y603,IF(NOT(ISNA(MATCH(Combo_Species_Names,IF(Species_Availability="Yes",IF(Species_Evo_Numbers=1,Species_Names)),0))),Combo_Gym_Defense),0))</f>
        <v>N/A</v>
      </c>
      <c r="L603" s="24" t="str">
        <f t="array" ref="L603">IF(OR(INDEX(Species_Availability,MATCH($N603,Species_Names,0))="No",INDEX(Species_Evo_Numbers,MATCH($N603,Species_Names,0))&lt;&gt;1),"N/A",$Y603/MAX(IF(NOT(ISNA(MATCH(Combo_Species_Names,IF(Species_Availability="Yes",IF(Species_Evo_Numbers=1,Species_Names)),0))),Combo_Gym_Defense)))</f>
        <v>N/A</v>
      </c>
      <c r="M603" s="28">
        <f t="array" ref="M603">INDEX(Species_Pdex_Numbers,MATCH($N603,Species_Names,0))</f>
        <v>17</v>
      </c>
      <c r="N603" s="30" t="s">
        <v>125</v>
      </c>
      <c r="O603" s="31" t="s">
        <v>80</v>
      </c>
      <c r="P603" s="31" t="s">
        <v>287</v>
      </c>
      <c r="Q603" s="17" t="e">
        <f t="shared" si="18"/>
        <v>#VALUE!</v>
      </c>
      <c r="R603" s="32" t="e">
        <f t="array" ref="R603">IF(OR(AND(COUNTBLANK(Combo_Opponent_Type_1)=1,COUNTBLANK(Combo_Opponent_Type_2)=0),AND(AND(COUNTBLANK(Combo_Opponent_Type_1)=0,COUNTBLANK(Combo_Opponent_Type_2)=0),Combo_Opponent_Type_1=Combo_Opponent_Type_2)),
"Check Types",($S603*INDEX(Species_Tankiness,MATCH($N603,Species_Names,0)))/225)</f>
        <v>#VALUE!</v>
      </c>
      <c r="S603" s="32" t="e">
        <f t="array" ref="S603">IF(OR(AND(COUNTBLANK(Combo_Opponent_Type_1)=1,COUNTBLANK(Combo_Opponent_Type_2)=0),AND(AND(COUNTBLANK(Combo_Opponent_Type_1)=0,COUNTBLANK(Combo_Opponent_Type_2)=0),Combo_Opponent_Type_1=Combo_Opponent_Type_2)),
"Check Types",(
IF($W603&gt;=((1-Game_Weave_Human_Error)*$X603),$W603,$X603)*INDEX(Species_Attack,MATCH($N603,Species_Names,0)))/11)</f>
        <v>#VALUE!</v>
      </c>
      <c r="T603" s="33" t="e">
        <f t="shared" si="19"/>
        <v>#VALUE!</v>
      </c>
      <c r="U603" s="33">
        <f t="array" ref="U6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603,Quick_Names,0))),Type_Species)),0),1)*IF(COUNTBLANK(Combo_Opponent_Type_2)=0,INDEX(Type_Damage_Multipliers,MATCH(Combo_Opponent_Type_2,IF(Type_Move=(INDEX(Quick_Type,MATCH($O603,Quick_Names,0))),Type_Species)),0),1)*(IF(OR(INDEX(Quick_Type,MATCH($O603,Quick_Names,0))=INDEX(Species_Type_1,MATCH($N603,Species_Names,0)),INDEX(Quick_Type,MATCH($O603,Quick_Names,0))=INDEX(Species_Type_2,MATCH($N603,Species_Names,0))),Game_STAB_Multiplier,1)))</f>
        <v>1</v>
      </c>
      <c r="V603" s="33">
        <f t="array" ref="V6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603,Charge_Names,0))),Type_Species)),0),1)*IF(COUNTBLANK(Combo_Opponent_Type_2)=0,INDEX(Type_Damage_Multipliers,MATCH(Combo_Opponent_Type_2,IF(Type_Move=(INDEX(Charge_Type,MATCH($P603,Charge_Names,0))),Type_Species)),0),1)*
IF(OR(INDEX(Charge_Type,MATCH($P603,Charge_Names,0))=INDEX(Species_Type_1,MATCH($N603,Species_Names,0)),INDEX(Charge_Type,MATCH($P603,Charge_Names,0))=INDEX(Species_Type_2,MATCH($N603,Species_Names,0))),Game_STAB_Multiplier,1))</f>
        <v>1.25</v>
      </c>
      <c r="W603" s="33" t="s">
        <v>441</v>
      </c>
      <c r="X603" s="33" t="s">
        <v>767</v>
      </c>
      <c r="Y603" s="32" t="e">
        <f t="array" ref="Y603">((($Z603)*
INDEX(Species_Attack,MATCH($N603,Species_Names,0))*
INDEX(Species_Tankiness,MATCH($N603,Species_Names,0)))/1000)</f>
        <v>#VALUE!</v>
      </c>
      <c r="Z603" s="33" t="s">
        <v>510</v>
      </c>
    </row>
    <row r="604" spans="1:26" ht="14.25" customHeight="1" x14ac:dyDescent="0.2">
      <c r="A604" s="86"/>
      <c r="B604" s="22" t="str">
        <f t="array" ref="B604">CONCATENATE(TEXT($M604,"000"),".",TEXT(INDEX(Quick_Number,MATCH($O604,Quick_Names,0)),"000"),".",TEXT(INDEX(Charge_Number,MATCH($P604,Charge_Names,0)),"000"))</f>
        <v>017.239.080</v>
      </c>
      <c r="C604" s="23" t="e">
        <f t="array" ref="C604">RANK($S604,IF(Combo_Species_Names=$N604,Combo_Gym_Offense),0)</f>
        <v>#VALUE!</v>
      </c>
      <c r="D604" s="24" t="e">
        <f t="array" ref="D604">$S604/MAX(IF(Combo_Species_Names=$N604,Combo_Gym_Offense))</f>
        <v>#VALUE!</v>
      </c>
      <c r="E604" s="23" t="e">
        <f t="array" ref="E604">RANK($Y604,IF(Combo_Species_Names=$N604,Combo_Gym_Defense),0)</f>
        <v>#VALUE!</v>
      </c>
      <c r="F604" s="25" t="e">
        <f t="array" ref="F604">$Y604/MAX(IF(Combo_Species_Names=$N604,Combo_Gym_Defense))</f>
        <v>#VALUE!</v>
      </c>
      <c r="G604" s="23" t="str">
        <f t="array" ref="G604">IF(OR(INDEX(Species_Availability,MATCH($N604,Species_Names,0))="No",INDEX(Species_Evo_Numbers,MATCH($N604,Species_Names,0))&lt;&gt;1),"N/A",RANK($R604,IF(NOT(ISNA(MATCH(Combo_Species_Names,IF(Species_Availability="Yes",IF(Species_Evo_Numbers=1,Species_Names)),0))),Combo_Duel_Ability),0))</f>
        <v>N/A</v>
      </c>
      <c r="H604" s="24" t="str">
        <f t="array" ref="H604">IF(OR(INDEX(Species_Availability,MATCH($N604,Species_Names,0))="No",INDEX(Species_Evo_Numbers,MATCH($N604,Species_Names,0))&lt;&gt;1),"N/A",$R604/MAX(IF(NOT(ISNA(MATCH(Combo_Species_Names,IF(Species_Availability="Yes",IF(Species_Evo_Numbers=1,Species_Names)),0))),Combo_Duel_Ability)))</f>
        <v>N/A</v>
      </c>
      <c r="I604" s="23" t="str">
        <f t="array" ref="I604">IF(OR(INDEX(Species_Availability,MATCH($N604,Species_Names,0))="No",INDEX(Species_Evo_Numbers,MATCH($N604,Species_Names,0))&lt;&gt;1),"N/A",RANK($S604,IF(NOT(ISNA(MATCH(Combo_Species_Names,IF(Species_Availability="Yes",IF(Species_Evo_Numbers=1,Species_Names)),0))),Combo_Gym_Offense),0))</f>
        <v>N/A</v>
      </c>
      <c r="J604" s="24" t="str">
        <f t="array" ref="J604">IF(OR(INDEX(Species_Availability,MATCH($N604,Species_Names,0))="No",INDEX(Species_Evo_Numbers,MATCH($N604,Species_Names,0))&lt;&gt;1),"N/A",$S604/MAX(IF(NOT(ISNA(MATCH(Combo_Species_Names,IF(Species_Availability="Yes",IF(Species_Evo_Numbers=1,Species_Names)),0))),Combo_Gym_Offense)))</f>
        <v>N/A</v>
      </c>
      <c r="K604" s="23" t="str">
        <f t="array" ref="K604">IF(OR(INDEX(Species_Availability,MATCH($N604,Species_Names,0))="No",INDEX(Species_Evo_Numbers,MATCH($N604,Species_Names,0))&lt;&gt;1),"N/A",RANK($Y604,IF(NOT(ISNA(MATCH(Combo_Species_Names,IF(Species_Availability="Yes",IF(Species_Evo_Numbers=1,Species_Names)),0))),Combo_Gym_Defense),0))</f>
        <v>N/A</v>
      </c>
      <c r="L604" s="24" t="str">
        <f t="array" ref="L604">IF(OR(INDEX(Species_Availability,MATCH($N604,Species_Names,0))="No",INDEX(Species_Evo_Numbers,MATCH($N604,Species_Names,0))&lt;&gt;1),"N/A",$Y604/MAX(IF(NOT(ISNA(MATCH(Combo_Species_Names,IF(Species_Availability="Yes",IF(Species_Evo_Numbers=1,Species_Names)),0))),Combo_Gym_Defense)))</f>
        <v>N/A</v>
      </c>
      <c r="M604" s="28">
        <f t="array" ref="M604">INDEX(Species_Pdex_Numbers,MATCH($N604,Species_Names,0))</f>
        <v>17</v>
      </c>
      <c r="N604" s="30" t="s">
        <v>125</v>
      </c>
      <c r="O604" s="31" t="s">
        <v>80</v>
      </c>
      <c r="P604" s="31" t="s">
        <v>302</v>
      </c>
      <c r="Q604" s="17" t="e">
        <f t="shared" si="18"/>
        <v>#VALUE!</v>
      </c>
      <c r="R604" s="32" t="e">
        <f t="array" ref="R604">IF(OR(AND(COUNTBLANK(Combo_Opponent_Type_1)=1,COUNTBLANK(Combo_Opponent_Type_2)=0),AND(AND(COUNTBLANK(Combo_Opponent_Type_1)=0,COUNTBLANK(Combo_Opponent_Type_2)=0),Combo_Opponent_Type_1=Combo_Opponent_Type_2)),
"Check Types",($S604*INDEX(Species_Tankiness,MATCH($N604,Species_Names,0)))/225)</f>
        <v>#VALUE!</v>
      </c>
      <c r="S604" s="32" t="e">
        <f t="array" ref="S604">IF(OR(AND(COUNTBLANK(Combo_Opponent_Type_1)=1,COUNTBLANK(Combo_Opponent_Type_2)=0),AND(AND(COUNTBLANK(Combo_Opponent_Type_1)=0,COUNTBLANK(Combo_Opponent_Type_2)=0),Combo_Opponent_Type_1=Combo_Opponent_Type_2)),
"Check Types",(
IF($W604&gt;=((1-Game_Weave_Human_Error)*$X604),$W604,$X604)*INDEX(Species_Attack,MATCH($N604,Species_Names,0)))/11)</f>
        <v>#VALUE!</v>
      </c>
      <c r="T604" s="33" t="e">
        <f t="shared" si="19"/>
        <v>#VALUE!</v>
      </c>
      <c r="U604" s="33">
        <f t="array" ref="U6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604,Quick_Names,0))),Type_Species)),0),1)*IF(COUNTBLANK(Combo_Opponent_Type_2)=0,INDEX(Type_Damage_Multipliers,MATCH(Combo_Opponent_Type_2,IF(Type_Move=(INDEX(Quick_Type,MATCH($O604,Quick_Names,0))),Type_Species)),0),1)*(IF(OR(INDEX(Quick_Type,MATCH($O604,Quick_Names,0))=INDEX(Species_Type_1,MATCH($N604,Species_Names,0)),INDEX(Quick_Type,MATCH($O604,Quick_Names,0))=INDEX(Species_Type_2,MATCH($N604,Species_Names,0))),Game_STAB_Multiplier,1)))</f>
        <v>1</v>
      </c>
      <c r="V604" s="33">
        <f t="array" ref="V6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604,Charge_Names,0))),Type_Species)),0),1)*IF(COUNTBLANK(Combo_Opponent_Type_2)=0,INDEX(Type_Damage_Multipliers,MATCH(Combo_Opponent_Type_2,IF(Type_Move=(INDEX(Charge_Type,MATCH($P604,Charge_Names,0))),Type_Species)),0),1)*
IF(OR(INDEX(Charge_Type,MATCH($P604,Charge_Names,0))=INDEX(Species_Type_1,MATCH($N604,Species_Names,0)),INDEX(Charge_Type,MATCH($P604,Charge_Names,0))=INDEX(Species_Type_2,MATCH($N604,Species_Names,0))),Game_STAB_Multiplier,1))</f>
        <v>1</v>
      </c>
      <c r="W604" s="33" t="s">
        <v>441</v>
      </c>
      <c r="X604" s="33" t="s">
        <v>894</v>
      </c>
      <c r="Y604" s="32" t="e">
        <f t="array" ref="Y604">((($Z604)*
INDEX(Species_Attack,MATCH($N604,Species_Names,0))*
INDEX(Species_Tankiness,MATCH($N604,Species_Names,0)))/1000)</f>
        <v>#VALUE!</v>
      </c>
      <c r="Z604" s="33" t="s">
        <v>507</v>
      </c>
    </row>
    <row r="605" spans="1:26" ht="14.25" customHeight="1" x14ac:dyDescent="0.2">
      <c r="A605" s="86"/>
      <c r="B605" s="22" t="str">
        <f t="array" ref="B605">CONCATENATE(TEXT($M605,"000"),".",TEXT(INDEX(Quick_Number,MATCH($O605,Quick_Names,0)),"000"),".",TEXT(INDEX(Charge_Number,MATCH($P605,Charge_Names,0)),"000"))</f>
        <v>133.221.026</v>
      </c>
      <c r="C605" s="23" t="e">
        <f t="array" ref="C605">RANK($S605,IF(Combo_Species_Names=$N605,Combo_Gym_Offense),0)</f>
        <v>#VALUE!</v>
      </c>
      <c r="D605" s="24" t="e">
        <f t="array" ref="D605">$S605/MAX(IF(Combo_Species_Names=$N605,Combo_Gym_Offense))</f>
        <v>#VALUE!</v>
      </c>
      <c r="E605" s="23" t="e">
        <f t="array" ref="E605">RANK($Y605,IF(Combo_Species_Names=$N605,Combo_Gym_Defense),0)</f>
        <v>#VALUE!</v>
      </c>
      <c r="F605" s="25" t="e">
        <f t="array" ref="F605">$Y605/MAX(IF(Combo_Species_Names=$N605,Combo_Gym_Defense))</f>
        <v>#VALUE!</v>
      </c>
      <c r="G605" s="23" t="str">
        <f t="array" ref="G605">IF(OR(INDEX(Species_Availability,MATCH($N605,Species_Names,0))="No",INDEX(Species_Evo_Numbers,MATCH($N605,Species_Names,0))&lt;&gt;1),"N/A",RANK($R605,IF(NOT(ISNA(MATCH(Combo_Species_Names,IF(Species_Availability="Yes",IF(Species_Evo_Numbers=1,Species_Names)),0))),Combo_Duel_Ability),0))</f>
        <v>N/A</v>
      </c>
      <c r="H605" s="24" t="str">
        <f t="array" ref="H605">IF(OR(INDEX(Species_Availability,MATCH($N605,Species_Names,0))="No",INDEX(Species_Evo_Numbers,MATCH($N605,Species_Names,0))&lt;&gt;1),"N/A",$R605/MAX(IF(NOT(ISNA(MATCH(Combo_Species_Names,IF(Species_Availability="Yes",IF(Species_Evo_Numbers=1,Species_Names)),0))),Combo_Duel_Ability)))</f>
        <v>N/A</v>
      </c>
      <c r="I605" s="23" t="str">
        <f t="array" ref="I605">IF(OR(INDEX(Species_Availability,MATCH($N605,Species_Names,0))="No",INDEX(Species_Evo_Numbers,MATCH($N605,Species_Names,0))&lt;&gt;1),"N/A",RANK($S605,IF(NOT(ISNA(MATCH(Combo_Species_Names,IF(Species_Availability="Yes",IF(Species_Evo_Numbers=1,Species_Names)),0))),Combo_Gym_Offense),0))</f>
        <v>N/A</v>
      </c>
      <c r="J605" s="24" t="str">
        <f t="array" ref="J605">IF(OR(INDEX(Species_Availability,MATCH($N605,Species_Names,0))="No",INDEX(Species_Evo_Numbers,MATCH($N605,Species_Names,0))&lt;&gt;1),"N/A",$S605/MAX(IF(NOT(ISNA(MATCH(Combo_Species_Names,IF(Species_Availability="Yes",IF(Species_Evo_Numbers=1,Species_Names)),0))),Combo_Gym_Offense)))</f>
        <v>N/A</v>
      </c>
      <c r="K605" s="23" t="str">
        <f t="array" ref="K605">IF(OR(INDEX(Species_Availability,MATCH($N605,Species_Names,0))="No",INDEX(Species_Evo_Numbers,MATCH($N605,Species_Names,0))&lt;&gt;1),"N/A",RANK($Y605,IF(NOT(ISNA(MATCH(Combo_Species_Names,IF(Species_Availability="Yes",IF(Species_Evo_Numbers=1,Species_Names)),0))),Combo_Gym_Defense),0))</f>
        <v>N/A</v>
      </c>
      <c r="L605" s="24" t="str">
        <f t="array" ref="L605">IF(OR(INDEX(Species_Availability,MATCH($N605,Species_Names,0))="No",INDEX(Species_Evo_Numbers,MATCH($N605,Species_Names,0))&lt;&gt;1),"N/A",$Y605/MAX(IF(NOT(ISNA(MATCH(Combo_Species_Names,IF(Species_Availability="Yes",IF(Species_Evo_Numbers=1,Species_Names)),0))),Combo_Gym_Defense)))</f>
        <v>N/A</v>
      </c>
      <c r="M605" s="28">
        <f t="array" ref="M605">INDEX(Species_Pdex_Numbers,MATCH($N605,Species_Names,0))</f>
        <v>133</v>
      </c>
      <c r="N605" s="30" t="s">
        <v>351</v>
      </c>
      <c r="O605" s="31" t="s">
        <v>91</v>
      </c>
      <c r="P605" s="31" t="s">
        <v>264</v>
      </c>
      <c r="Q605" s="17" t="e">
        <f t="shared" si="18"/>
        <v>#VALUE!</v>
      </c>
      <c r="R605" s="32" t="e">
        <f t="array" ref="R605">IF(OR(AND(COUNTBLANK(Combo_Opponent_Type_1)=1,COUNTBLANK(Combo_Opponent_Type_2)=0),AND(AND(COUNTBLANK(Combo_Opponent_Type_1)=0,COUNTBLANK(Combo_Opponent_Type_2)=0),Combo_Opponent_Type_1=Combo_Opponent_Type_2)),
"Check Types",($S605*INDEX(Species_Tankiness,MATCH($N605,Species_Names,0)))/225)</f>
        <v>#VALUE!</v>
      </c>
      <c r="S605" s="32" t="e">
        <f t="array" ref="S605">IF(OR(AND(COUNTBLANK(Combo_Opponent_Type_1)=1,COUNTBLANK(Combo_Opponent_Type_2)=0),AND(AND(COUNTBLANK(Combo_Opponent_Type_1)=0,COUNTBLANK(Combo_Opponent_Type_2)=0),Combo_Opponent_Type_1=Combo_Opponent_Type_2)),
"Check Types",(
IF($W605&gt;=((1-Game_Weave_Human_Error)*$X605),$W605,$X605)*INDEX(Species_Attack,MATCH($N605,Species_Names,0)))/11)</f>
        <v>#VALUE!</v>
      </c>
      <c r="T605" s="33" t="e">
        <f t="shared" si="19"/>
        <v>#VALUE!</v>
      </c>
      <c r="U605" s="33">
        <f t="array" ref="U6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605,Quick_Names,0))),Type_Species)),0),1)*IF(COUNTBLANK(Combo_Opponent_Type_2)=0,INDEX(Type_Damage_Multipliers,MATCH(Combo_Opponent_Type_2,IF(Type_Move=(INDEX(Quick_Type,MATCH($O605,Quick_Names,0))),Type_Species)),0),1)*(IF(OR(INDEX(Quick_Type,MATCH($O605,Quick_Names,0))=INDEX(Species_Type_1,MATCH($N605,Species_Names,0)),INDEX(Quick_Type,MATCH($O605,Quick_Names,0))=INDEX(Species_Type_2,MATCH($N605,Species_Names,0))),Game_STAB_Multiplier,1)))</f>
        <v>1.25</v>
      </c>
      <c r="V605" s="33">
        <f t="array" ref="V6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605,Charge_Names,0))),Type_Species)),0),1)*IF(COUNTBLANK(Combo_Opponent_Type_2)=0,INDEX(Type_Damage_Multipliers,MATCH(Combo_Opponent_Type_2,IF(Type_Move=(INDEX(Charge_Type,MATCH($P605,Charge_Names,0))),Type_Species)),0),1)*
IF(OR(INDEX(Charge_Type,MATCH($P605,Charge_Names,0))=INDEX(Species_Type_1,MATCH($N605,Species_Names,0)),INDEX(Charge_Type,MATCH($P605,Charge_Names,0))=INDEX(Species_Type_2,MATCH($N605,Species_Names,0))),Game_STAB_Multiplier,1))</f>
        <v>1</v>
      </c>
      <c r="W605" s="33" t="s">
        <v>700</v>
      </c>
      <c r="X605" s="33" t="s">
        <v>877</v>
      </c>
      <c r="Y605" s="32" t="e">
        <f t="array" ref="Y605">((($Z605)*
INDEX(Species_Attack,MATCH($N605,Species_Names,0))*
INDEX(Species_Tankiness,MATCH($N605,Species_Names,0)))/1000)</f>
        <v>#VALUE!</v>
      </c>
      <c r="Z605" s="33" t="s">
        <v>716</v>
      </c>
    </row>
    <row r="606" spans="1:26" ht="14.25" customHeight="1" x14ac:dyDescent="0.2">
      <c r="A606" s="86"/>
      <c r="B606" s="22" t="str">
        <f t="array" ref="B606">CONCATENATE(TEXT($M606,"000"),".",TEXT(INDEX(Quick_Number,MATCH($O606,Quick_Names,0)),"000"),".",TEXT(INDEX(Charge_Number,MATCH($P606,Charge_Names,0)),"000"))</f>
        <v>133.221.125</v>
      </c>
      <c r="C606" s="23" t="e">
        <f t="array" ref="C606">RANK($S606,IF(Combo_Species_Names=$N606,Combo_Gym_Offense),0)</f>
        <v>#VALUE!</v>
      </c>
      <c r="D606" s="24" t="e">
        <f t="array" ref="D606">$S606/MAX(IF(Combo_Species_Names=$N606,Combo_Gym_Offense))</f>
        <v>#VALUE!</v>
      </c>
      <c r="E606" s="23" t="e">
        <f t="array" ref="E606">RANK($Y606,IF(Combo_Species_Names=$N606,Combo_Gym_Defense),0)</f>
        <v>#VALUE!</v>
      </c>
      <c r="F606" s="25" t="e">
        <f t="array" ref="F606">$Y606/MAX(IF(Combo_Species_Names=$N606,Combo_Gym_Defense))</f>
        <v>#VALUE!</v>
      </c>
      <c r="G606" s="23" t="str">
        <f t="array" ref="G606">IF(OR(INDEX(Species_Availability,MATCH($N606,Species_Names,0))="No",INDEX(Species_Evo_Numbers,MATCH($N606,Species_Names,0))&lt;&gt;1),"N/A",RANK($R606,IF(NOT(ISNA(MATCH(Combo_Species_Names,IF(Species_Availability="Yes",IF(Species_Evo_Numbers=1,Species_Names)),0))),Combo_Duel_Ability),0))</f>
        <v>N/A</v>
      </c>
      <c r="H606" s="24" t="str">
        <f t="array" ref="H606">IF(OR(INDEX(Species_Availability,MATCH($N606,Species_Names,0))="No",INDEX(Species_Evo_Numbers,MATCH($N606,Species_Names,0))&lt;&gt;1),"N/A",$R606/MAX(IF(NOT(ISNA(MATCH(Combo_Species_Names,IF(Species_Availability="Yes",IF(Species_Evo_Numbers=1,Species_Names)),0))),Combo_Duel_Ability)))</f>
        <v>N/A</v>
      </c>
      <c r="I606" s="23" t="str">
        <f t="array" ref="I606">IF(OR(INDEX(Species_Availability,MATCH($N606,Species_Names,0))="No",INDEX(Species_Evo_Numbers,MATCH($N606,Species_Names,0))&lt;&gt;1),"N/A",RANK($S606,IF(NOT(ISNA(MATCH(Combo_Species_Names,IF(Species_Availability="Yes",IF(Species_Evo_Numbers=1,Species_Names)),0))),Combo_Gym_Offense),0))</f>
        <v>N/A</v>
      </c>
      <c r="J606" s="24" t="str">
        <f t="array" ref="J606">IF(OR(INDEX(Species_Availability,MATCH($N606,Species_Names,0))="No",INDEX(Species_Evo_Numbers,MATCH($N606,Species_Names,0))&lt;&gt;1),"N/A",$S606/MAX(IF(NOT(ISNA(MATCH(Combo_Species_Names,IF(Species_Availability="Yes",IF(Species_Evo_Numbers=1,Species_Names)),0))),Combo_Gym_Offense)))</f>
        <v>N/A</v>
      </c>
      <c r="K606" s="23" t="str">
        <f t="array" ref="K606">IF(OR(INDEX(Species_Availability,MATCH($N606,Species_Names,0))="No",INDEX(Species_Evo_Numbers,MATCH($N606,Species_Names,0))&lt;&gt;1),"N/A",RANK($Y606,IF(NOT(ISNA(MATCH(Combo_Species_Names,IF(Species_Availability="Yes",IF(Species_Evo_Numbers=1,Species_Names)),0))),Combo_Gym_Defense),0))</f>
        <v>N/A</v>
      </c>
      <c r="L606" s="24" t="str">
        <f t="array" ref="L606">IF(OR(INDEX(Species_Availability,MATCH($N606,Species_Names,0))="No",INDEX(Species_Evo_Numbers,MATCH($N606,Species_Names,0))&lt;&gt;1),"N/A",$Y606/MAX(IF(NOT(ISNA(MATCH(Combo_Species_Names,IF(Species_Availability="Yes",IF(Species_Evo_Numbers=1,Species_Names)),0))),Combo_Gym_Defense)))</f>
        <v>N/A</v>
      </c>
      <c r="M606" s="28">
        <f t="array" ref="M606">INDEX(Species_Pdex_Numbers,MATCH($N606,Species_Names,0))</f>
        <v>133</v>
      </c>
      <c r="N606" s="30" t="s">
        <v>351</v>
      </c>
      <c r="O606" s="31" t="s">
        <v>91</v>
      </c>
      <c r="P606" s="31" t="s">
        <v>292</v>
      </c>
      <c r="Q606" s="17" t="e">
        <f t="shared" si="18"/>
        <v>#VALUE!</v>
      </c>
      <c r="R606" s="32" t="e">
        <f t="array" ref="R606">IF(OR(AND(COUNTBLANK(Combo_Opponent_Type_1)=1,COUNTBLANK(Combo_Opponent_Type_2)=0),AND(AND(COUNTBLANK(Combo_Opponent_Type_1)=0,COUNTBLANK(Combo_Opponent_Type_2)=0),Combo_Opponent_Type_1=Combo_Opponent_Type_2)),
"Check Types",($S606*INDEX(Species_Tankiness,MATCH($N606,Species_Names,0)))/225)</f>
        <v>#VALUE!</v>
      </c>
      <c r="S606" s="32" t="e">
        <f t="array" ref="S606">IF(OR(AND(COUNTBLANK(Combo_Opponent_Type_1)=1,COUNTBLANK(Combo_Opponent_Type_2)=0),AND(AND(COUNTBLANK(Combo_Opponent_Type_1)=0,COUNTBLANK(Combo_Opponent_Type_2)=0),Combo_Opponent_Type_1=Combo_Opponent_Type_2)),
"Check Types",(
IF($W606&gt;=((1-Game_Weave_Human_Error)*$X606),$W606,$X606)*INDEX(Species_Attack,MATCH($N606,Species_Names,0)))/11)</f>
        <v>#VALUE!</v>
      </c>
      <c r="T606" s="33" t="e">
        <f t="shared" si="19"/>
        <v>#VALUE!</v>
      </c>
      <c r="U606" s="33">
        <f t="array" ref="U6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606,Quick_Names,0))),Type_Species)),0),1)*IF(COUNTBLANK(Combo_Opponent_Type_2)=0,INDEX(Type_Damage_Multipliers,MATCH(Combo_Opponent_Type_2,IF(Type_Move=(INDEX(Quick_Type,MATCH($O606,Quick_Names,0))),Type_Species)),0),1)*(IF(OR(INDEX(Quick_Type,MATCH($O606,Quick_Names,0))=INDEX(Species_Type_1,MATCH($N606,Species_Names,0)),INDEX(Quick_Type,MATCH($O606,Quick_Names,0))=INDEX(Species_Type_2,MATCH($N606,Species_Names,0))),Game_STAB_Multiplier,1)))</f>
        <v>1.25</v>
      </c>
      <c r="V606" s="33">
        <f t="array" ref="V6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606,Charge_Names,0))),Type_Species)),0),1)*IF(COUNTBLANK(Combo_Opponent_Type_2)=0,INDEX(Type_Damage_Multipliers,MATCH(Combo_Opponent_Type_2,IF(Type_Move=(INDEX(Charge_Type,MATCH($P606,Charge_Names,0))),Type_Species)),0),1)*
IF(OR(INDEX(Charge_Type,MATCH($P606,Charge_Names,0))=INDEX(Species_Type_1,MATCH($N606,Species_Names,0)),INDEX(Charge_Type,MATCH($P606,Charge_Names,0))=INDEX(Species_Type_2,MATCH($N606,Species_Names,0))),Game_STAB_Multiplier,1))</f>
        <v>1.25</v>
      </c>
      <c r="W606" s="33" t="s">
        <v>700</v>
      </c>
      <c r="X606" s="33" t="s">
        <v>640</v>
      </c>
      <c r="Y606" s="32" t="e">
        <f t="array" ref="Y606">((($Z606)*
INDEX(Species_Attack,MATCH($N606,Species_Names,0))*
INDEX(Species_Tankiness,MATCH($N606,Species_Names,0)))/1000)</f>
        <v>#VALUE!</v>
      </c>
      <c r="Z606" s="33" t="s">
        <v>764</v>
      </c>
    </row>
    <row r="607" spans="1:26" ht="14.25" customHeight="1" x14ac:dyDescent="0.2">
      <c r="A607" s="86"/>
      <c r="B607" s="22" t="str">
        <f t="array" ref="B607">CONCATENATE(TEXT($M607,"000"),".",TEXT(INDEX(Quick_Number,MATCH($O607,Quick_Names,0)),"000"),".",TEXT(INDEX(Charge_Number,MATCH($P607,Charge_Names,0)),"000"))</f>
        <v>096.235.030</v>
      </c>
      <c r="C607" s="23" t="e">
        <f t="array" ref="C607">RANK($S607,IF(Combo_Species_Names=$N607,Combo_Gym_Offense),0)</f>
        <v>#VALUE!</v>
      </c>
      <c r="D607" s="24" t="e">
        <f t="array" ref="D607">$S607/MAX(IF(Combo_Species_Names=$N607,Combo_Gym_Offense))</f>
        <v>#VALUE!</v>
      </c>
      <c r="E607" s="23" t="e">
        <f t="array" ref="E607">RANK($Y607,IF(Combo_Species_Names=$N607,Combo_Gym_Defense),0)</f>
        <v>#VALUE!</v>
      </c>
      <c r="F607" s="25" t="e">
        <f t="array" ref="F607">$Y607/MAX(IF(Combo_Species_Names=$N607,Combo_Gym_Defense))</f>
        <v>#VALUE!</v>
      </c>
      <c r="G607" s="23" t="str">
        <f t="array" ref="G607">IF(OR(INDEX(Species_Availability,MATCH($N607,Species_Names,0))="No",INDEX(Species_Evo_Numbers,MATCH($N607,Species_Names,0))&lt;&gt;1),"N/A",RANK($R607,IF(NOT(ISNA(MATCH(Combo_Species_Names,IF(Species_Availability="Yes",IF(Species_Evo_Numbers=1,Species_Names)),0))),Combo_Duel_Ability),0))</f>
        <v>N/A</v>
      </c>
      <c r="H607" s="24" t="str">
        <f t="array" ref="H607">IF(OR(INDEX(Species_Availability,MATCH($N607,Species_Names,0))="No",INDEX(Species_Evo_Numbers,MATCH($N607,Species_Names,0))&lt;&gt;1),"N/A",$R607/MAX(IF(NOT(ISNA(MATCH(Combo_Species_Names,IF(Species_Availability="Yes",IF(Species_Evo_Numbers=1,Species_Names)),0))),Combo_Duel_Ability)))</f>
        <v>N/A</v>
      </c>
      <c r="I607" s="23" t="str">
        <f t="array" ref="I607">IF(OR(INDEX(Species_Availability,MATCH($N607,Species_Names,0))="No",INDEX(Species_Evo_Numbers,MATCH($N607,Species_Names,0))&lt;&gt;1),"N/A",RANK($S607,IF(NOT(ISNA(MATCH(Combo_Species_Names,IF(Species_Availability="Yes",IF(Species_Evo_Numbers=1,Species_Names)),0))),Combo_Gym_Offense),0))</f>
        <v>N/A</v>
      </c>
      <c r="J607" s="24" t="str">
        <f t="array" ref="J607">IF(OR(INDEX(Species_Availability,MATCH($N607,Species_Names,0))="No",INDEX(Species_Evo_Numbers,MATCH($N607,Species_Names,0))&lt;&gt;1),"N/A",$S607/MAX(IF(NOT(ISNA(MATCH(Combo_Species_Names,IF(Species_Availability="Yes",IF(Species_Evo_Numbers=1,Species_Names)),0))),Combo_Gym_Offense)))</f>
        <v>N/A</v>
      </c>
      <c r="K607" s="23" t="str">
        <f t="array" ref="K607">IF(OR(INDEX(Species_Availability,MATCH($N607,Species_Names,0))="No",INDEX(Species_Evo_Numbers,MATCH($N607,Species_Names,0))&lt;&gt;1),"N/A",RANK($Y607,IF(NOT(ISNA(MATCH(Combo_Species_Names,IF(Species_Availability="Yes",IF(Species_Evo_Numbers=1,Species_Names)),0))),Combo_Gym_Defense),0))</f>
        <v>N/A</v>
      </c>
      <c r="L607" s="24" t="str">
        <f t="array" ref="L607">IF(OR(INDEX(Species_Availability,MATCH($N607,Species_Names,0))="No",INDEX(Species_Evo_Numbers,MATCH($N607,Species_Names,0))&lt;&gt;1),"N/A",$Y607/MAX(IF(NOT(ISNA(MATCH(Combo_Species_Names,IF(Species_Availability="Yes",IF(Species_Evo_Numbers=1,Species_Names)),0))),Combo_Gym_Defense)))</f>
        <v>N/A</v>
      </c>
      <c r="M607" s="28">
        <f t="array" ref="M607">INDEX(Species_Pdex_Numbers,MATCH($N607,Species_Names,0))</f>
        <v>96</v>
      </c>
      <c r="N607" s="30" t="s">
        <v>290</v>
      </c>
      <c r="O607" s="31" t="s">
        <v>108</v>
      </c>
      <c r="P607" s="31" t="s">
        <v>283</v>
      </c>
      <c r="Q607" s="17" t="e">
        <f t="shared" si="18"/>
        <v>#VALUE!</v>
      </c>
      <c r="R607" s="32" t="e">
        <f t="array" ref="R607">IF(OR(AND(COUNTBLANK(Combo_Opponent_Type_1)=1,COUNTBLANK(Combo_Opponent_Type_2)=0),AND(AND(COUNTBLANK(Combo_Opponent_Type_1)=0,COUNTBLANK(Combo_Opponent_Type_2)=0),Combo_Opponent_Type_1=Combo_Opponent_Type_2)),
"Check Types",($S607*INDEX(Species_Tankiness,MATCH($N607,Species_Names,0)))/225)</f>
        <v>#VALUE!</v>
      </c>
      <c r="S607" s="32" t="e">
        <f t="array" ref="S607">IF(OR(AND(COUNTBLANK(Combo_Opponent_Type_1)=1,COUNTBLANK(Combo_Opponent_Type_2)=0),AND(AND(COUNTBLANK(Combo_Opponent_Type_1)=0,COUNTBLANK(Combo_Opponent_Type_2)=0),Combo_Opponent_Type_1=Combo_Opponent_Type_2)),
"Check Types",(
IF($W607&gt;=((1-Game_Weave_Human_Error)*$X607),$W607,$X607)*INDEX(Species_Attack,MATCH($N607,Species_Names,0)))/11)</f>
        <v>#VALUE!</v>
      </c>
      <c r="T607" s="33" t="e">
        <f t="shared" si="19"/>
        <v>#VALUE!</v>
      </c>
      <c r="U607" s="33">
        <f t="array" ref="U6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607,Quick_Names,0))),Type_Species)),0),1)*IF(COUNTBLANK(Combo_Opponent_Type_2)=0,INDEX(Type_Damage_Multipliers,MATCH(Combo_Opponent_Type_2,IF(Type_Move=(INDEX(Quick_Type,MATCH($O607,Quick_Names,0))),Type_Species)),0),1)*(IF(OR(INDEX(Quick_Type,MATCH($O607,Quick_Names,0))=INDEX(Species_Type_1,MATCH($N607,Species_Names,0)),INDEX(Quick_Type,MATCH($O607,Quick_Names,0))=INDEX(Species_Type_2,MATCH($N607,Species_Names,0))),Game_STAB_Multiplier,1)))</f>
        <v>1.25</v>
      </c>
      <c r="V607" s="33">
        <f t="array" ref="V6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607,Charge_Names,0))),Type_Species)),0),1)*IF(COUNTBLANK(Combo_Opponent_Type_2)=0,INDEX(Type_Damage_Multipliers,MATCH(Combo_Opponent_Type_2,IF(Type_Move=(INDEX(Charge_Type,MATCH($P607,Charge_Names,0))),Type_Species)),0),1)*
IF(OR(INDEX(Charge_Type,MATCH($P607,Charge_Names,0))=INDEX(Species_Type_1,MATCH($N607,Species_Names,0)),INDEX(Charge_Type,MATCH($P607,Charge_Names,0))=INDEX(Species_Type_2,MATCH($N607,Species_Names,0))),Game_STAB_Multiplier,1))</f>
        <v>1.25</v>
      </c>
      <c r="W607" s="33" t="s">
        <v>467</v>
      </c>
      <c r="X607" s="33" t="s">
        <v>910</v>
      </c>
      <c r="Y607" s="32" t="e">
        <f t="array" ref="Y607">((($Z607)*
INDEX(Species_Attack,MATCH($N607,Species_Names,0))*
INDEX(Species_Tankiness,MATCH($N607,Species_Names,0)))/1000)</f>
        <v>#VALUE!</v>
      </c>
      <c r="Z607" s="33" t="s">
        <v>911</v>
      </c>
    </row>
    <row r="608" spans="1:26" ht="14.25" customHeight="1" x14ac:dyDescent="0.2">
      <c r="A608" s="86"/>
      <c r="B608" s="22" t="str">
        <f t="array" ref="B608">CONCATENATE(TEXT($M608,"000"),".",TEXT(INDEX(Quick_Number,MATCH($O608,Quick_Names,0)),"000"),".",TEXT(INDEX(Charge_Number,MATCH($P608,Charge_Names,0)),"000"))</f>
        <v>066.208.028</v>
      </c>
      <c r="C608" s="23" t="e">
        <f t="array" ref="C608">RANK($S608,IF(Combo_Species_Names=$N608,Combo_Gym_Offense),0)</f>
        <v>#VALUE!</v>
      </c>
      <c r="D608" s="24" t="e">
        <f t="array" ref="D608">$S608/MAX(IF(Combo_Species_Names=$N608,Combo_Gym_Offense))</f>
        <v>#VALUE!</v>
      </c>
      <c r="E608" s="23" t="e">
        <f t="array" ref="E608">RANK($Y608,IF(Combo_Species_Names=$N608,Combo_Gym_Defense),0)</f>
        <v>#VALUE!</v>
      </c>
      <c r="F608" s="25" t="e">
        <f t="array" ref="F608">$Y608/MAX(IF(Combo_Species_Names=$N608,Combo_Gym_Defense))</f>
        <v>#VALUE!</v>
      </c>
      <c r="G608" s="23" t="str">
        <f t="array" ref="G608">IF(OR(INDEX(Species_Availability,MATCH($N608,Species_Names,0))="No",INDEX(Species_Evo_Numbers,MATCH($N608,Species_Names,0))&lt;&gt;1),"N/A",RANK($R608,IF(NOT(ISNA(MATCH(Combo_Species_Names,IF(Species_Availability="Yes",IF(Species_Evo_Numbers=1,Species_Names)),0))),Combo_Duel_Ability),0))</f>
        <v>N/A</v>
      </c>
      <c r="H608" s="24" t="str">
        <f t="array" ref="H608">IF(OR(INDEX(Species_Availability,MATCH($N608,Species_Names,0))="No",INDEX(Species_Evo_Numbers,MATCH($N608,Species_Names,0))&lt;&gt;1),"N/A",$R608/MAX(IF(NOT(ISNA(MATCH(Combo_Species_Names,IF(Species_Availability="Yes",IF(Species_Evo_Numbers=1,Species_Names)),0))),Combo_Duel_Ability)))</f>
        <v>N/A</v>
      </c>
      <c r="I608" s="23" t="str">
        <f t="array" ref="I608">IF(OR(INDEX(Species_Availability,MATCH($N608,Species_Names,0))="No",INDEX(Species_Evo_Numbers,MATCH($N608,Species_Names,0))&lt;&gt;1),"N/A",RANK($S608,IF(NOT(ISNA(MATCH(Combo_Species_Names,IF(Species_Availability="Yes",IF(Species_Evo_Numbers=1,Species_Names)),0))),Combo_Gym_Offense),0))</f>
        <v>N/A</v>
      </c>
      <c r="J608" s="24" t="str">
        <f t="array" ref="J608">IF(OR(INDEX(Species_Availability,MATCH($N608,Species_Names,0))="No",INDEX(Species_Evo_Numbers,MATCH($N608,Species_Names,0))&lt;&gt;1),"N/A",$S608/MAX(IF(NOT(ISNA(MATCH(Combo_Species_Names,IF(Species_Availability="Yes",IF(Species_Evo_Numbers=1,Species_Names)),0))),Combo_Gym_Offense)))</f>
        <v>N/A</v>
      </c>
      <c r="K608" s="23" t="str">
        <f t="array" ref="K608">IF(OR(INDEX(Species_Availability,MATCH($N608,Species_Names,0))="No",INDEX(Species_Evo_Numbers,MATCH($N608,Species_Names,0))&lt;&gt;1),"N/A",RANK($Y608,IF(NOT(ISNA(MATCH(Combo_Species_Names,IF(Species_Availability="Yes",IF(Species_Evo_Numbers=1,Species_Names)),0))),Combo_Gym_Defense),0))</f>
        <v>N/A</v>
      </c>
      <c r="L608" s="24" t="str">
        <f t="array" ref="L608">IF(OR(INDEX(Species_Availability,MATCH($N608,Species_Names,0))="No",INDEX(Species_Evo_Numbers,MATCH($N608,Species_Names,0))&lt;&gt;1),"N/A",$Y608/MAX(IF(NOT(ISNA(MATCH(Combo_Species_Names,IF(Species_Availability="Yes",IF(Species_Evo_Numbers=1,Species_Names)),0))),Combo_Gym_Defense)))</f>
        <v>N/A</v>
      </c>
      <c r="M608" s="28">
        <f t="array" ref="M608">INDEX(Species_Pdex_Numbers,MATCH($N608,Species_Names,0))</f>
        <v>66</v>
      </c>
      <c r="N608" s="30" t="s">
        <v>223</v>
      </c>
      <c r="O608" s="31" t="s">
        <v>122</v>
      </c>
      <c r="P608" s="31" t="s">
        <v>146</v>
      </c>
      <c r="Q608" s="17" t="e">
        <f t="shared" si="18"/>
        <v>#VALUE!</v>
      </c>
      <c r="R608" s="32" t="e">
        <f t="array" ref="R608">IF(OR(AND(COUNTBLANK(Combo_Opponent_Type_1)=1,COUNTBLANK(Combo_Opponent_Type_2)=0),AND(AND(COUNTBLANK(Combo_Opponent_Type_1)=0,COUNTBLANK(Combo_Opponent_Type_2)=0),Combo_Opponent_Type_1=Combo_Opponent_Type_2)),
"Check Types",($S608*INDEX(Species_Tankiness,MATCH($N608,Species_Names,0)))/225)</f>
        <v>#VALUE!</v>
      </c>
      <c r="S608" s="32" t="e">
        <f t="array" ref="S608">IF(OR(AND(COUNTBLANK(Combo_Opponent_Type_1)=1,COUNTBLANK(Combo_Opponent_Type_2)=0),AND(AND(COUNTBLANK(Combo_Opponent_Type_1)=0,COUNTBLANK(Combo_Opponent_Type_2)=0),Combo_Opponent_Type_1=Combo_Opponent_Type_2)),
"Check Types",(
IF($W608&gt;=((1-Game_Weave_Human_Error)*$X608),$W608,$X608)*INDEX(Species_Attack,MATCH($N608,Species_Names,0)))/11)</f>
        <v>#VALUE!</v>
      </c>
      <c r="T608" s="33" t="e">
        <f t="shared" si="19"/>
        <v>#VALUE!</v>
      </c>
      <c r="U608" s="33">
        <f t="array" ref="U6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608,Quick_Names,0))),Type_Species)),0),1)*IF(COUNTBLANK(Combo_Opponent_Type_2)=0,INDEX(Type_Damage_Multipliers,MATCH(Combo_Opponent_Type_2,IF(Type_Move=(INDEX(Quick_Type,MATCH($O608,Quick_Names,0))),Type_Species)),0),1)*(IF(OR(INDEX(Quick_Type,MATCH($O608,Quick_Names,0))=INDEX(Species_Type_1,MATCH($N608,Species_Names,0)),INDEX(Quick_Type,MATCH($O608,Quick_Names,0))=INDEX(Species_Type_2,MATCH($N608,Species_Names,0))),Game_STAB_Multiplier,1)))</f>
        <v>1.25</v>
      </c>
      <c r="V608" s="33">
        <f t="array" ref="V6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608,Charge_Names,0))),Type_Species)),0),1)*IF(COUNTBLANK(Combo_Opponent_Type_2)=0,INDEX(Type_Damage_Multipliers,MATCH(Combo_Opponent_Type_2,IF(Type_Move=(INDEX(Charge_Type,MATCH($P608,Charge_Names,0))),Type_Species)),0),1)*
IF(OR(INDEX(Charge_Type,MATCH($P608,Charge_Names,0))=INDEX(Species_Type_1,MATCH($N608,Species_Names,0)),INDEX(Charge_Type,MATCH($P608,Charge_Names,0))=INDEX(Species_Type_2,MATCH($N608,Species_Names,0))),Game_STAB_Multiplier,1))</f>
        <v>1.25</v>
      </c>
      <c r="W608" s="33" t="s">
        <v>564</v>
      </c>
      <c r="X608" s="33" t="s">
        <v>579</v>
      </c>
      <c r="Y608" s="32" t="e">
        <f t="array" ref="Y608">((($Z608)*
INDEX(Species_Attack,MATCH($N608,Species_Names,0))*
INDEX(Species_Tankiness,MATCH($N608,Species_Names,0)))/1000)</f>
        <v>#VALUE!</v>
      </c>
      <c r="Z608" s="33" t="s">
        <v>580</v>
      </c>
    </row>
    <row r="609" spans="1:26" ht="14.25" customHeight="1" x14ac:dyDescent="0.2">
      <c r="A609" s="86"/>
      <c r="B609" s="22" t="str">
        <f t="array" ref="B609">CONCATENATE(TEXT($M609,"000"),".",TEXT(INDEX(Quick_Number,MATCH($O609,Quick_Names,0)),"000"),".",TEXT(INDEX(Charge_Number,MATCH($P609,Charge_Names,0)),"000"))</f>
        <v>102.235.062</v>
      </c>
      <c r="C609" s="23" t="e">
        <f t="array" ref="C609">RANK($S609,IF(Combo_Species_Names=$N609,Combo_Gym_Offense),0)</f>
        <v>#VALUE!</v>
      </c>
      <c r="D609" s="24" t="e">
        <f t="array" ref="D609">$S609/MAX(IF(Combo_Species_Names=$N609,Combo_Gym_Offense))</f>
        <v>#VALUE!</v>
      </c>
      <c r="E609" s="23" t="e">
        <f t="array" ref="E609">RANK($Y609,IF(Combo_Species_Names=$N609,Combo_Gym_Defense),0)</f>
        <v>#VALUE!</v>
      </c>
      <c r="F609" s="25" t="e">
        <f t="array" ref="F609">$Y609/MAX(IF(Combo_Species_Names=$N609,Combo_Gym_Defense))</f>
        <v>#VALUE!</v>
      </c>
      <c r="G609" s="23" t="str">
        <f t="array" ref="G609">IF(OR(INDEX(Species_Availability,MATCH($N609,Species_Names,0))="No",INDEX(Species_Evo_Numbers,MATCH($N609,Species_Names,0))&lt;&gt;1),"N/A",RANK($R609,IF(NOT(ISNA(MATCH(Combo_Species_Names,IF(Species_Availability="Yes",IF(Species_Evo_Numbers=1,Species_Names)),0))),Combo_Duel_Ability),0))</f>
        <v>N/A</v>
      </c>
      <c r="H609" s="24" t="str">
        <f t="array" ref="H609">IF(OR(INDEX(Species_Availability,MATCH($N609,Species_Names,0))="No",INDEX(Species_Evo_Numbers,MATCH($N609,Species_Names,0))&lt;&gt;1),"N/A",$R609/MAX(IF(NOT(ISNA(MATCH(Combo_Species_Names,IF(Species_Availability="Yes",IF(Species_Evo_Numbers=1,Species_Names)),0))),Combo_Duel_Ability)))</f>
        <v>N/A</v>
      </c>
      <c r="I609" s="23" t="str">
        <f t="array" ref="I609">IF(OR(INDEX(Species_Availability,MATCH($N609,Species_Names,0))="No",INDEX(Species_Evo_Numbers,MATCH($N609,Species_Names,0))&lt;&gt;1),"N/A",RANK($S609,IF(NOT(ISNA(MATCH(Combo_Species_Names,IF(Species_Availability="Yes",IF(Species_Evo_Numbers=1,Species_Names)),0))),Combo_Gym_Offense),0))</f>
        <v>N/A</v>
      </c>
      <c r="J609" s="24" t="str">
        <f t="array" ref="J609">IF(OR(INDEX(Species_Availability,MATCH($N609,Species_Names,0))="No",INDEX(Species_Evo_Numbers,MATCH($N609,Species_Names,0))&lt;&gt;1),"N/A",$S609/MAX(IF(NOT(ISNA(MATCH(Combo_Species_Names,IF(Species_Availability="Yes",IF(Species_Evo_Numbers=1,Species_Names)),0))),Combo_Gym_Offense)))</f>
        <v>N/A</v>
      </c>
      <c r="K609" s="23" t="str">
        <f t="array" ref="K609">IF(OR(INDEX(Species_Availability,MATCH($N609,Species_Names,0))="No",INDEX(Species_Evo_Numbers,MATCH($N609,Species_Names,0))&lt;&gt;1),"N/A",RANK($Y609,IF(NOT(ISNA(MATCH(Combo_Species_Names,IF(Species_Availability="Yes",IF(Species_Evo_Numbers=1,Species_Names)),0))),Combo_Gym_Defense),0))</f>
        <v>N/A</v>
      </c>
      <c r="L609" s="24" t="str">
        <f t="array" ref="L609">IF(OR(INDEX(Species_Availability,MATCH($N609,Species_Names,0))="No",INDEX(Species_Evo_Numbers,MATCH($N609,Species_Names,0))&lt;&gt;1),"N/A",$Y609/MAX(IF(NOT(ISNA(MATCH(Combo_Species_Names,IF(Species_Availability="Yes",IF(Species_Evo_Numbers=1,Species_Names)),0))),Combo_Gym_Defense)))</f>
        <v>N/A</v>
      </c>
      <c r="M609" s="28">
        <f t="array" ref="M609">INDEX(Species_Pdex_Numbers,MATCH($N609,Species_Names,0))</f>
        <v>102</v>
      </c>
      <c r="N609" s="30" t="s">
        <v>305</v>
      </c>
      <c r="O609" s="31" t="s">
        <v>108</v>
      </c>
      <c r="P609" s="31" t="s">
        <v>297</v>
      </c>
      <c r="Q609" s="17" t="e">
        <f t="shared" si="18"/>
        <v>#VALUE!</v>
      </c>
      <c r="R609" s="32" t="e">
        <f t="array" ref="R609">IF(OR(AND(COUNTBLANK(Combo_Opponent_Type_1)=1,COUNTBLANK(Combo_Opponent_Type_2)=0),AND(AND(COUNTBLANK(Combo_Opponent_Type_1)=0,COUNTBLANK(Combo_Opponent_Type_2)=0),Combo_Opponent_Type_1=Combo_Opponent_Type_2)),
"Check Types",($S609*INDEX(Species_Tankiness,MATCH($N609,Species_Names,0)))/225)</f>
        <v>#VALUE!</v>
      </c>
      <c r="S609" s="32" t="e">
        <f t="array" ref="S609">IF(OR(AND(COUNTBLANK(Combo_Opponent_Type_1)=1,COUNTBLANK(Combo_Opponent_Type_2)=0),AND(AND(COUNTBLANK(Combo_Opponent_Type_1)=0,COUNTBLANK(Combo_Opponent_Type_2)=0),Combo_Opponent_Type_1=Combo_Opponent_Type_2)),
"Check Types",(
IF($W609&gt;=((1-Game_Weave_Human_Error)*$X609),$W609,$X609)*INDEX(Species_Attack,MATCH($N609,Species_Names,0)))/11)</f>
        <v>#VALUE!</v>
      </c>
      <c r="T609" s="33" t="e">
        <f t="shared" si="19"/>
        <v>#VALUE!</v>
      </c>
      <c r="U609" s="33">
        <f t="array" ref="U6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609,Quick_Names,0))),Type_Species)),0),1)*IF(COUNTBLANK(Combo_Opponent_Type_2)=0,INDEX(Type_Damage_Multipliers,MATCH(Combo_Opponent_Type_2,IF(Type_Move=(INDEX(Quick_Type,MATCH($O609,Quick_Names,0))),Type_Species)),0),1)*(IF(OR(INDEX(Quick_Type,MATCH($O609,Quick_Names,0))=INDEX(Species_Type_1,MATCH($N609,Species_Names,0)),INDEX(Quick_Type,MATCH($O609,Quick_Names,0))=INDEX(Species_Type_2,MATCH($N609,Species_Names,0))),Game_STAB_Multiplier,1)))</f>
        <v>1.25</v>
      </c>
      <c r="V609" s="33">
        <f t="array" ref="V6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609,Charge_Names,0))),Type_Species)),0),1)*IF(COUNTBLANK(Combo_Opponent_Type_2)=0,INDEX(Type_Damage_Multipliers,MATCH(Combo_Opponent_Type_2,IF(Type_Move=(INDEX(Charge_Type,MATCH($P609,Charge_Names,0))),Type_Species)),0),1)*
IF(OR(INDEX(Charge_Type,MATCH($P609,Charge_Names,0))=INDEX(Species_Type_1,MATCH($N609,Species_Names,0)),INDEX(Charge_Type,MATCH($P609,Charge_Names,0))=INDEX(Species_Type_2,MATCH($N609,Species_Names,0))),Game_STAB_Multiplier,1))</f>
        <v>1</v>
      </c>
      <c r="W609" s="33" t="s">
        <v>467</v>
      </c>
      <c r="X609" s="33" t="s">
        <v>895</v>
      </c>
      <c r="Y609" s="32" t="e">
        <f t="array" ref="Y609">((($Z609)*
INDEX(Species_Attack,MATCH($N609,Species_Names,0))*
INDEX(Species_Tankiness,MATCH($N609,Species_Names,0)))/1000)</f>
        <v>#VALUE!</v>
      </c>
      <c r="Z609" s="33" t="s">
        <v>1021</v>
      </c>
    </row>
    <row r="610" spans="1:26" ht="14.25" customHeight="1" x14ac:dyDescent="0.2">
      <c r="A610" s="86"/>
      <c r="B610" s="22" t="str">
        <f t="array" ref="B610">CONCATENATE(TEXT($M610,"000"),".",TEXT(INDEX(Quick_Number,MATCH($O610,Quick_Names,0)),"000"),".",TEXT(INDEX(Charge_Number,MATCH($P610,Charge_Names,0)),"000"))</f>
        <v>043.225.087</v>
      </c>
      <c r="C610" s="23" t="e">
        <f t="array" ref="C610">RANK($S610,IF(Combo_Species_Names=$N610,Combo_Gym_Offense),0)</f>
        <v>#VALUE!</v>
      </c>
      <c r="D610" s="24" t="e">
        <f t="array" ref="D610">$S610/MAX(IF(Combo_Species_Names=$N610,Combo_Gym_Offense))</f>
        <v>#VALUE!</v>
      </c>
      <c r="E610" s="23" t="e">
        <f t="array" ref="E610">RANK($Y610,IF(Combo_Species_Names=$N610,Combo_Gym_Defense),0)</f>
        <v>#VALUE!</v>
      </c>
      <c r="F610" s="25" t="e">
        <f t="array" ref="F610">$Y610/MAX(IF(Combo_Species_Names=$N610,Combo_Gym_Defense))</f>
        <v>#VALUE!</v>
      </c>
      <c r="G610" s="23" t="str">
        <f t="array" ref="G610">IF(OR(INDEX(Species_Availability,MATCH($N610,Species_Names,0))="No",INDEX(Species_Evo_Numbers,MATCH($N610,Species_Names,0))&lt;&gt;1),"N/A",RANK($R610,IF(NOT(ISNA(MATCH(Combo_Species_Names,IF(Species_Availability="Yes",IF(Species_Evo_Numbers=1,Species_Names)),0))),Combo_Duel_Ability),0))</f>
        <v>N/A</v>
      </c>
      <c r="H610" s="24" t="str">
        <f t="array" ref="H610">IF(OR(INDEX(Species_Availability,MATCH($N610,Species_Names,0))="No",INDEX(Species_Evo_Numbers,MATCH($N610,Species_Names,0))&lt;&gt;1),"N/A",$R610/MAX(IF(NOT(ISNA(MATCH(Combo_Species_Names,IF(Species_Availability="Yes",IF(Species_Evo_Numbers=1,Species_Names)),0))),Combo_Duel_Ability)))</f>
        <v>N/A</v>
      </c>
      <c r="I610" s="23" t="str">
        <f t="array" ref="I610">IF(OR(INDEX(Species_Availability,MATCH($N610,Species_Names,0))="No",INDEX(Species_Evo_Numbers,MATCH($N610,Species_Names,0))&lt;&gt;1),"N/A",RANK($S610,IF(NOT(ISNA(MATCH(Combo_Species_Names,IF(Species_Availability="Yes",IF(Species_Evo_Numbers=1,Species_Names)),0))),Combo_Gym_Offense),0))</f>
        <v>N/A</v>
      </c>
      <c r="J610" s="24" t="str">
        <f t="array" ref="J610">IF(OR(INDEX(Species_Availability,MATCH($N610,Species_Names,0))="No",INDEX(Species_Evo_Numbers,MATCH($N610,Species_Names,0))&lt;&gt;1),"N/A",$S610/MAX(IF(NOT(ISNA(MATCH(Combo_Species_Names,IF(Species_Availability="Yes",IF(Species_Evo_Numbers=1,Species_Names)),0))),Combo_Gym_Offense)))</f>
        <v>N/A</v>
      </c>
      <c r="K610" s="23" t="str">
        <f t="array" ref="K610">IF(OR(INDEX(Species_Availability,MATCH($N610,Species_Names,0))="No",INDEX(Species_Evo_Numbers,MATCH($N610,Species_Names,0))&lt;&gt;1),"N/A",RANK($Y610,IF(NOT(ISNA(MATCH(Combo_Species_Names,IF(Species_Availability="Yes",IF(Species_Evo_Numbers=1,Species_Names)),0))),Combo_Gym_Defense),0))</f>
        <v>N/A</v>
      </c>
      <c r="L610" s="24" t="str">
        <f t="array" ref="L610">IF(OR(INDEX(Species_Availability,MATCH($N610,Species_Names,0))="No",INDEX(Species_Evo_Numbers,MATCH($N610,Species_Names,0))&lt;&gt;1),"N/A",$Y610/MAX(IF(NOT(ISNA(MATCH(Combo_Species_Names,IF(Species_Availability="Yes",IF(Species_Evo_Numbers=1,Species_Names)),0))),Combo_Gym_Defense)))</f>
        <v>N/A</v>
      </c>
      <c r="M610" s="28">
        <f t="array" ref="M610">INDEX(Species_Pdex_Numbers,MATCH($N610,Species_Names,0))</f>
        <v>43</v>
      </c>
      <c r="N610" s="30" t="s">
        <v>177</v>
      </c>
      <c r="O610" s="31" t="s">
        <v>110</v>
      </c>
      <c r="P610" s="31" t="s">
        <v>185</v>
      </c>
      <c r="Q610" s="17" t="e">
        <f t="shared" si="18"/>
        <v>#VALUE!</v>
      </c>
      <c r="R610" s="32" t="e">
        <f t="array" ref="R610">IF(OR(AND(COUNTBLANK(Combo_Opponent_Type_1)=1,COUNTBLANK(Combo_Opponent_Type_2)=0),AND(AND(COUNTBLANK(Combo_Opponent_Type_1)=0,COUNTBLANK(Combo_Opponent_Type_2)=0),Combo_Opponent_Type_1=Combo_Opponent_Type_2)),
"Check Types",($S610*INDEX(Species_Tankiness,MATCH($N610,Species_Names,0)))/225)</f>
        <v>#VALUE!</v>
      </c>
      <c r="S610" s="32" t="e">
        <f t="array" ref="S610">IF(OR(AND(COUNTBLANK(Combo_Opponent_Type_1)=1,COUNTBLANK(Combo_Opponent_Type_2)=0),AND(AND(COUNTBLANK(Combo_Opponent_Type_1)=0,COUNTBLANK(Combo_Opponent_Type_2)=0),Combo_Opponent_Type_1=Combo_Opponent_Type_2)),
"Check Types",(
IF($W610&gt;=((1-Game_Weave_Human_Error)*$X610),$W610,$X610)*INDEX(Species_Attack,MATCH($N610,Species_Names,0)))/11)</f>
        <v>#VALUE!</v>
      </c>
      <c r="T610" s="33" t="e">
        <f t="shared" si="19"/>
        <v>#VALUE!</v>
      </c>
      <c r="U610" s="33">
        <f t="array" ref="U6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610,Quick_Names,0))),Type_Species)),0),1)*IF(COUNTBLANK(Combo_Opponent_Type_2)=0,INDEX(Type_Damage_Multipliers,MATCH(Combo_Opponent_Type_2,IF(Type_Move=(INDEX(Quick_Type,MATCH($O610,Quick_Names,0))),Type_Species)),0),1)*(IF(OR(INDEX(Quick_Type,MATCH($O610,Quick_Names,0))=INDEX(Species_Type_1,MATCH($N610,Species_Names,0)),INDEX(Quick_Type,MATCH($O610,Quick_Names,0))=INDEX(Species_Type_2,MATCH($N610,Species_Names,0))),Game_STAB_Multiplier,1)))</f>
        <v>1.25</v>
      </c>
      <c r="V610" s="33">
        <f t="array" ref="V6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610,Charge_Names,0))),Type_Species)),0),1)*IF(COUNTBLANK(Combo_Opponent_Type_2)=0,INDEX(Type_Damage_Multipliers,MATCH(Combo_Opponent_Type_2,IF(Type_Move=(INDEX(Charge_Type,MATCH($P610,Charge_Names,0))),Type_Species)),0),1)*
IF(OR(INDEX(Charge_Type,MATCH($P610,Charge_Names,0))=INDEX(Species_Type_1,MATCH($N610,Species_Names,0)),INDEX(Charge_Type,MATCH($P610,Charge_Names,0))=INDEX(Species_Type_2,MATCH($N610,Species_Names,0))),Game_STAB_Multiplier,1))</f>
        <v>1</v>
      </c>
      <c r="W610" s="33" t="s">
        <v>511</v>
      </c>
      <c r="X610" s="33" t="s">
        <v>630</v>
      </c>
      <c r="Y610" s="32" t="e">
        <f t="array" ref="Y610">((($Z610)*
INDEX(Species_Attack,MATCH($N610,Species_Names,0))*
INDEX(Species_Tankiness,MATCH($N610,Species_Names,0)))/1000)</f>
        <v>#VALUE!</v>
      </c>
      <c r="Z610" s="33" t="s">
        <v>452</v>
      </c>
    </row>
    <row r="611" spans="1:26" ht="14.25" customHeight="1" x14ac:dyDescent="0.2">
      <c r="A611" s="86"/>
      <c r="B611" s="22" t="str">
        <f t="array" ref="B611">CONCATENATE(TEXT($M611,"000"),".",TEXT(INDEX(Quick_Number,MATCH($O611,Quick_Names,0)),"000"),".",TEXT(INDEX(Charge_Number,MATCH($P611,Charge_Names,0)),"000"))</f>
        <v>111.241.095</v>
      </c>
      <c r="C611" s="23" t="e">
        <f t="array" ref="C611">RANK($S611,IF(Combo_Species_Names=$N611,Combo_Gym_Offense),0)</f>
        <v>#VALUE!</v>
      </c>
      <c r="D611" s="24" t="e">
        <f t="array" ref="D611">$S611/MAX(IF(Combo_Species_Names=$N611,Combo_Gym_Offense))</f>
        <v>#VALUE!</v>
      </c>
      <c r="E611" s="23" t="e">
        <f t="array" ref="E611">RANK($Y611,IF(Combo_Species_Names=$N611,Combo_Gym_Defense),0)</f>
        <v>#VALUE!</v>
      </c>
      <c r="F611" s="25" t="e">
        <f t="array" ref="F611">$Y611/MAX(IF(Combo_Species_Names=$N611,Combo_Gym_Defense))</f>
        <v>#VALUE!</v>
      </c>
      <c r="G611" s="23" t="str">
        <f t="array" ref="G611">IF(OR(INDEX(Species_Availability,MATCH($N611,Species_Names,0))="No",INDEX(Species_Evo_Numbers,MATCH($N611,Species_Names,0))&lt;&gt;1),"N/A",RANK($R611,IF(NOT(ISNA(MATCH(Combo_Species_Names,IF(Species_Availability="Yes",IF(Species_Evo_Numbers=1,Species_Names)),0))),Combo_Duel_Ability),0))</f>
        <v>N/A</v>
      </c>
      <c r="H611" s="24" t="str">
        <f t="array" ref="H611">IF(OR(INDEX(Species_Availability,MATCH($N611,Species_Names,0))="No",INDEX(Species_Evo_Numbers,MATCH($N611,Species_Names,0))&lt;&gt;1),"N/A",$R611/MAX(IF(NOT(ISNA(MATCH(Combo_Species_Names,IF(Species_Availability="Yes",IF(Species_Evo_Numbers=1,Species_Names)),0))),Combo_Duel_Ability)))</f>
        <v>N/A</v>
      </c>
      <c r="I611" s="23" t="str">
        <f t="array" ref="I611">IF(OR(INDEX(Species_Availability,MATCH($N611,Species_Names,0))="No",INDEX(Species_Evo_Numbers,MATCH($N611,Species_Names,0))&lt;&gt;1),"N/A",RANK($S611,IF(NOT(ISNA(MATCH(Combo_Species_Names,IF(Species_Availability="Yes",IF(Species_Evo_Numbers=1,Species_Names)),0))),Combo_Gym_Offense),0))</f>
        <v>N/A</v>
      </c>
      <c r="J611" s="24" t="str">
        <f t="array" ref="J611">IF(OR(INDEX(Species_Availability,MATCH($N611,Species_Names,0))="No",INDEX(Species_Evo_Numbers,MATCH($N611,Species_Names,0))&lt;&gt;1),"N/A",$S611/MAX(IF(NOT(ISNA(MATCH(Combo_Species_Names,IF(Species_Availability="Yes",IF(Species_Evo_Numbers=1,Species_Names)),0))),Combo_Gym_Offense)))</f>
        <v>N/A</v>
      </c>
      <c r="K611" s="23" t="str">
        <f t="array" ref="K611">IF(OR(INDEX(Species_Availability,MATCH($N611,Species_Names,0))="No",INDEX(Species_Evo_Numbers,MATCH($N611,Species_Names,0))&lt;&gt;1),"N/A",RANK($Y611,IF(NOT(ISNA(MATCH(Combo_Species_Names,IF(Species_Availability="Yes",IF(Species_Evo_Numbers=1,Species_Names)),0))),Combo_Gym_Defense),0))</f>
        <v>N/A</v>
      </c>
      <c r="L611" s="24" t="str">
        <f t="array" ref="L611">IF(OR(INDEX(Species_Availability,MATCH($N611,Species_Names,0))="No",INDEX(Species_Evo_Numbers,MATCH($N611,Species_Names,0))&lt;&gt;1),"N/A",$Y611/MAX(IF(NOT(ISNA(MATCH(Combo_Species_Names,IF(Species_Availability="Yes",IF(Species_Evo_Numbers=1,Species_Names)),0))),Combo_Gym_Defense)))</f>
        <v>N/A</v>
      </c>
      <c r="M611" s="28">
        <f t="array" ref="M611">INDEX(Species_Pdex_Numbers,MATCH($N611,Species_Names,0))</f>
        <v>111</v>
      </c>
      <c r="N611" s="30" t="s">
        <v>324</v>
      </c>
      <c r="O611" s="31" t="s">
        <v>97</v>
      </c>
      <c r="P611" s="31" t="s">
        <v>291</v>
      </c>
      <c r="Q611" s="17" t="e">
        <f t="shared" si="18"/>
        <v>#VALUE!</v>
      </c>
      <c r="R611" s="32" t="e">
        <f t="array" ref="R611">IF(OR(AND(COUNTBLANK(Combo_Opponent_Type_1)=1,COUNTBLANK(Combo_Opponent_Type_2)=0),AND(AND(COUNTBLANK(Combo_Opponent_Type_1)=0,COUNTBLANK(Combo_Opponent_Type_2)=0),Combo_Opponent_Type_1=Combo_Opponent_Type_2)),
"Check Types",($S611*INDEX(Species_Tankiness,MATCH($N611,Species_Names,0)))/225)</f>
        <v>#VALUE!</v>
      </c>
      <c r="S611" s="32" t="e">
        <f t="array" ref="S611">IF(OR(AND(COUNTBLANK(Combo_Opponent_Type_1)=1,COUNTBLANK(Combo_Opponent_Type_2)=0),AND(AND(COUNTBLANK(Combo_Opponent_Type_1)=0,COUNTBLANK(Combo_Opponent_Type_2)=0),Combo_Opponent_Type_1=Combo_Opponent_Type_2)),
"Check Types",(
IF($W611&gt;=((1-Game_Weave_Human_Error)*$X611),$W611,$X611)*INDEX(Species_Attack,MATCH($N611,Species_Names,0)))/11)</f>
        <v>#VALUE!</v>
      </c>
      <c r="T611" s="33" t="e">
        <f t="shared" si="19"/>
        <v>#VALUE!</v>
      </c>
      <c r="U611" s="33">
        <f t="array" ref="U6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611,Quick_Names,0))),Type_Species)),0),1)*IF(COUNTBLANK(Combo_Opponent_Type_2)=0,INDEX(Type_Damage_Multipliers,MATCH(Combo_Opponent_Type_2,IF(Type_Move=(INDEX(Quick_Type,MATCH($O611,Quick_Names,0))),Type_Species)),0),1)*(IF(OR(INDEX(Quick_Type,MATCH($O611,Quick_Names,0))=INDEX(Species_Type_1,MATCH($N611,Species_Names,0)),INDEX(Quick_Type,MATCH($O611,Quick_Names,0))=INDEX(Species_Type_2,MATCH($N611,Species_Names,0))),Game_STAB_Multiplier,1)))</f>
        <v>1</v>
      </c>
      <c r="V611" s="33">
        <f t="array" ref="V6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611,Charge_Names,0))),Type_Species)),0),1)*IF(COUNTBLANK(Combo_Opponent_Type_2)=0,INDEX(Type_Damage_Multipliers,MATCH(Combo_Opponent_Type_2,IF(Type_Move=(INDEX(Charge_Type,MATCH($P611,Charge_Names,0))),Type_Species)),0),1)*
IF(OR(INDEX(Charge_Type,MATCH($P611,Charge_Names,0))=INDEX(Species_Type_1,MATCH($N611,Species_Names,0)),INDEX(Charge_Type,MATCH($P611,Charge_Names,0))=INDEX(Species_Type_2,MATCH($N611,Species_Names,0))),Game_STAB_Multiplier,1))</f>
        <v>1.25</v>
      </c>
      <c r="W611" s="33" t="s">
        <v>577</v>
      </c>
      <c r="X611" s="33" t="s">
        <v>715</v>
      </c>
      <c r="Y611" s="32" t="e">
        <f t="array" ref="Y611">((($Z611)*
INDEX(Species_Attack,MATCH($N611,Species_Names,0))*
INDEX(Species_Tankiness,MATCH($N611,Species_Names,0)))/1000)</f>
        <v>#VALUE!</v>
      </c>
      <c r="Z611" s="33" t="s">
        <v>480</v>
      </c>
    </row>
    <row r="612" spans="1:26" ht="14.25" customHeight="1" x14ac:dyDescent="0.2">
      <c r="A612" s="86"/>
      <c r="B612" s="22" t="str">
        <f t="array" ref="B612">CONCATENATE(TEXT($M612,"000"),".",TEXT(INDEX(Quick_Number,MATCH($O612,Quick_Names,0)),"000"),".",TEXT(INDEX(Charge_Number,MATCH($P612,Charge_Names,0)),"000"))</f>
        <v>111.241.126</v>
      </c>
      <c r="C612" s="23" t="e">
        <f t="array" ref="C612">RANK($S612,IF(Combo_Species_Names=$N612,Combo_Gym_Offense),0)</f>
        <v>#VALUE!</v>
      </c>
      <c r="D612" s="24" t="e">
        <f t="array" ref="D612">$S612/MAX(IF(Combo_Species_Names=$N612,Combo_Gym_Offense))</f>
        <v>#VALUE!</v>
      </c>
      <c r="E612" s="23" t="e">
        <f t="array" ref="E612">RANK($Y612,IF(Combo_Species_Names=$N612,Combo_Gym_Defense),0)</f>
        <v>#VALUE!</v>
      </c>
      <c r="F612" s="25" t="e">
        <f t="array" ref="F612">$Y612/MAX(IF(Combo_Species_Names=$N612,Combo_Gym_Defense))</f>
        <v>#VALUE!</v>
      </c>
      <c r="G612" s="23" t="str">
        <f t="array" ref="G612">IF(OR(INDEX(Species_Availability,MATCH($N612,Species_Names,0))="No",INDEX(Species_Evo_Numbers,MATCH($N612,Species_Names,0))&lt;&gt;1),"N/A",RANK($R612,IF(NOT(ISNA(MATCH(Combo_Species_Names,IF(Species_Availability="Yes",IF(Species_Evo_Numbers=1,Species_Names)),0))),Combo_Duel_Ability),0))</f>
        <v>N/A</v>
      </c>
      <c r="H612" s="24" t="str">
        <f t="array" ref="H612">IF(OR(INDEX(Species_Availability,MATCH($N612,Species_Names,0))="No",INDEX(Species_Evo_Numbers,MATCH($N612,Species_Names,0))&lt;&gt;1),"N/A",$R612/MAX(IF(NOT(ISNA(MATCH(Combo_Species_Names,IF(Species_Availability="Yes",IF(Species_Evo_Numbers=1,Species_Names)),0))),Combo_Duel_Ability)))</f>
        <v>N/A</v>
      </c>
      <c r="I612" s="23" t="str">
        <f t="array" ref="I612">IF(OR(INDEX(Species_Availability,MATCH($N612,Species_Names,0))="No",INDEX(Species_Evo_Numbers,MATCH($N612,Species_Names,0))&lt;&gt;1),"N/A",RANK($S612,IF(NOT(ISNA(MATCH(Combo_Species_Names,IF(Species_Availability="Yes",IF(Species_Evo_Numbers=1,Species_Names)),0))),Combo_Gym_Offense),0))</f>
        <v>N/A</v>
      </c>
      <c r="J612" s="24" t="str">
        <f t="array" ref="J612">IF(OR(INDEX(Species_Availability,MATCH($N612,Species_Names,0))="No",INDEX(Species_Evo_Numbers,MATCH($N612,Species_Names,0))&lt;&gt;1),"N/A",$S612/MAX(IF(NOT(ISNA(MATCH(Combo_Species_Names,IF(Species_Availability="Yes",IF(Species_Evo_Numbers=1,Species_Names)),0))),Combo_Gym_Offense)))</f>
        <v>N/A</v>
      </c>
      <c r="K612" s="23" t="str">
        <f t="array" ref="K612">IF(OR(INDEX(Species_Availability,MATCH($N612,Species_Names,0))="No",INDEX(Species_Evo_Numbers,MATCH($N612,Species_Names,0))&lt;&gt;1),"N/A",RANK($Y612,IF(NOT(ISNA(MATCH(Combo_Species_Names,IF(Species_Availability="Yes",IF(Species_Evo_Numbers=1,Species_Names)),0))),Combo_Gym_Defense),0))</f>
        <v>N/A</v>
      </c>
      <c r="L612" s="24" t="str">
        <f t="array" ref="L612">IF(OR(INDEX(Species_Availability,MATCH($N612,Species_Names,0))="No",INDEX(Species_Evo_Numbers,MATCH($N612,Species_Names,0))&lt;&gt;1),"N/A",$Y612/MAX(IF(NOT(ISNA(MATCH(Combo_Species_Names,IF(Species_Availability="Yes",IF(Species_Evo_Numbers=1,Species_Names)),0))),Combo_Gym_Defense)))</f>
        <v>N/A</v>
      </c>
      <c r="M612" s="28">
        <f t="array" ref="M612">INDEX(Species_Pdex_Numbers,MATCH($N612,Species_Names,0))</f>
        <v>111</v>
      </c>
      <c r="N612" s="30" t="s">
        <v>324</v>
      </c>
      <c r="O612" s="31" t="s">
        <v>97</v>
      </c>
      <c r="P612" s="31" t="s">
        <v>275</v>
      </c>
      <c r="Q612" s="17" t="e">
        <f t="shared" si="18"/>
        <v>#VALUE!</v>
      </c>
      <c r="R612" s="32" t="e">
        <f t="array" ref="R612">IF(OR(AND(COUNTBLANK(Combo_Opponent_Type_1)=1,COUNTBLANK(Combo_Opponent_Type_2)=0),AND(AND(COUNTBLANK(Combo_Opponent_Type_1)=0,COUNTBLANK(Combo_Opponent_Type_2)=0),Combo_Opponent_Type_1=Combo_Opponent_Type_2)),
"Check Types",($S612*INDEX(Species_Tankiness,MATCH($N612,Species_Names,0)))/225)</f>
        <v>#VALUE!</v>
      </c>
      <c r="S612" s="32" t="e">
        <f t="array" ref="S612">IF(OR(AND(COUNTBLANK(Combo_Opponent_Type_1)=1,COUNTBLANK(Combo_Opponent_Type_2)=0),AND(AND(COUNTBLANK(Combo_Opponent_Type_1)=0,COUNTBLANK(Combo_Opponent_Type_2)=0),Combo_Opponent_Type_1=Combo_Opponent_Type_2)),
"Check Types",(
IF($W612&gt;=((1-Game_Weave_Human_Error)*$X612),$W612,$X612)*INDEX(Species_Attack,MATCH($N612,Species_Names,0)))/11)</f>
        <v>#VALUE!</v>
      </c>
      <c r="T612" s="33" t="e">
        <f t="shared" si="19"/>
        <v>#VALUE!</v>
      </c>
      <c r="U612" s="33">
        <f t="array" ref="U6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612,Quick_Names,0))),Type_Species)),0),1)*IF(COUNTBLANK(Combo_Opponent_Type_2)=0,INDEX(Type_Damage_Multipliers,MATCH(Combo_Opponent_Type_2,IF(Type_Move=(INDEX(Quick_Type,MATCH($O612,Quick_Names,0))),Type_Species)),0),1)*(IF(OR(INDEX(Quick_Type,MATCH($O612,Quick_Names,0))=INDEX(Species_Type_1,MATCH($N612,Species_Names,0)),INDEX(Quick_Type,MATCH($O612,Quick_Names,0))=INDEX(Species_Type_2,MATCH($N612,Species_Names,0))),Game_STAB_Multiplier,1)))</f>
        <v>1</v>
      </c>
      <c r="V612" s="33">
        <f t="array" ref="V6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612,Charge_Names,0))),Type_Species)),0),1)*IF(COUNTBLANK(Combo_Opponent_Type_2)=0,INDEX(Type_Damage_Multipliers,MATCH(Combo_Opponent_Type_2,IF(Type_Move=(INDEX(Charge_Type,MATCH($P612,Charge_Names,0))),Type_Species)),0),1)*
IF(OR(INDEX(Charge_Type,MATCH($P612,Charge_Names,0))=INDEX(Species_Type_1,MATCH($N612,Species_Names,0)),INDEX(Charge_Type,MATCH($P612,Charge_Names,0))=INDEX(Species_Type_2,MATCH($N612,Species_Names,0))),Game_STAB_Multiplier,1))</f>
        <v>1</v>
      </c>
      <c r="W612" s="33" t="s">
        <v>577</v>
      </c>
      <c r="X612" s="33" t="s">
        <v>1022</v>
      </c>
      <c r="Y612" s="32" t="e">
        <f t="array" ref="Y612">((($Z612)*
INDEX(Species_Attack,MATCH($N612,Species_Names,0))*
INDEX(Species_Tankiness,MATCH($N612,Species_Names,0)))/1000)</f>
        <v>#VALUE!</v>
      </c>
      <c r="Z612" s="33" t="s">
        <v>466</v>
      </c>
    </row>
    <row r="613" spans="1:26" ht="14.25" customHeight="1" x14ac:dyDescent="0.2">
      <c r="A613" s="86"/>
      <c r="B613" s="22" t="str">
        <f t="array" ref="B613">CONCATENATE(TEXT($M613,"000"),".",TEXT(INDEX(Quick_Number,MATCH($O613,Quick_Names,0)),"000"),".",TEXT(INDEX(Charge_Number,MATCH($P613,Charge_Names,0)),"000"))</f>
        <v>104.233.094</v>
      </c>
      <c r="C613" s="23" t="e">
        <f t="array" ref="C613">RANK($S613,IF(Combo_Species_Names=$N613,Combo_Gym_Offense),0)</f>
        <v>#VALUE!</v>
      </c>
      <c r="D613" s="24" t="e">
        <f t="array" ref="D613">$S613/MAX(IF(Combo_Species_Names=$N613,Combo_Gym_Offense))</f>
        <v>#VALUE!</v>
      </c>
      <c r="E613" s="23" t="e">
        <f t="array" ref="E613">RANK($Y613,IF(Combo_Species_Names=$N613,Combo_Gym_Defense),0)</f>
        <v>#VALUE!</v>
      </c>
      <c r="F613" s="25" t="e">
        <f t="array" ref="F613">$Y613/MAX(IF(Combo_Species_Names=$N613,Combo_Gym_Defense))</f>
        <v>#VALUE!</v>
      </c>
      <c r="G613" s="23" t="str">
        <f t="array" ref="G613">IF(OR(INDEX(Species_Availability,MATCH($N613,Species_Names,0))="No",INDEX(Species_Evo_Numbers,MATCH($N613,Species_Names,0))&lt;&gt;1),"N/A",RANK($R613,IF(NOT(ISNA(MATCH(Combo_Species_Names,IF(Species_Availability="Yes",IF(Species_Evo_Numbers=1,Species_Names)),0))),Combo_Duel_Ability),0))</f>
        <v>N/A</v>
      </c>
      <c r="H613" s="24" t="str">
        <f t="array" ref="H613">IF(OR(INDEX(Species_Availability,MATCH($N613,Species_Names,0))="No",INDEX(Species_Evo_Numbers,MATCH($N613,Species_Names,0))&lt;&gt;1),"N/A",$R613/MAX(IF(NOT(ISNA(MATCH(Combo_Species_Names,IF(Species_Availability="Yes",IF(Species_Evo_Numbers=1,Species_Names)),0))),Combo_Duel_Ability)))</f>
        <v>N/A</v>
      </c>
      <c r="I613" s="23" t="str">
        <f t="array" ref="I613">IF(OR(INDEX(Species_Availability,MATCH($N613,Species_Names,0))="No",INDEX(Species_Evo_Numbers,MATCH($N613,Species_Names,0))&lt;&gt;1),"N/A",RANK($S613,IF(NOT(ISNA(MATCH(Combo_Species_Names,IF(Species_Availability="Yes",IF(Species_Evo_Numbers=1,Species_Names)),0))),Combo_Gym_Offense),0))</f>
        <v>N/A</v>
      </c>
      <c r="J613" s="24" t="str">
        <f t="array" ref="J613">IF(OR(INDEX(Species_Availability,MATCH($N613,Species_Names,0))="No",INDEX(Species_Evo_Numbers,MATCH($N613,Species_Names,0))&lt;&gt;1),"N/A",$S613/MAX(IF(NOT(ISNA(MATCH(Combo_Species_Names,IF(Species_Availability="Yes",IF(Species_Evo_Numbers=1,Species_Names)),0))),Combo_Gym_Offense)))</f>
        <v>N/A</v>
      </c>
      <c r="K613" s="23" t="str">
        <f t="array" ref="K613">IF(OR(INDEX(Species_Availability,MATCH($N613,Species_Names,0))="No",INDEX(Species_Evo_Numbers,MATCH($N613,Species_Names,0))&lt;&gt;1),"N/A",RANK($Y613,IF(NOT(ISNA(MATCH(Combo_Species_Names,IF(Species_Availability="Yes",IF(Species_Evo_Numbers=1,Species_Names)),0))),Combo_Gym_Defense),0))</f>
        <v>N/A</v>
      </c>
      <c r="L613" s="24" t="str">
        <f t="array" ref="L613">IF(OR(INDEX(Species_Availability,MATCH($N613,Species_Names,0))="No",INDEX(Species_Evo_Numbers,MATCH($N613,Species_Names,0))&lt;&gt;1),"N/A",$Y613/MAX(IF(NOT(ISNA(MATCH(Combo_Species_Names,IF(Species_Availability="Yes",IF(Species_Evo_Numbers=1,Species_Names)),0))),Combo_Gym_Defense)))</f>
        <v>N/A</v>
      </c>
      <c r="M613" s="28">
        <f t="array" ref="M613">INDEX(Species_Pdex_Numbers,MATCH($N613,Species_Names,0))</f>
        <v>104</v>
      </c>
      <c r="N613" s="30" t="s">
        <v>311</v>
      </c>
      <c r="O613" s="31" t="s">
        <v>84</v>
      </c>
      <c r="P613" s="31" t="s">
        <v>224</v>
      </c>
      <c r="Q613" s="17" t="e">
        <f t="shared" si="18"/>
        <v>#VALUE!</v>
      </c>
      <c r="R613" s="32" t="e">
        <f t="array" ref="R613">IF(OR(AND(COUNTBLANK(Combo_Opponent_Type_1)=1,COUNTBLANK(Combo_Opponent_Type_2)=0),AND(AND(COUNTBLANK(Combo_Opponent_Type_1)=0,COUNTBLANK(Combo_Opponent_Type_2)=0),Combo_Opponent_Type_1=Combo_Opponent_Type_2)),
"Check Types",($S613*INDEX(Species_Tankiness,MATCH($N613,Species_Names,0)))/225)</f>
        <v>#VALUE!</v>
      </c>
      <c r="S613" s="32" t="e">
        <f t="array" ref="S613">IF(OR(AND(COUNTBLANK(Combo_Opponent_Type_1)=1,COUNTBLANK(Combo_Opponent_Type_2)=0),AND(AND(COUNTBLANK(Combo_Opponent_Type_1)=0,COUNTBLANK(Combo_Opponent_Type_2)=0),Combo_Opponent_Type_1=Combo_Opponent_Type_2)),
"Check Types",(
IF($W613&gt;=((1-Game_Weave_Human_Error)*$X613),$W613,$X613)*INDEX(Species_Attack,MATCH($N613,Species_Names,0)))/11)</f>
        <v>#VALUE!</v>
      </c>
      <c r="T613" s="33" t="e">
        <f t="shared" si="19"/>
        <v>#VALUE!</v>
      </c>
      <c r="U613" s="33">
        <f t="array" ref="U6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613,Quick_Names,0))),Type_Species)),0),1)*IF(COUNTBLANK(Combo_Opponent_Type_2)=0,INDEX(Type_Damage_Multipliers,MATCH(Combo_Opponent_Type_2,IF(Type_Move=(INDEX(Quick_Type,MATCH($O613,Quick_Names,0))),Type_Species)),0),1)*(IF(OR(INDEX(Quick_Type,MATCH($O613,Quick_Names,0))=INDEX(Species_Type_1,MATCH($N613,Species_Names,0)),INDEX(Quick_Type,MATCH($O613,Quick_Names,0))=INDEX(Species_Type_2,MATCH($N613,Species_Names,0))),Game_STAB_Multiplier,1)))</f>
        <v>1.25</v>
      </c>
      <c r="V613" s="33">
        <f t="array" ref="V6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613,Charge_Names,0))),Type_Species)),0),1)*IF(COUNTBLANK(Combo_Opponent_Type_2)=0,INDEX(Type_Damage_Multipliers,MATCH(Combo_Opponent_Type_2,IF(Type_Move=(INDEX(Charge_Type,MATCH($P613,Charge_Names,0))),Type_Species)),0),1)*
IF(OR(INDEX(Charge_Type,MATCH($P613,Charge_Names,0))=INDEX(Species_Type_1,MATCH($N613,Species_Names,0)),INDEX(Charge_Type,MATCH($P613,Charge_Names,0))=INDEX(Species_Type_2,MATCH($N613,Species_Names,0))),Game_STAB_Multiplier,1))</f>
        <v>1.25</v>
      </c>
      <c r="W613" s="33" t="s">
        <v>436</v>
      </c>
      <c r="X613" s="33" t="s">
        <v>541</v>
      </c>
      <c r="Y613" s="32" t="e">
        <f t="array" ref="Y613">((($Z613)*
INDEX(Species_Attack,MATCH($N613,Species_Names,0))*
INDEX(Species_Tankiness,MATCH($N613,Species_Names,0)))/1000)</f>
        <v>#VALUE!</v>
      </c>
      <c r="Z613" s="33" t="s">
        <v>807</v>
      </c>
    </row>
    <row r="614" spans="1:26" ht="14.25" customHeight="1" x14ac:dyDescent="0.2">
      <c r="A614" s="86"/>
      <c r="B614" s="22" t="str">
        <f t="array" ref="B614">CONCATENATE(TEXT($M614,"000"),".",TEXT(INDEX(Quick_Number,MATCH($O614,Quick_Names,0)),"000"),".",TEXT(INDEX(Charge_Number,MATCH($P614,Charge_Names,0)),"000"))</f>
        <v>104.233.026</v>
      </c>
      <c r="C614" s="23" t="e">
        <f t="array" ref="C614">RANK($S614,IF(Combo_Species_Names=$N614,Combo_Gym_Offense),0)</f>
        <v>#VALUE!</v>
      </c>
      <c r="D614" s="24" t="e">
        <f t="array" ref="D614">$S614/MAX(IF(Combo_Species_Names=$N614,Combo_Gym_Offense))</f>
        <v>#VALUE!</v>
      </c>
      <c r="E614" s="23" t="e">
        <f t="array" ref="E614">RANK($Y614,IF(Combo_Species_Names=$N614,Combo_Gym_Defense),0)</f>
        <v>#VALUE!</v>
      </c>
      <c r="F614" s="25" t="e">
        <f t="array" ref="F614">$Y614/MAX(IF(Combo_Species_Names=$N614,Combo_Gym_Defense))</f>
        <v>#VALUE!</v>
      </c>
      <c r="G614" s="23" t="str">
        <f t="array" ref="G614">IF(OR(INDEX(Species_Availability,MATCH($N614,Species_Names,0))="No",INDEX(Species_Evo_Numbers,MATCH($N614,Species_Names,0))&lt;&gt;1),"N/A",RANK($R614,IF(NOT(ISNA(MATCH(Combo_Species_Names,IF(Species_Availability="Yes",IF(Species_Evo_Numbers=1,Species_Names)),0))),Combo_Duel_Ability),0))</f>
        <v>N/A</v>
      </c>
      <c r="H614" s="24" t="str">
        <f t="array" ref="H614">IF(OR(INDEX(Species_Availability,MATCH($N614,Species_Names,0))="No",INDEX(Species_Evo_Numbers,MATCH($N614,Species_Names,0))&lt;&gt;1),"N/A",$R614/MAX(IF(NOT(ISNA(MATCH(Combo_Species_Names,IF(Species_Availability="Yes",IF(Species_Evo_Numbers=1,Species_Names)),0))),Combo_Duel_Ability)))</f>
        <v>N/A</v>
      </c>
      <c r="I614" s="23" t="str">
        <f t="array" ref="I614">IF(OR(INDEX(Species_Availability,MATCH($N614,Species_Names,0))="No",INDEX(Species_Evo_Numbers,MATCH($N614,Species_Names,0))&lt;&gt;1),"N/A",RANK($S614,IF(NOT(ISNA(MATCH(Combo_Species_Names,IF(Species_Availability="Yes",IF(Species_Evo_Numbers=1,Species_Names)),0))),Combo_Gym_Offense),0))</f>
        <v>N/A</v>
      </c>
      <c r="J614" s="24" t="str">
        <f t="array" ref="J614">IF(OR(INDEX(Species_Availability,MATCH($N614,Species_Names,0))="No",INDEX(Species_Evo_Numbers,MATCH($N614,Species_Names,0))&lt;&gt;1),"N/A",$S614/MAX(IF(NOT(ISNA(MATCH(Combo_Species_Names,IF(Species_Availability="Yes",IF(Species_Evo_Numbers=1,Species_Names)),0))),Combo_Gym_Offense)))</f>
        <v>N/A</v>
      </c>
      <c r="K614" s="23" t="str">
        <f t="array" ref="K614">IF(OR(INDEX(Species_Availability,MATCH($N614,Species_Names,0))="No",INDEX(Species_Evo_Numbers,MATCH($N614,Species_Names,0))&lt;&gt;1),"N/A",RANK($Y614,IF(NOT(ISNA(MATCH(Combo_Species_Names,IF(Species_Availability="Yes",IF(Species_Evo_Numbers=1,Species_Names)),0))),Combo_Gym_Defense),0))</f>
        <v>N/A</v>
      </c>
      <c r="L614" s="24" t="str">
        <f t="array" ref="L614">IF(OR(INDEX(Species_Availability,MATCH($N614,Species_Names,0))="No",INDEX(Species_Evo_Numbers,MATCH($N614,Species_Names,0))&lt;&gt;1),"N/A",$Y614/MAX(IF(NOT(ISNA(MATCH(Combo_Species_Names,IF(Species_Availability="Yes",IF(Species_Evo_Numbers=1,Species_Names)),0))),Combo_Gym_Defense)))</f>
        <v>N/A</v>
      </c>
      <c r="M614" s="28">
        <f t="array" ref="M614">INDEX(Species_Pdex_Numbers,MATCH($N614,Species_Names,0))</f>
        <v>104</v>
      </c>
      <c r="N614" s="30" t="s">
        <v>311</v>
      </c>
      <c r="O614" s="31" t="s">
        <v>84</v>
      </c>
      <c r="P614" s="31" t="s">
        <v>264</v>
      </c>
      <c r="Q614" s="17" t="e">
        <f t="shared" si="18"/>
        <v>#VALUE!</v>
      </c>
      <c r="R614" s="32" t="e">
        <f t="array" ref="R614">IF(OR(AND(COUNTBLANK(Combo_Opponent_Type_1)=1,COUNTBLANK(Combo_Opponent_Type_2)=0),AND(AND(COUNTBLANK(Combo_Opponent_Type_1)=0,COUNTBLANK(Combo_Opponent_Type_2)=0),Combo_Opponent_Type_1=Combo_Opponent_Type_2)),
"Check Types",($S614*INDEX(Species_Tankiness,MATCH($N614,Species_Names,0)))/225)</f>
        <v>#VALUE!</v>
      </c>
      <c r="S614" s="32" t="e">
        <f t="array" ref="S614">IF(OR(AND(COUNTBLANK(Combo_Opponent_Type_1)=1,COUNTBLANK(Combo_Opponent_Type_2)=0),AND(AND(COUNTBLANK(Combo_Opponent_Type_1)=0,COUNTBLANK(Combo_Opponent_Type_2)=0),Combo_Opponent_Type_1=Combo_Opponent_Type_2)),
"Check Types",(
IF($W614&gt;=((1-Game_Weave_Human_Error)*$X614),$W614,$X614)*INDEX(Species_Attack,MATCH($N614,Species_Names,0)))/11)</f>
        <v>#VALUE!</v>
      </c>
      <c r="T614" s="33" t="e">
        <f t="shared" si="19"/>
        <v>#VALUE!</v>
      </c>
      <c r="U614" s="33">
        <f t="array" ref="U6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614,Quick_Names,0))),Type_Species)),0),1)*IF(COUNTBLANK(Combo_Opponent_Type_2)=0,INDEX(Type_Damage_Multipliers,MATCH(Combo_Opponent_Type_2,IF(Type_Move=(INDEX(Quick_Type,MATCH($O614,Quick_Names,0))),Type_Species)),0),1)*(IF(OR(INDEX(Quick_Type,MATCH($O614,Quick_Names,0))=INDEX(Species_Type_1,MATCH($N614,Species_Names,0)),INDEX(Quick_Type,MATCH($O614,Quick_Names,0))=INDEX(Species_Type_2,MATCH($N614,Species_Names,0))),Game_STAB_Multiplier,1)))</f>
        <v>1.25</v>
      </c>
      <c r="V614" s="33">
        <f t="array" ref="V6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614,Charge_Names,0))),Type_Species)),0),1)*IF(COUNTBLANK(Combo_Opponent_Type_2)=0,INDEX(Type_Damage_Multipliers,MATCH(Combo_Opponent_Type_2,IF(Type_Move=(INDEX(Charge_Type,MATCH($P614,Charge_Names,0))),Type_Species)),0),1)*
IF(OR(INDEX(Charge_Type,MATCH($P614,Charge_Names,0))=INDEX(Species_Type_1,MATCH($N614,Species_Names,0)),INDEX(Charge_Type,MATCH($P614,Charge_Names,0))=INDEX(Species_Type_2,MATCH($N614,Species_Names,0))),Game_STAB_Multiplier,1))</f>
        <v>1.25</v>
      </c>
      <c r="W614" s="33" t="s">
        <v>436</v>
      </c>
      <c r="X614" s="33" t="s">
        <v>808</v>
      </c>
      <c r="Y614" s="32" t="e">
        <f t="array" ref="Y614">((($Z614)*
INDEX(Species_Attack,MATCH($N614,Species_Names,0))*
INDEX(Species_Tankiness,MATCH($N614,Species_Names,0)))/1000)</f>
        <v>#VALUE!</v>
      </c>
      <c r="Z614" s="33" t="s">
        <v>809</v>
      </c>
    </row>
    <row r="615" spans="1:26" ht="14.25" customHeight="1" x14ac:dyDescent="0.2">
      <c r="A615" s="86"/>
      <c r="B615" s="22" t="str">
        <f t="array" ref="B615">CONCATENATE(TEXT($M615,"000"),".",TEXT(INDEX(Quick_Number,MATCH($O615,Quick_Names,0)),"000"),".",TEXT(INDEX(Charge_Number,MATCH($P615,Charge_Names,0)),"000"))</f>
        <v>104.233.095</v>
      </c>
      <c r="C615" s="23" t="e">
        <f t="array" ref="C615">RANK($S615,IF(Combo_Species_Names=$N615,Combo_Gym_Offense),0)</f>
        <v>#VALUE!</v>
      </c>
      <c r="D615" s="24" t="e">
        <f t="array" ref="D615">$S615/MAX(IF(Combo_Species_Names=$N615,Combo_Gym_Offense))</f>
        <v>#VALUE!</v>
      </c>
      <c r="E615" s="23" t="e">
        <f t="array" ref="E615">RANK($Y615,IF(Combo_Species_Names=$N615,Combo_Gym_Defense),0)</f>
        <v>#VALUE!</v>
      </c>
      <c r="F615" s="25" t="e">
        <f t="array" ref="F615">$Y615/MAX(IF(Combo_Species_Names=$N615,Combo_Gym_Defense))</f>
        <v>#VALUE!</v>
      </c>
      <c r="G615" s="23" t="str">
        <f t="array" ref="G615">IF(OR(INDEX(Species_Availability,MATCH($N615,Species_Names,0))="No",INDEX(Species_Evo_Numbers,MATCH($N615,Species_Names,0))&lt;&gt;1),"N/A",RANK($R615,IF(NOT(ISNA(MATCH(Combo_Species_Names,IF(Species_Availability="Yes",IF(Species_Evo_Numbers=1,Species_Names)),0))),Combo_Duel_Ability),0))</f>
        <v>N/A</v>
      </c>
      <c r="H615" s="24" t="str">
        <f t="array" ref="H615">IF(OR(INDEX(Species_Availability,MATCH($N615,Species_Names,0))="No",INDEX(Species_Evo_Numbers,MATCH($N615,Species_Names,0))&lt;&gt;1),"N/A",$R615/MAX(IF(NOT(ISNA(MATCH(Combo_Species_Names,IF(Species_Availability="Yes",IF(Species_Evo_Numbers=1,Species_Names)),0))),Combo_Duel_Ability)))</f>
        <v>N/A</v>
      </c>
      <c r="I615" s="23" t="str">
        <f t="array" ref="I615">IF(OR(INDEX(Species_Availability,MATCH($N615,Species_Names,0))="No",INDEX(Species_Evo_Numbers,MATCH($N615,Species_Names,0))&lt;&gt;1),"N/A",RANK($S615,IF(NOT(ISNA(MATCH(Combo_Species_Names,IF(Species_Availability="Yes",IF(Species_Evo_Numbers=1,Species_Names)),0))),Combo_Gym_Offense),0))</f>
        <v>N/A</v>
      </c>
      <c r="J615" s="24" t="str">
        <f t="array" ref="J615">IF(OR(INDEX(Species_Availability,MATCH($N615,Species_Names,0))="No",INDEX(Species_Evo_Numbers,MATCH($N615,Species_Names,0))&lt;&gt;1),"N/A",$S615/MAX(IF(NOT(ISNA(MATCH(Combo_Species_Names,IF(Species_Availability="Yes",IF(Species_Evo_Numbers=1,Species_Names)),0))),Combo_Gym_Offense)))</f>
        <v>N/A</v>
      </c>
      <c r="K615" s="23" t="str">
        <f t="array" ref="K615">IF(OR(INDEX(Species_Availability,MATCH($N615,Species_Names,0))="No",INDEX(Species_Evo_Numbers,MATCH($N615,Species_Names,0))&lt;&gt;1),"N/A",RANK($Y615,IF(NOT(ISNA(MATCH(Combo_Species_Names,IF(Species_Availability="Yes",IF(Species_Evo_Numbers=1,Species_Names)),0))),Combo_Gym_Defense),0))</f>
        <v>N/A</v>
      </c>
      <c r="L615" s="24" t="str">
        <f t="array" ref="L615">IF(OR(INDEX(Species_Availability,MATCH($N615,Species_Names,0))="No",INDEX(Species_Evo_Numbers,MATCH($N615,Species_Names,0))&lt;&gt;1),"N/A",$Y615/MAX(IF(NOT(ISNA(MATCH(Combo_Species_Names,IF(Species_Availability="Yes",IF(Species_Evo_Numbers=1,Species_Names)),0))),Combo_Gym_Defense)))</f>
        <v>N/A</v>
      </c>
      <c r="M615" s="28">
        <f t="array" ref="M615">INDEX(Species_Pdex_Numbers,MATCH($N615,Species_Names,0))</f>
        <v>104</v>
      </c>
      <c r="N615" s="30" t="s">
        <v>311</v>
      </c>
      <c r="O615" s="31" t="s">
        <v>84</v>
      </c>
      <c r="P615" s="31" t="s">
        <v>291</v>
      </c>
      <c r="Q615" s="17" t="e">
        <f t="shared" si="18"/>
        <v>#VALUE!</v>
      </c>
      <c r="R615" s="32" t="e">
        <f t="array" ref="R615">IF(OR(AND(COUNTBLANK(Combo_Opponent_Type_1)=1,COUNTBLANK(Combo_Opponent_Type_2)=0),AND(AND(COUNTBLANK(Combo_Opponent_Type_1)=0,COUNTBLANK(Combo_Opponent_Type_2)=0),Combo_Opponent_Type_1=Combo_Opponent_Type_2)),
"Check Types",($S615*INDEX(Species_Tankiness,MATCH($N615,Species_Names,0)))/225)</f>
        <v>#VALUE!</v>
      </c>
      <c r="S615" s="32" t="e">
        <f t="array" ref="S615">IF(OR(AND(COUNTBLANK(Combo_Opponent_Type_1)=1,COUNTBLANK(Combo_Opponent_Type_2)=0),AND(AND(COUNTBLANK(Combo_Opponent_Type_1)=0,COUNTBLANK(Combo_Opponent_Type_2)=0),Combo_Opponent_Type_1=Combo_Opponent_Type_2)),
"Check Types",(
IF($W615&gt;=((1-Game_Weave_Human_Error)*$X615),$W615,$X615)*INDEX(Species_Attack,MATCH($N615,Species_Names,0)))/11)</f>
        <v>#VALUE!</v>
      </c>
      <c r="T615" s="33" t="e">
        <f t="shared" si="19"/>
        <v>#VALUE!</v>
      </c>
      <c r="U615" s="33">
        <f t="array" ref="U6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615,Quick_Names,0))),Type_Species)),0),1)*IF(COUNTBLANK(Combo_Opponent_Type_2)=0,INDEX(Type_Damage_Multipliers,MATCH(Combo_Opponent_Type_2,IF(Type_Move=(INDEX(Quick_Type,MATCH($O615,Quick_Names,0))),Type_Species)),0),1)*(IF(OR(INDEX(Quick_Type,MATCH($O615,Quick_Names,0))=INDEX(Species_Type_1,MATCH($N615,Species_Names,0)),INDEX(Quick_Type,MATCH($O615,Quick_Names,0))=INDEX(Species_Type_2,MATCH($N615,Species_Names,0))),Game_STAB_Multiplier,1)))</f>
        <v>1.25</v>
      </c>
      <c r="V615" s="33">
        <f t="array" ref="V6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615,Charge_Names,0))),Type_Species)),0),1)*IF(COUNTBLANK(Combo_Opponent_Type_2)=0,INDEX(Type_Damage_Multipliers,MATCH(Combo_Opponent_Type_2,IF(Type_Move=(INDEX(Charge_Type,MATCH($P615,Charge_Names,0))),Type_Species)),0),1)*
IF(OR(INDEX(Charge_Type,MATCH($P615,Charge_Names,0))=INDEX(Species_Type_1,MATCH($N615,Species_Names,0)),INDEX(Charge_Type,MATCH($P615,Charge_Names,0))=INDEX(Species_Type_2,MATCH($N615,Species_Names,0))),Game_STAB_Multiplier,1))</f>
        <v>1.25</v>
      </c>
      <c r="W615" s="33" t="s">
        <v>436</v>
      </c>
      <c r="X615" s="33" t="s">
        <v>986</v>
      </c>
      <c r="Y615" s="32" t="e">
        <f t="array" ref="Y615">((($Z615)*
INDEX(Species_Attack,MATCH($N615,Species_Names,0))*
INDEX(Species_Tankiness,MATCH($N615,Species_Names,0)))/1000)</f>
        <v>#VALUE!</v>
      </c>
      <c r="Z615" s="33" t="s">
        <v>987</v>
      </c>
    </row>
    <row r="616" spans="1:26" ht="14.25" customHeight="1" x14ac:dyDescent="0.2">
      <c r="A616" s="86"/>
      <c r="B616" s="22" t="str">
        <f t="array" ref="B616">CONCATENATE(TEXT($M616,"000"),".",TEXT(INDEX(Quick_Number,MATCH($O616,Quick_Names,0)),"000"),".",TEXT(INDEX(Charge_Number,MATCH($P616,Charge_Names,0)),"000"))</f>
        <v>048.201.050</v>
      </c>
      <c r="C616" s="23" t="e">
        <f t="array" ref="C616">RANK($S616,IF(Combo_Species_Names=$N616,Combo_Gym_Offense),0)</f>
        <v>#VALUE!</v>
      </c>
      <c r="D616" s="24" t="e">
        <f t="array" ref="D616">$S616/MAX(IF(Combo_Species_Names=$N616,Combo_Gym_Offense))</f>
        <v>#VALUE!</v>
      </c>
      <c r="E616" s="23" t="e">
        <f t="array" ref="E616">RANK($Y616,IF(Combo_Species_Names=$N616,Combo_Gym_Defense),0)</f>
        <v>#VALUE!</v>
      </c>
      <c r="F616" s="25" t="e">
        <f t="array" ref="F616">$Y616/MAX(IF(Combo_Species_Names=$N616,Combo_Gym_Defense))</f>
        <v>#VALUE!</v>
      </c>
      <c r="G616" s="23" t="str">
        <f t="array" ref="G616">IF(OR(INDEX(Species_Availability,MATCH($N616,Species_Names,0))="No",INDEX(Species_Evo_Numbers,MATCH($N616,Species_Names,0))&lt;&gt;1),"N/A",RANK($R616,IF(NOT(ISNA(MATCH(Combo_Species_Names,IF(Species_Availability="Yes",IF(Species_Evo_Numbers=1,Species_Names)),0))),Combo_Duel_Ability),0))</f>
        <v>N/A</v>
      </c>
      <c r="H616" s="24" t="str">
        <f t="array" ref="H616">IF(OR(INDEX(Species_Availability,MATCH($N616,Species_Names,0))="No",INDEX(Species_Evo_Numbers,MATCH($N616,Species_Names,0))&lt;&gt;1),"N/A",$R616/MAX(IF(NOT(ISNA(MATCH(Combo_Species_Names,IF(Species_Availability="Yes",IF(Species_Evo_Numbers=1,Species_Names)),0))),Combo_Duel_Ability)))</f>
        <v>N/A</v>
      </c>
      <c r="I616" s="23" t="str">
        <f t="array" ref="I616">IF(OR(INDEX(Species_Availability,MATCH($N616,Species_Names,0))="No",INDEX(Species_Evo_Numbers,MATCH($N616,Species_Names,0))&lt;&gt;1),"N/A",RANK($S616,IF(NOT(ISNA(MATCH(Combo_Species_Names,IF(Species_Availability="Yes",IF(Species_Evo_Numbers=1,Species_Names)),0))),Combo_Gym_Offense),0))</f>
        <v>N/A</v>
      </c>
      <c r="J616" s="24" t="str">
        <f t="array" ref="J616">IF(OR(INDEX(Species_Availability,MATCH($N616,Species_Names,0))="No",INDEX(Species_Evo_Numbers,MATCH($N616,Species_Names,0))&lt;&gt;1),"N/A",$S616/MAX(IF(NOT(ISNA(MATCH(Combo_Species_Names,IF(Species_Availability="Yes",IF(Species_Evo_Numbers=1,Species_Names)),0))),Combo_Gym_Offense)))</f>
        <v>N/A</v>
      </c>
      <c r="K616" s="23" t="str">
        <f t="array" ref="K616">IF(OR(INDEX(Species_Availability,MATCH($N616,Species_Names,0))="No",INDEX(Species_Evo_Numbers,MATCH($N616,Species_Names,0))&lt;&gt;1),"N/A",RANK($Y616,IF(NOT(ISNA(MATCH(Combo_Species_Names,IF(Species_Availability="Yes",IF(Species_Evo_Numbers=1,Species_Names)),0))),Combo_Gym_Defense),0))</f>
        <v>N/A</v>
      </c>
      <c r="L616" s="24" t="str">
        <f t="array" ref="L616">IF(OR(INDEX(Species_Availability,MATCH($N616,Species_Names,0))="No",INDEX(Species_Evo_Numbers,MATCH($N616,Species_Names,0))&lt;&gt;1),"N/A",$Y616/MAX(IF(NOT(ISNA(MATCH(Combo_Species_Names,IF(Species_Availability="Yes",IF(Species_Evo_Numbers=1,Species_Names)),0))),Combo_Gym_Defense)))</f>
        <v>N/A</v>
      </c>
      <c r="M616" s="28">
        <f t="array" ref="M616">INDEX(Species_Pdex_Numbers,MATCH($N616,Species_Names,0))</f>
        <v>48</v>
      </c>
      <c r="N616" s="30" t="s">
        <v>187</v>
      </c>
      <c r="O616" s="31" t="s">
        <v>82</v>
      </c>
      <c r="P616" s="31" t="s">
        <v>285</v>
      </c>
      <c r="Q616" s="17" t="e">
        <f t="shared" si="18"/>
        <v>#VALUE!</v>
      </c>
      <c r="R616" s="32" t="e">
        <f t="array" ref="R616">IF(OR(AND(COUNTBLANK(Combo_Opponent_Type_1)=1,COUNTBLANK(Combo_Opponent_Type_2)=0),AND(AND(COUNTBLANK(Combo_Opponent_Type_1)=0,COUNTBLANK(Combo_Opponent_Type_2)=0),Combo_Opponent_Type_1=Combo_Opponent_Type_2)),
"Check Types",($S616*INDEX(Species_Tankiness,MATCH($N616,Species_Names,0)))/225)</f>
        <v>#VALUE!</v>
      </c>
      <c r="S616" s="32" t="e">
        <f t="array" ref="S616">IF(OR(AND(COUNTBLANK(Combo_Opponent_Type_1)=1,COUNTBLANK(Combo_Opponent_Type_2)=0),AND(AND(COUNTBLANK(Combo_Opponent_Type_1)=0,COUNTBLANK(Combo_Opponent_Type_2)=0),Combo_Opponent_Type_1=Combo_Opponent_Type_2)),
"Check Types",(
IF($W616&gt;=((1-Game_Weave_Human_Error)*$X616),$W616,$X616)*INDEX(Species_Attack,MATCH($N616,Species_Names,0)))/11)</f>
        <v>#VALUE!</v>
      </c>
      <c r="T616" s="33" t="e">
        <f t="shared" si="19"/>
        <v>#VALUE!</v>
      </c>
      <c r="U616" s="33">
        <f t="array" ref="U6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616,Quick_Names,0))),Type_Species)),0),1)*IF(COUNTBLANK(Combo_Opponent_Type_2)=0,INDEX(Type_Damage_Multipliers,MATCH(Combo_Opponent_Type_2,IF(Type_Move=(INDEX(Quick_Type,MATCH($O616,Quick_Names,0))),Type_Species)),0),1)*(IF(OR(INDEX(Quick_Type,MATCH($O616,Quick_Names,0))=INDEX(Species_Type_1,MATCH($N616,Species_Names,0)),INDEX(Quick_Type,MATCH($O616,Quick_Names,0))=INDEX(Species_Type_2,MATCH($N616,Species_Names,0))),Game_STAB_Multiplier,1)))</f>
        <v>1.25</v>
      </c>
      <c r="V616" s="33">
        <f t="array" ref="V6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616,Charge_Names,0))),Type_Species)),0),1)*IF(COUNTBLANK(Combo_Opponent_Type_2)=0,INDEX(Type_Damage_Multipliers,MATCH(Combo_Opponent_Type_2,IF(Type_Move=(INDEX(Charge_Type,MATCH($P616,Charge_Names,0))),Type_Species)),0),1)*
IF(OR(INDEX(Charge_Type,MATCH($P616,Charge_Names,0))=INDEX(Species_Type_1,MATCH($N616,Species_Names,0)),INDEX(Charge_Type,MATCH($P616,Charge_Names,0))=INDEX(Species_Type_2,MATCH($N616,Species_Names,0))),Game_STAB_Multiplier,1))</f>
        <v>1.25</v>
      </c>
      <c r="W616" s="33" t="s">
        <v>436</v>
      </c>
      <c r="X616" s="33" t="s">
        <v>776</v>
      </c>
      <c r="Y616" s="32" t="e">
        <f t="array" ref="Y616">((($Z616)*
INDEX(Species_Attack,MATCH($N616,Species_Names,0))*
INDEX(Species_Tankiness,MATCH($N616,Species_Names,0)))/1000)</f>
        <v>#VALUE!</v>
      </c>
      <c r="Z616" s="33" t="s">
        <v>777</v>
      </c>
    </row>
    <row r="617" spans="1:26" ht="14.25" customHeight="1" x14ac:dyDescent="0.2">
      <c r="A617" s="86"/>
      <c r="B617" s="22" t="str">
        <f t="array" ref="B617">CONCATENATE(TEXT($M617,"000"),".",TEXT(INDEX(Quick_Number,MATCH($O617,Quick_Names,0)),"000"),".",TEXT(INDEX(Charge_Number,MATCH($P617,Charge_Names,0)),"000"))</f>
        <v>048.201.030</v>
      </c>
      <c r="C617" s="23" t="e">
        <f t="array" ref="C617">RANK($S617,IF(Combo_Species_Names=$N617,Combo_Gym_Offense),0)</f>
        <v>#VALUE!</v>
      </c>
      <c r="D617" s="24" t="e">
        <f t="array" ref="D617">$S617/MAX(IF(Combo_Species_Names=$N617,Combo_Gym_Offense))</f>
        <v>#VALUE!</v>
      </c>
      <c r="E617" s="23" t="e">
        <f t="array" ref="E617">RANK($Y617,IF(Combo_Species_Names=$N617,Combo_Gym_Defense),0)</f>
        <v>#VALUE!</v>
      </c>
      <c r="F617" s="25" t="e">
        <f t="array" ref="F617">$Y617/MAX(IF(Combo_Species_Names=$N617,Combo_Gym_Defense))</f>
        <v>#VALUE!</v>
      </c>
      <c r="G617" s="23" t="str">
        <f t="array" ref="G617">IF(OR(INDEX(Species_Availability,MATCH($N617,Species_Names,0))="No",INDEX(Species_Evo_Numbers,MATCH($N617,Species_Names,0))&lt;&gt;1),"N/A",RANK($R617,IF(NOT(ISNA(MATCH(Combo_Species_Names,IF(Species_Availability="Yes",IF(Species_Evo_Numbers=1,Species_Names)),0))),Combo_Duel_Ability),0))</f>
        <v>N/A</v>
      </c>
      <c r="H617" s="24" t="str">
        <f t="array" ref="H617">IF(OR(INDEX(Species_Availability,MATCH($N617,Species_Names,0))="No",INDEX(Species_Evo_Numbers,MATCH($N617,Species_Names,0))&lt;&gt;1),"N/A",$R617/MAX(IF(NOT(ISNA(MATCH(Combo_Species_Names,IF(Species_Availability="Yes",IF(Species_Evo_Numbers=1,Species_Names)),0))),Combo_Duel_Ability)))</f>
        <v>N/A</v>
      </c>
      <c r="I617" s="23" t="str">
        <f t="array" ref="I617">IF(OR(INDEX(Species_Availability,MATCH($N617,Species_Names,0))="No",INDEX(Species_Evo_Numbers,MATCH($N617,Species_Names,0))&lt;&gt;1),"N/A",RANK($S617,IF(NOT(ISNA(MATCH(Combo_Species_Names,IF(Species_Availability="Yes",IF(Species_Evo_Numbers=1,Species_Names)),0))),Combo_Gym_Offense),0))</f>
        <v>N/A</v>
      </c>
      <c r="J617" s="24" t="str">
        <f t="array" ref="J617">IF(OR(INDEX(Species_Availability,MATCH($N617,Species_Names,0))="No",INDEX(Species_Evo_Numbers,MATCH($N617,Species_Names,0))&lt;&gt;1),"N/A",$S617/MAX(IF(NOT(ISNA(MATCH(Combo_Species_Names,IF(Species_Availability="Yes",IF(Species_Evo_Numbers=1,Species_Names)),0))),Combo_Gym_Offense)))</f>
        <v>N/A</v>
      </c>
      <c r="K617" s="23" t="str">
        <f t="array" ref="K617">IF(OR(INDEX(Species_Availability,MATCH($N617,Species_Names,0))="No",INDEX(Species_Evo_Numbers,MATCH($N617,Species_Names,0))&lt;&gt;1),"N/A",RANK($Y617,IF(NOT(ISNA(MATCH(Combo_Species_Names,IF(Species_Availability="Yes",IF(Species_Evo_Numbers=1,Species_Names)),0))),Combo_Gym_Defense),0))</f>
        <v>N/A</v>
      </c>
      <c r="L617" s="24" t="str">
        <f t="array" ref="L617">IF(OR(INDEX(Species_Availability,MATCH($N617,Species_Names,0))="No",INDEX(Species_Evo_Numbers,MATCH($N617,Species_Names,0))&lt;&gt;1),"N/A",$Y617/MAX(IF(NOT(ISNA(MATCH(Combo_Species_Names,IF(Species_Availability="Yes",IF(Species_Evo_Numbers=1,Species_Names)),0))),Combo_Gym_Defense)))</f>
        <v>N/A</v>
      </c>
      <c r="M617" s="28">
        <f t="array" ref="M617">INDEX(Species_Pdex_Numbers,MATCH($N617,Species_Names,0))</f>
        <v>48</v>
      </c>
      <c r="N617" s="30" t="s">
        <v>187</v>
      </c>
      <c r="O617" s="31" t="s">
        <v>82</v>
      </c>
      <c r="P617" s="31" t="s">
        <v>283</v>
      </c>
      <c r="Q617" s="17" t="e">
        <f t="shared" si="18"/>
        <v>#VALUE!</v>
      </c>
      <c r="R617" s="32" t="e">
        <f t="array" ref="R617">IF(OR(AND(COUNTBLANK(Combo_Opponent_Type_1)=1,COUNTBLANK(Combo_Opponent_Type_2)=0),AND(AND(COUNTBLANK(Combo_Opponent_Type_1)=0,COUNTBLANK(Combo_Opponent_Type_2)=0),Combo_Opponent_Type_1=Combo_Opponent_Type_2)),
"Check Types",($S617*INDEX(Species_Tankiness,MATCH($N617,Species_Names,0)))/225)</f>
        <v>#VALUE!</v>
      </c>
      <c r="S617" s="32" t="e">
        <f t="array" ref="S617">IF(OR(AND(COUNTBLANK(Combo_Opponent_Type_1)=1,COUNTBLANK(Combo_Opponent_Type_2)=0),AND(AND(COUNTBLANK(Combo_Opponent_Type_1)=0,COUNTBLANK(Combo_Opponent_Type_2)=0),Combo_Opponent_Type_1=Combo_Opponent_Type_2)),
"Check Types",(
IF($W617&gt;=((1-Game_Weave_Human_Error)*$X617),$W617,$X617)*INDEX(Species_Attack,MATCH($N617,Species_Names,0)))/11)</f>
        <v>#VALUE!</v>
      </c>
      <c r="T617" s="33" t="e">
        <f t="shared" si="19"/>
        <v>#VALUE!</v>
      </c>
      <c r="U617" s="33">
        <f t="array" ref="U6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617,Quick_Names,0))),Type_Species)),0),1)*IF(COUNTBLANK(Combo_Opponent_Type_2)=0,INDEX(Type_Damage_Multipliers,MATCH(Combo_Opponent_Type_2,IF(Type_Move=(INDEX(Quick_Type,MATCH($O617,Quick_Names,0))),Type_Species)),0),1)*(IF(OR(INDEX(Quick_Type,MATCH($O617,Quick_Names,0))=INDEX(Species_Type_1,MATCH($N617,Species_Names,0)),INDEX(Quick_Type,MATCH($O617,Quick_Names,0))=INDEX(Species_Type_2,MATCH($N617,Species_Names,0))),Game_STAB_Multiplier,1)))</f>
        <v>1.25</v>
      </c>
      <c r="V617" s="33">
        <f t="array" ref="V6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617,Charge_Names,0))),Type_Species)),0),1)*IF(COUNTBLANK(Combo_Opponent_Type_2)=0,INDEX(Type_Damage_Multipliers,MATCH(Combo_Opponent_Type_2,IF(Type_Move=(INDEX(Charge_Type,MATCH($P617,Charge_Names,0))),Type_Species)),0),1)*
IF(OR(INDEX(Charge_Type,MATCH($P617,Charge_Names,0))=INDEX(Species_Type_1,MATCH($N617,Species_Names,0)),INDEX(Charge_Type,MATCH($P617,Charge_Names,0))=INDEX(Species_Type_2,MATCH($N617,Species_Names,0))),Game_STAB_Multiplier,1))</f>
        <v>1</v>
      </c>
      <c r="W617" s="33" t="s">
        <v>436</v>
      </c>
      <c r="X617" s="33" t="s">
        <v>1023</v>
      </c>
      <c r="Y617" s="32" t="e">
        <f t="array" ref="Y617">((($Z617)*
INDEX(Species_Attack,MATCH($N617,Species_Names,0))*
INDEX(Species_Tankiness,MATCH($N617,Species_Names,0)))/1000)</f>
        <v>#VALUE!</v>
      </c>
      <c r="Z617" s="33" t="s">
        <v>755</v>
      </c>
    </row>
    <row r="618" spans="1:26" ht="14.25" customHeight="1" x14ac:dyDescent="0.2">
      <c r="A618" s="86"/>
      <c r="B618" s="22" t="str">
        <f t="array" ref="B618">CONCATENATE(TEXT($M618,"000"),".",TEXT(INDEX(Quick_Number,MATCH($O618,Quick_Names,0)),"000"),".",TEXT(INDEX(Charge_Number,MATCH($P618,Charge_Names,0)),"000"))</f>
        <v>001.221.090</v>
      </c>
      <c r="C618" s="23" t="e">
        <f t="array" ref="C618">RANK($S618,IF(Combo_Species_Names=$N618,Combo_Gym_Offense),0)</f>
        <v>#VALUE!</v>
      </c>
      <c r="D618" s="24" t="e">
        <f t="array" ref="D618">$S618/MAX(IF(Combo_Species_Names=$N618,Combo_Gym_Offense))</f>
        <v>#VALUE!</v>
      </c>
      <c r="E618" s="23" t="e">
        <f t="array" ref="E618">RANK($Y618,IF(Combo_Species_Names=$N618,Combo_Gym_Defense),0)</f>
        <v>#VALUE!</v>
      </c>
      <c r="F618" s="25" t="e">
        <f t="array" ref="F618">$Y618/MAX(IF(Combo_Species_Names=$N618,Combo_Gym_Defense))</f>
        <v>#VALUE!</v>
      </c>
      <c r="G618" s="23" t="str">
        <f t="array" ref="G618">IF(OR(INDEX(Species_Availability,MATCH($N618,Species_Names,0))="No",INDEX(Species_Evo_Numbers,MATCH($N618,Species_Names,0))&lt;&gt;1),"N/A",RANK($R618,IF(NOT(ISNA(MATCH(Combo_Species_Names,IF(Species_Availability="Yes",IF(Species_Evo_Numbers=1,Species_Names)),0))),Combo_Duel_Ability),0))</f>
        <v>N/A</v>
      </c>
      <c r="H618" s="24" t="str">
        <f t="array" ref="H618">IF(OR(INDEX(Species_Availability,MATCH($N618,Species_Names,0))="No",INDEX(Species_Evo_Numbers,MATCH($N618,Species_Names,0))&lt;&gt;1),"N/A",$R618/MAX(IF(NOT(ISNA(MATCH(Combo_Species_Names,IF(Species_Availability="Yes",IF(Species_Evo_Numbers=1,Species_Names)),0))),Combo_Duel_Ability)))</f>
        <v>N/A</v>
      </c>
      <c r="I618" s="23" t="str">
        <f t="array" ref="I618">IF(OR(INDEX(Species_Availability,MATCH($N618,Species_Names,0))="No",INDEX(Species_Evo_Numbers,MATCH($N618,Species_Names,0))&lt;&gt;1),"N/A",RANK($S618,IF(NOT(ISNA(MATCH(Combo_Species_Names,IF(Species_Availability="Yes",IF(Species_Evo_Numbers=1,Species_Names)),0))),Combo_Gym_Offense),0))</f>
        <v>N/A</v>
      </c>
      <c r="J618" s="24" t="str">
        <f t="array" ref="J618">IF(OR(INDEX(Species_Availability,MATCH($N618,Species_Names,0))="No",INDEX(Species_Evo_Numbers,MATCH($N618,Species_Names,0))&lt;&gt;1),"N/A",$S618/MAX(IF(NOT(ISNA(MATCH(Combo_Species_Names,IF(Species_Availability="Yes",IF(Species_Evo_Numbers=1,Species_Names)),0))),Combo_Gym_Offense)))</f>
        <v>N/A</v>
      </c>
      <c r="K618" s="23" t="str">
        <f t="array" ref="K618">IF(OR(INDEX(Species_Availability,MATCH($N618,Species_Names,0))="No",INDEX(Species_Evo_Numbers,MATCH($N618,Species_Names,0))&lt;&gt;1),"N/A",RANK($Y618,IF(NOT(ISNA(MATCH(Combo_Species_Names,IF(Species_Availability="Yes",IF(Species_Evo_Numbers=1,Species_Names)),0))),Combo_Gym_Defense),0))</f>
        <v>N/A</v>
      </c>
      <c r="L618" s="24" t="str">
        <f t="array" ref="L618">IF(OR(INDEX(Species_Availability,MATCH($N618,Species_Names,0))="No",INDEX(Species_Evo_Numbers,MATCH($N618,Species_Names,0))&lt;&gt;1),"N/A",$Y618/MAX(IF(NOT(ISNA(MATCH(Combo_Species_Names,IF(Species_Availability="Yes",IF(Species_Evo_Numbers=1,Species_Names)),0))),Combo_Gym_Defense)))</f>
        <v>N/A</v>
      </c>
      <c r="M618" s="28">
        <f t="array" ref="M618">INDEX(Species_Pdex_Numbers,MATCH($N618,Species_Names,0))</f>
        <v>1</v>
      </c>
      <c r="N618" s="30" t="s">
        <v>27</v>
      </c>
      <c r="O618" s="31" t="s">
        <v>91</v>
      </c>
      <c r="P618" s="31" t="s">
        <v>180</v>
      </c>
      <c r="Q618" s="17" t="e">
        <f t="shared" si="18"/>
        <v>#VALUE!</v>
      </c>
      <c r="R618" s="32" t="e">
        <f t="array" ref="R618">IF(OR(AND(COUNTBLANK(Combo_Opponent_Type_1)=1,COUNTBLANK(Combo_Opponent_Type_2)=0),AND(AND(COUNTBLANK(Combo_Opponent_Type_1)=0,COUNTBLANK(Combo_Opponent_Type_2)=0),Combo_Opponent_Type_1=Combo_Opponent_Type_2)),
"Check Types",($S618*INDEX(Species_Tankiness,MATCH($N618,Species_Names,0)))/225)</f>
        <v>#VALUE!</v>
      </c>
      <c r="S618" s="32" t="e">
        <f t="array" ref="S618">IF(OR(AND(COUNTBLANK(Combo_Opponent_Type_1)=1,COUNTBLANK(Combo_Opponent_Type_2)=0),AND(AND(COUNTBLANK(Combo_Opponent_Type_1)=0,COUNTBLANK(Combo_Opponent_Type_2)=0),Combo_Opponent_Type_1=Combo_Opponent_Type_2)),
"Check Types",(
IF($W618&gt;=((1-Game_Weave_Human_Error)*$X618),$W618,$X618)*INDEX(Species_Attack,MATCH($N618,Species_Names,0)))/11)</f>
        <v>#VALUE!</v>
      </c>
      <c r="T618" s="33" t="e">
        <f t="shared" si="19"/>
        <v>#VALUE!</v>
      </c>
      <c r="U618" s="33">
        <f t="array" ref="U6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618,Quick_Names,0))),Type_Species)),0),1)*IF(COUNTBLANK(Combo_Opponent_Type_2)=0,INDEX(Type_Damage_Multipliers,MATCH(Combo_Opponent_Type_2,IF(Type_Move=(INDEX(Quick_Type,MATCH($O618,Quick_Names,0))),Type_Species)),0),1)*(IF(OR(INDEX(Quick_Type,MATCH($O618,Quick_Names,0))=INDEX(Species_Type_1,MATCH($N618,Species_Names,0)),INDEX(Quick_Type,MATCH($O618,Quick_Names,0))=INDEX(Species_Type_2,MATCH($N618,Species_Names,0))),Game_STAB_Multiplier,1)))</f>
        <v>1</v>
      </c>
      <c r="V618" s="33">
        <f t="array" ref="V6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618,Charge_Names,0))),Type_Species)),0),1)*IF(COUNTBLANK(Combo_Opponent_Type_2)=0,INDEX(Type_Damage_Multipliers,MATCH(Combo_Opponent_Type_2,IF(Type_Move=(INDEX(Charge_Type,MATCH($P618,Charge_Names,0))),Type_Species)),0),1)*
IF(OR(INDEX(Charge_Type,MATCH($P618,Charge_Names,0))=INDEX(Species_Type_1,MATCH($N618,Species_Names,0)),INDEX(Charge_Type,MATCH($P618,Charge_Names,0))=INDEX(Species_Type_2,MATCH($N618,Species_Names,0))),Game_STAB_Multiplier,1))</f>
        <v>1.25</v>
      </c>
      <c r="W618" s="33" t="s">
        <v>658</v>
      </c>
      <c r="X618" s="33" t="s">
        <v>659</v>
      </c>
      <c r="Y618" s="32" t="e">
        <f t="array" ref="Y618">((($Z618)*
INDEX(Species_Attack,MATCH($N618,Species_Names,0))*
INDEX(Species_Tankiness,MATCH($N618,Species_Names,0)))/1000)</f>
        <v>#VALUE!</v>
      </c>
      <c r="Z618" s="33" t="s">
        <v>643</v>
      </c>
    </row>
    <row r="619" spans="1:26" ht="14.25" customHeight="1" x14ac:dyDescent="0.2">
      <c r="A619" s="86"/>
      <c r="B619" s="22" t="str">
        <f t="array" ref="B619">CONCATENATE(TEXT($M619,"000"),".",TEXT(INDEX(Quick_Number,MATCH($O619,Quick_Names,0)),"000"),".",TEXT(INDEX(Charge_Number,MATCH($P619,Charge_Names,0)),"000"))</f>
        <v>069.214.090</v>
      </c>
      <c r="C619" s="23" t="e">
        <f t="array" ref="C619">RANK($S619,IF(Combo_Species_Names=$N619,Combo_Gym_Offense),0)</f>
        <v>#VALUE!</v>
      </c>
      <c r="D619" s="24" t="e">
        <f t="array" ref="D619">$S619/MAX(IF(Combo_Species_Names=$N619,Combo_Gym_Offense))</f>
        <v>#VALUE!</v>
      </c>
      <c r="E619" s="23" t="e">
        <f t="array" ref="E619">RANK($Y619,IF(Combo_Species_Names=$N619,Combo_Gym_Defense),0)</f>
        <v>#VALUE!</v>
      </c>
      <c r="F619" s="25" t="e">
        <f t="array" ref="F619">$Y619/MAX(IF(Combo_Species_Names=$N619,Combo_Gym_Defense))</f>
        <v>#VALUE!</v>
      </c>
      <c r="G619" s="23" t="str">
        <f t="array" ref="G619">IF(OR(INDEX(Species_Availability,MATCH($N619,Species_Names,0))="No",INDEX(Species_Evo_Numbers,MATCH($N619,Species_Names,0))&lt;&gt;1),"N/A",RANK($R619,IF(NOT(ISNA(MATCH(Combo_Species_Names,IF(Species_Availability="Yes",IF(Species_Evo_Numbers=1,Species_Names)),0))),Combo_Duel_Ability),0))</f>
        <v>N/A</v>
      </c>
      <c r="H619" s="24" t="str">
        <f t="array" ref="H619">IF(OR(INDEX(Species_Availability,MATCH($N619,Species_Names,0))="No",INDEX(Species_Evo_Numbers,MATCH($N619,Species_Names,0))&lt;&gt;1),"N/A",$R619/MAX(IF(NOT(ISNA(MATCH(Combo_Species_Names,IF(Species_Availability="Yes",IF(Species_Evo_Numbers=1,Species_Names)),0))),Combo_Duel_Ability)))</f>
        <v>N/A</v>
      </c>
      <c r="I619" s="23" t="str">
        <f t="array" ref="I619">IF(OR(INDEX(Species_Availability,MATCH($N619,Species_Names,0))="No",INDEX(Species_Evo_Numbers,MATCH($N619,Species_Names,0))&lt;&gt;1),"N/A",RANK($S619,IF(NOT(ISNA(MATCH(Combo_Species_Names,IF(Species_Availability="Yes",IF(Species_Evo_Numbers=1,Species_Names)),0))),Combo_Gym_Offense),0))</f>
        <v>N/A</v>
      </c>
      <c r="J619" s="24" t="str">
        <f t="array" ref="J619">IF(OR(INDEX(Species_Availability,MATCH($N619,Species_Names,0))="No",INDEX(Species_Evo_Numbers,MATCH($N619,Species_Names,0))&lt;&gt;1),"N/A",$S619/MAX(IF(NOT(ISNA(MATCH(Combo_Species_Names,IF(Species_Availability="Yes",IF(Species_Evo_Numbers=1,Species_Names)),0))),Combo_Gym_Offense)))</f>
        <v>N/A</v>
      </c>
      <c r="K619" s="23" t="str">
        <f t="array" ref="K619">IF(OR(INDEX(Species_Availability,MATCH($N619,Species_Names,0))="No",INDEX(Species_Evo_Numbers,MATCH($N619,Species_Names,0))&lt;&gt;1),"N/A",RANK($Y619,IF(NOT(ISNA(MATCH(Combo_Species_Names,IF(Species_Availability="Yes",IF(Species_Evo_Numbers=1,Species_Names)),0))),Combo_Gym_Defense),0))</f>
        <v>N/A</v>
      </c>
      <c r="L619" s="24" t="str">
        <f t="array" ref="L619">IF(OR(INDEX(Species_Availability,MATCH($N619,Species_Names,0))="No",INDEX(Species_Evo_Numbers,MATCH($N619,Species_Names,0))&lt;&gt;1),"N/A",$Y619/MAX(IF(NOT(ISNA(MATCH(Combo_Species_Names,IF(Species_Availability="Yes",IF(Species_Evo_Numbers=1,Species_Names)),0))),Combo_Gym_Defense)))</f>
        <v>N/A</v>
      </c>
      <c r="M619" s="28">
        <f t="array" ref="M619">INDEX(Species_Pdex_Numbers,MATCH($N619,Species_Names,0))</f>
        <v>69</v>
      </c>
      <c r="N619" s="30" t="s">
        <v>229</v>
      </c>
      <c r="O619" s="31" t="s">
        <v>94</v>
      </c>
      <c r="P619" s="31" t="s">
        <v>180</v>
      </c>
      <c r="Q619" s="17" t="e">
        <f t="shared" si="18"/>
        <v>#VALUE!</v>
      </c>
      <c r="R619" s="32" t="e">
        <f t="array" ref="R619">IF(OR(AND(COUNTBLANK(Combo_Opponent_Type_1)=1,COUNTBLANK(Combo_Opponent_Type_2)=0),AND(AND(COUNTBLANK(Combo_Opponent_Type_1)=0,COUNTBLANK(Combo_Opponent_Type_2)=0),Combo_Opponent_Type_1=Combo_Opponent_Type_2)),
"Check Types",($S619*INDEX(Species_Tankiness,MATCH($N619,Species_Names,0)))/225)</f>
        <v>#VALUE!</v>
      </c>
      <c r="S619" s="32" t="e">
        <f t="array" ref="S619">IF(OR(AND(COUNTBLANK(Combo_Opponent_Type_1)=1,COUNTBLANK(Combo_Opponent_Type_2)=0),AND(AND(COUNTBLANK(Combo_Opponent_Type_1)=0,COUNTBLANK(Combo_Opponent_Type_2)=0),Combo_Opponent_Type_1=Combo_Opponent_Type_2)),
"Check Types",(
IF($W619&gt;=((1-Game_Weave_Human_Error)*$X619),$W619,$X619)*INDEX(Species_Attack,MATCH($N619,Species_Names,0)))/11)</f>
        <v>#VALUE!</v>
      </c>
      <c r="T619" s="33" t="e">
        <f t="shared" si="19"/>
        <v>#VALUE!</v>
      </c>
      <c r="U619" s="33">
        <f t="array" ref="U6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619,Quick_Names,0))),Type_Species)),0),1)*IF(COUNTBLANK(Combo_Opponent_Type_2)=0,INDEX(Type_Damage_Multipliers,MATCH(Combo_Opponent_Type_2,IF(Type_Move=(INDEX(Quick_Type,MATCH($O619,Quick_Names,0))),Type_Species)),0),1)*(IF(OR(INDEX(Quick_Type,MATCH($O619,Quick_Names,0))=INDEX(Species_Type_1,MATCH($N619,Species_Names,0)),INDEX(Quick_Type,MATCH($O619,Quick_Names,0))=INDEX(Species_Type_2,MATCH($N619,Species_Names,0))),Game_STAB_Multiplier,1)))</f>
        <v>1.25</v>
      </c>
      <c r="V619" s="33">
        <f t="array" ref="V6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619,Charge_Names,0))),Type_Species)),0),1)*IF(COUNTBLANK(Combo_Opponent_Type_2)=0,INDEX(Type_Damage_Multipliers,MATCH(Combo_Opponent_Type_2,IF(Type_Move=(INDEX(Charge_Type,MATCH($P619,Charge_Names,0))),Type_Species)),0),1)*
IF(OR(INDEX(Charge_Type,MATCH($P619,Charge_Names,0))=INDEX(Species_Type_1,MATCH($N619,Species_Names,0)),INDEX(Charge_Type,MATCH($P619,Charge_Names,0))=INDEX(Species_Type_2,MATCH($N619,Species_Names,0))),Game_STAB_Multiplier,1))</f>
        <v>1.25</v>
      </c>
      <c r="W619" s="33" t="s">
        <v>476</v>
      </c>
      <c r="X619" s="33" t="s">
        <v>506</v>
      </c>
      <c r="Y619" s="32" t="e">
        <f t="array" ref="Y619">((($Z619)*
INDEX(Species_Attack,MATCH($N619,Species_Names,0))*
INDEX(Species_Tankiness,MATCH($N619,Species_Names,0)))/1000)</f>
        <v>#VALUE!</v>
      </c>
      <c r="Z619" s="33" t="s">
        <v>507</v>
      </c>
    </row>
    <row r="620" spans="1:26" ht="14.25" customHeight="1" x14ac:dyDescent="0.2">
      <c r="A620" s="86"/>
      <c r="B620" s="22" t="str">
        <f t="array" ref="B620">CONCATENATE(TEXT($M620,"000"),".",TEXT(INDEX(Quick_Number,MATCH($O620,Quick_Names,0)),"000"),".",TEXT(INDEX(Charge_Number,MATCH($P620,Charge_Names,0)),"000"))</f>
        <v>133.219.131</v>
      </c>
      <c r="C620" s="23" t="e">
        <f t="array" ref="C620">RANK($S620,IF(Combo_Species_Names=$N620,Combo_Gym_Offense),0)</f>
        <v>#VALUE!</v>
      </c>
      <c r="D620" s="24" t="e">
        <f t="array" ref="D620">$S620/MAX(IF(Combo_Species_Names=$N620,Combo_Gym_Offense))</f>
        <v>#VALUE!</v>
      </c>
      <c r="E620" s="23" t="e">
        <f t="array" ref="E620">RANK($Y620,IF(Combo_Species_Names=$N620,Combo_Gym_Defense),0)</f>
        <v>#VALUE!</v>
      </c>
      <c r="F620" s="25" t="e">
        <f t="array" ref="F620">$Y620/MAX(IF(Combo_Species_Names=$N620,Combo_Gym_Defense))</f>
        <v>#VALUE!</v>
      </c>
      <c r="G620" s="23" t="str">
        <f t="array" ref="G620">IF(OR(INDEX(Species_Availability,MATCH($N620,Species_Names,0))="No",INDEX(Species_Evo_Numbers,MATCH($N620,Species_Names,0))&lt;&gt;1),"N/A",RANK($R620,IF(NOT(ISNA(MATCH(Combo_Species_Names,IF(Species_Availability="Yes",IF(Species_Evo_Numbers=1,Species_Names)),0))),Combo_Duel_Ability),0))</f>
        <v>N/A</v>
      </c>
      <c r="H620" s="24" t="str">
        <f t="array" ref="H620">IF(OR(INDEX(Species_Availability,MATCH($N620,Species_Names,0))="No",INDEX(Species_Evo_Numbers,MATCH($N620,Species_Names,0))&lt;&gt;1),"N/A",$R620/MAX(IF(NOT(ISNA(MATCH(Combo_Species_Names,IF(Species_Availability="Yes",IF(Species_Evo_Numbers=1,Species_Names)),0))),Combo_Duel_Ability)))</f>
        <v>N/A</v>
      </c>
      <c r="I620" s="23" t="str">
        <f t="array" ref="I620">IF(OR(INDEX(Species_Availability,MATCH($N620,Species_Names,0))="No",INDEX(Species_Evo_Numbers,MATCH($N620,Species_Names,0))&lt;&gt;1),"N/A",RANK($S620,IF(NOT(ISNA(MATCH(Combo_Species_Names,IF(Species_Availability="Yes",IF(Species_Evo_Numbers=1,Species_Names)),0))),Combo_Gym_Offense),0))</f>
        <v>N/A</v>
      </c>
      <c r="J620" s="24" t="str">
        <f t="array" ref="J620">IF(OR(INDEX(Species_Availability,MATCH($N620,Species_Names,0))="No",INDEX(Species_Evo_Numbers,MATCH($N620,Species_Names,0))&lt;&gt;1),"N/A",$S620/MAX(IF(NOT(ISNA(MATCH(Combo_Species_Names,IF(Species_Availability="Yes",IF(Species_Evo_Numbers=1,Species_Names)),0))),Combo_Gym_Offense)))</f>
        <v>N/A</v>
      </c>
      <c r="K620" s="23" t="str">
        <f t="array" ref="K620">IF(OR(INDEX(Species_Availability,MATCH($N620,Species_Names,0))="No",INDEX(Species_Evo_Numbers,MATCH($N620,Species_Names,0))&lt;&gt;1),"N/A",RANK($Y620,IF(NOT(ISNA(MATCH(Combo_Species_Names,IF(Species_Availability="Yes",IF(Species_Evo_Numbers=1,Species_Names)),0))),Combo_Gym_Defense),0))</f>
        <v>N/A</v>
      </c>
      <c r="L620" s="24" t="str">
        <f t="array" ref="L620">IF(OR(INDEX(Species_Availability,MATCH($N620,Species_Names,0))="No",INDEX(Species_Evo_Numbers,MATCH($N620,Species_Names,0))&lt;&gt;1),"N/A",$Y620/MAX(IF(NOT(ISNA(MATCH(Combo_Species_Names,IF(Species_Availability="Yes",IF(Species_Evo_Numbers=1,Species_Names)),0))),Combo_Gym_Defense)))</f>
        <v>N/A</v>
      </c>
      <c r="M620" s="28">
        <f t="array" ref="M620">INDEX(Species_Pdex_Numbers,MATCH($N620,Species_Names,0))</f>
        <v>133</v>
      </c>
      <c r="N620" s="30" t="s">
        <v>351</v>
      </c>
      <c r="O620" s="31" t="s">
        <v>119</v>
      </c>
      <c r="P620" s="31" t="s">
        <v>151</v>
      </c>
      <c r="Q620" s="17" t="e">
        <f t="shared" si="18"/>
        <v>#VALUE!</v>
      </c>
      <c r="R620" s="32" t="e">
        <f t="array" ref="R620">IF(OR(AND(COUNTBLANK(Combo_Opponent_Type_1)=1,COUNTBLANK(Combo_Opponent_Type_2)=0),AND(AND(COUNTBLANK(Combo_Opponent_Type_1)=0,COUNTBLANK(Combo_Opponent_Type_2)=0),Combo_Opponent_Type_1=Combo_Opponent_Type_2)),
"Check Types",($S620*INDEX(Species_Tankiness,MATCH($N620,Species_Names,0)))/225)</f>
        <v>#VALUE!</v>
      </c>
      <c r="S620" s="32" t="e">
        <f t="array" ref="S620">IF(OR(AND(COUNTBLANK(Combo_Opponent_Type_1)=1,COUNTBLANK(Combo_Opponent_Type_2)=0),AND(AND(COUNTBLANK(Combo_Opponent_Type_1)=0,COUNTBLANK(Combo_Opponent_Type_2)=0),Combo_Opponent_Type_1=Combo_Opponent_Type_2)),
"Check Types",(
IF($W620&gt;=((1-Game_Weave_Human_Error)*$X620),$W620,$X620)*INDEX(Species_Attack,MATCH($N620,Species_Names,0)))/11)</f>
        <v>#VALUE!</v>
      </c>
      <c r="T620" s="33" t="e">
        <f t="shared" si="19"/>
        <v>#VALUE!</v>
      </c>
      <c r="U620" s="33">
        <f t="array" ref="U6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620,Quick_Names,0))),Type_Species)),0),1)*IF(COUNTBLANK(Combo_Opponent_Type_2)=0,INDEX(Type_Damage_Multipliers,MATCH(Combo_Opponent_Type_2,IF(Type_Move=(INDEX(Quick_Type,MATCH($O620,Quick_Names,0))),Type_Species)),0),1)*(IF(OR(INDEX(Quick_Type,MATCH($O620,Quick_Names,0))=INDEX(Species_Type_1,MATCH($N620,Species_Names,0)),INDEX(Quick_Type,MATCH($O620,Quick_Names,0))=INDEX(Species_Type_2,MATCH($N620,Species_Names,0))),Game_STAB_Multiplier,1)))</f>
        <v>1.25</v>
      </c>
      <c r="V620" s="33">
        <f t="array" ref="V6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620,Charge_Names,0))),Type_Species)),0),1)*IF(COUNTBLANK(Combo_Opponent_Type_2)=0,INDEX(Type_Damage_Multipliers,MATCH(Combo_Opponent_Type_2,IF(Type_Move=(INDEX(Charge_Type,MATCH($P620,Charge_Names,0))),Type_Species)),0),1)*
IF(OR(INDEX(Charge_Type,MATCH($P620,Charge_Names,0))=INDEX(Species_Type_1,MATCH($N620,Species_Names,0)),INDEX(Charge_Type,MATCH($P620,Charge_Names,0))=INDEX(Species_Type_2,MATCH($N620,Species_Names,0))),Game_STAB_Multiplier,1))</f>
        <v>1.25</v>
      </c>
      <c r="W620" s="33" t="s">
        <v>564</v>
      </c>
      <c r="X620" s="33" t="s">
        <v>528</v>
      </c>
      <c r="Y620" s="32" t="e">
        <f t="array" ref="Y620">((($Z620)*
INDEX(Species_Attack,MATCH($N620,Species_Names,0))*
INDEX(Species_Tankiness,MATCH($N620,Species_Names,0)))/1000)</f>
        <v>#VALUE!</v>
      </c>
      <c r="Z620" s="33" t="s">
        <v>542</v>
      </c>
    </row>
    <row r="621" spans="1:26" ht="14.25" customHeight="1" x14ac:dyDescent="0.2">
      <c r="A621" s="86"/>
      <c r="B621" s="22" t="str">
        <f t="array" ref="B621">CONCATENATE(TEXT($M621,"000"),".",TEXT(INDEX(Quick_Number,MATCH($O621,Quick_Names,0)),"000"),".",TEXT(INDEX(Charge_Number,MATCH($P621,Charge_Names,0)),"000"))</f>
        <v>054.234.058</v>
      </c>
      <c r="C621" s="23" t="e">
        <f t="array" ref="C621">RANK($S621,IF(Combo_Species_Names=$N621,Combo_Gym_Offense),0)</f>
        <v>#VALUE!</v>
      </c>
      <c r="D621" s="24" t="e">
        <f t="array" ref="D621">$S621/MAX(IF(Combo_Species_Names=$N621,Combo_Gym_Offense))</f>
        <v>#VALUE!</v>
      </c>
      <c r="E621" s="23" t="e">
        <f t="array" ref="E621">RANK($Y621,IF(Combo_Species_Names=$N621,Combo_Gym_Defense),0)</f>
        <v>#VALUE!</v>
      </c>
      <c r="F621" s="25" t="e">
        <f t="array" ref="F621">$Y621/MAX(IF(Combo_Species_Names=$N621,Combo_Gym_Defense))</f>
        <v>#VALUE!</v>
      </c>
      <c r="G621" s="23" t="str">
        <f t="array" ref="G621">IF(OR(INDEX(Species_Availability,MATCH($N621,Species_Names,0))="No",INDEX(Species_Evo_Numbers,MATCH($N621,Species_Names,0))&lt;&gt;1),"N/A",RANK($R621,IF(NOT(ISNA(MATCH(Combo_Species_Names,IF(Species_Availability="Yes",IF(Species_Evo_Numbers=1,Species_Names)),0))),Combo_Duel_Ability),0))</f>
        <v>N/A</v>
      </c>
      <c r="H621" s="24" t="str">
        <f t="array" ref="H621">IF(OR(INDEX(Species_Availability,MATCH($N621,Species_Names,0))="No",INDEX(Species_Evo_Numbers,MATCH($N621,Species_Names,0))&lt;&gt;1),"N/A",$R621/MAX(IF(NOT(ISNA(MATCH(Combo_Species_Names,IF(Species_Availability="Yes",IF(Species_Evo_Numbers=1,Species_Names)),0))),Combo_Duel_Ability)))</f>
        <v>N/A</v>
      </c>
      <c r="I621" s="23" t="str">
        <f t="array" ref="I621">IF(OR(INDEX(Species_Availability,MATCH($N621,Species_Names,0))="No",INDEX(Species_Evo_Numbers,MATCH($N621,Species_Names,0))&lt;&gt;1),"N/A",RANK($S621,IF(NOT(ISNA(MATCH(Combo_Species_Names,IF(Species_Availability="Yes",IF(Species_Evo_Numbers=1,Species_Names)),0))),Combo_Gym_Offense),0))</f>
        <v>N/A</v>
      </c>
      <c r="J621" s="24" t="str">
        <f t="array" ref="J621">IF(OR(INDEX(Species_Availability,MATCH($N621,Species_Names,0))="No",INDEX(Species_Evo_Numbers,MATCH($N621,Species_Names,0))&lt;&gt;1),"N/A",$S621/MAX(IF(NOT(ISNA(MATCH(Combo_Species_Names,IF(Species_Availability="Yes",IF(Species_Evo_Numbers=1,Species_Names)),0))),Combo_Gym_Offense)))</f>
        <v>N/A</v>
      </c>
      <c r="K621" s="23" t="str">
        <f t="array" ref="K621">IF(OR(INDEX(Species_Availability,MATCH($N621,Species_Names,0))="No",INDEX(Species_Evo_Numbers,MATCH($N621,Species_Names,0))&lt;&gt;1),"N/A",RANK($Y621,IF(NOT(ISNA(MATCH(Combo_Species_Names,IF(Species_Availability="Yes",IF(Species_Evo_Numbers=1,Species_Names)),0))),Combo_Gym_Defense),0))</f>
        <v>N/A</v>
      </c>
      <c r="L621" s="24" t="str">
        <f t="array" ref="L621">IF(OR(INDEX(Species_Availability,MATCH($N621,Species_Names,0))="No",INDEX(Species_Evo_Numbers,MATCH($N621,Species_Names,0))&lt;&gt;1),"N/A",$Y621/MAX(IF(NOT(ISNA(MATCH(Combo_Species_Names,IF(Species_Availability="Yes",IF(Species_Evo_Numbers=1,Species_Names)),0))),Combo_Gym_Defense)))</f>
        <v>N/A</v>
      </c>
      <c r="M621" s="28">
        <f t="array" ref="M621">INDEX(Species_Pdex_Numbers,MATCH($N621,Species_Names,0))</f>
        <v>54</v>
      </c>
      <c r="N621" s="30" t="s">
        <v>197</v>
      </c>
      <c r="O621" s="31" t="s">
        <v>79</v>
      </c>
      <c r="P621" s="31" t="s">
        <v>198</v>
      </c>
      <c r="Q621" s="17" t="e">
        <f t="shared" si="18"/>
        <v>#VALUE!</v>
      </c>
      <c r="R621" s="32" t="e">
        <f t="array" ref="R621">IF(OR(AND(COUNTBLANK(Combo_Opponent_Type_1)=1,COUNTBLANK(Combo_Opponent_Type_2)=0),AND(AND(COUNTBLANK(Combo_Opponent_Type_1)=0,COUNTBLANK(Combo_Opponent_Type_2)=0),Combo_Opponent_Type_1=Combo_Opponent_Type_2)),
"Check Types",($S621*INDEX(Species_Tankiness,MATCH($N621,Species_Names,0)))/225)</f>
        <v>#VALUE!</v>
      </c>
      <c r="S621" s="32" t="e">
        <f t="array" ref="S621">IF(OR(AND(COUNTBLANK(Combo_Opponent_Type_1)=1,COUNTBLANK(Combo_Opponent_Type_2)=0),AND(AND(COUNTBLANK(Combo_Opponent_Type_1)=0,COUNTBLANK(Combo_Opponent_Type_2)=0),Combo_Opponent_Type_1=Combo_Opponent_Type_2)),
"Check Types",(
IF($W621&gt;=((1-Game_Weave_Human_Error)*$X621),$W621,$X621)*INDEX(Species_Attack,MATCH($N621,Species_Names,0)))/11)</f>
        <v>#VALUE!</v>
      </c>
      <c r="T621" s="33" t="e">
        <f t="shared" si="19"/>
        <v>#VALUE!</v>
      </c>
      <c r="U621" s="33">
        <f t="array" ref="U6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621,Quick_Names,0))),Type_Species)),0),1)*IF(COUNTBLANK(Combo_Opponent_Type_2)=0,INDEX(Type_Damage_Multipliers,MATCH(Combo_Opponent_Type_2,IF(Type_Move=(INDEX(Quick_Type,MATCH($O621,Quick_Names,0))),Type_Species)),0),1)*(IF(OR(INDEX(Quick_Type,MATCH($O621,Quick_Names,0))=INDEX(Species_Type_1,MATCH($N621,Species_Names,0)),INDEX(Quick_Type,MATCH($O621,Quick_Names,0))=INDEX(Species_Type_2,MATCH($N621,Species_Names,0))),Game_STAB_Multiplier,1)))</f>
        <v>1</v>
      </c>
      <c r="V621" s="33">
        <f t="array" ref="V6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621,Charge_Names,0))),Type_Species)),0),1)*IF(COUNTBLANK(Combo_Opponent_Type_2)=0,INDEX(Type_Damage_Multipliers,MATCH(Combo_Opponent_Type_2,IF(Type_Move=(INDEX(Charge_Type,MATCH($P621,Charge_Names,0))),Type_Species)),0),1)*
IF(OR(INDEX(Charge_Type,MATCH($P621,Charge_Names,0))=INDEX(Species_Type_1,MATCH($N621,Species_Names,0)),INDEX(Charge_Type,MATCH($P621,Charge_Names,0))=INDEX(Species_Type_2,MATCH($N621,Species_Names,0))),Game_STAB_Multiplier,1))</f>
        <v>1.25</v>
      </c>
      <c r="W621" s="33" t="s">
        <v>419</v>
      </c>
      <c r="X621" s="33" t="s">
        <v>957</v>
      </c>
      <c r="Y621" s="32" t="e">
        <f t="array" ref="Y621">((($Z621)*
INDEX(Species_Attack,MATCH($N621,Species_Names,0))*
INDEX(Species_Tankiness,MATCH($N621,Species_Names,0)))/1000)</f>
        <v>#VALUE!</v>
      </c>
      <c r="Z621" s="33" t="s">
        <v>557</v>
      </c>
    </row>
    <row r="622" spans="1:26" ht="14.25" customHeight="1" x14ac:dyDescent="0.2">
      <c r="A622" s="86"/>
      <c r="B622" s="22" t="str">
        <f t="array" ref="B622">CONCATENATE(TEXT($M622,"000"),".",TEXT(INDEX(Quick_Number,MATCH($O622,Quick_Names,0)),"000"),".",TEXT(INDEX(Charge_Number,MATCH($P622,Charge_Names,0)),"000"))</f>
        <v>064.226.030</v>
      </c>
      <c r="C622" s="23" t="e">
        <f t="array" ref="C622">RANK($S622,IF(Combo_Species_Names=$N622,Combo_Gym_Offense),0)</f>
        <v>#VALUE!</v>
      </c>
      <c r="D622" s="24" t="e">
        <f t="array" ref="D622">$S622/MAX(IF(Combo_Species_Names=$N622,Combo_Gym_Offense))</f>
        <v>#VALUE!</v>
      </c>
      <c r="E622" s="23" t="e">
        <f t="array" ref="E622">RANK($Y622,IF(Combo_Species_Names=$N622,Combo_Gym_Defense),0)</f>
        <v>#VALUE!</v>
      </c>
      <c r="F622" s="25" t="e">
        <f t="array" ref="F622">$Y622/MAX(IF(Combo_Species_Names=$N622,Combo_Gym_Defense))</f>
        <v>#VALUE!</v>
      </c>
      <c r="G622" s="23" t="str">
        <f t="array" ref="G622">IF(OR(INDEX(Species_Availability,MATCH($N622,Species_Names,0))="No",INDEX(Species_Evo_Numbers,MATCH($N622,Species_Names,0))&lt;&gt;1),"N/A",RANK($R622,IF(NOT(ISNA(MATCH(Combo_Species_Names,IF(Species_Availability="Yes",IF(Species_Evo_Numbers=1,Species_Names)),0))),Combo_Duel_Ability),0))</f>
        <v>N/A</v>
      </c>
      <c r="H622" s="24" t="str">
        <f t="array" ref="H622">IF(OR(INDEX(Species_Availability,MATCH($N622,Species_Names,0))="No",INDEX(Species_Evo_Numbers,MATCH($N622,Species_Names,0))&lt;&gt;1),"N/A",$R622/MAX(IF(NOT(ISNA(MATCH(Combo_Species_Names,IF(Species_Availability="Yes",IF(Species_Evo_Numbers=1,Species_Names)),0))),Combo_Duel_Ability)))</f>
        <v>N/A</v>
      </c>
      <c r="I622" s="23" t="str">
        <f t="array" ref="I622">IF(OR(INDEX(Species_Availability,MATCH($N622,Species_Names,0))="No",INDEX(Species_Evo_Numbers,MATCH($N622,Species_Names,0))&lt;&gt;1),"N/A",RANK($S622,IF(NOT(ISNA(MATCH(Combo_Species_Names,IF(Species_Availability="Yes",IF(Species_Evo_Numbers=1,Species_Names)),0))),Combo_Gym_Offense),0))</f>
        <v>N/A</v>
      </c>
      <c r="J622" s="24" t="str">
        <f t="array" ref="J622">IF(OR(INDEX(Species_Availability,MATCH($N622,Species_Names,0))="No",INDEX(Species_Evo_Numbers,MATCH($N622,Species_Names,0))&lt;&gt;1),"N/A",$S622/MAX(IF(NOT(ISNA(MATCH(Combo_Species_Names,IF(Species_Availability="Yes",IF(Species_Evo_Numbers=1,Species_Names)),0))),Combo_Gym_Offense)))</f>
        <v>N/A</v>
      </c>
      <c r="K622" s="23" t="str">
        <f t="array" ref="K622">IF(OR(INDEX(Species_Availability,MATCH($N622,Species_Names,0))="No",INDEX(Species_Evo_Numbers,MATCH($N622,Species_Names,0))&lt;&gt;1),"N/A",RANK($Y622,IF(NOT(ISNA(MATCH(Combo_Species_Names,IF(Species_Availability="Yes",IF(Species_Evo_Numbers=1,Species_Names)),0))),Combo_Gym_Defense),0))</f>
        <v>N/A</v>
      </c>
      <c r="L622" s="24" t="str">
        <f t="array" ref="L622">IF(OR(INDEX(Species_Availability,MATCH($N622,Species_Names,0))="No",INDEX(Species_Evo_Numbers,MATCH($N622,Species_Names,0))&lt;&gt;1),"N/A",$Y622/MAX(IF(NOT(ISNA(MATCH(Combo_Species_Names,IF(Species_Availability="Yes",IF(Species_Evo_Numbers=1,Species_Names)),0))),Combo_Gym_Defense)))</f>
        <v>N/A</v>
      </c>
      <c r="M622" s="28">
        <f t="array" ref="M622">INDEX(Species_Pdex_Numbers,MATCH($N622,Species_Names,0))</f>
        <v>64</v>
      </c>
      <c r="N622" s="30" t="s">
        <v>219</v>
      </c>
      <c r="O622" s="31" t="s">
        <v>57</v>
      </c>
      <c r="P622" s="31" t="s">
        <v>283</v>
      </c>
      <c r="Q622" s="17" t="e">
        <f t="shared" si="18"/>
        <v>#VALUE!</v>
      </c>
      <c r="R622" s="32" t="e">
        <f t="array" ref="R622">IF(OR(AND(COUNTBLANK(Combo_Opponent_Type_1)=1,COUNTBLANK(Combo_Opponent_Type_2)=0),AND(AND(COUNTBLANK(Combo_Opponent_Type_1)=0,COUNTBLANK(Combo_Opponent_Type_2)=0),Combo_Opponent_Type_1=Combo_Opponent_Type_2)),
"Check Types",($S622*INDEX(Species_Tankiness,MATCH($N622,Species_Names,0)))/225)</f>
        <v>#VALUE!</v>
      </c>
      <c r="S622" s="32" t="e">
        <f t="array" ref="S622">IF(OR(AND(COUNTBLANK(Combo_Opponent_Type_1)=1,COUNTBLANK(Combo_Opponent_Type_2)=0),AND(AND(COUNTBLANK(Combo_Opponent_Type_1)=0,COUNTBLANK(Combo_Opponent_Type_2)=0),Combo_Opponent_Type_1=Combo_Opponent_Type_2)),
"Check Types",(
IF($W622&gt;=((1-Game_Weave_Human_Error)*$X622),$W622,$X622)*INDEX(Species_Attack,MATCH($N622,Species_Names,0)))/11)</f>
        <v>#VALUE!</v>
      </c>
      <c r="T622" s="33" t="e">
        <f t="shared" si="19"/>
        <v>#VALUE!</v>
      </c>
      <c r="U622" s="33">
        <f t="array" ref="U6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622,Quick_Names,0))),Type_Species)),0),1)*IF(COUNTBLANK(Combo_Opponent_Type_2)=0,INDEX(Type_Damage_Multipliers,MATCH(Combo_Opponent_Type_2,IF(Type_Move=(INDEX(Quick_Type,MATCH($O622,Quick_Names,0))),Type_Species)),0),1)*(IF(OR(INDEX(Quick_Type,MATCH($O622,Quick_Names,0))=INDEX(Species_Type_1,MATCH($N622,Species_Names,0)),INDEX(Quick_Type,MATCH($O622,Quick_Names,0))=INDEX(Species_Type_2,MATCH($N622,Species_Names,0))),Game_STAB_Multiplier,1)))</f>
        <v>1.25</v>
      </c>
      <c r="V622" s="33">
        <f t="array" ref="V6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622,Charge_Names,0))),Type_Species)),0),1)*IF(COUNTBLANK(Combo_Opponent_Type_2)=0,INDEX(Type_Damage_Multipliers,MATCH(Combo_Opponent_Type_2,IF(Type_Move=(INDEX(Charge_Type,MATCH($P622,Charge_Names,0))),Type_Species)),0),1)*
IF(OR(INDEX(Charge_Type,MATCH($P622,Charge_Names,0))=INDEX(Species_Type_1,MATCH($N622,Species_Names,0)),INDEX(Charge_Type,MATCH($P622,Charge_Names,0))=INDEX(Species_Type_2,MATCH($N622,Species_Names,0))),Game_STAB_Multiplier,1))</f>
        <v>1.25</v>
      </c>
      <c r="W622" s="33" t="s">
        <v>753</v>
      </c>
      <c r="X622" s="33" t="s">
        <v>846</v>
      </c>
      <c r="Y622" s="32" t="e">
        <f t="array" ref="Y622">((($Z622)*
INDEX(Species_Attack,MATCH($N622,Species_Names,0))*
INDEX(Species_Tankiness,MATCH($N622,Species_Names,0)))/1000)</f>
        <v>#VALUE!</v>
      </c>
      <c r="Z622" s="33" t="s">
        <v>965</v>
      </c>
    </row>
    <row r="623" spans="1:26" ht="14.25" customHeight="1" x14ac:dyDescent="0.2">
      <c r="A623" s="86"/>
      <c r="B623" s="22" t="str">
        <f t="array" ref="B623">CONCATENATE(TEXT($M623,"000"),".",TEXT(INDEX(Quick_Number,MATCH($O623,Quick_Names,0)),"000"),".",TEXT(INDEX(Charge_Number,MATCH($P623,Charge_Names,0)),"000"))</f>
        <v>064.226.070</v>
      </c>
      <c r="C623" s="23" t="e">
        <f t="array" ref="C623">RANK($S623,IF(Combo_Species_Names=$N623,Combo_Gym_Offense),0)</f>
        <v>#VALUE!</v>
      </c>
      <c r="D623" s="24" t="e">
        <f t="array" ref="D623">$S623/MAX(IF(Combo_Species_Names=$N623,Combo_Gym_Offense))</f>
        <v>#VALUE!</v>
      </c>
      <c r="E623" s="23" t="e">
        <f t="array" ref="E623">RANK($Y623,IF(Combo_Species_Names=$N623,Combo_Gym_Defense),0)</f>
        <v>#VALUE!</v>
      </c>
      <c r="F623" s="25" t="e">
        <f t="array" ref="F623">$Y623/MAX(IF(Combo_Species_Names=$N623,Combo_Gym_Defense))</f>
        <v>#VALUE!</v>
      </c>
      <c r="G623" s="23" t="str">
        <f t="array" ref="G623">IF(OR(INDEX(Species_Availability,MATCH($N623,Species_Names,0))="No",INDEX(Species_Evo_Numbers,MATCH($N623,Species_Names,0))&lt;&gt;1),"N/A",RANK($R623,IF(NOT(ISNA(MATCH(Combo_Species_Names,IF(Species_Availability="Yes",IF(Species_Evo_Numbers=1,Species_Names)),0))),Combo_Duel_Ability),0))</f>
        <v>N/A</v>
      </c>
      <c r="H623" s="24" t="str">
        <f t="array" ref="H623">IF(OR(INDEX(Species_Availability,MATCH($N623,Species_Names,0))="No",INDEX(Species_Evo_Numbers,MATCH($N623,Species_Names,0))&lt;&gt;1),"N/A",$R623/MAX(IF(NOT(ISNA(MATCH(Combo_Species_Names,IF(Species_Availability="Yes",IF(Species_Evo_Numbers=1,Species_Names)),0))),Combo_Duel_Ability)))</f>
        <v>N/A</v>
      </c>
      <c r="I623" s="23" t="str">
        <f t="array" ref="I623">IF(OR(INDEX(Species_Availability,MATCH($N623,Species_Names,0))="No",INDEX(Species_Evo_Numbers,MATCH($N623,Species_Names,0))&lt;&gt;1),"N/A",RANK($S623,IF(NOT(ISNA(MATCH(Combo_Species_Names,IF(Species_Availability="Yes",IF(Species_Evo_Numbers=1,Species_Names)),0))),Combo_Gym_Offense),0))</f>
        <v>N/A</v>
      </c>
      <c r="J623" s="24" t="str">
        <f t="array" ref="J623">IF(OR(INDEX(Species_Availability,MATCH($N623,Species_Names,0))="No",INDEX(Species_Evo_Numbers,MATCH($N623,Species_Names,0))&lt;&gt;1),"N/A",$S623/MAX(IF(NOT(ISNA(MATCH(Combo_Species_Names,IF(Species_Availability="Yes",IF(Species_Evo_Numbers=1,Species_Names)),0))),Combo_Gym_Offense)))</f>
        <v>N/A</v>
      </c>
      <c r="K623" s="23" t="str">
        <f t="array" ref="K623">IF(OR(INDEX(Species_Availability,MATCH($N623,Species_Names,0))="No",INDEX(Species_Evo_Numbers,MATCH($N623,Species_Names,0))&lt;&gt;1),"N/A",RANK($Y623,IF(NOT(ISNA(MATCH(Combo_Species_Names,IF(Species_Availability="Yes",IF(Species_Evo_Numbers=1,Species_Names)),0))),Combo_Gym_Defense),0))</f>
        <v>N/A</v>
      </c>
      <c r="L623" s="24" t="str">
        <f t="array" ref="L623">IF(OR(INDEX(Species_Availability,MATCH($N623,Species_Names,0))="No",INDEX(Species_Evo_Numbers,MATCH($N623,Species_Names,0))&lt;&gt;1),"N/A",$Y623/MAX(IF(NOT(ISNA(MATCH(Combo_Species_Names,IF(Species_Availability="Yes",IF(Species_Evo_Numbers=1,Species_Names)),0))),Combo_Gym_Defense)))</f>
        <v>N/A</v>
      </c>
      <c r="M623" s="28">
        <f t="array" ref="M623">INDEX(Species_Pdex_Numbers,MATCH($N623,Species_Names,0))</f>
        <v>64</v>
      </c>
      <c r="N623" s="30" t="s">
        <v>219</v>
      </c>
      <c r="O623" s="31" t="s">
        <v>57</v>
      </c>
      <c r="P623" s="31" t="s">
        <v>234</v>
      </c>
      <c r="Q623" s="17" t="e">
        <f t="shared" si="18"/>
        <v>#VALUE!</v>
      </c>
      <c r="R623" s="32" t="e">
        <f t="array" ref="R623">IF(OR(AND(COUNTBLANK(Combo_Opponent_Type_1)=1,COUNTBLANK(Combo_Opponent_Type_2)=0),AND(AND(COUNTBLANK(Combo_Opponent_Type_1)=0,COUNTBLANK(Combo_Opponent_Type_2)=0),Combo_Opponent_Type_1=Combo_Opponent_Type_2)),
"Check Types",($S623*INDEX(Species_Tankiness,MATCH($N623,Species_Names,0)))/225)</f>
        <v>#VALUE!</v>
      </c>
      <c r="S623" s="32" t="e">
        <f t="array" ref="S623">IF(OR(AND(COUNTBLANK(Combo_Opponent_Type_1)=1,COUNTBLANK(Combo_Opponent_Type_2)=0),AND(AND(COUNTBLANK(Combo_Opponent_Type_1)=0,COUNTBLANK(Combo_Opponent_Type_2)=0),Combo_Opponent_Type_1=Combo_Opponent_Type_2)),
"Check Types",(
IF($W623&gt;=((1-Game_Weave_Human_Error)*$X623),$W623,$X623)*INDEX(Species_Attack,MATCH($N623,Species_Names,0)))/11)</f>
        <v>#VALUE!</v>
      </c>
      <c r="T623" s="33" t="e">
        <f t="shared" si="19"/>
        <v>#VALUE!</v>
      </c>
      <c r="U623" s="33">
        <f t="array" ref="U6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623,Quick_Names,0))),Type_Species)),0),1)*IF(COUNTBLANK(Combo_Opponent_Type_2)=0,INDEX(Type_Damage_Multipliers,MATCH(Combo_Opponent_Type_2,IF(Type_Move=(INDEX(Quick_Type,MATCH($O623,Quick_Names,0))),Type_Species)),0),1)*(IF(OR(INDEX(Quick_Type,MATCH($O623,Quick_Names,0))=INDEX(Species_Type_1,MATCH($N623,Species_Names,0)),INDEX(Quick_Type,MATCH($O623,Quick_Names,0))=INDEX(Species_Type_2,MATCH($N623,Species_Names,0))),Game_STAB_Multiplier,1)))</f>
        <v>1.25</v>
      </c>
      <c r="V623" s="33">
        <f t="array" ref="V6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623,Charge_Names,0))),Type_Species)),0),1)*IF(COUNTBLANK(Combo_Opponent_Type_2)=0,INDEX(Type_Damage_Multipliers,MATCH(Combo_Opponent_Type_2,IF(Type_Move=(INDEX(Charge_Type,MATCH($P623,Charge_Names,0))),Type_Species)),0),1)*
IF(OR(INDEX(Charge_Type,MATCH($P623,Charge_Names,0))=INDEX(Species_Type_1,MATCH($N623,Species_Names,0)),INDEX(Charge_Type,MATCH($P623,Charge_Names,0))=INDEX(Species_Type_2,MATCH($N623,Species_Names,0))),Game_STAB_Multiplier,1))</f>
        <v>1</v>
      </c>
      <c r="W623" s="33" t="s">
        <v>753</v>
      </c>
      <c r="X623" s="33" t="s">
        <v>802</v>
      </c>
      <c r="Y623" s="32" t="e">
        <f t="array" ref="Y623">((($Z623)*
INDEX(Species_Attack,MATCH($N623,Species_Names,0))*
INDEX(Species_Tankiness,MATCH($N623,Species_Names,0)))/1000)</f>
        <v>#VALUE!</v>
      </c>
      <c r="Z623" s="33" t="s">
        <v>803</v>
      </c>
    </row>
    <row r="624" spans="1:26" ht="14.25" customHeight="1" x14ac:dyDescent="0.2">
      <c r="A624" s="86"/>
      <c r="B624" s="22" t="str">
        <f t="array" ref="B624">CONCATENATE(TEXT($M624,"000"),".",TEXT(INDEX(Quick_Number,MATCH($O624,Quick_Names,0)),"000"),".",TEXT(INDEX(Charge_Number,MATCH($P624,Charge_Names,0)),"000"))</f>
        <v>064.226.086</v>
      </c>
      <c r="C624" s="23" t="e">
        <f t="array" ref="C624">RANK($S624,IF(Combo_Species_Names=$N624,Combo_Gym_Offense),0)</f>
        <v>#VALUE!</v>
      </c>
      <c r="D624" s="24" t="e">
        <f t="array" ref="D624">$S624/MAX(IF(Combo_Species_Names=$N624,Combo_Gym_Offense))</f>
        <v>#VALUE!</v>
      </c>
      <c r="E624" s="23" t="e">
        <f t="array" ref="E624">RANK($Y624,IF(Combo_Species_Names=$N624,Combo_Gym_Defense),0)</f>
        <v>#VALUE!</v>
      </c>
      <c r="F624" s="25" t="e">
        <f t="array" ref="F624">$Y624/MAX(IF(Combo_Species_Names=$N624,Combo_Gym_Defense))</f>
        <v>#VALUE!</v>
      </c>
      <c r="G624" s="23" t="str">
        <f t="array" ref="G624">IF(OR(INDEX(Species_Availability,MATCH($N624,Species_Names,0))="No",INDEX(Species_Evo_Numbers,MATCH($N624,Species_Names,0))&lt;&gt;1),"N/A",RANK($R624,IF(NOT(ISNA(MATCH(Combo_Species_Names,IF(Species_Availability="Yes",IF(Species_Evo_Numbers=1,Species_Names)),0))),Combo_Duel_Ability),0))</f>
        <v>N/A</v>
      </c>
      <c r="H624" s="24" t="str">
        <f t="array" ref="H624">IF(OR(INDEX(Species_Availability,MATCH($N624,Species_Names,0))="No",INDEX(Species_Evo_Numbers,MATCH($N624,Species_Names,0))&lt;&gt;1),"N/A",$R624/MAX(IF(NOT(ISNA(MATCH(Combo_Species_Names,IF(Species_Availability="Yes",IF(Species_Evo_Numbers=1,Species_Names)),0))),Combo_Duel_Ability)))</f>
        <v>N/A</v>
      </c>
      <c r="I624" s="23" t="str">
        <f t="array" ref="I624">IF(OR(INDEX(Species_Availability,MATCH($N624,Species_Names,0))="No",INDEX(Species_Evo_Numbers,MATCH($N624,Species_Names,0))&lt;&gt;1),"N/A",RANK($S624,IF(NOT(ISNA(MATCH(Combo_Species_Names,IF(Species_Availability="Yes",IF(Species_Evo_Numbers=1,Species_Names)),0))),Combo_Gym_Offense),0))</f>
        <v>N/A</v>
      </c>
      <c r="J624" s="24" t="str">
        <f t="array" ref="J624">IF(OR(INDEX(Species_Availability,MATCH($N624,Species_Names,0))="No",INDEX(Species_Evo_Numbers,MATCH($N624,Species_Names,0))&lt;&gt;1),"N/A",$S624/MAX(IF(NOT(ISNA(MATCH(Combo_Species_Names,IF(Species_Availability="Yes",IF(Species_Evo_Numbers=1,Species_Names)),0))),Combo_Gym_Offense)))</f>
        <v>N/A</v>
      </c>
      <c r="K624" s="23" t="str">
        <f t="array" ref="K624">IF(OR(INDEX(Species_Availability,MATCH($N624,Species_Names,0))="No",INDEX(Species_Evo_Numbers,MATCH($N624,Species_Names,0))&lt;&gt;1),"N/A",RANK($Y624,IF(NOT(ISNA(MATCH(Combo_Species_Names,IF(Species_Availability="Yes",IF(Species_Evo_Numbers=1,Species_Names)),0))),Combo_Gym_Defense),0))</f>
        <v>N/A</v>
      </c>
      <c r="L624" s="24" t="str">
        <f t="array" ref="L624">IF(OR(INDEX(Species_Availability,MATCH($N624,Species_Names,0))="No",INDEX(Species_Evo_Numbers,MATCH($N624,Species_Names,0))&lt;&gt;1),"N/A",$Y624/MAX(IF(NOT(ISNA(MATCH(Combo_Species_Names,IF(Species_Availability="Yes",IF(Species_Evo_Numbers=1,Species_Names)),0))),Combo_Gym_Defense)))</f>
        <v>N/A</v>
      </c>
      <c r="M624" s="28">
        <f t="array" ref="M624">INDEX(Species_Pdex_Numbers,MATCH($N624,Species_Names,0))</f>
        <v>64</v>
      </c>
      <c r="N624" s="30" t="s">
        <v>219</v>
      </c>
      <c r="O624" s="31" t="s">
        <v>57</v>
      </c>
      <c r="P624" s="31" t="s">
        <v>257</v>
      </c>
      <c r="Q624" s="17" t="e">
        <f t="shared" si="18"/>
        <v>#VALUE!</v>
      </c>
      <c r="R624" s="32" t="e">
        <f t="array" ref="R624">IF(OR(AND(COUNTBLANK(Combo_Opponent_Type_1)=1,COUNTBLANK(Combo_Opponent_Type_2)=0),AND(AND(COUNTBLANK(Combo_Opponent_Type_1)=0,COUNTBLANK(Combo_Opponent_Type_2)=0),Combo_Opponent_Type_1=Combo_Opponent_Type_2)),
"Check Types",($S624*INDEX(Species_Tankiness,MATCH($N624,Species_Names,0)))/225)</f>
        <v>#VALUE!</v>
      </c>
      <c r="S624" s="32" t="e">
        <f t="array" ref="S624">IF(OR(AND(COUNTBLANK(Combo_Opponent_Type_1)=1,COUNTBLANK(Combo_Opponent_Type_2)=0),AND(AND(COUNTBLANK(Combo_Opponent_Type_1)=0,COUNTBLANK(Combo_Opponent_Type_2)=0),Combo_Opponent_Type_1=Combo_Opponent_Type_2)),
"Check Types",(
IF($W624&gt;=((1-Game_Weave_Human_Error)*$X624),$W624,$X624)*INDEX(Species_Attack,MATCH($N624,Species_Names,0)))/11)</f>
        <v>#VALUE!</v>
      </c>
      <c r="T624" s="33" t="e">
        <f t="shared" si="19"/>
        <v>#VALUE!</v>
      </c>
      <c r="U624" s="33">
        <f t="array" ref="U6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624,Quick_Names,0))),Type_Species)),0),1)*IF(COUNTBLANK(Combo_Opponent_Type_2)=0,INDEX(Type_Damage_Multipliers,MATCH(Combo_Opponent_Type_2,IF(Type_Move=(INDEX(Quick_Type,MATCH($O624,Quick_Names,0))),Type_Species)),0),1)*(IF(OR(INDEX(Quick_Type,MATCH($O624,Quick_Names,0))=INDEX(Species_Type_1,MATCH($N624,Species_Names,0)),INDEX(Quick_Type,MATCH($O624,Quick_Names,0))=INDEX(Species_Type_2,MATCH($N624,Species_Names,0))),Game_STAB_Multiplier,1)))</f>
        <v>1.25</v>
      </c>
      <c r="V624" s="33">
        <f t="array" ref="V6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624,Charge_Names,0))),Type_Species)),0),1)*IF(COUNTBLANK(Combo_Opponent_Type_2)=0,INDEX(Type_Damage_Multipliers,MATCH(Combo_Opponent_Type_2,IF(Type_Move=(INDEX(Charge_Type,MATCH($P624,Charge_Names,0))),Type_Species)),0),1)*
IF(OR(INDEX(Charge_Type,MATCH($P624,Charge_Names,0))=INDEX(Species_Type_1,MATCH($N624,Species_Names,0)),INDEX(Charge_Type,MATCH($P624,Charge_Names,0))=INDEX(Species_Type_2,MATCH($N624,Species_Names,0))),Game_STAB_Multiplier,1))</f>
        <v>1</v>
      </c>
      <c r="W624" s="33" t="s">
        <v>753</v>
      </c>
      <c r="X624" s="33" t="s">
        <v>804</v>
      </c>
      <c r="Y624" s="32" t="e">
        <f t="array" ref="Y624">((($Z624)*
INDEX(Species_Attack,MATCH($N624,Species_Names,0))*
INDEX(Species_Tankiness,MATCH($N624,Species_Names,0)))/1000)</f>
        <v>#VALUE!</v>
      </c>
      <c r="Z624" s="33" t="s">
        <v>462</v>
      </c>
    </row>
    <row r="625" spans="1:26" ht="14.25" customHeight="1" x14ac:dyDescent="0.2">
      <c r="A625" s="86"/>
      <c r="B625" s="22" t="str">
        <f t="array" ref="B625">CONCATENATE(TEXT($M625,"000"),".",TEXT(INDEX(Quick_Number,MATCH($O625,Quick_Names,0)),"000"),".",TEXT(INDEX(Charge_Number,MATCH($P625,Charge_Names,0)),"000"))</f>
        <v>066.208.123</v>
      </c>
      <c r="C625" s="23" t="e">
        <f t="array" ref="C625">RANK($S625,IF(Combo_Species_Names=$N625,Combo_Gym_Offense),0)</f>
        <v>#VALUE!</v>
      </c>
      <c r="D625" s="24" t="e">
        <f t="array" ref="D625">$S625/MAX(IF(Combo_Species_Names=$N625,Combo_Gym_Offense))</f>
        <v>#VALUE!</v>
      </c>
      <c r="E625" s="23" t="e">
        <f t="array" ref="E625">RANK($Y625,IF(Combo_Species_Names=$N625,Combo_Gym_Defense),0)</f>
        <v>#VALUE!</v>
      </c>
      <c r="F625" s="25" t="e">
        <f t="array" ref="F625">$Y625/MAX(IF(Combo_Species_Names=$N625,Combo_Gym_Defense))</f>
        <v>#VALUE!</v>
      </c>
      <c r="G625" s="23" t="str">
        <f t="array" ref="G625">IF(OR(INDEX(Species_Availability,MATCH($N625,Species_Names,0))="No",INDEX(Species_Evo_Numbers,MATCH($N625,Species_Names,0))&lt;&gt;1),"N/A",RANK($R625,IF(NOT(ISNA(MATCH(Combo_Species_Names,IF(Species_Availability="Yes",IF(Species_Evo_Numbers=1,Species_Names)),0))),Combo_Duel_Ability),0))</f>
        <v>N/A</v>
      </c>
      <c r="H625" s="24" t="str">
        <f t="array" ref="H625">IF(OR(INDEX(Species_Availability,MATCH($N625,Species_Names,0))="No",INDEX(Species_Evo_Numbers,MATCH($N625,Species_Names,0))&lt;&gt;1),"N/A",$R625/MAX(IF(NOT(ISNA(MATCH(Combo_Species_Names,IF(Species_Availability="Yes",IF(Species_Evo_Numbers=1,Species_Names)),0))),Combo_Duel_Ability)))</f>
        <v>N/A</v>
      </c>
      <c r="I625" s="23" t="str">
        <f t="array" ref="I625">IF(OR(INDEX(Species_Availability,MATCH($N625,Species_Names,0))="No",INDEX(Species_Evo_Numbers,MATCH($N625,Species_Names,0))&lt;&gt;1),"N/A",RANK($S625,IF(NOT(ISNA(MATCH(Combo_Species_Names,IF(Species_Availability="Yes",IF(Species_Evo_Numbers=1,Species_Names)),0))),Combo_Gym_Offense),0))</f>
        <v>N/A</v>
      </c>
      <c r="J625" s="24" t="str">
        <f t="array" ref="J625">IF(OR(INDEX(Species_Availability,MATCH($N625,Species_Names,0))="No",INDEX(Species_Evo_Numbers,MATCH($N625,Species_Names,0))&lt;&gt;1),"N/A",$S625/MAX(IF(NOT(ISNA(MATCH(Combo_Species_Names,IF(Species_Availability="Yes",IF(Species_Evo_Numbers=1,Species_Names)),0))),Combo_Gym_Offense)))</f>
        <v>N/A</v>
      </c>
      <c r="K625" s="23" t="str">
        <f t="array" ref="K625">IF(OR(INDEX(Species_Availability,MATCH($N625,Species_Names,0))="No",INDEX(Species_Evo_Numbers,MATCH($N625,Species_Names,0))&lt;&gt;1),"N/A",RANK($Y625,IF(NOT(ISNA(MATCH(Combo_Species_Names,IF(Species_Availability="Yes",IF(Species_Evo_Numbers=1,Species_Names)),0))),Combo_Gym_Defense),0))</f>
        <v>N/A</v>
      </c>
      <c r="L625" s="24" t="str">
        <f t="array" ref="L625">IF(OR(INDEX(Species_Availability,MATCH($N625,Species_Names,0))="No",INDEX(Species_Evo_Numbers,MATCH($N625,Species_Names,0))&lt;&gt;1),"N/A",$Y625/MAX(IF(NOT(ISNA(MATCH(Combo_Species_Names,IF(Species_Availability="Yes",IF(Species_Evo_Numbers=1,Species_Names)),0))),Combo_Gym_Defense)))</f>
        <v>N/A</v>
      </c>
      <c r="M625" s="28">
        <f t="array" ref="M625">INDEX(Species_Pdex_Numbers,MATCH($N625,Species_Names,0))</f>
        <v>66</v>
      </c>
      <c r="N625" s="30" t="s">
        <v>223</v>
      </c>
      <c r="O625" s="31" t="s">
        <v>122</v>
      </c>
      <c r="P625" s="31" t="s">
        <v>188</v>
      </c>
      <c r="Q625" s="17" t="e">
        <f t="shared" si="18"/>
        <v>#VALUE!</v>
      </c>
      <c r="R625" s="32" t="e">
        <f t="array" ref="R625">IF(OR(AND(COUNTBLANK(Combo_Opponent_Type_1)=1,COUNTBLANK(Combo_Opponent_Type_2)=0),AND(AND(COUNTBLANK(Combo_Opponent_Type_1)=0,COUNTBLANK(Combo_Opponent_Type_2)=0),Combo_Opponent_Type_1=Combo_Opponent_Type_2)),
"Check Types",($S625*INDEX(Species_Tankiness,MATCH($N625,Species_Names,0)))/225)</f>
        <v>#VALUE!</v>
      </c>
      <c r="S625" s="32" t="e">
        <f t="array" ref="S625">IF(OR(AND(COUNTBLANK(Combo_Opponent_Type_1)=1,COUNTBLANK(Combo_Opponent_Type_2)=0),AND(AND(COUNTBLANK(Combo_Opponent_Type_1)=0,COUNTBLANK(Combo_Opponent_Type_2)=0),Combo_Opponent_Type_1=Combo_Opponent_Type_2)),
"Check Types",(
IF($W625&gt;=((1-Game_Weave_Human_Error)*$X625),$W625,$X625)*INDEX(Species_Attack,MATCH($N625,Species_Names,0)))/11)</f>
        <v>#VALUE!</v>
      </c>
      <c r="T625" s="33" t="e">
        <f t="shared" si="19"/>
        <v>#VALUE!</v>
      </c>
      <c r="U625" s="33">
        <f t="array" ref="U6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625,Quick_Names,0))),Type_Species)),0),1)*IF(COUNTBLANK(Combo_Opponent_Type_2)=0,INDEX(Type_Damage_Multipliers,MATCH(Combo_Opponent_Type_2,IF(Type_Move=(INDEX(Quick_Type,MATCH($O625,Quick_Names,0))),Type_Species)),0),1)*(IF(OR(INDEX(Quick_Type,MATCH($O625,Quick_Names,0))=INDEX(Species_Type_1,MATCH($N625,Species_Names,0)),INDEX(Quick_Type,MATCH($O625,Quick_Names,0))=INDEX(Species_Type_2,MATCH($N625,Species_Names,0))),Game_STAB_Multiplier,1)))</f>
        <v>1.25</v>
      </c>
      <c r="V625" s="33">
        <f t="array" ref="V6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625,Charge_Names,0))),Type_Species)),0),1)*IF(COUNTBLANK(Combo_Opponent_Type_2)=0,INDEX(Type_Damage_Multipliers,MATCH(Combo_Opponent_Type_2,IF(Type_Move=(INDEX(Charge_Type,MATCH($P625,Charge_Names,0))),Type_Species)),0),1)*
IF(OR(INDEX(Charge_Type,MATCH($P625,Charge_Names,0))=INDEX(Species_Type_1,MATCH($N625,Species_Names,0)),INDEX(Charge_Type,MATCH($P625,Charge_Names,0))=INDEX(Species_Type_2,MATCH($N625,Species_Names,0))),Game_STAB_Multiplier,1))</f>
        <v>1.25</v>
      </c>
      <c r="W625" s="33" t="s">
        <v>564</v>
      </c>
      <c r="X625" s="33" t="s">
        <v>738</v>
      </c>
      <c r="Y625" s="32" t="e">
        <f t="array" ref="Y625">((($Z625)*
INDEX(Species_Attack,MATCH($N625,Species_Names,0))*
INDEX(Species_Tankiness,MATCH($N625,Species_Names,0)))/1000)</f>
        <v>#VALUE!</v>
      </c>
      <c r="Z625" s="33" t="s">
        <v>686</v>
      </c>
    </row>
    <row r="626" spans="1:26" ht="14.25" customHeight="1" x14ac:dyDescent="0.2">
      <c r="A626" s="86"/>
      <c r="B626" s="22" t="str">
        <f t="array" ref="B626">CONCATENATE(TEXT($M626,"000"),".",TEXT(INDEX(Quick_Number,MATCH($O626,Quick_Names,0)),"000"),".",TEXT(INDEX(Charge_Number,MATCH($P626,Charge_Names,0)),"000"))</f>
        <v>069.214.118</v>
      </c>
      <c r="C626" s="23" t="e">
        <f t="array" ref="C626">RANK($S626,IF(Combo_Species_Names=$N626,Combo_Gym_Offense),0)</f>
        <v>#VALUE!</v>
      </c>
      <c r="D626" s="24" t="e">
        <f t="array" ref="D626">$S626/MAX(IF(Combo_Species_Names=$N626,Combo_Gym_Offense))</f>
        <v>#VALUE!</v>
      </c>
      <c r="E626" s="23" t="e">
        <f t="array" ref="E626">RANK($Y626,IF(Combo_Species_Names=$N626,Combo_Gym_Defense),0)</f>
        <v>#VALUE!</v>
      </c>
      <c r="F626" s="25" t="e">
        <f t="array" ref="F626">$Y626/MAX(IF(Combo_Species_Names=$N626,Combo_Gym_Defense))</f>
        <v>#VALUE!</v>
      </c>
      <c r="G626" s="23" t="str">
        <f t="array" ref="G626">IF(OR(INDEX(Species_Availability,MATCH($N626,Species_Names,0))="No",INDEX(Species_Evo_Numbers,MATCH($N626,Species_Names,0))&lt;&gt;1),"N/A",RANK($R626,IF(NOT(ISNA(MATCH(Combo_Species_Names,IF(Species_Availability="Yes",IF(Species_Evo_Numbers=1,Species_Names)),0))),Combo_Duel_Ability),0))</f>
        <v>N/A</v>
      </c>
      <c r="H626" s="24" t="str">
        <f t="array" ref="H626">IF(OR(INDEX(Species_Availability,MATCH($N626,Species_Names,0))="No",INDEX(Species_Evo_Numbers,MATCH($N626,Species_Names,0))&lt;&gt;1),"N/A",$R626/MAX(IF(NOT(ISNA(MATCH(Combo_Species_Names,IF(Species_Availability="Yes",IF(Species_Evo_Numbers=1,Species_Names)),0))),Combo_Duel_Ability)))</f>
        <v>N/A</v>
      </c>
      <c r="I626" s="23" t="str">
        <f t="array" ref="I626">IF(OR(INDEX(Species_Availability,MATCH($N626,Species_Names,0))="No",INDEX(Species_Evo_Numbers,MATCH($N626,Species_Names,0))&lt;&gt;1),"N/A",RANK($S626,IF(NOT(ISNA(MATCH(Combo_Species_Names,IF(Species_Availability="Yes",IF(Species_Evo_Numbers=1,Species_Names)),0))),Combo_Gym_Offense),0))</f>
        <v>N/A</v>
      </c>
      <c r="J626" s="24" t="str">
        <f t="array" ref="J626">IF(OR(INDEX(Species_Availability,MATCH($N626,Species_Names,0))="No",INDEX(Species_Evo_Numbers,MATCH($N626,Species_Names,0))&lt;&gt;1),"N/A",$S626/MAX(IF(NOT(ISNA(MATCH(Combo_Species_Names,IF(Species_Availability="Yes",IF(Species_Evo_Numbers=1,Species_Names)),0))),Combo_Gym_Offense)))</f>
        <v>N/A</v>
      </c>
      <c r="K626" s="23" t="str">
        <f t="array" ref="K626">IF(OR(INDEX(Species_Availability,MATCH($N626,Species_Names,0))="No",INDEX(Species_Evo_Numbers,MATCH($N626,Species_Names,0))&lt;&gt;1),"N/A",RANK($Y626,IF(NOT(ISNA(MATCH(Combo_Species_Names,IF(Species_Availability="Yes",IF(Species_Evo_Numbers=1,Species_Names)),0))),Combo_Gym_Defense),0))</f>
        <v>N/A</v>
      </c>
      <c r="L626" s="24" t="str">
        <f t="array" ref="L626">IF(OR(INDEX(Species_Availability,MATCH($N626,Species_Names,0))="No",INDEX(Species_Evo_Numbers,MATCH($N626,Species_Names,0))&lt;&gt;1),"N/A",$Y626/MAX(IF(NOT(ISNA(MATCH(Combo_Species_Names,IF(Species_Availability="Yes",IF(Species_Evo_Numbers=1,Species_Names)),0))),Combo_Gym_Defense)))</f>
        <v>N/A</v>
      </c>
      <c r="M626" s="28">
        <f t="array" ref="M626">INDEX(Species_Pdex_Numbers,MATCH($N626,Species_Names,0))</f>
        <v>69</v>
      </c>
      <c r="N626" s="30" t="s">
        <v>229</v>
      </c>
      <c r="O626" s="31" t="s">
        <v>94</v>
      </c>
      <c r="P626" s="31" t="s">
        <v>165</v>
      </c>
      <c r="Q626" s="17" t="e">
        <f t="shared" si="18"/>
        <v>#VALUE!</v>
      </c>
      <c r="R626" s="32" t="e">
        <f t="array" ref="R626">IF(OR(AND(COUNTBLANK(Combo_Opponent_Type_1)=1,COUNTBLANK(Combo_Opponent_Type_2)=0),AND(AND(COUNTBLANK(Combo_Opponent_Type_1)=0,COUNTBLANK(Combo_Opponent_Type_2)=0),Combo_Opponent_Type_1=Combo_Opponent_Type_2)),
"Check Types",($S626*INDEX(Species_Tankiness,MATCH($N626,Species_Names,0)))/225)</f>
        <v>#VALUE!</v>
      </c>
      <c r="S626" s="32" t="e">
        <f t="array" ref="S626">IF(OR(AND(COUNTBLANK(Combo_Opponent_Type_1)=1,COUNTBLANK(Combo_Opponent_Type_2)=0),AND(AND(COUNTBLANK(Combo_Opponent_Type_1)=0,COUNTBLANK(Combo_Opponent_Type_2)=0),Combo_Opponent_Type_1=Combo_Opponent_Type_2)),
"Check Types",(
IF($W626&gt;=((1-Game_Weave_Human_Error)*$X626),$W626,$X626)*INDEX(Species_Attack,MATCH($N626,Species_Names,0)))/11)</f>
        <v>#VALUE!</v>
      </c>
      <c r="T626" s="33" t="e">
        <f t="shared" si="19"/>
        <v>#VALUE!</v>
      </c>
      <c r="U626" s="33">
        <f t="array" ref="U6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626,Quick_Names,0))),Type_Species)),0),1)*IF(COUNTBLANK(Combo_Opponent_Type_2)=0,INDEX(Type_Damage_Multipliers,MATCH(Combo_Opponent_Type_2,IF(Type_Move=(INDEX(Quick_Type,MATCH($O626,Quick_Names,0))),Type_Species)),0),1)*(IF(OR(INDEX(Quick_Type,MATCH($O626,Quick_Names,0))=INDEX(Species_Type_1,MATCH($N626,Species_Names,0)),INDEX(Quick_Type,MATCH($O626,Quick_Names,0))=INDEX(Species_Type_2,MATCH($N626,Species_Names,0))),Game_STAB_Multiplier,1)))</f>
        <v>1.25</v>
      </c>
      <c r="V626" s="33">
        <f t="array" ref="V6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626,Charge_Names,0))),Type_Species)),0),1)*IF(COUNTBLANK(Combo_Opponent_Type_2)=0,INDEX(Type_Damage_Multipliers,MATCH(Combo_Opponent_Type_2,IF(Type_Move=(INDEX(Charge_Type,MATCH($P626,Charge_Names,0))),Type_Species)),0),1)*
IF(OR(INDEX(Charge_Type,MATCH($P626,Charge_Names,0))=INDEX(Species_Type_1,MATCH($N626,Species_Names,0)),INDEX(Charge_Type,MATCH($P626,Charge_Names,0))=INDEX(Species_Type_2,MATCH($N626,Species_Names,0))),Game_STAB_Multiplier,1))</f>
        <v>1.25</v>
      </c>
      <c r="W626" s="33" t="s">
        <v>476</v>
      </c>
      <c r="X626" s="33" t="s">
        <v>761</v>
      </c>
      <c r="Y626" s="32" t="e">
        <f t="array" ref="Y626">((($Z626)*
INDEX(Species_Attack,MATCH($N626,Species_Names,0))*
INDEX(Species_Tankiness,MATCH($N626,Species_Names,0)))/1000)</f>
        <v>#VALUE!</v>
      </c>
      <c r="Z626" s="33" t="s">
        <v>623</v>
      </c>
    </row>
    <row r="627" spans="1:26" ht="14.25" customHeight="1" x14ac:dyDescent="0.2">
      <c r="A627" s="86"/>
      <c r="B627" s="22" t="str">
        <f t="array" ref="B627">CONCATENATE(TEXT($M627,"000"),".",TEXT(INDEX(Quick_Number,MATCH($O627,Quick_Names,0)),"000"),".",TEXT(INDEX(Charge_Number,MATCH($P627,Charge_Names,0)),"000"))</f>
        <v>054.234.028</v>
      </c>
      <c r="C627" s="23" t="e">
        <f t="array" ref="C627">RANK($S627,IF(Combo_Species_Names=$N627,Combo_Gym_Offense),0)</f>
        <v>#VALUE!</v>
      </c>
      <c r="D627" s="24" t="e">
        <f t="array" ref="D627">$S627/MAX(IF(Combo_Species_Names=$N627,Combo_Gym_Offense))</f>
        <v>#VALUE!</v>
      </c>
      <c r="E627" s="23" t="e">
        <f t="array" ref="E627">RANK($Y627,IF(Combo_Species_Names=$N627,Combo_Gym_Defense),0)</f>
        <v>#VALUE!</v>
      </c>
      <c r="F627" s="25" t="e">
        <f t="array" ref="F627">$Y627/MAX(IF(Combo_Species_Names=$N627,Combo_Gym_Defense))</f>
        <v>#VALUE!</v>
      </c>
      <c r="G627" s="23" t="str">
        <f t="array" ref="G627">IF(OR(INDEX(Species_Availability,MATCH($N627,Species_Names,0))="No",INDEX(Species_Evo_Numbers,MATCH($N627,Species_Names,0))&lt;&gt;1),"N/A",RANK($R627,IF(NOT(ISNA(MATCH(Combo_Species_Names,IF(Species_Availability="Yes",IF(Species_Evo_Numbers=1,Species_Names)),0))),Combo_Duel_Ability),0))</f>
        <v>N/A</v>
      </c>
      <c r="H627" s="24" t="str">
        <f t="array" ref="H627">IF(OR(INDEX(Species_Availability,MATCH($N627,Species_Names,0))="No",INDEX(Species_Evo_Numbers,MATCH($N627,Species_Names,0))&lt;&gt;1),"N/A",$R627/MAX(IF(NOT(ISNA(MATCH(Combo_Species_Names,IF(Species_Availability="Yes",IF(Species_Evo_Numbers=1,Species_Names)),0))),Combo_Duel_Ability)))</f>
        <v>N/A</v>
      </c>
      <c r="I627" s="23" t="str">
        <f t="array" ref="I627">IF(OR(INDEX(Species_Availability,MATCH($N627,Species_Names,0))="No",INDEX(Species_Evo_Numbers,MATCH($N627,Species_Names,0))&lt;&gt;1),"N/A",RANK($S627,IF(NOT(ISNA(MATCH(Combo_Species_Names,IF(Species_Availability="Yes",IF(Species_Evo_Numbers=1,Species_Names)),0))),Combo_Gym_Offense),0))</f>
        <v>N/A</v>
      </c>
      <c r="J627" s="24" t="str">
        <f t="array" ref="J627">IF(OR(INDEX(Species_Availability,MATCH($N627,Species_Names,0))="No",INDEX(Species_Evo_Numbers,MATCH($N627,Species_Names,0))&lt;&gt;1),"N/A",$S627/MAX(IF(NOT(ISNA(MATCH(Combo_Species_Names,IF(Species_Availability="Yes",IF(Species_Evo_Numbers=1,Species_Names)),0))),Combo_Gym_Offense)))</f>
        <v>N/A</v>
      </c>
      <c r="K627" s="23" t="str">
        <f t="array" ref="K627">IF(OR(INDEX(Species_Availability,MATCH($N627,Species_Names,0))="No",INDEX(Species_Evo_Numbers,MATCH($N627,Species_Names,0))&lt;&gt;1),"N/A",RANK($Y627,IF(NOT(ISNA(MATCH(Combo_Species_Names,IF(Species_Availability="Yes",IF(Species_Evo_Numbers=1,Species_Names)),0))),Combo_Gym_Defense),0))</f>
        <v>N/A</v>
      </c>
      <c r="L627" s="24" t="str">
        <f t="array" ref="L627">IF(OR(INDEX(Species_Availability,MATCH($N627,Species_Names,0))="No",INDEX(Species_Evo_Numbers,MATCH($N627,Species_Names,0))&lt;&gt;1),"N/A",$Y627/MAX(IF(NOT(ISNA(MATCH(Combo_Species_Names,IF(Species_Availability="Yes",IF(Species_Evo_Numbers=1,Species_Names)),0))),Combo_Gym_Defense)))</f>
        <v>N/A</v>
      </c>
      <c r="M627" s="28">
        <f t="array" ref="M627">INDEX(Species_Pdex_Numbers,MATCH($N627,Species_Names,0))</f>
        <v>54</v>
      </c>
      <c r="N627" s="30" t="s">
        <v>197</v>
      </c>
      <c r="O627" s="31" t="s">
        <v>79</v>
      </c>
      <c r="P627" s="31" t="s">
        <v>146</v>
      </c>
      <c r="Q627" s="17" t="e">
        <f t="shared" si="18"/>
        <v>#VALUE!</v>
      </c>
      <c r="R627" s="32" t="e">
        <f t="array" ref="R627">IF(OR(AND(COUNTBLANK(Combo_Opponent_Type_1)=1,COUNTBLANK(Combo_Opponent_Type_2)=0),AND(AND(COUNTBLANK(Combo_Opponent_Type_1)=0,COUNTBLANK(Combo_Opponent_Type_2)=0),Combo_Opponent_Type_1=Combo_Opponent_Type_2)),
"Check Types",($S627*INDEX(Species_Tankiness,MATCH($N627,Species_Names,0)))/225)</f>
        <v>#VALUE!</v>
      </c>
      <c r="S627" s="32" t="e">
        <f t="array" ref="S627">IF(OR(AND(COUNTBLANK(Combo_Opponent_Type_1)=1,COUNTBLANK(Combo_Opponent_Type_2)=0),AND(AND(COUNTBLANK(Combo_Opponent_Type_1)=0,COUNTBLANK(Combo_Opponent_Type_2)=0),Combo_Opponent_Type_1=Combo_Opponent_Type_2)),
"Check Types",(
IF($W627&gt;=((1-Game_Weave_Human_Error)*$X627),$W627,$X627)*INDEX(Species_Attack,MATCH($N627,Species_Names,0)))/11)</f>
        <v>#VALUE!</v>
      </c>
      <c r="T627" s="33" t="e">
        <f t="shared" si="19"/>
        <v>#VALUE!</v>
      </c>
      <c r="U627" s="33">
        <f t="array" ref="U6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627,Quick_Names,0))),Type_Species)),0),1)*IF(COUNTBLANK(Combo_Opponent_Type_2)=0,INDEX(Type_Damage_Multipliers,MATCH(Combo_Opponent_Type_2,IF(Type_Move=(INDEX(Quick_Type,MATCH($O627,Quick_Names,0))),Type_Species)),0),1)*(IF(OR(INDEX(Quick_Type,MATCH($O627,Quick_Names,0))=INDEX(Species_Type_1,MATCH($N627,Species_Names,0)),INDEX(Quick_Type,MATCH($O627,Quick_Names,0))=INDEX(Species_Type_2,MATCH($N627,Species_Names,0))),Game_STAB_Multiplier,1)))</f>
        <v>1</v>
      </c>
      <c r="V627" s="33">
        <f t="array" ref="V6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627,Charge_Names,0))),Type_Species)),0),1)*IF(COUNTBLANK(Combo_Opponent_Type_2)=0,INDEX(Type_Damage_Multipliers,MATCH(Combo_Opponent_Type_2,IF(Type_Move=(INDEX(Charge_Type,MATCH($P627,Charge_Names,0))),Type_Species)),0),1)*
IF(OR(INDEX(Charge_Type,MATCH($P627,Charge_Names,0))=INDEX(Species_Type_1,MATCH($N627,Species_Names,0)),INDEX(Charge_Type,MATCH($P627,Charge_Names,0))=INDEX(Species_Type_2,MATCH($N627,Species_Names,0))),Game_STAB_Multiplier,1))</f>
        <v>1</v>
      </c>
      <c r="W627" s="33" t="s">
        <v>419</v>
      </c>
      <c r="X627" s="33" t="s">
        <v>650</v>
      </c>
      <c r="Y627" s="32" t="e">
        <f t="array" ref="Y627">((($Z627)*
INDEX(Species_Attack,MATCH($N627,Species_Names,0))*
INDEX(Species_Tankiness,MATCH($N627,Species_Names,0)))/1000)</f>
        <v>#VALUE!</v>
      </c>
      <c r="Z627" s="33" t="s">
        <v>845</v>
      </c>
    </row>
    <row r="628" spans="1:26" ht="14.25" customHeight="1" x14ac:dyDescent="0.2">
      <c r="A628" s="86"/>
      <c r="B628" s="22" t="str">
        <f t="array" ref="B628">CONCATENATE(TEXT($M628,"000"),".",TEXT(INDEX(Quick_Number,MATCH($O628,Quick_Names,0)),"000"),".",TEXT(INDEX(Charge_Number,MATCH($P628,Charge_Names,0)),"000"))</f>
        <v>086.217.057</v>
      </c>
      <c r="C628" s="23" t="e">
        <f t="array" ref="C628">RANK($S628,IF(Combo_Species_Names=$N628,Combo_Gym_Offense),0)</f>
        <v>#VALUE!</v>
      </c>
      <c r="D628" s="24" t="e">
        <f t="array" ref="D628">$S628/MAX(IF(Combo_Species_Names=$N628,Combo_Gym_Offense))</f>
        <v>#VALUE!</v>
      </c>
      <c r="E628" s="23" t="e">
        <f t="array" ref="E628">RANK($Y628,IF(Combo_Species_Names=$N628,Combo_Gym_Defense),0)</f>
        <v>#VALUE!</v>
      </c>
      <c r="F628" s="25" t="e">
        <f t="array" ref="F628">$Y628/MAX(IF(Combo_Species_Names=$N628,Combo_Gym_Defense))</f>
        <v>#VALUE!</v>
      </c>
      <c r="G628" s="23" t="str">
        <f t="array" ref="G628">IF(OR(INDEX(Species_Availability,MATCH($N628,Species_Names,0))="No",INDEX(Species_Evo_Numbers,MATCH($N628,Species_Names,0))&lt;&gt;1),"N/A",RANK($R628,IF(NOT(ISNA(MATCH(Combo_Species_Names,IF(Species_Availability="Yes",IF(Species_Evo_Numbers=1,Species_Names)),0))),Combo_Duel_Ability),0))</f>
        <v>N/A</v>
      </c>
      <c r="H628" s="24" t="str">
        <f t="array" ref="H628">IF(OR(INDEX(Species_Availability,MATCH($N628,Species_Names,0))="No",INDEX(Species_Evo_Numbers,MATCH($N628,Species_Names,0))&lt;&gt;1),"N/A",$R628/MAX(IF(NOT(ISNA(MATCH(Combo_Species_Names,IF(Species_Availability="Yes",IF(Species_Evo_Numbers=1,Species_Names)),0))),Combo_Duel_Ability)))</f>
        <v>N/A</v>
      </c>
      <c r="I628" s="23" t="str">
        <f t="array" ref="I628">IF(OR(INDEX(Species_Availability,MATCH($N628,Species_Names,0))="No",INDEX(Species_Evo_Numbers,MATCH($N628,Species_Names,0))&lt;&gt;1),"N/A",RANK($S628,IF(NOT(ISNA(MATCH(Combo_Species_Names,IF(Species_Availability="Yes",IF(Species_Evo_Numbers=1,Species_Names)),0))),Combo_Gym_Offense),0))</f>
        <v>N/A</v>
      </c>
      <c r="J628" s="24" t="str">
        <f t="array" ref="J628">IF(OR(INDEX(Species_Availability,MATCH($N628,Species_Names,0))="No",INDEX(Species_Evo_Numbers,MATCH($N628,Species_Names,0))&lt;&gt;1),"N/A",$S628/MAX(IF(NOT(ISNA(MATCH(Combo_Species_Names,IF(Species_Availability="Yes",IF(Species_Evo_Numbers=1,Species_Names)),0))),Combo_Gym_Offense)))</f>
        <v>N/A</v>
      </c>
      <c r="K628" s="23" t="str">
        <f t="array" ref="K628">IF(OR(INDEX(Species_Availability,MATCH($N628,Species_Names,0))="No",INDEX(Species_Evo_Numbers,MATCH($N628,Species_Names,0))&lt;&gt;1),"N/A",RANK($Y628,IF(NOT(ISNA(MATCH(Combo_Species_Names,IF(Species_Availability="Yes",IF(Species_Evo_Numbers=1,Species_Names)),0))),Combo_Gym_Defense),0))</f>
        <v>N/A</v>
      </c>
      <c r="L628" s="24" t="str">
        <f t="array" ref="L628">IF(OR(INDEX(Species_Availability,MATCH($N628,Species_Names,0))="No",INDEX(Species_Evo_Numbers,MATCH($N628,Species_Names,0))&lt;&gt;1),"N/A",$Y628/MAX(IF(NOT(ISNA(MATCH(Combo_Species_Names,IF(Species_Availability="Yes",IF(Species_Evo_Numbers=1,Species_Names)),0))),Combo_Gym_Defense)))</f>
        <v>N/A</v>
      </c>
      <c r="M628" s="28">
        <f t="array" ref="M628">INDEX(Species_Pdex_Numbers,MATCH($N628,Species_Names,0))</f>
        <v>86</v>
      </c>
      <c r="N628" s="30" t="s">
        <v>265</v>
      </c>
      <c r="O628" s="31" t="s">
        <v>95</v>
      </c>
      <c r="P628" s="31" t="s">
        <v>280</v>
      </c>
      <c r="Q628" s="17" t="e">
        <f t="shared" si="18"/>
        <v>#VALUE!</v>
      </c>
      <c r="R628" s="32" t="e">
        <f t="array" ref="R628">IF(OR(AND(COUNTBLANK(Combo_Opponent_Type_1)=1,COUNTBLANK(Combo_Opponent_Type_2)=0),AND(AND(COUNTBLANK(Combo_Opponent_Type_1)=0,COUNTBLANK(Combo_Opponent_Type_2)=0),Combo_Opponent_Type_1=Combo_Opponent_Type_2)),
"Check Types",($S628*INDEX(Species_Tankiness,MATCH($N628,Species_Names,0)))/225)</f>
        <v>#VALUE!</v>
      </c>
      <c r="S628" s="32" t="e">
        <f t="array" ref="S628">IF(OR(AND(COUNTBLANK(Combo_Opponent_Type_1)=1,COUNTBLANK(Combo_Opponent_Type_2)=0),AND(AND(COUNTBLANK(Combo_Opponent_Type_1)=0,COUNTBLANK(Combo_Opponent_Type_2)=0),Combo_Opponent_Type_1=Combo_Opponent_Type_2)),
"Check Types",(
IF($W628&gt;=((1-Game_Weave_Human_Error)*$X628),$W628,$X628)*INDEX(Species_Attack,MATCH($N628,Species_Names,0)))/11)</f>
        <v>#VALUE!</v>
      </c>
      <c r="T628" s="33" t="e">
        <f t="shared" si="19"/>
        <v>#VALUE!</v>
      </c>
      <c r="U628" s="33">
        <f t="array" ref="U6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628,Quick_Names,0))),Type_Species)),0),1)*IF(COUNTBLANK(Combo_Opponent_Type_2)=0,INDEX(Type_Damage_Multipliers,MATCH(Combo_Opponent_Type_2,IF(Type_Move=(INDEX(Quick_Type,MATCH($O628,Quick_Names,0))),Type_Species)),0),1)*(IF(OR(INDEX(Quick_Type,MATCH($O628,Quick_Names,0))=INDEX(Species_Type_1,MATCH($N628,Species_Names,0)),INDEX(Quick_Type,MATCH($O628,Quick_Names,0))=INDEX(Species_Type_2,MATCH($N628,Species_Names,0))),Game_STAB_Multiplier,1)))</f>
        <v>1</v>
      </c>
      <c r="V628" s="33">
        <f t="array" ref="V6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628,Charge_Names,0))),Type_Species)),0),1)*IF(COUNTBLANK(Combo_Opponent_Type_2)=0,INDEX(Type_Damage_Multipliers,MATCH(Combo_Opponent_Type_2,IF(Type_Move=(INDEX(Charge_Type,MATCH($P628,Charge_Names,0))),Type_Species)),0),1)*
IF(OR(INDEX(Charge_Type,MATCH($P628,Charge_Names,0))=INDEX(Species_Type_1,MATCH($N628,Species_Names,0)),INDEX(Charge_Type,MATCH($P628,Charge_Names,0))=INDEX(Species_Type_2,MATCH($N628,Species_Names,0))),Game_STAB_Multiplier,1))</f>
        <v>1.25</v>
      </c>
      <c r="W628" s="33" t="s">
        <v>805</v>
      </c>
      <c r="X628" s="33" t="s">
        <v>1024</v>
      </c>
      <c r="Y628" s="32" t="e">
        <f t="array" ref="Y628">((($Z628)*
INDEX(Species_Attack,MATCH($N628,Species_Names,0))*
INDEX(Species_Tankiness,MATCH($N628,Species_Names,0)))/1000)</f>
        <v>#VALUE!</v>
      </c>
      <c r="Z628" s="33" t="s">
        <v>1025</v>
      </c>
    </row>
    <row r="629" spans="1:26" ht="14.25" customHeight="1" x14ac:dyDescent="0.2">
      <c r="A629" s="86"/>
      <c r="B629" s="22" t="str">
        <f t="array" ref="B629">CONCATENATE(TEXT($M629,"000"),".",TEXT(INDEX(Quick_Number,MATCH($O629,Quick_Names,0)),"000"),".",TEXT(INDEX(Charge_Number,MATCH($P629,Charge_Names,0)),"000"))</f>
        <v>086.217.111</v>
      </c>
      <c r="C629" s="23" t="e">
        <f t="array" ref="C629">RANK($S629,IF(Combo_Species_Names=$N629,Combo_Gym_Offense),0)</f>
        <v>#VALUE!</v>
      </c>
      <c r="D629" s="24" t="e">
        <f t="array" ref="D629">$S629/MAX(IF(Combo_Species_Names=$N629,Combo_Gym_Offense))</f>
        <v>#VALUE!</v>
      </c>
      <c r="E629" s="23" t="e">
        <f t="array" ref="E629">RANK($Y629,IF(Combo_Species_Names=$N629,Combo_Gym_Defense),0)</f>
        <v>#VALUE!</v>
      </c>
      <c r="F629" s="25" t="e">
        <f t="array" ref="F629">$Y629/MAX(IF(Combo_Species_Names=$N629,Combo_Gym_Defense))</f>
        <v>#VALUE!</v>
      </c>
      <c r="G629" s="23" t="str">
        <f t="array" ref="G629">IF(OR(INDEX(Species_Availability,MATCH($N629,Species_Names,0))="No",INDEX(Species_Evo_Numbers,MATCH($N629,Species_Names,0))&lt;&gt;1),"N/A",RANK($R629,IF(NOT(ISNA(MATCH(Combo_Species_Names,IF(Species_Availability="Yes",IF(Species_Evo_Numbers=1,Species_Names)),0))),Combo_Duel_Ability),0))</f>
        <v>N/A</v>
      </c>
      <c r="H629" s="24" t="str">
        <f t="array" ref="H629">IF(OR(INDEX(Species_Availability,MATCH($N629,Species_Names,0))="No",INDEX(Species_Evo_Numbers,MATCH($N629,Species_Names,0))&lt;&gt;1),"N/A",$R629/MAX(IF(NOT(ISNA(MATCH(Combo_Species_Names,IF(Species_Availability="Yes",IF(Species_Evo_Numbers=1,Species_Names)),0))),Combo_Duel_Ability)))</f>
        <v>N/A</v>
      </c>
      <c r="I629" s="23" t="str">
        <f t="array" ref="I629">IF(OR(INDEX(Species_Availability,MATCH($N629,Species_Names,0))="No",INDEX(Species_Evo_Numbers,MATCH($N629,Species_Names,0))&lt;&gt;1),"N/A",RANK($S629,IF(NOT(ISNA(MATCH(Combo_Species_Names,IF(Species_Availability="Yes",IF(Species_Evo_Numbers=1,Species_Names)),0))),Combo_Gym_Offense),0))</f>
        <v>N/A</v>
      </c>
      <c r="J629" s="24" t="str">
        <f t="array" ref="J629">IF(OR(INDEX(Species_Availability,MATCH($N629,Species_Names,0))="No",INDEX(Species_Evo_Numbers,MATCH($N629,Species_Names,0))&lt;&gt;1),"N/A",$S629/MAX(IF(NOT(ISNA(MATCH(Combo_Species_Names,IF(Species_Availability="Yes",IF(Species_Evo_Numbers=1,Species_Names)),0))),Combo_Gym_Offense)))</f>
        <v>N/A</v>
      </c>
      <c r="K629" s="23" t="str">
        <f t="array" ref="K629">IF(OR(INDEX(Species_Availability,MATCH($N629,Species_Names,0))="No",INDEX(Species_Evo_Numbers,MATCH($N629,Species_Names,0))&lt;&gt;1),"N/A",RANK($Y629,IF(NOT(ISNA(MATCH(Combo_Species_Names,IF(Species_Availability="Yes",IF(Species_Evo_Numbers=1,Species_Names)),0))),Combo_Gym_Defense),0))</f>
        <v>N/A</v>
      </c>
      <c r="L629" s="24" t="str">
        <f t="array" ref="L629">IF(OR(INDEX(Species_Availability,MATCH($N629,Species_Names,0))="No",INDEX(Species_Evo_Numbers,MATCH($N629,Species_Names,0))&lt;&gt;1),"N/A",$Y629/MAX(IF(NOT(ISNA(MATCH(Combo_Species_Names,IF(Species_Availability="Yes",IF(Species_Evo_Numbers=1,Species_Names)),0))),Combo_Gym_Defense)))</f>
        <v>N/A</v>
      </c>
      <c r="M629" s="28">
        <f t="array" ref="M629">INDEX(Species_Pdex_Numbers,MATCH($N629,Species_Names,0))</f>
        <v>86</v>
      </c>
      <c r="N629" s="30" t="s">
        <v>265</v>
      </c>
      <c r="O629" s="31" t="s">
        <v>95</v>
      </c>
      <c r="P629" s="31" t="s">
        <v>318</v>
      </c>
      <c r="Q629" s="17" t="e">
        <f t="shared" si="18"/>
        <v>#VALUE!</v>
      </c>
      <c r="R629" s="32" t="e">
        <f t="array" ref="R629">IF(OR(AND(COUNTBLANK(Combo_Opponent_Type_1)=1,COUNTBLANK(Combo_Opponent_Type_2)=0),AND(AND(COUNTBLANK(Combo_Opponent_Type_1)=0,COUNTBLANK(Combo_Opponent_Type_2)=0),Combo_Opponent_Type_1=Combo_Opponent_Type_2)),
"Check Types",($S629*INDEX(Species_Tankiness,MATCH($N629,Species_Names,0)))/225)</f>
        <v>#VALUE!</v>
      </c>
      <c r="S629" s="32" t="e">
        <f t="array" ref="S629">IF(OR(AND(COUNTBLANK(Combo_Opponent_Type_1)=1,COUNTBLANK(Combo_Opponent_Type_2)=0),AND(AND(COUNTBLANK(Combo_Opponent_Type_1)=0,COUNTBLANK(Combo_Opponent_Type_2)=0),Combo_Opponent_Type_1=Combo_Opponent_Type_2)),
"Check Types",(
IF($W629&gt;=((1-Game_Weave_Human_Error)*$X629),$W629,$X629)*INDEX(Species_Attack,MATCH($N629,Species_Names,0)))/11)</f>
        <v>#VALUE!</v>
      </c>
      <c r="T629" s="33" t="e">
        <f t="shared" si="19"/>
        <v>#VALUE!</v>
      </c>
      <c r="U629" s="33">
        <f t="array" ref="U6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629,Quick_Names,0))),Type_Species)),0),1)*IF(COUNTBLANK(Combo_Opponent_Type_2)=0,INDEX(Type_Damage_Multipliers,MATCH(Combo_Opponent_Type_2,IF(Type_Move=(INDEX(Quick_Type,MATCH($O629,Quick_Names,0))),Type_Species)),0),1)*(IF(OR(INDEX(Quick_Type,MATCH($O629,Quick_Names,0))=INDEX(Species_Type_1,MATCH($N629,Species_Names,0)),INDEX(Quick_Type,MATCH($O629,Quick_Names,0))=INDEX(Species_Type_2,MATCH($N629,Species_Names,0))),Game_STAB_Multiplier,1)))</f>
        <v>1</v>
      </c>
      <c r="V629" s="33">
        <f t="array" ref="V6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629,Charge_Names,0))),Type_Species)),0),1)*IF(COUNTBLANK(Combo_Opponent_Type_2)=0,INDEX(Type_Damage_Multipliers,MATCH(Combo_Opponent_Type_2,IF(Type_Move=(INDEX(Charge_Type,MATCH($P629,Charge_Names,0))),Type_Species)),0),1)*
IF(OR(INDEX(Charge_Type,MATCH($P629,Charge_Names,0))=INDEX(Species_Type_1,MATCH($N629,Species_Names,0)),INDEX(Charge_Type,MATCH($P629,Charge_Names,0))=INDEX(Species_Type_2,MATCH($N629,Species_Names,0))),Game_STAB_Multiplier,1))</f>
        <v>1</v>
      </c>
      <c r="W629" s="33" t="s">
        <v>805</v>
      </c>
      <c r="X629" s="33" t="s">
        <v>1026</v>
      </c>
      <c r="Y629" s="32" t="e">
        <f t="array" ref="Y629">((($Z629)*
INDEX(Species_Attack,MATCH($N629,Species_Names,0))*
INDEX(Species_Tankiness,MATCH($N629,Species_Names,0)))/1000)</f>
        <v>#VALUE!</v>
      </c>
      <c r="Z629" s="33" t="s">
        <v>445</v>
      </c>
    </row>
    <row r="630" spans="1:26" ht="14.25" customHeight="1" x14ac:dyDescent="0.2">
      <c r="A630" s="86"/>
      <c r="B630" s="22" t="str">
        <f t="array" ref="B630">CONCATENATE(TEXT($M630,"000"),".",TEXT(INDEX(Quick_Number,MATCH($O630,Quick_Names,0)),"000"),".",TEXT(INDEX(Charge_Number,MATCH($P630,Charge_Names,0)),"000"))</f>
        <v>001.221.118</v>
      </c>
      <c r="C630" s="23" t="e">
        <f t="array" ref="C630">RANK($S630,IF(Combo_Species_Names=$N630,Combo_Gym_Offense),0)</f>
        <v>#VALUE!</v>
      </c>
      <c r="D630" s="24" t="e">
        <f t="array" ref="D630">$S630/MAX(IF(Combo_Species_Names=$N630,Combo_Gym_Offense))</f>
        <v>#VALUE!</v>
      </c>
      <c r="E630" s="23" t="e">
        <f t="array" ref="E630">RANK($Y630,IF(Combo_Species_Names=$N630,Combo_Gym_Defense),0)</f>
        <v>#VALUE!</v>
      </c>
      <c r="F630" s="25" t="e">
        <f t="array" ref="F630">$Y630/MAX(IF(Combo_Species_Names=$N630,Combo_Gym_Defense))</f>
        <v>#VALUE!</v>
      </c>
      <c r="G630" s="23" t="str">
        <f t="array" ref="G630">IF(OR(INDEX(Species_Availability,MATCH($N630,Species_Names,0))="No",INDEX(Species_Evo_Numbers,MATCH($N630,Species_Names,0))&lt;&gt;1),"N/A",RANK($R630,IF(NOT(ISNA(MATCH(Combo_Species_Names,IF(Species_Availability="Yes",IF(Species_Evo_Numbers=1,Species_Names)),0))),Combo_Duel_Ability),0))</f>
        <v>N/A</v>
      </c>
      <c r="H630" s="24" t="str">
        <f t="array" ref="H630">IF(OR(INDEX(Species_Availability,MATCH($N630,Species_Names,0))="No",INDEX(Species_Evo_Numbers,MATCH($N630,Species_Names,0))&lt;&gt;1),"N/A",$R630/MAX(IF(NOT(ISNA(MATCH(Combo_Species_Names,IF(Species_Availability="Yes",IF(Species_Evo_Numbers=1,Species_Names)),0))),Combo_Duel_Ability)))</f>
        <v>N/A</v>
      </c>
      <c r="I630" s="23" t="str">
        <f t="array" ref="I630">IF(OR(INDEX(Species_Availability,MATCH($N630,Species_Names,0))="No",INDEX(Species_Evo_Numbers,MATCH($N630,Species_Names,0))&lt;&gt;1),"N/A",RANK($S630,IF(NOT(ISNA(MATCH(Combo_Species_Names,IF(Species_Availability="Yes",IF(Species_Evo_Numbers=1,Species_Names)),0))),Combo_Gym_Offense),0))</f>
        <v>N/A</v>
      </c>
      <c r="J630" s="24" t="str">
        <f t="array" ref="J630">IF(OR(INDEX(Species_Availability,MATCH($N630,Species_Names,0))="No",INDEX(Species_Evo_Numbers,MATCH($N630,Species_Names,0))&lt;&gt;1),"N/A",$S630/MAX(IF(NOT(ISNA(MATCH(Combo_Species_Names,IF(Species_Availability="Yes",IF(Species_Evo_Numbers=1,Species_Names)),0))),Combo_Gym_Offense)))</f>
        <v>N/A</v>
      </c>
      <c r="K630" s="23" t="str">
        <f t="array" ref="K630">IF(OR(INDEX(Species_Availability,MATCH($N630,Species_Names,0))="No",INDEX(Species_Evo_Numbers,MATCH($N630,Species_Names,0))&lt;&gt;1),"N/A",RANK($Y630,IF(NOT(ISNA(MATCH(Combo_Species_Names,IF(Species_Availability="Yes",IF(Species_Evo_Numbers=1,Species_Names)),0))),Combo_Gym_Defense),0))</f>
        <v>N/A</v>
      </c>
      <c r="L630" s="24" t="str">
        <f t="array" ref="L630">IF(OR(INDEX(Species_Availability,MATCH($N630,Species_Names,0))="No",INDEX(Species_Evo_Numbers,MATCH($N630,Species_Names,0))&lt;&gt;1),"N/A",$Y630/MAX(IF(NOT(ISNA(MATCH(Combo_Species_Names,IF(Species_Availability="Yes",IF(Species_Evo_Numbers=1,Species_Names)),0))),Combo_Gym_Defense)))</f>
        <v>N/A</v>
      </c>
      <c r="M630" s="28">
        <f t="array" ref="M630">INDEX(Species_Pdex_Numbers,MATCH($N630,Species_Names,0))</f>
        <v>1</v>
      </c>
      <c r="N630" s="30" t="s">
        <v>27</v>
      </c>
      <c r="O630" s="31" t="s">
        <v>91</v>
      </c>
      <c r="P630" s="31" t="s">
        <v>165</v>
      </c>
      <c r="Q630" s="17" t="e">
        <f t="shared" si="18"/>
        <v>#VALUE!</v>
      </c>
      <c r="R630" s="32" t="e">
        <f t="array" ref="R630">IF(OR(AND(COUNTBLANK(Combo_Opponent_Type_1)=1,COUNTBLANK(Combo_Opponent_Type_2)=0),AND(AND(COUNTBLANK(Combo_Opponent_Type_1)=0,COUNTBLANK(Combo_Opponent_Type_2)=0),Combo_Opponent_Type_1=Combo_Opponent_Type_2)),
"Check Types",($S630*INDEX(Species_Tankiness,MATCH($N630,Species_Names,0)))/225)</f>
        <v>#VALUE!</v>
      </c>
      <c r="S630" s="32" t="e">
        <f t="array" ref="S630">IF(OR(AND(COUNTBLANK(Combo_Opponent_Type_1)=1,COUNTBLANK(Combo_Opponent_Type_2)=0),AND(AND(COUNTBLANK(Combo_Opponent_Type_1)=0,COUNTBLANK(Combo_Opponent_Type_2)=0),Combo_Opponent_Type_1=Combo_Opponent_Type_2)),
"Check Types",(
IF($W630&gt;=((1-Game_Weave_Human_Error)*$X630),$W630,$X630)*INDEX(Species_Attack,MATCH($N630,Species_Names,0)))/11)</f>
        <v>#VALUE!</v>
      </c>
      <c r="T630" s="33" t="e">
        <f t="shared" si="19"/>
        <v>#VALUE!</v>
      </c>
      <c r="U630" s="33">
        <f t="array" ref="U6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630,Quick_Names,0))),Type_Species)),0),1)*IF(COUNTBLANK(Combo_Opponent_Type_2)=0,INDEX(Type_Damage_Multipliers,MATCH(Combo_Opponent_Type_2,IF(Type_Move=(INDEX(Quick_Type,MATCH($O630,Quick_Names,0))),Type_Species)),0),1)*(IF(OR(INDEX(Quick_Type,MATCH($O630,Quick_Names,0))=INDEX(Species_Type_1,MATCH($N630,Species_Names,0)),INDEX(Quick_Type,MATCH($O630,Quick_Names,0))=INDEX(Species_Type_2,MATCH($N630,Species_Names,0))),Game_STAB_Multiplier,1)))</f>
        <v>1</v>
      </c>
      <c r="V630" s="33">
        <f t="array" ref="V6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630,Charge_Names,0))),Type_Species)),0),1)*IF(COUNTBLANK(Combo_Opponent_Type_2)=0,INDEX(Type_Damage_Multipliers,MATCH(Combo_Opponent_Type_2,IF(Type_Move=(INDEX(Charge_Type,MATCH($P630,Charge_Names,0))),Type_Species)),0),1)*
IF(OR(INDEX(Charge_Type,MATCH($P630,Charge_Names,0))=INDEX(Species_Type_1,MATCH($N630,Species_Names,0)),INDEX(Charge_Type,MATCH($P630,Charge_Names,0))=INDEX(Species_Type_2,MATCH($N630,Species_Names,0))),Game_STAB_Multiplier,1))</f>
        <v>1.25</v>
      </c>
      <c r="W630" s="33" t="s">
        <v>658</v>
      </c>
      <c r="X630" s="33" t="s">
        <v>1027</v>
      </c>
      <c r="Y630" s="32" t="e">
        <f t="array" ref="Y630">((($Z630)*
INDEX(Species_Attack,MATCH($N630,Species_Names,0))*
INDEX(Species_Tankiness,MATCH($N630,Species_Names,0)))/1000)</f>
        <v>#VALUE!</v>
      </c>
      <c r="Z630" s="33" t="s">
        <v>789</v>
      </c>
    </row>
    <row r="631" spans="1:26" ht="14.25" customHeight="1" x14ac:dyDescent="0.2">
      <c r="A631" s="86"/>
      <c r="B631" s="22" t="str">
        <f t="array" ref="B631">CONCATENATE(TEXT($M631,"000"),".",TEXT(INDEX(Quick_Number,MATCH($O631,Quick_Names,0)),"000"),".",TEXT(INDEX(Charge_Number,MATCH($P631,Charge_Names,0)),"000"))</f>
        <v>039.222.084</v>
      </c>
      <c r="C631" s="23" t="e">
        <f t="array" ref="C631">RANK($S631,IF(Combo_Species_Names=$N631,Combo_Gym_Offense),0)</f>
        <v>#VALUE!</v>
      </c>
      <c r="D631" s="24" t="e">
        <f t="array" ref="D631">$S631/MAX(IF(Combo_Species_Names=$N631,Combo_Gym_Offense))</f>
        <v>#VALUE!</v>
      </c>
      <c r="E631" s="23" t="e">
        <f t="array" ref="E631">RANK($Y631,IF(Combo_Species_Names=$N631,Combo_Gym_Defense),0)</f>
        <v>#VALUE!</v>
      </c>
      <c r="F631" s="25" t="e">
        <f t="array" ref="F631">$Y631/MAX(IF(Combo_Species_Names=$N631,Combo_Gym_Defense))</f>
        <v>#VALUE!</v>
      </c>
      <c r="G631" s="23" t="str">
        <f t="array" ref="G631">IF(OR(INDEX(Species_Availability,MATCH($N631,Species_Names,0))="No",INDEX(Species_Evo_Numbers,MATCH($N631,Species_Names,0))&lt;&gt;1),"N/A",RANK($R631,IF(NOT(ISNA(MATCH(Combo_Species_Names,IF(Species_Availability="Yes",IF(Species_Evo_Numbers=1,Species_Names)),0))),Combo_Duel_Ability),0))</f>
        <v>N/A</v>
      </c>
      <c r="H631" s="24" t="str">
        <f t="array" ref="H631">IF(OR(INDEX(Species_Availability,MATCH($N631,Species_Names,0))="No",INDEX(Species_Evo_Numbers,MATCH($N631,Species_Names,0))&lt;&gt;1),"N/A",$R631/MAX(IF(NOT(ISNA(MATCH(Combo_Species_Names,IF(Species_Availability="Yes",IF(Species_Evo_Numbers=1,Species_Names)),0))),Combo_Duel_Ability)))</f>
        <v>N/A</v>
      </c>
      <c r="I631" s="23" t="str">
        <f t="array" ref="I631">IF(OR(INDEX(Species_Availability,MATCH($N631,Species_Names,0))="No",INDEX(Species_Evo_Numbers,MATCH($N631,Species_Names,0))&lt;&gt;1),"N/A",RANK($S631,IF(NOT(ISNA(MATCH(Combo_Species_Names,IF(Species_Availability="Yes",IF(Species_Evo_Numbers=1,Species_Names)),0))),Combo_Gym_Offense),0))</f>
        <v>N/A</v>
      </c>
      <c r="J631" s="24" t="str">
        <f t="array" ref="J631">IF(OR(INDEX(Species_Availability,MATCH($N631,Species_Names,0))="No",INDEX(Species_Evo_Numbers,MATCH($N631,Species_Names,0))&lt;&gt;1),"N/A",$S631/MAX(IF(NOT(ISNA(MATCH(Combo_Species_Names,IF(Species_Availability="Yes",IF(Species_Evo_Numbers=1,Species_Names)),0))),Combo_Gym_Offense)))</f>
        <v>N/A</v>
      </c>
      <c r="K631" s="23" t="str">
        <f t="array" ref="K631">IF(OR(INDEX(Species_Availability,MATCH($N631,Species_Names,0))="No",INDEX(Species_Evo_Numbers,MATCH($N631,Species_Names,0))&lt;&gt;1),"N/A",RANK($Y631,IF(NOT(ISNA(MATCH(Combo_Species_Names,IF(Species_Availability="Yes",IF(Species_Evo_Numbers=1,Species_Names)),0))),Combo_Gym_Defense),0))</f>
        <v>N/A</v>
      </c>
      <c r="L631" s="24" t="str">
        <f t="array" ref="L631">IF(OR(INDEX(Species_Availability,MATCH($N631,Species_Names,0))="No",INDEX(Species_Evo_Numbers,MATCH($N631,Species_Names,0))&lt;&gt;1),"N/A",$Y631/MAX(IF(NOT(ISNA(MATCH(Combo_Species_Names,IF(Species_Availability="Yes",IF(Species_Evo_Numbers=1,Species_Names)),0))),Combo_Gym_Defense)))</f>
        <v>N/A</v>
      </c>
      <c r="M631" s="28">
        <f t="array" ref="M631">INDEX(Species_Pdex_Numbers,MATCH($N631,Species_Names,0))</f>
        <v>39</v>
      </c>
      <c r="N631" s="30" t="s">
        <v>168</v>
      </c>
      <c r="O631" s="31" t="s">
        <v>32</v>
      </c>
      <c r="P631" s="31" t="s">
        <v>319</v>
      </c>
      <c r="Q631" s="17" t="e">
        <f t="shared" si="18"/>
        <v>#VALUE!</v>
      </c>
      <c r="R631" s="32" t="e">
        <f t="array" ref="R631">IF(OR(AND(COUNTBLANK(Combo_Opponent_Type_1)=1,COUNTBLANK(Combo_Opponent_Type_2)=0),AND(AND(COUNTBLANK(Combo_Opponent_Type_1)=0,COUNTBLANK(Combo_Opponent_Type_2)=0),Combo_Opponent_Type_1=Combo_Opponent_Type_2)),
"Check Types",($S631*INDEX(Species_Tankiness,MATCH($N631,Species_Names,0)))/225)</f>
        <v>#VALUE!</v>
      </c>
      <c r="S631" s="32" t="e">
        <f t="array" ref="S631">IF(OR(AND(COUNTBLANK(Combo_Opponent_Type_1)=1,COUNTBLANK(Combo_Opponent_Type_2)=0),AND(AND(COUNTBLANK(Combo_Opponent_Type_1)=0,COUNTBLANK(Combo_Opponent_Type_2)=0),Combo_Opponent_Type_1=Combo_Opponent_Type_2)),
"Check Types",(
IF($W631&gt;=((1-Game_Weave_Human_Error)*$X631),$W631,$X631)*INDEX(Species_Attack,MATCH($N631,Species_Names,0)))/11)</f>
        <v>#VALUE!</v>
      </c>
      <c r="T631" s="33" t="e">
        <f t="shared" si="19"/>
        <v>#VALUE!</v>
      </c>
      <c r="U631" s="33">
        <f t="array" ref="U6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631,Quick_Names,0))),Type_Species)),0),1)*IF(COUNTBLANK(Combo_Opponent_Type_2)=0,INDEX(Type_Damage_Multipliers,MATCH(Combo_Opponent_Type_2,IF(Type_Move=(INDEX(Quick_Type,MATCH($O631,Quick_Names,0))),Type_Species)),0),1)*(IF(OR(INDEX(Quick_Type,MATCH($O631,Quick_Names,0))=INDEX(Species_Type_1,MATCH($N631,Species_Names,0)),INDEX(Quick_Type,MATCH($O631,Quick_Names,0))=INDEX(Species_Type_2,MATCH($N631,Species_Names,0))),Game_STAB_Multiplier,1)))</f>
        <v>1.25</v>
      </c>
      <c r="V631" s="33">
        <f t="array" ref="V6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631,Charge_Names,0))),Type_Species)),0),1)*IF(COUNTBLANK(Combo_Opponent_Type_2)=0,INDEX(Type_Damage_Multipliers,MATCH(Combo_Opponent_Type_2,IF(Type_Move=(INDEX(Charge_Type,MATCH($P631,Charge_Names,0))),Type_Species)),0),1)*
IF(OR(INDEX(Charge_Type,MATCH($P631,Charge_Names,0))=INDEX(Species_Type_1,MATCH($N631,Species_Names,0)),INDEX(Charge_Type,MATCH($P631,Charge_Names,0))=INDEX(Species_Type_2,MATCH($N631,Species_Names,0))),Game_STAB_Multiplier,1))</f>
        <v>1.25</v>
      </c>
      <c r="W631" s="33" t="s">
        <v>508</v>
      </c>
      <c r="X631" s="33" t="s">
        <v>797</v>
      </c>
      <c r="Y631" s="32" t="e">
        <f t="array" ref="Y631">((($Z631)*
INDEX(Species_Attack,MATCH($N631,Species_Names,0))*
INDEX(Species_Tankiness,MATCH($N631,Species_Names,0)))/1000)</f>
        <v>#VALUE!</v>
      </c>
      <c r="Z631" s="33" t="s">
        <v>1028</v>
      </c>
    </row>
    <row r="632" spans="1:26" ht="14.25" customHeight="1" x14ac:dyDescent="0.2">
      <c r="A632" s="86"/>
      <c r="B632" s="22" t="str">
        <f t="array" ref="B632">CONCATENATE(TEXT($M632,"000"),".",TEXT(INDEX(Quick_Number,MATCH($O632,Quick_Names,0)),"000"),".",TEXT(INDEX(Charge_Number,MATCH($P632,Charge_Names,0)),"000"))</f>
        <v>029.236.090</v>
      </c>
      <c r="C632" s="23" t="e">
        <f t="array" ref="C632">RANK($S632,IF(Combo_Species_Names=$N632,Combo_Gym_Offense),0)</f>
        <v>#VALUE!</v>
      </c>
      <c r="D632" s="24" t="e">
        <f t="array" ref="D632">$S632/MAX(IF(Combo_Species_Names=$N632,Combo_Gym_Offense))</f>
        <v>#VALUE!</v>
      </c>
      <c r="E632" s="23" t="e">
        <f t="array" ref="E632">RANK($Y632,IF(Combo_Species_Names=$N632,Combo_Gym_Defense),0)</f>
        <v>#VALUE!</v>
      </c>
      <c r="F632" s="25" t="e">
        <f t="array" ref="F632">$Y632/MAX(IF(Combo_Species_Names=$N632,Combo_Gym_Defense))</f>
        <v>#VALUE!</v>
      </c>
      <c r="G632" s="23" t="str">
        <f t="array" ref="G632">IF(OR(INDEX(Species_Availability,MATCH($N632,Species_Names,0))="No",INDEX(Species_Evo_Numbers,MATCH($N632,Species_Names,0))&lt;&gt;1),"N/A",RANK($R632,IF(NOT(ISNA(MATCH(Combo_Species_Names,IF(Species_Availability="Yes",IF(Species_Evo_Numbers=1,Species_Names)),0))),Combo_Duel_Ability),0))</f>
        <v>N/A</v>
      </c>
      <c r="H632" s="24" t="str">
        <f t="array" ref="H632">IF(OR(INDEX(Species_Availability,MATCH($N632,Species_Names,0))="No",INDEX(Species_Evo_Numbers,MATCH($N632,Species_Names,0))&lt;&gt;1),"N/A",$R632/MAX(IF(NOT(ISNA(MATCH(Combo_Species_Names,IF(Species_Availability="Yes",IF(Species_Evo_Numbers=1,Species_Names)),0))),Combo_Duel_Ability)))</f>
        <v>N/A</v>
      </c>
      <c r="I632" s="23" t="str">
        <f t="array" ref="I632">IF(OR(INDEX(Species_Availability,MATCH($N632,Species_Names,0))="No",INDEX(Species_Evo_Numbers,MATCH($N632,Species_Names,0))&lt;&gt;1),"N/A",RANK($S632,IF(NOT(ISNA(MATCH(Combo_Species_Names,IF(Species_Availability="Yes",IF(Species_Evo_Numbers=1,Species_Names)),0))),Combo_Gym_Offense),0))</f>
        <v>N/A</v>
      </c>
      <c r="J632" s="24" t="str">
        <f t="array" ref="J632">IF(OR(INDEX(Species_Availability,MATCH($N632,Species_Names,0))="No",INDEX(Species_Evo_Numbers,MATCH($N632,Species_Names,0))&lt;&gt;1),"N/A",$S632/MAX(IF(NOT(ISNA(MATCH(Combo_Species_Names,IF(Species_Availability="Yes",IF(Species_Evo_Numbers=1,Species_Names)),0))),Combo_Gym_Offense)))</f>
        <v>N/A</v>
      </c>
      <c r="K632" s="23" t="str">
        <f t="array" ref="K632">IF(OR(INDEX(Species_Availability,MATCH($N632,Species_Names,0))="No",INDEX(Species_Evo_Numbers,MATCH($N632,Species_Names,0))&lt;&gt;1),"N/A",RANK($Y632,IF(NOT(ISNA(MATCH(Combo_Species_Names,IF(Species_Availability="Yes",IF(Species_Evo_Numbers=1,Species_Names)),0))),Combo_Gym_Defense),0))</f>
        <v>N/A</v>
      </c>
      <c r="L632" s="24" t="str">
        <f t="array" ref="L632">IF(OR(INDEX(Species_Availability,MATCH($N632,Species_Names,0))="No",INDEX(Species_Evo_Numbers,MATCH($N632,Species_Names,0))&lt;&gt;1),"N/A",$Y632/MAX(IF(NOT(ISNA(MATCH(Combo_Species_Names,IF(Species_Availability="Yes",IF(Species_Evo_Numbers=1,Species_Names)),0))),Combo_Gym_Defense)))</f>
        <v>N/A</v>
      </c>
      <c r="M632" s="28">
        <f t="array" ref="M632">INDEX(Species_Pdex_Numbers,MATCH($N632,Species_Names,0))</f>
        <v>29</v>
      </c>
      <c r="N632" s="30" t="s">
        <v>148</v>
      </c>
      <c r="O632" s="31" t="s">
        <v>101</v>
      </c>
      <c r="P632" s="31" t="s">
        <v>180</v>
      </c>
      <c r="Q632" s="17" t="e">
        <f t="shared" si="18"/>
        <v>#VALUE!</v>
      </c>
      <c r="R632" s="32" t="e">
        <f t="array" ref="R632">IF(OR(AND(COUNTBLANK(Combo_Opponent_Type_1)=1,COUNTBLANK(Combo_Opponent_Type_2)=0),AND(AND(COUNTBLANK(Combo_Opponent_Type_1)=0,COUNTBLANK(Combo_Opponent_Type_2)=0),Combo_Opponent_Type_1=Combo_Opponent_Type_2)),
"Check Types",($S632*INDEX(Species_Tankiness,MATCH($N632,Species_Names,0)))/225)</f>
        <v>#VALUE!</v>
      </c>
      <c r="S632" s="32" t="e">
        <f t="array" ref="S632">IF(OR(AND(COUNTBLANK(Combo_Opponent_Type_1)=1,COUNTBLANK(Combo_Opponent_Type_2)=0),AND(AND(COUNTBLANK(Combo_Opponent_Type_1)=0,COUNTBLANK(Combo_Opponent_Type_2)=0),Combo_Opponent_Type_1=Combo_Opponent_Type_2)),
"Check Types",(
IF($W632&gt;=((1-Game_Weave_Human_Error)*$X632),$W632,$X632)*INDEX(Species_Attack,MATCH($N632,Species_Names,0)))/11)</f>
        <v>#VALUE!</v>
      </c>
      <c r="T632" s="33" t="e">
        <f t="shared" si="19"/>
        <v>#VALUE!</v>
      </c>
      <c r="U632" s="33">
        <f t="array" ref="U6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632,Quick_Names,0))),Type_Species)),0),1)*IF(COUNTBLANK(Combo_Opponent_Type_2)=0,INDEX(Type_Damage_Multipliers,MATCH(Combo_Opponent_Type_2,IF(Type_Move=(INDEX(Quick_Type,MATCH($O632,Quick_Names,0))),Type_Species)),0),1)*(IF(OR(INDEX(Quick_Type,MATCH($O632,Quick_Names,0))=INDEX(Species_Type_1,MATCH($N632,Species_Names,0)),INDEX(Quick_Type,MATCH($O632,Quick_Names,0))=INDEX(Species_Type_2,MATCH($N632,Species_Names,0))),Game_STAB_Multiplier,1)))</f>
        <v>1.25</v>
      </c>
      <c r="V632" s="33">
        <f t="array" ref="V6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632,Charge_Names,0))),Type_Species)),0),1)*IF(COUNTBLANK(Combo_Opponent_Type_2)=0,INDEX(Type_Damage_Multipliers,MATCH(Combo_Opponent_Type_2,IF(Type_Move=(INDEX(Charge_Type,MATCH($P632,Charge_Names,0))),Type_Species)),0),1)*
IF(OR(INDEX(Charge_Type,MATCH($P632,Charge_Names,0))=INDEX(Species_Type_1,MATCH($N632,Species_Names,0)),INDEX(Charge_Type,MATCH($P632,Charge_Names,0))=INDEX(Species_Type_2,MATCH($N632,Species_Names,0))),Game_STAB_Multiplier,1))</f>
        <v>1.25</v>
      </c>
      <c r="W632" s="33" t="s">
        <v>738</v>
      </c>
      <c r="X632" s="33" t="s">
        <v>952</v>
      </c>
      <c r="Y632" s="32" t="e">
        <f t="array" ref="Y632">((($Z632)*
INDEX(Species_Attack,MATCH($N632,Species_Names,0))*
INDEX(Species_Tankiness,MATCH($N632,Species_Names,0)))/1000)</f>
        <v>#VALUE!</v>
      </c>
      <c r="Z632" s="33" t="s">
        <v>953</v>
      </c>
    </row>
    <row r="633" spans="1:26" ht="14.25" customHeight="1" x14ac:dyDescent="0.2">
      <c r="A633" s="86"/>
      <c r="B633" s="22" t="str">
        <f t="array" ref="B633">CONCATENATE(TEXT($M633,"000"),".",TEXT(INDEX(Quick_Number,MATCH($O633,Quick_Names,0)),"000"),".",TEXT(INDEX(Charge_Number,MATCH($P633,Charge_Names,0)),"000"))</f>
        <v>066.207.056</v>
      </c>
      <c r="C633" s="23" t="e">
        <f t="array" ref="C633">RANK($S633,IF(Combo_Species_Names=$N633,Combo_Gym_Offense),0)</f>
        <v>#VALUE!</v>
      </c>
      <c r="D633" s="24" t="e">
        <f t="array" ref="D633">$S633/MAX(IF(Combo_Species_Names=$N633,Combo_Gym_Offense))</f>
        <v>#VALUE!</v>
      </c>
      <c r="E633" s="23" t="e">
        <f t="array" ref="E633">RANK($Y633,IF(Combo_Species_Names=$N633,Combo_Gym_Defense),0)</f>
        <v>#VALUE!</v>
      </c>
      <c r="F633" s="25" t="e">
        <f t="array" ref="F633">$Y633/MAX(IF(Combo_Species_Names=$N633,Combo_Gym_Defense))</f>
        <v>#VALUE!</v>
      </c>
      <c r="G633" s="23" t="str">
        <f t="array" ref="G633">IF(OR(INDEX(Species_Availability,MATCH($N633,Species_Names,0))="No",INDEX(Species_Evo_Numbers,MATCH($N633,Species_Names,0))&lt;&gt;1),"N/A",RANK($R633,IF(NOT(ISNA(MATCH(Combo_Species_Names,IF(Species_Availability="Yes",IF(Species_Evo_Numbers=1,Species_Names)),0))),Combo_Duel_Ability),0))</f>
        <v>N/A</v>
      </c>
      <c r="H633" s="24" t="str">
        <f t="array" ref="H633">IF(OR(INDEX(Species_Availability,MATCH($N633,Species_Names,0))="No",INDEX(Species_Evo_Numbers,MATCH($N633,Species_Names,0))&lt;&gt;1),"N/A",$R633/MAX(IF(NOT(ISNA(MATCH(Combo_Species_Names,IF(Species_Availability="Yes",IF(Species_Evo_Numbers=1,Species_Names)),0))),Combo_Duel_Ability)))</f>
        <v>N/A</v>
      </c>
      <c r="I633" s="23" t="str">
        <f t="array" ref="I633">IF(OR(INDEX(Species_Availability,MATCH($N633,Species_Names,0))="No",INDEX(Species_Evo_Numbers,MATCH($N633,Species_Names,0))&lt;&gt;1),"N/A",RANK($S633,IF(NOT(ISNA(MATCH(Combo_Species_Names,IF(Species_Availability="Yes",IF(Species_Evo_Numbers=1,Species_Names)),0))),Combo_Gym_Offense),0))</f>
        <v>N/A</v>
      </c>
      <c r="J633" s="24" t="str">
        <f t="array" ref="J633">IF(OR(INDEX(Species_Availability,MATCH($N633,Species_Names,0))="No",INDEX(Species_Evo_Numbers,MATCH($N633,Species_Names,0))&lt;&gt;1),"N/A",$S633/MAX(IF(NOT(ISNA(MATCH(Combo_Species_Names,IF(Species_Availability="Yes",IF(Species_Evo_Numbers=1,Species_Names)),0))),Combo_Gym_Offense)))</f>
        <v>N/A</v>
      </c>
      <c r="K633" s="23" t="str">
        <f t="array" ref="K633">IF(OR(INDEX(Species_Availability,MATCH($N633,Species_Names,0))="No",INDEX(Species_Evo_Numbers,MATCH($N633,Species_Names,0))&lt;&gt;1),"N/A",RANK($Y633,IF(NOT(ISNA(MATCH(Combo_Species_Names,IF(Species_Availability="Yes",IF(Species_Evo_Numbers=1,Species_Names)),0))),Combo_Gym_Defense),0))</f>
        <v>N/A</v>
      </c>
      <c r="L633" s="24" t="str">
        <f t="array" ref="L633">IF(OR(INDEX(Species_Availability,MATCH($N633,Species_Names,0))="No",INDEX(Species_Evo_Numbers,MATCH($N633,Species_Names,0))&lt;&gt;1),"N/A",$Y633/MAX(IF(NOT(ISNA(MATCH(Combo_Species_Names,IF(Species_Availability="Yes",IF(Species_Evo_Numbers=1,Species_Names)),0))),Combo_Gym_Defense)))</f>
        <v>N/A</v>
      </c>
      <c r="M633" s="28">
        <f t="array" ref="M633">INDEX(Species_Pdex_Numbers,MATCH($N633,Species_Names,0))</f>
        <v>66</v>
      </c>
      <c r="N633" s="30" t="s">
        <v>223</v>
      </c>
      <c r="O633" s="31" t="s">
        <v>117</v>
      </c>
      <c r="P633" s="31" t="s">
        <v>255</v>
      </c>
      <c r="Q633" s="17" t="e">
        <f t="shared" si="18"/>
        <v>#VALUE!</v>
      </c>
      <c r="R633" s="32" t="e">
        <f t="array" ref="R633">IF(OR(AND(COUNTBLANK(Combo_Opponent_Type_1)=1,COUNTBLANK(Combo_Opponent_Type_2)=0),AND(AND(COUNTBLANK(Combo_Opponent_Type_1)=0,COUNTBLANK(Combo_Opponent_Type_2)=0),Combo_Opponent_Type_1=Combo_Opponent_Type_2)),
"Check Types",($S633*INDEX(Species_Tankiness,MATCH($N633,Species_Names,0)))/225)</f>
        <v>#VALUE!</v>
      </c>
      <c r="S633" s="32" t="e">
        <f t="array" ref="S633">IF(OR(AND(COUNTBLANK(Combo_Opponent_Type_1)=1,COUNTBLANK(Combo_Opponent_Type_2)=0),AND(AND(COUNTBLANK(Combo_Opponent_Type_1)=0,COUNTBLANK(Combo_Opponent_Type_2)=0),Combo_Opponent_Type_1=Combo_Opponent_Type_2)),
"Check Types",(
IF($W633&gt;=((1-Game_Weave_Human_Error)*$X633),$W633,$X633)*INDEX(Species_Attack,MATCH($N633,Species_Names,0)))/11)</f>
        <v>#VALUE!</v>
      </c>
      <c r="T633" s="33" t="e">
        <f t="shared" si="19"/>
        <v>#VALUE!</v>
      </c>
      <c r="U633" s="33">
        <f t="array" ref="U6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633,Quick_Names,0))),Type_Species)),0),1)*IF(COUNTBLANK(Combo_Opponent_Type_2)=0,INDEX(Type_Damage_Multipliers,MATCH(Combo_Opponent_Type_2,IF(Type_Move=(INDEX(Quick_Type,MATCH($O633,Quick_Names,0))),Type_Species)),0),1)*(IF(OR(INDEX(Quick_Type,MATCH($O633,Quick_Names,0))=INDEX(Species_Type_1,MATCH($N633,Species_Names,0)),INDEX(Quick_Type,MATCH($O633,Quick_Names,0))=INDEX(Species_Type_2,MATCH($N633,Species_Names,0))),Game_STAB_Multiplier,1)))</f>
        <v>1.25</v>
      </c>
      <c r="V633" s="33">
        <f t="array" ref="V6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633,Charge_Names,0))),Type_Species)),0),1)*IF(COUNTBLANK(Combo_Opponent_Type_2)=0,INDEX(Type_Damage_Multipliers,MATCH(Combo_Opponent_Type_2,IF(Type_Move=(INDEX(Charge_Type,MATCH($P633,Charge_Names,0))),Type_Species)),0),1)*
IF(OR(INDEX(Charge_Type,MATCH($P633,Charge_Names,0))=INDEX(Species_Type_1,MATCH($N633,Species_Names,0)),INDEX(Charge_Type,MATCH($P633,Charge_Names,0))=INDEX(Species_Type_2,MATCH($N633,Species_Names,0))),Game_STAB_Multiplier,1))</f>
        <v>1.25</v>
      </c>
      <c r="W633" s="33" t="s">
        <v>678</v>
      </c>
      <c r="X633" s="33" t="s">
        <v>688</v>
      </c>
      <c r="Y633" s="32" t="e">
        <f t="array" ref="Y633">((($Z633)*
INDEX(Species_Attack,MATCH($N633,Species_Names,0))*
INDEX(Species_Tankiness,MATCH($N633,Species_Names,0)))/1000)</f>
        <v>#VALUE!</v>
      </c>
      <c r="Z633" s="33" t="s">
        <v>849</v>
      </c>
    </row>
    <row r="634" spans="1:26" ht="14.25" customHeight="1" x14ac:dyDescent="0.2">
      <c r="A634" s="86"/>
      <c r="B634" s="22" t="str">
        <f t="array" ref="B634">CONCATENATE(TEXT($M634,"000"),".",TEXT(INDEX(Quick_Number,MATCH($O634,Quick_Names,0)),"000"),".",TEXT(INDEX(Charge_Number,MATCH($P634,Charge_Names,0)),"000"))</f>
        <v>007.221.058</v>
      </c>
      <c r="C634" s="23" t="e">
        <f t="array" ref="C634">RANK($S634,IF(Combo_Species_Names=$N634,Combo_Gym_Offense),0)</f>
        <v>#VALUE!</v>
      </c>
      <c r="D634" s="24" t="e">
        <f t="array" ref="D634">$S634/MAX(IF(Combo_Species_Names=$N634,Combo_Gym_Offense))</f>
        <v>#VALUE!</v>
      </c>
      <c r="E634" s="23" t="e">
        <f t="array" ref="E634">RANK($Y634,IF(Combo_Species_Names=$N634,Combo_Gym_Defense),0)</f>
        <v>#VALUE!</v>
      </c>
      <c r="F634" s="25" t="e">
        <f t="array" ref="F634">$Y634/MAX(IF(Combo_Species_Names=$N634,Combo_Gym_Defense))</f>
        <v>#VALUE!</v>
      </c>
      <c r="G634" s="23" t="str">
        <f t="array" ref="G634">IF(OR(INDEX(Species_Availability,MATCH($N634,Species_Names,0))="No",INDEX(Species_Evo_Numbers,MATCH($N634,Species_Names,0))&lt;&gt;1),"N/A",RANK($R634,IF(NOT(ISNA(MATCH(Combo_Species_Names,IF(Species_Availability="Yes",IF(Species_Evo_Numbers=1,Species_Names)),0))),Combo_Duel_Ability),0))</f>
        <v>N/A</v>
      </c>
      <c r="H634" s="24" t="str">
        <f t="array" ref="H634">IF(OR(INDEX(Species_Availability,MATCH($N634,Species_Names,0))="No",INDEX(Species_Evo_Numbers,MATCH($N634,Species_Names,0))&lt;&gt;1),"N/A",$R634/MAX(IF(NOT(ISNA(MATCH(Combo_Species_Names,IF(Species_Availability="Yes",IF(Species_Evo_Numbers=1,Species_Names)),0))),Combo_Duel_Ability)))</f>
        <v>N/A</v>
      </c>
      <c r="I634" s="23" t="str">
        <f t="array" ref="I634">IF(OR(INDEX(Species_Availability,MATCH($N634,Species_Names,0))="No",INDEX(Species_Evo_Numbers,MATCH($N634,Species_Names,0))&lt;&gt;1),"N/A",RANK($S634,IF(NOT(ISNA(MATCH(Combo_Species_Names,IF(Species_Availability="Yes",IF(Species_Evo_Numbers=1,Species_Names)),0))),Combo_Gym_Offense),0))</f>
        <v>N/A</v>
      </c>
      <c r="J634" s="24" t="str">
        <f t="array" ref="J634">IF(OR(INDEX(Species_Availability,MATCH($N634,Species_Names,0))="No",INDEX(Species_Evo_Numbers,MATCH($N634,Species_Names,0))&lt;&gt;1),"N/A",$S634/MAX(IF(NOT(ISNA(MATCH(Combo_Species_Names,IF(Species_Availability="Yes",IF(Species_Evo_Numbers=1,Species_Names)),0))),Combo_Gym_Offense)))</f>
        <v>N/A</v>
      </c>
      <c r="K634" s="23" t="str">
        <f t="array" ref="K634">IF(OR(INDEX(Species_Availability,MATCH($N634,Species_Names,0))="No",INDEX(Species_Evo_Numbers,MATCH($N634,Species_Names,0))&lt;&gt;1),"N/A",RANK($Y634,IF(NOT(ISNA(MATCH(Combo_Species_Names,IF(Species_Availability="Yes",IF(Species_Evo_Numbers=1,Species_Names)),0))),Combo_Gym_Defense),0))</f>
        <v>N/A</v>
      </c>
      <c r="L634" s="24" t="str">
        <f t="array" ref="L634">IF(OR(INDEX(Species_Availability,MATCH($N634,Species_Names,0))="No",INDEX(Species_Evo_Numbers,MATCH($N634,Species_Names,0))&lt;&gt;1),"N/A",$Y634/MAX(IF(NOT(ISNA(MATCH(Combo_Species_Names,IF(Species_Availability="Yes",IF(Species_Evo_Numbers=1,Species_Names)),0))),Combo_Gym_Defense)))</f>
        <v>N/A</v>
      </c>
      <c r="M634" s="28">
        <f t="array" ref="M634">INDEX(Species_Pdex_Numbers,MATCH($N634,Species_Names,0))</f>
        <v>7</v>
      </c>
      <c r="N634" s="30" t="s">
        <v>86</v>
      </c>
      <c r="O634" s="31" t="s">
        <v>91</v>
      </c>
      <c r="P634" s="31" t="s">
        <v>198</v>
      </c>
      <c r="Q634" s="17" t="e">
        <f t="shared" si="18"/>
        <v>#VALUE!</v>
      </c>
      <c r="R634" s="32" t="e">
        <f t="array" ref="R634">IF(OR(AND(COUNTBLANK(Combo_Opponent_Type_1)=1,COUNTBLANK(Combo_Opponent_Type_2)=0),AND(AND(COUNTBLANK(Combo_Opponent_Type_1)=0,COUNTBLANK(Combo_Opponent_Type_2)=0),Combo_Opponent_Type_1=Combo_Opponent_Type_2)),
"Check Types",($S634*INDEX(Species_Tankiness,MATCH($N634,Species_Names,0)))/225)</f>
        <v>#VALUE!</v>
      </c>
      <c r="S634" s="32" t="e">
        <f t="array" ref="S634">IF(OR(AND(COUNTBLANK(Combo_Opponent_Type_1)=1,COUNTBLANK(Combo_Opponent_Type_2)=0),AND(AND(COUNTBLANK(Combo_Opponent_Type_1)=0,COUNTBLANK(Combo_Opponent_Type_2)=0),Combo_Opponent_Type_1=Combo_Opponent_Type_2)),
"Check Types",(
IF($W634&gt;=((1-Game_Weave_Human_Error)*$X634),$W634,$X634)*INDEX(Species_Attack,MATCH($N634,Species_Names,0)))/11)</f>
        <v>#VALUE!</v>
      </c>
      <c r="T634" s="33" t="e">
        <f t="shared" si="19"/>
        <v>#VALUE!</v>
      </c>
      <c r="U634" s="33">
        <f t="array" ref="U6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634,Quick_Names,0))),Type_Species)),0),1)*IF(COUNTBLANK(Combo_Opponent_Type_2)=0,INDEX(Type_Damage_Multipliers,MATCH(Combo_Opponent_Type_2,IF(Type_Move=(INDEX(Quick_Type,MATCH($O634,Quick_Names,0))),Type_Species)),0),1)*(IF(OR(INDEX(Quick_Type,MATCH($O634,Quick_Names,0))=INDEX(Species_Type_1,MATCH($N634,Species_Names,0)),INDEX(Quick_Type,MATCH($O634,Quick_Names,0))=INDEX(Species_Type_2,MATCH($N634,Species_Names,0))),Game_STAB_Multiplier,1)))</f>
        <v>1</v>
      </c>
      <c r="V634" s="33">
        <f t="array" ref="V6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634,Charge_Names,0))),Type_Species)),0),1)*IF(COUNTBLANK(Combo_Opponent_Type_2)=0,INDEX(Type_Damage_Multipliers,MATCH(Combo_Opponent_Type_2,IF(Type_Move=(INDEX(Charge_Type,MATCH($P634,Charge_Names,0))),Type_Species)),0),1)*
IF(OR(INDEX(Charge_Type,MATCH($P634,Charge_Names,0))=INDEX(Species_Type_1,MATCH($N634,Species_Names,0)),INDEX(Charge_Type,MATCH($P634,Charge_Names,0))=INDEX(Species_Type_2,MATCH($N634,Species_Names,0))),Game_STAB_Multiplier,1))</f>
        <v>1.25</v>
      </c>
      <c r="W634" s="33" t="s">
        <v>658</v>
      </c>
      <c r="X634" s="33" t="s">
        <v>1029</v>
      </c>
      <c r="Y634" s="32" t="e">
        <f t="array" ref="Y634">((($Z634)*
INDEX(Species_Attack,MATCH($N634,Species_Names,0))*
INDEX(Species_Tankiness,MATCH($N634,Species_Names,0)))/1000)</f>
        <v>#VALUE!</v>
      </c>
      <c r="Z634" s="33" t="s">
        <v>1030</v>
      </c>
    </row>
    <row r="635" spans="1:26" ht="14.25" customHeight="1" x14ac:dyDescent="0.2">
      <c r="A635" s="86"/>
      <c r="B635" s="22" t="str">
        <f t="array" ref="B635">CONCATENATE(TEXT($M635,"000"),".",TEXT(INDEX(Quick_Number,MATCH($O635,Quick_Names,0)),"000"),".",TEXT(INDEX(Charge_Number,MATCH($P635,Charge_Names,0)),"000"))</f>
        <v>104.241.026</v>
      </c>
      <c r="C635" s="23" t="e">
        <f t="array" ref="C635">RANK($S635,IF(Combo_Species_Names=$N635,Combo_Gym_Offense),0)</f>
        <v>#VALUE!</v>
      </c>
      <c r="D635" s="24" t="e">
        <f t="array" ref="D635">$S635/MAX(IF(Combo_Species_Names=$N635,Combo_Gym_Offense))</f>
        <v>#VALUE!</v>
      </c>
      <c r="E635" s="23" t="e">
        <f t="array" ref="E635">RANK($Y635,IF(Combo_Species_Names=$N635,Combo_Gym_Defense),0)</f>
        <v>#VALUE!</v>
      </c>
      <c r="F635" s="25" t="e">
        <f t="array" ref="F635">$Y635/MAX(IF(Combo_Species_Names=$N635,Combo_Gym_Defense))</f>
        <v>#VALUE!</v>
      </c>
      <c r="G635" s="23" t="str">
        <f t="array" ref="G635">IF(OR(INDEX(Species_Availability,MATCH($N635,Species_Names,0))="No",INDEX(Species_Evo_Numbers,MATCH($N635,Species_Names,0))&lt;&gt;1),"N/A",RANK($R635,IF(NOT(ISNA(MATCH(Combo_Species_Names,IF(Species_Availability="Yes",IF(Species_Evo_Numbers=1,Species_Names)),0))),Combo_Duel_Ability),0))</f>
        <v>N/A</v>
      </c>
      <c r="H635" s="24" t="str">
        <f t="array" ref="H635">IF(OR(INDEX(Species_Availability,MATCH($N635,Species_Names,0))="No",INDEX(Species_Evo_Numbers,MATCH($N635,Species_Names,0))&lt;&gt;1),"N/A",$R635/MAX(IF(NOT(ISNA(MATCH(Combo_Species_Names,IF(Species_Availability="Yes",IF(Species_Evo_Numbers=1,Species_Names)),0))),Combo_Duel_Ability)))</f>
        <v>N/A</v>
      </c>
      <c r="I635" s="23" t="str">
        <f t="array" ref="I635">IF(OR(INDEX(Species_Availability,MATCH($N635,Species_Names,0))="No",INDEX(Species_Evo_Numbers,MATCH($N635,Species_Names,0))&lt;&gt;1),"N/A",RANK($S635,IF(NOT(ISNA(MATCH(Combo_Species_Names,IF(Species_Availability="Yes",IF(Species_Evo_Numbers=1,Species_Names)),0))),Combo_Gym_Offense),0))</f>
        <v>N/A</v>
      </c>
      <c r="J635" s="24" t="str">
        <f t="array" ref="J635">IF(OR(INDEX(Species_Availability,MATCH($N635,Species_Names,0))="No",INDEX(Species_Evo_Numbers,MATCH($N635,Species_Names,0))&lt;&gt;1),"N/A",$S635/MAX(IF(NOT(ISNA(MATCH(Combo_Species_Names,IF(Species_Availability="Yes",IF(Species_Evo_Numbers=1,Species_Names)),0))),Combo_Gym_Offense)))</f>
        <v>N/A</v>
      </c>
      <c r="K635" s="23" t="str">
        <f t="array" ref="K635">IF(OR(INDEX(Species_Availability,MATCH($N635,Species_Names,0))="No",INDEX(Species_Evo_Numbers,MATCH($N635,Species_Names,0))&lt;&gt;1),"N/A",RANK($Y635,IF(NOT(ISNA(MATCH(Combo_Species_Names,IF(Species_Availability="Yes",IF(Species_Evo_Numbers=1,Species_Names)),0))),Combo_Gym_Defense),0))</f>
        <v>N/A</v>
      </c>
      <c r="L635" s="24" t="str">
        <f t="array" ref="L635">IF(OR(INDEX(Species_Availability,MATCH($N635,Species_Names,0))="No",INDEX(Species_Evo_Numbers,MATCH($N635,Species_Names,0))&lt;&gt;1),"N/A",$Y635/MAX(IF(NOT(ISNA(MATCH(Combo_Species_Names,IF(Species_Availability="Yes",IF(Species_Evo_Numbers=1,Species_Names)),0))),Combo_Gym_Defense)))</f>
        <v>N/A</v>
      </c>
      <c r="M635" s="28">
        <f t="array" ref="M635">INDEX(Species_Pdex_Numbers,MATCH($N635,Species_Names,0))</f>
        <v>104</v>
      </c>
      <c r="N635" s="30" t="s">
        <v>311</v>
      </c>
      <c r="O635" s="31" t="s">
        <v>97</v>
      </c>
      <c r="P635" s="31" t="s">
        <v>264</v>
      </c>
      <c r="Q635" s="17" t="e">
        <f t="shared" si="18"/>
        <v>#VALUE!</v>
      </c>
      <c r="R635" s="32" t="e">
        <f t="array" ref="R635">IF(OR(AND(COUNTBLANK(Combo_Opponent_Type_1)=1,COUNTBLANK(Combo_Opponent_Type_2)=0),AND(AND(COUNTBLANK(Combo_Opponent_Type_1)=0,COUNTBLANK(Combo_Opponent_Type_2)=0),Combo_Opponent_Type_1=Combo_Opponent_Type_2)),
"Check Types",($S635*INDEX(Species_Tankiness,MATCH($N635,Species_Names,0)))/225)</f>
        <v>#VALUE!</v>
      </c>
      <c r="S635" s="32" t="e">
        <f t="array" ref="S635">IF(OR(AND(COUNTBLANK(Combo_Opponent_Type_1)=1,COUNTBLANK(Combo_Opponent_Type_2)=0),AND(AND(COUNTBLANK(Combo_Opponent_Type_1)=0,COUNTBLANK(Combo_Opponent_Type_2)=0),Combo_Opponent_Type_1=Combo_Opponent_Type_2)),
"Check Types",(
IF($W635&gt;=((1-Game_Weave_Human_Error)*$X635),$W635,$X635)*INDEX(Species_Attack,MATCH($N635,Species_Names,0)))/11)</f>
        <v>#VALUE!</v>
      </c>
      <c r="T635" s="33" t="e">
        <f t="shared" si="19"/>
        <v>#VALUE!</v>
      </c>
      <c r="U635" s="33">
        <f t="array" ref="U6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635,Quick_Names,0))),Type_Species)),0),1)*IF(COUNTBLANK(Combo_Opponent_Type_2)=0,INDEX(Type_Damage_Multipliers,MATCH(Combo_Opponent_Type_2,IF(Type_Move=(INDEX(Quick_Type,MATCH($O635,Quick_Names,0))),Type_Species)),0),1)*(IF(OR(INDEX(Quick_Type,MATCH($O635,Quick_Names,0))=INDEX(Species_Type_1,MATCH($N635,Species_Names,0)),INDEX(Quick_Type,MATCH($O635,Quick_Names,0))=INDEX(Species_Type_2,MATCH($N635,Species_Names,0))),Game_STAB_Multiplier,1)))</f>
        <v>1</v>
      </c>
      <c r="V635" s="33">
        <f t="array" ref="V6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635,Charge_Names,0))),Type_Species)),0),1)*IF(COUNTBLANK(Combo_Opponent_Type_2)=0,INDEX(Type_Damage_Multipliers,MATCH(Combo_Opponent_Type_2,IF(Type_Move=(INDEX(Charge_Type,MATCH($P635,Charge_Names,0))),Type_Species)),0),1)*
IF(OR(INDEX(Charge_Type,MATCH($P635,Charge_Names,0))=INDEX(Species_Type_1,MATCH($N635,Species_Names,0)),INDEX(Charge_Type,MATCH($P635,Charge_Names,0))=INDEX(Species_Type_2,MATCH($N635,Species_Names,0))),Game_STAB_Multiplier,1))</f>
        <v>1.25</v>
      </c>
      <c r="W635" s="33" t="s">
        <v>577</v>
      </c>
      <c r="X635" s="33" t="s">
        <v>573</v>
      </c>
      <c r="Y635" s="32" t="e">
        <f t="array" ref="Y635">((($Z635)*
INDEX(Species_Attack,MATCH($N635,Species_Names,0))*
INDEX(Species_Tankiness,MATCH($N635,Species_Names,0)))/1000)</f>
        <v>#VALUE!</v>
      </c>
      <c r="Z635" s="33" t="s">
        <v>848</v>
      </c>
    </row>
    <row r="636" spans="1:26" ht="14.25" customHeight="1" x14ac:dyDescent="0.2">
      <c r="A636" s="86"/>
      <c r="B636" s="22" t="str">
        <f t="array" ref="B636">CONCATENATE(TEXT($M636,"000"),".",TEXT(INDEX(Quick_Number,MATCH($O636,Quick_Names,0)),"000"),".",TEXT(INDEX(Charge_Number,MATCH($P636,Charge_Names,0)),"000"))</f>
        <v>001.221.059</v>
      </c>
      <c r="C636" s="23" t="e">
        <f t="array" ref="C636">RANK($S636,IF(Combo_Species_Names=$N636,Combo_Gym_Offense),0)</f>
        <v>#VALUE!</v>
      </c>
      <c r="D636" s="24" t="e">
        <f t="array" ref="D636">$S636/MAX(IF(Combo_Species_Names=$N636,Combo_Gym_Offense))</f>
        <v>#VALUE!</v>
      </c>
      <c r="E636" s="23" t="e">
        <f t="array" ref="E636">RANK($Y636,IF(Combo_Species_Names=$N636,Combo_Gym_Defense),0)</f>
        <v>#VALUE!</v>
      </c>
      <c r="F636" s="25" t="e">
        <f t="array" ref="F636">$Y636/MAX(IF(Combo_Species_Names=$N636,Combo_Gym_Defense))</f>
        <v>#VALUE!</v>
      </c>
      <c r="G636" s="23" t="str">
        <f t="array" ref="G636">IF(OR(INDEX(Species_Availability,MATCH($N636,Species_Names,0))="No",INDEX(Species_Evo_Numbers,MATCH($N636,Species_Names,0))&lt;&gt;1),"N/A",RANK($R636,IF(NOT(ISNA(MATCH(Combo_Species_Names,IF(Species_Availability="Yes",IF(Species_Evo_Numbers=1,Species_Names)),0))),Combo_Duel_Ability),0))</f>
        <v>N/A</v>
      </c>
      <c r="H636" s="24" t="str">
        <f t="array" ref="H636">IF(OR(INDEX(Species_Availability,MATCH($N636,Species_Names,0))="No",INDEX(Species_Evo_Numbers,MATCH($N636,Species_Names,0))&lt;&gt;1),"N/A",$R636/MAX(IF(NOT(ISNA(MATCH(Combo_Species_Names,IF(Species_Availability="Yes",IF(Species_Evo_Numbers=1,Species_Names)),0))),Combo_Duel_Ability)))</f>
        <v>N/A</v>
      </c>
      <c r="I636" s="23" t="str">
        <f t="array" ref="I636">IF(OR(INDEX(Species_Availability,MATCH($N636,Species_Names,0))="No",INDEX(Species_Evo_Numbers,MATCH($N636,Species_Names,0))&lt;&gt;1),"N/A",RANK($S636,IF(NOT(ISNA(MATCH(Combo_Species_Names,IF(Species_Availability="Yes",IF(Species_Evo_Numbers=1,Species_Names)),0))),Combo_Gym_Offense),0))</f>
        <v>N/A</v>
      </c>
      <c r="J636" s="24" t="str">
        <f t="array" ref="J636">IF(OR(INDEX(Species_Availability,MATCH($N636,Species_Names,0))="No",INDEX(Species_Evo_Numbers,MATCH($N636,Species_Names,0))&lt;&gt;1),"N/A",$S636/MAX(IF(NOT(ISNA(MATCH(Combo_Species_Names,IF(Species_Availability="Yes",IF(Species_Evo_Numbers=1,Species_Names)),0))),Combo_Gym_Offense)))</f>
        <v>N/A</v>
      </c>
      <c r="K636" s="23" t="str">
        <f t="array" ref="K636">IF(OR(INDEX(Species_Availability,MATCH($N636,Species_Names,0))="No",INDEX(Species_Evo_Numbers,MATCH($N636,Species_Names,0))&lt;&gt;1),"N/A",RANK($Y636,IF(NOT(ISNA(MATCH(Combo_Species_Names,IF(Species_Availability="Yes",IF(Species_Evo_Numbers=1,Species_Names)),0))),Combo_Gym_Defense),0))</f>
        <v>N/A</v>
      </c>
      <c r="L636" s="24" t="str">
        <f t="array" ref="L636">IF(OR(INDEX(Species_Availability,MATCH($N636,Species_Names,0))="No",INDEX(Species_Evo_Numbers,MATCH($N636,Species_Names,0))&lt;&gt;1),"N/A",$Y636/MAX(IF(NOT(ISNA(MATCH(Combo_Species_Names,IF(Species_Availability="Yes",IF(Species_Evo_Numbers=1,Species_Names)),0))),Combo_Gym_Defense)))</f>
        <v>N/A</v>
      </c>
      <c r="M636" s="28">
        <f t="array" ref="M636">INDEX(Species_Pdex_Numbers,MATCH($N636,Species_Names,0))</f>
        <v>1</v>
      </c>
      <c r="N636" s="30" t="s">
        <v>27</v>
      </c>
      <c r="O636" s="31" t="s">
        <v>91</v>
      </c>
      <c r="P636" s="31" t="s">
        <v>213</v>
      </c>
      <c r="Q636" s="17" t="e">
        <f t="shared" si="18"/>
        <v>#VALUE!</v>
      </c>
      <c r="R636" s="32" t="e">
        <f t="array" ref="R636">IF(OR(AND(COUNTBLANK(Combo_Opponent_Type_1)=1,COUNTBLANK(Combo_Opponent_Type_2)=0),AND(AND(COUNTBLANK(Combo_Opponent_Type_1)=0,COUNTBLANK(Combo_Opponent_Type_2)=0),Combo_Opponent_Type_1=Combo_Opponent_Type_2)),
"Check Types",($S636*INDEX(Species_Tankiness,MATCH($N636,Species_Names,0)))/225)</f>
        <v>#VALUE!</v>
      </c>
      <c r="S636" s="32" t="e">
        <f t="array" ref="S636">IF(OR(AND(COUNTBLANK(Combo_Opponent_Type_1)=1,COUNTBLANK(Combo_Opponent_Type_2)=0),AND(AND(COUNTBLANK(Combo_Opponent_Type_1)=0,COUNTBLANK(Combo_Opponent_Type_2)=0),Combo_Opponent_Type_1=Combo_Opponent_Type_2)),
"Check Types",(
IF($W636&gt;=((1-Game_Weave_Human_Error)*$X636),$W636,$X636)*INDEX(Species_Attack,MATCH($N636,Species_Names,0)))/11)</f>
        <v>#VALUE!</v>
      </c>
      <c r="T636" s="33" t="e">
        <f t="shared" si="19"/>
        <v>#VALUE!</v>
      </c>
      <c r="U636" s="33">
        <f t="array" ref="U6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636,Quick_Names,0))),Type_Species)),0),1)*IF(COUNTBLANK(Combo_Opponent_Type_2)=0,INDEX(Type_Damage_Multipliers,MATCH(Combo_Opponent_Type_2,IF(Type_Move=(INDEX(Quick_Type,MATCH($O636,Quick_Names,0))),Type_Species)),0),1)*(IF(OR(INDEX(Quick_Type,MATCH($O636,Quick_Names,0))=INDEX(Species_Type_1,MATCH($N636,Species_Names,0)),INDEX(Quick_Type,MATCH($O636,Quick_Names,0))=INDEX(Species_Type_2,MATCH($N636,Species_Names,0))),Game_STAB_Multiplier,1)))</f>
        <v>1</v>
      </c>
      <c r="V636" s="33">
        <f t="array" ref="V6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636,Charge_Names,0))),Type_Species)),0),1)*IF(COUNTBLANK(Combo_Opponent_Type_2)=0,INDEX(Type_Damage_Multipliers,MATCH(Combo_Opponent_Type_2,IF(Type_Move=(INDEX(Charge_Type,MATCH($P636,Charge_Names,0))),Type_Species)),0),1)*
IF(OR(INDEX(Charge_Type,MATCH($P636,Charge_Names,0))=INDEX(Species_Type_1,MATCH($N636,Species_Names,0)),INDEX(Charge_Type,MATCH($P636,Charge_Names,0))=INDEX(Species_Type_2,MATCH($N636,Species_Names,0))),Game_STAB_Multiplier,1))</f>
        <v>1.25</v>
      </c>
      <c r="W636" s="33" t="s">
        <v>658</v>
      </c>
      <c r="X636" s="33" t="s">
        <v>832</v>
      </c>
      <c r="Y636" s="32" t="e">
        <f t="array" ref="Y636">((($Z636)*
INDEX(Species_Attack,MATCH($N636,Species_Names,0))*
INDEX(Species_Tankiness,MATCH($N636,Species_Names,0)))/1000)</f>
        <v>#VALUE!</v>
      </c>
      <c r="Z636" s="33" t="s">
        <v>833</v>
      </c>
    </row>
    <row r="637" spans="1:26" ht="14.25" customHeight="1" x14ac:dyDescent="0.2">
      <c r="A637" s="86"/>
      <c r="B637" s="22" t="str">
        <f t="array" ref="B637">CONCATENATE(TEXT($M637,"000"),".",TEXT(INDEX(Quick_Number,MATCH($O637,Quick_Names,0)),"000"),".",TEXT(INDEX(Charge_Number,MATCH($P637,Charge_Names,0)),"000"))</f>
        <v>069.225.090</v>
      </c>
      <c r="C637" s="23" t="e">
        <f t="array" ref="C637">RANK($S637,IF(Combo_Species_Names=$N637,Combo_Gym_Offense),0)</f>
        <v>#VALUE!</v>
      </c>
      <c r="D637" s="24" t="e">
        <f t="array" ref="D637">$S637/MAX(IF(Combo_Species_Names=$N637,Combo_Gym_Offense))</f>
        <v>#VALUE!</v>
      </c>
      <c r="E637" s="23" t="e">
        <f t="array" ref="E637">RANK($Y637,IF(Combo_Species_Names=$N637,Combo_Gym_Defense),0)</f>
        <v>#VALUE!</v>
      </c>
      <c r="F637" s="25" t="e">
        <f t="array" ref="F637">$Y637/MAX(IF(Combo_Species_Names=$N637,Combo_Gym_Defense))</f>
        <v>#VALUE!</v>
      </c>
      <c r="G637" s="23" t="str">
        <f t="array" ref="G637">IF(OR(INDEX(Species_Availability,MATCH($N637,Species_Names,0))="No",INDEX(Species_Evo_Numbers,MATCH($N637,Species_Names,0))&lt;&gt;1),"N/A",RANK($R637,IF(NOT(ISNA(MATCH(Combo_Species_Names,IF(Species_Availability="Yes",IF(Species_Evo_Numbers=1,Species_Names)),0))),Combo_Duel_Ability),0))</f>
        <v>N/A</v>
      </c>
      <c r="H637" s="24" t="str">
        <f t="array" ref="H637">IF(OR(INDEX(Species_Availability,MATCH($N637,Species_Names,0))="No",INDEX(Species_Evo_Numbers,MATCH($N637,Species_Names,0))&lt;&gt;1),"N/A",$R637/MAX(IF(NOT(ISNA(MATCH(Combo_Species_Names,IF(Species_Availability="Yes",IF(Species_Evo_Numbers=1,Species_Names)),0))),Combo_Duel_Ability)))</f>
        <v>N/A</v>
      </c>
      <c r="I637" s="23" t="str">
        <f t="array" ref="I637">IF(OR(INDEX(Species_Availability,MATCH($N637,Species_Names,0))="No",INDEX(Species_Evo_Numbers,MATCH($N637,Species_Names,0))&lt;&gt;1),"N/A",RANK($S637,IF(NOT(ISNA(MATCH(Combo_Species_Names,IF(Species_Availability="Yes",IF(Species_Evo_Numbers=1,Species_Names)),0))),Combo_Gym_Offense),0))</f>
        <v>N/A</v>
      </c>
      <c r="J637" s="24" t="str">
        <f t="array" ref="J637">IF(OR(INDEX(Species_Availability,MATCH($N637,Species_Names,0))="No",INDEX(Species_Evo_Numbers,MATCH($N637,Species_Names,0))&lt;&gt;1),"N/A",$S637/MAX(IF(NOT(ISNA(MATCH(Combo_Species_Names,IF(Species_Availability="Yes",IF(Species_Evo_Numbers=1,Species_Names)),0))),Combo_Gym_Offense)))</f>
        <v>N/A</v>
      </c>
      <c r="K637" s="23" t="str">
        <f t="array" ref="K637">IF(OR(INDEX(Species_Availability,MATCH($N637,Species_Names,0))="No",INDEX(Species_Evo_Numbers,MATCH($N637,Species_Names,0))&lt;&gt;1),"N/A",RANK($Y637,IF(NOT(ISNA(MATCH(Combo_Species_Names,IF(Species_Availability="Yes",IF(Species_Evo_Numbers=1,Species_Names)),0))),Combo_Gym_Defense),0))</f>
        <v>N/A</v>
      </c>
      <c r="L637" s="24" t="str">
        <f t="array" ref="L637">IF(OR(INDEX(Species_Availability,MATCH($N637,Species_Names,0))="No",INDEX(Species_Evo_Numbers,MATCH($N637,Species_Names,0))&lt;&gt;1),"N/A",$Y637/MAX(IF(NOT(ISNA(MATCH(Combo_Species_Names,IF(Species_Availability="Yes",IF(Species_Evo_Numbers=1,Species_Names)),0))),Combo_Gym_Defense)))</f>
        <v>N/A</v>
      </c>
      <c r="M637" s="28">
        <f t="array" ref="M637">INDEX(Species_Pdex_Numbers,MATCH($N637,Species_Names,0))</f>
        <v>69</v>
      </c>
      <c r="N637" s="30" t="s">
        <v>229</v>
      </c>
      <c r="O637" s="31" t="s">
        <v>110</v>
      </c>
      <c r="P637" s="31" t="s">
        <v>180</v>
      </c>
      <c r="Q637" s="17" t="e">
        <f t="shared" si="18"/>
        <v>#VALUE!</v>
      </c>
      <c r="R637" s="32" t="e">
        <f t="array" ref="R637">IF(OR(AND(COUNTBLANK(Combo_Opponent_Type_1)=1,COUNTBLANK(Combo_Opponent_Type_2)=0),AND(AND(COUNTBLANK(Combo_Opponent_Type_1)=0,COUNTBLANK(Combo_Opponent_Type_2)=0),Combo_Opponent_Type_1=Combo_Opponent_Type_2)),
"Check Types",($S637*INDEX(Species_Tankiness,MATCH($N637,Species_Names,0)))/225)</f>
        <v>#VALUE!</v>
      </c>
      <c r="S637" s="32" t="e">
        <f t="array" ref="S637">IF(OR(AND(COUNTBLANK(Combo_Opponent_Type_1)=1,COUNTBLANK(Combo_Opponent_Type_2)=0),AND(AND(COUNTBLANK(Combo_Opponent_Type_1)=0,COUNTBLANK(Combo_Opponent_Type_2)=0),Combo_Opponent_Type_1=Combo_Opponent_Type_2)),
"Check Types",(
IF($W637&gt;=((1-Game_Weave_Human_Error)*$X637),$W637,$X637)*INDEX(Species_Attack,MATCH($N637,Species_Names,0)))/11)</f>
        <v>#VALUE!</v>
      </c>
      <c r="T637" s="33" t="e">
        <f t="shared" si="19"/>
        <v>#VALUE!</v>
      </c>
      <c r="U637" s="33">
        <f t="array" ref="U6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637,Quick_Names,0))),Type_Species)),0),1)*IF(COUNTBLANK(Combo_Opponent_Type_2)=0,INDEX(Type_Damage_Multipliers,MATCH(Combo_Opponent_Type_2,IF(Type_Move=(INDEX(Quick_Type,MATCH($O637,Quick_Names,0))),Type_Species)),0),1)*(IF(OR(INDEX(Quick_Type,MATCH($O637,Quick_Names,0))=INDEX(Species_Type_1,MATCH($N637,Species_Names,0)),INDEX(Quick_Type,MATCH($O637,Quick_Names,0))=INDEX(Species_Type_2,MATCH($N637,Species_Names,0))),Game_STAB_Multiplier,1)))</f>
        <v>1.25</v>
      </c>
      <c r="V637" s="33">
        <f t="array" ref="V6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637,Charge_Names,0))),Type_Species)),0),1)*IF(COUNTBLANK(Combo_Opponent_Type_2)=0,INDEX(Type_Damage_Multipliers,MATCH(Combo_Opponent_Type_2,IF(Type_Move=(INDEX(Charge_Type,MATCH($P637,Charge_Names,0))),Type_Species)),0),1)*
IF(OR(INDEX(Charge_Type,MATCH($P637,Charge_Names,0))=INDEX(Species_Type_1,MATCH($N637,Species_Names,0)),INDEX(Charge_Type,MATCH($P637,Charge_Names,0))=INDEX(Species_Type_2,MATCH($N637,Species_Names,0))),Game_STAB_Multiplier,1))</f>
        <v>1.25</v>
      </c>
      <c r="W637" s="33" t="s">
        <v>511</v>
      </c>
      <c r="X637" s="33" t="s">
        <v>514</v>
      </c>
      <c r="Y637" s="32" t="e">
        <f t="array" ref="Y637">((($Z637)*
INDEX(Species_Attack,MATCH($N637,Species_Names,0))*
INDEX(Species_Tankiness,MATCH($N637,Species_Names,0)))/1000)</f>
        <v>#VALUE!</v>
      </c>
      <c r="Z637" s="33" t="s">
        <v>603</v>
      </c>
    </row>
    <row r="638" spans="1:26" ht="14.25" customHeight="1" x14ac:dyDescent="0.2">
      <c r="A638" s="86"/>
      <c r="B638" s="22" t="str">
        <f t="array" ref="B638">CONCATENATE(TEXT($M638,"000"),".",TEXT(INDEX(Quick_Number,MATCH($O638,Quick_Names,0)),"000"),".",TEXT(INDEX(Charge_Number,MATCH($P638,Charge_Names,0)),"000"))</f>
        <v>048.235.099</v>
      </c>
      <c r="C638" s="23" t="e">
        <f t="array" ref="C638">RANK($S638,IF(Combo_Species_Names=$N638,Combo_Gym_Offense),0)</f>
        <v>#VALUE!</v>
      </c>
      <c r="D638" s="24" t="e">
        <f t="array" ref="D638">$S638/MAX(IF(Combo_Species_Names=$N638,Combo_Gym_Offense))</f>
        <v>#VALUE!</v>
      </c>
      <c r="E638" s="23" t="e">
        <f t="array" ref="E638">RANK($Y638,IF(Combo_Species_Names=$N638,Combo_Gym_Defense),0)</f>
        <v>#VALUE!</v>
      </c>
      <c r="F638" s="25" t="e">
        <f t="array" ref="F638">$Y638/MAX(IF(Combo_Species_Names=$N638,Combo_Gym_Defense))</f>
        <v>#VALUE!</v>
      </c>
      <c r="G638" s="23" t="str">
        <f t="array" ref="G638">IF(OR(INDEX(Species_Availability,MATCH($N638,Species_Names,0))="No",INDEX(Species_Evo_Numbers,MATCH($N638,Species_Names,0))&lt;&gt;1),"N/A",RANK($R638,IF(NOT(ISNA(MATCH(Combo_Species_Names,IF(Species_Availability="Yes",IF(Species_Evo_Numbers=1,Species_Names)),0))),Combo_Duel_Ability),0))</f>
        <v>N/A</v>
      </c>
      <c r="H638" s="24" t="str">
        <f t="array" ref="H638">IF(OR(INDEX(Species_Availability,MATCH($N638,Species_Names,0))="No",INDEX(Species_Evo_Numbers,MATCH($N638,Species_Names,0))&lt;&gt;1),"N/A",$R638/MAX(IF(NOT(ISNA(MATCH(Combo_Species_Names,IF(Species_Availability="Yes",IF(Species_Evo_Numbers=1,Species_Names)),0))),Combo_Duel_Ability)))</f>
        <v>N/A</v>
      </c>
      <c r="I638" s="23" t="str">
        <f t="array" ref="I638">IF(OR(INDEX(Species_Availability,MATCH($N638,Species_Names,0))="No",INDEX(Species_Evo_Numbers,MATCH($N638,Species_Names,0))&lt;&gt;1),"N/A",RANK($S638,IF(NOT(ISNA(MATCH(Combo_Species_Names,IF(Species_Availability="Yes",IF(Species_Evo_Numbers=1,Species_Names)),0))),Combo_Gym_Offense),0))</f>
        <v>N/A</v>
      </c>
      <c r="J638" s="24" t="str">
        <f t="array" ref="J638">IF(OR(INDEX(Species_Availability,MATCH($N638,Species_Names,0))="No",INDEX(Species_Evo_Numbers,MATCH($N638,Species_Names,0))&lt;&gt;1),"N/A",$S638/MAX(IF(NOT(ISNA(MATCH(Combo_Species_Names,IF(Species_Availability="Yes",IF(Species_Evo_Numbers=1,Species_Names)),0))),Combo_Gym_Offense)))</f>
        <v>N/A</v>
      </c>
      <c r="K638" s="23" t="str">
        <f t="array" ref="K638">IF(OR(INDEX(Species_Availability,MATCH($N638,Species_Names,0))="No",INDEX(Species_Evo_Numbers,MATCH($N638,Species_Names,0))&lt;&gt;1),"N/A",RANK($Y638,IF(NOT(ISNA(MATCH(Combo_Species_Names,IF(Species_Availability="Yes",IF(Species_Evo_Numbers=1,Species_Names)),0))),Combo_Gym_Defense),0))</f>
        <v>N/A</v>
      </c>
      <c r="L638" s="24" t="str">
        <f t="array" ref="L638">IF(OR(INDEX(Species_Availability,MATCH($N638,Species_Names,0))="No",INDEX(Species_Evo_Numbers,MATCH($N638,Species_Names,0))&lt;&gt;1),"N/A",$Y638/MAX(IF(NOT(ISNA(MATCH(Combo_Species_Names,IF(Species_Availability="Yes",IF(Species_Evo_Numbers=1,Species_Names)),0))),Combo_Gym_Defense)))</f>
        <v>N/A</v>
      </c>
      <c r="M638" s="28">
        <f t="array" ref="M638">INDEX(Species_Pdex_Numbers,MATCH($N638,Species_Names,0))</f>
        <v>48</v>
      </c>
      <c r="N638" s="30" t="s">
        <v>187</v>
      </c>
      <c r="O638" s="31" t="s">
        <v>108</v>
      </c>
      <c r="P638" s="31" t="s">
        <v>236</v>
      </c>
      <c r="Q638" s="17" t="e">
        <f t="shared" si="18"/>
        <v>#VALUE!</v>
      </c>
      <c r="R638" s="32" t="e">
        <f t="array" ref="R638">IF(OR(AND(COUNTBLANK(Combo_Opponent_Type_1)=1,COUNTBLANK(Combo_Opponent_Type_2)=0),AND(AND(COUNTBLANK(Combo_Opponent_Type_1)=0,COUNTBLANK(Combo_Opponent_Type_2)=0),Combo_Opponent_Type_1=Combo_Opponent_Type_2)),
"Check Types",($S638*INDEX(Species_Tankiness,MATCH($N638,Species_Names,0)))/225)</f>
        <v>#VALUE!</v>
      </c>
      <c r="S638" s="32" t="e">
        <f t="array" ref="S638">IF(OR(AND(COUNTBLANK(Combo_Opponent_Type_1)=1,COUNTBLANK(Combo_Opponent_Type_2)=0),AND(AND(COUNTBLANK(Combo_Opponent_Type_1)=0,COUNTBLANK(Combo_Opponent_Type_2)=0),Combo_Opponent_Type_1=Combo_Opponent_Type_2)),
"Check Types",(
IF($W638&gt;=((1-Game_Weave_Human_Error)*$X638),$W638,$X638)*INDEX(Species_Attack,MATCH($N638,Species_Names,0)))/11)</f>
        <v>#VALUE!</v>
      </c>
      <c r="T638" s="33" t="e">
        <f t="shared" si="19"/>
        <v>#VALUE!</v>
      </c>
      <c r="U638" s="33">
        <f t="array" ref="U6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638,Quick_Names,0))),Type_Species)),0),1)*IF(COUNTBLANK(Combo_Opponent_Type_2)=0,INDEX(Type_Damage_Multipliers,MATCH(Combo_Opponent_Type_2,IF(Type_Move=(INDEX(Quick_Type,MATCH($O638,Quick_Names,0))),Type_Species)),0),1)*(IF(OR(INDEX(Quick_Type,MATCH($O638,Quick_Names,0))=INDEX(Species_Type_1,MATCH($N638,Species_Names,0)),INDEX(Quick_Type,MATCH($O638,Quick_Names,0))=INDEX(Species_Type_2,MATCH($N638,Species_Names,0))),Game_STAB_Multiplier,1)))</f>
        <v>1</v>
      </c>
      <c r="V638" s="33">
        <f t="array" ref="V6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638,Charge_Names,0))),Type_Species)),0),1)*IF(COUNTBLANK(Combo_Opponent_Type_2)=0,INDEX(Type_Damage_Multipliers,MATCH(Combo_Opponent_Type_2,IF(Type_Move=(INDEX(Charge_Type,MATCH($P638,Charge_Names,0))),Type_Species)),0),1)*
IF(OR(INDEX(Charge_Type,MATCH($P638,Charge_Names,0))=INDEX(Species_Type_1,MATCH($N638,Species_Names,0)),INDEX(Charge_Type,MATCH($P638,Charge_Names,0))=INDEX(Species_Type_2,MATCH($N638,Species_Names,0))),Game_STAB_Multiplier,1))</f>
        <v>1.25</v>
      </c>
      <c r="W638" s="33" t="s">
        <v>631</v>
      </c>
      <c r="X638" s="33" t="s">
        <v>689</v>
      </c>
      <c r="Y638" s="32" t="e">
        <f t="array" ref="Y638">((($Z638)*
INDEX(Species_Attack,MATCH($N638,Species_Names,0))*
INDEX(Species_Tankiness,MATCH($N638,Species_Names,0)))/1000)</f>
        <v>#VALUE!</v>
      </c>
      <c r="Z638" s="33" t="s">
        <v>725</v>
      </c>
    </row>
    <row r="639" spans="1:26" ht="14.25" customHeight="1" x14ac:dyDescent="0.2">
      <c r="A639" s="86"/>
      <c r="B639" s="22" t="str">
        <f t="array" ref="B639">CONCATENATE(TEXT($M639,"000"),".",TEXT(INDEX(Quick_Number,MATCH($O639,Quick_Names,0)),"000"),".",TEXT(INDEX(Charge_Number,MATCH($P639,Charge_Names,0)),"000"))</f>
        <v>029.202.090</v>
      </c>
      <c r="C639" s="23" t="e">
        <f t="array" ref="C639">RANK($S639,IF(Combo_Species_Names=$N639,Combo_Gym_Offense),0)</f>
        <v>#VALUE!</v>
      </c>
      <c r="D639" s="24" t="e">
        <f t="array" ref="D639">$S639/MAX(IF(Combo_Species_Names=$N639,Combo_Gym_Offense))</f>
        <v>#VALUE!</v>
      </c>
      <c r="E639" s="23" t="e">
        <f t="array" ref="E639">RANK($Y639,IF(Combo_Species_Names=$N639,Combo_Gym_Defense),0)</f>
        <v>#VALUE!</v>
      </c>
      <c r="F639" s="25" t="e">
        <f t="array" ref="F639">$Y639/MAX(IF(Combo_Species_Names=$N639,Combo_Gym_Defense))</f>
        <v>#VALUE!</v>
      </c>
      <c r="G639" s="23" t="str">
        <f t="array" ref="G639">IF(OR(INDEX(Species_Availability,MATCH($N639,Species_Names,0))="No",INDEX(Species_Evo_Numbers,MATCH($N639,Species_Names,0))&lt;&gt;1),"N/A",RANK($R639,IF(NOT(ISNA(MATCH(Combo_Species_Names,IF(Species_Availability="Yes",IF(Species_Evo_Numbers=1,Species_Names)),0))),Combo_Duel_Ability),0))</f>
        <v>N/A</v>
      </c>
      <c r="H639" s="24" t="str">
        <f t="array" ref="H639">IF(OR(INDEX(Species_Availability,MATCH($N639,Species_Names,0))="No",INDEX(Species_Evo_Numbers,MATCH($N639,Species_Names,0))&lt;&gt;1),"N/A",$R639/MAX(IF(NOT(ISNA(MATCH(Combo_Species_Names,IF(Species_Availability="Yes",IF(Species_Evo_Numbers=1,Species_Names)),0))),Combo_Duel_Ability)))</f>
        <v>N/A</v>
      </c>
      <c r="I639" s="23" t="str">
        <f t="array" ref="I639">IF(OR(INDEX(Species_Availability,MATCH($N639,Species_Names,0))="No",INDEX(Species_Evo_Numbers,MATCH($N639,Species_Names,0))&lt;&gt;1),"N/A",RANK($S639,IF(NOT(ISNA(MATCH(Combo_Species_Names,IF(Species_Availability="Yes",IF(Species_Evo_Numbers=1,Species_Names)),0))),Combo_Gym_Offense),0))</f>
        <v>N/A</v>
      </c>
      <c r="J639" s="24" t="str">
        <f t="array" ref="J639">IF(OR(INDEX(Species_Availability,MATCH($N639,Species_Names,0))="No",INDEX(Species_Evo_Numbers,MATCH($N639,Species_Names,0))&lt;&gt;1),"N/A",$S639/MAX(IF(NOT(ISNA(MATCH(Combo_Species_Names,IF(Species_Availability="Yes",IF(Species_Evo_Numbers=1,Species_Names)),0))),Combo_Gym_Offense)))</f>
        <v>N/A</v>
      </c>
      <c r="K639" s="23" t="str">
        <f t="array" ref="K639">IF(OR(INDEX(Species_Availability,MATCH($N639,Species_Names,0))="No",INDEX(Species_Evo_Numbers,MATCH($N639,Species_Names,0))&lt;&gt;1),"N/A",RANK($Y639,IF(NOT(ISNA(MATCH(Combo_Species_Names,IF(Species_Availability="Yes",IF(Species_Evo_Numbers=1,Species_Names)),0))),Combo_Gym_Defense),0))</f>
        <v>N/A</v>
      </c>
      <c r="L639" s="24" t="str">
        <f t="array" ref="L639">IF(OR(INDEX(Species_Availability,MATCH($N639,Species_Names,0))="No",INDEX(Species_Evo_Numbers,MATCH($N639,Species_Names,0))&lt;&gt;1),"N/A",$Y639/MAX(IF(NOT(ISNA(MATCH(Combo_Species_Names,IF(Species_Availability="Yes",IF(Species_Evo_Numbers=1,Species_Names)),0))),Combo_Gym_Defense)))</f>
        <v>N/A</v>
      </c>
      <c r="M639" s="28">
        <f t="array" ref="M639">INDEX(Species_Pdex_Numbers,MATCH($N639,Species_Names,0))</f>
        <v>29</v>
      </c>
      <c r="N639" s="30" t="s">
        <v>148</v>
      </c>
      <c r="O639" s="31" t="s">
        <v>59</v>
      </c>
      <c r="P639" s="31" t="s">
        <v>180</v>
      </c>
      <c r="Q639" s="17" t="e">
        <f t="shared" si="18"/>
        <v>#VALUE!</v>
      </c>
      <c r="R639" s="32" t="e">
        <f t="array" ref="R639">IF(OR(AND(COUNTBLANK(Combo_Opponent_Type_1)=1,COUNTBLANK(Combo_Opponent_Type_2)=0),AND(AND(COUNTBLANK(Combo_Opponent_Type_1)=0,COUNTBLANK(Combo_Opponent_Type_2)=0),Combo_Opponent_Type_1=Combo_Opponent_Type_2)),
"Check Types",($S639*INDEX(Species_Tankiness,MATCH($N639,Species_Names,0)))/225)</f>
        <v>#VALUE!</v>
      </c>
      <c r="S639" s="32" t="e">
        <f t="array" ref="S639">IF(OR(AND(COUNTBLANK(Combo_Opponent_Type_1)=1,COUNTBLANK(Combo_Opponent_Type_2)=0),AND(AND(COUNTBLANK(Combo_Opponent_Type_1)=0,COUNTBLANK(Combo_Opponent_Type_2)=0),Combo_Opponent_Type_1=Combo_Opponent_Type_2)),
"Check Types",(
IF($W639&gt;=((1-Game_Weave_Human_Error)*$X639),$W639,$X639)*INDEX(Species_Attack,MATCH($N639,Species_Names,0)))/11)</f>
        <v>#VALUE!</v>
      </c>
      <c r="T639" s="33" t="e">
        <f t="shared" si="19"/>
        <v>#VALUE!</v>
      </c>
      <c r="U639" s="33">
        <f t="array" ref="U6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639,Quick_Names,0))),Type_Species)),0),1)*IF(COUNTBLANK(Combo_Opponent_Type_2)=0,INDEX(Type_Damage_Multipliers,MATCH(Combo_Opponent_Type_2,IF(Type_Move=(INDEX(Quick_Type,MATCH($O639,Quick_Names,0))),Type_Species)),0),1)*(IF(OR(INDEX(Quick_Type,MATCH($O639,Quick_Names,0))=INDEX(Species_Type_1,MATCH($N639,Species_Names,0)),INDEX(Quick_Type,MATCH($O639,Quick_Names,0))=INDEX(Species_Type_2,MATCH($N639,Species_Names,0))),Game_STAB_Multiplier,1)))</f>
        <v>1</v>
      </c>
      <c r="V639" s="33">
        <f t="array" ref="V6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639,Charge_Names,0))),Type_Species)),0),1)*IF(COUNTBLANK(Combo_Opponent_Type_2)=0,INDEX(Type_Damage_Multipliers,MATCH(Combo_Opponent_Type_2,IF(Type_Move=(INDEX(Charge_Type,MATCH($P639,Charge_Names,0))),Type_Species)),0),1)*
IF(OR(INDEX(Charge_Type,MATCH($P639,Charge_Names,0))=INDEX(Species_Type_1,MATCH($N639,Species_Names,0)),INDEX(Charge_Type,MATCH($P639,Charge_Names,0))=INDEX(Species_Type_2,MATCH($N639,Species_Names,0))),Game_STAB_Multiplier,1))</f>
        <v>1.25</v>
      </c>
      <c r="W639" s="33" t="s">
        <v>453</v>
      </c>
      <c r="X639" s="33" t="s">
        <v>569</v>
      </c>
      <c r="Y639" s="32" t="e">
        <f t="array" ref="Y639">((($Z639)*
INDEX(Species_Attack,MATCH($N639,Species_Names,0))*
INDEX(Species_Tankiness,MATCH($N639,Species_Names,0)))/1000)</f>
        <v>#VALUE!</v>
      </c>
      <c r="Z639" s="33" t="s">
        <v>473</v>
      </c>
    </row>
    <row r="640" spans="1:26" ht="14.25" customHeight="1" x14ac:dyDescent="0.2">
      <c r="A640" s="86"/>
      <c r="B640" s="22" t="str">
        <f t="array" ref="B640">CONCATENATE(TEXT($M640,"000"),".",TEXT(INDEX(Quick_Number,MATCH($O640,Quick_Names,0)),"000"),".",TEXT(INDEX(Charge_Number,MATCH($P640,Charge_Names,0)),"000"))</f>
        <v>007.237.105</v>
      </c>
      <c r="C640" s="23" t="e">
        <f t="array" ref="C640">RANK($S640,IF(Combo_Species_Names=$N640,Combo_Gym_Offense),0)</f>
        <v>#VALUE!</v>
      </c>
      <c r="D640" s="24" t="e">
        <f t="array" ref="D640">$S640/MAX(IF(Combo_Species_Names=$N640,Combo_Gym_Offense))</f>
        <v>#VALUE!</v>
      </c>
      <c r="E640" s="23" t="e">
        <f t="array" ref="E640">RANK($Y640,IF(Combo_Species_Names=$N640,Combo_Gym_Defense),0)</f>
        <v>#VALUE!</v>
      </c>
      <c r="F640" s="25" t="e">
        <f t="array" ref="F640">$Y640/MAX(IF(Combo_Species_Names=$N640,Combo_Gym_Defense))</f>
        <v>#VALUE!</v>
      </c>
      <c r="G640" s="23" t="str">
        <f t="array" ref="G640">IF(OR(INDEX(Species_Availability,MATCH($N640,Species_Names,0))="No",INDEX(Species_Evo_Numbers,MATCH($N640,Species_Names,0))&lt;&gt;1),"N/A",RANK($R640,IF(NOT(ISNA(MATCH(Combo_Species_Names,IF(Species_Availability="Yes",IF(Species_Evo_Numbers=1,Species_Names)),0))),Combo_Duel_Ability),0))</f>
        <v>N/A</v>
      </c>
      <c r="H640" s="24" t="str">
        <f t="array" ref="H640">IF(OR(INDEX(Species_Availability,MATCH($N640,Species_Names,0))="No",INDEX(Species_Evo_Numbers,MATCH($N640,Species_Names,0))&lt;&gt;1),"N/A",$R640/MAX(IF(NOT(ISNA(MATCH(Combo_Species_Names,IF(Species_Availability="Yes",IF(Species_Evo_Numbers=1,Species_Names)),0))),Combo_Duel_Ability)))</f>
        <v>N/A</v>
      </c>
      <c r="I640" s="23" t="str">
        <f t="array" ref="I640">IF(OR(INDEX(Species_Availability,MATCH($N640,Species_Names,0))="No",INDEX(Species_Evo_Numbers,MATCH($N640,Species_Names,0))&lt;&gt;1),"N/A",RANK($S640,IF(NOT(ISNA(MATCH(Combo_Species_Names,IF(Species_Availability="Yes",IF(Species_Evo_Numbers=1,Species_Names)),0))),Combo_Gym_Offense),0))</f>
        <v>N/A</v>
      </c>
      <c r="J640" s="24" t="str">
        <f t="array" ref="J640">IF(OR(INDEX(Species_Availability,MATCH($N640,Species_Names,0))="No",INDEX(Species_Evo_Numbers,MATCH($N640,Species_Names,0))&lt;&gt;1),"N/A",$S640/MAX(IF(NOT(ISNA(MATCH(Combo_Species_Names,IF(Species_Availability="Yes",IF(Species_Evo_Numbers=1,Species_Names)),0))),Combo_Gym_Offense)))</f>
        <v>N/A</v>
      </c>
      <c r="K640" s="23" t="str">
        <f t="array" ref="K640">IF(OR(INDEX(Species_Availability,MATCH($N640,Species_Names,0))="No",INDEX(Species_Evo_Numbers,MATCH($N640,Species_Names,0))&lt;&gt;1),"N/A",RANK($Y640,IF(NOT(ISNA(MATCH(Combo_Species_Names,IF(Species_Availability="Yes",IF(Species_Evo_Numbers=1,Species_Names)),0))),Combo_Gym_Defense),0))</f>
        <v>N/A</v>
      </c>
      <c r="L640" s="24" t="str">
        <f t="array" ref="L640">IF(OR(INDEX(Species_Availability,MATCH($N640,Species_Names,0))="No",INDEX(Species_Evo_Numbers,MATCH($N640,Species_Names,0))&lt;&gt;1),"N/A",$Y640/MAX(IF(NOT(ISNA(MATCH(Combo_Species_Names,IF(Species_Availability="Yes",IF(Species_Evo_Numbers=1,Species_Names)),0))),Combo_Gym_Defense)))</f>
        <v>N/A</v>
      </c>
      <c r="M640" s="28">
        <f t="array" ref="M640">INDEX(Species_Pdex_Numbers,MATCH($N640,Species_Names,0))</f>
        <v>7</v>
      </c>
      <c r="N640" s="30" t="s">
        <v>86</v>
      </c>
      <c r="O640" s="31" t="s">
        <v>92</v>
      </c>
      <c r="P640" s="31" t="s">
        <v>281</v>
      </c>
      <c r="Q640" s="17" t="e">
        <f t="shared" si="18"/>
        <v>#VALUE!</v>
      </c>
      <c r="R640" s="32" t="e">
        <f t="array" ref="R640">IF(OR(AND(COUNTBLANK(Combo_Opponent_Type_1)=1,COUNTBLANK(Combo_Opponent_Type_2)=0),AND(AND(COUNTBLANK(Combo_Opponent_Type_1)=0,COUNTBLANK(Combo_Opponent_Type_2)=0),Combo_Opponent_Type_1=Combo_Opponent_Type_2)),
"Check Types",($S640*INDEX(Species_Tankiness,MATCH($N640,Species_Names,0)))/225)</f>
        <v>#VALUE!</v>
      </c>
      <c r="S640" s="32" t="e">
        <f t="array" ref="S640">IF(OR(AND(COUNTBLANK(Combo_Opponent_Type_1)=1,COUNTBLANK(Combo_Opponent_Type_2)=0),AND(AND(COUNTBLANK(Combo_Opponent_Type_1)=0,COUNTBLANK(Combo_Opponent_Type_2)=0),Combo_Opponent_Type_1=Combo_Opponent_Type_2)),
"Check Types",(
IF($W640&gt;=((1-Game_Weave_Human_Error)*$X640),$W640,$X640)*INDEX(Species_Attack,MATCH($N640,Species_Names,0)))/11)</f>
        <v>#VALUE!</v>
      </c>
      <c r="T640" s="33" t="e">
        <f t="shared" si="19"/>
        <v>#VALUE!</v>
      </c>
      <c r="U640" s="33">
        <f t="array" ref="U6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640,Quick_Names,0))),Type_Species)),0),1)*IF(COUNTBLANK(Combo_Opponent_Type_2)=0,INDEX(Type_Damage_Multipliers,MATCH(Combo_Opponent_Type_2,IF(Type_Move=(INDEX(Quick_Type,MATCH($O640,Quick_Names,0))),Type_Species)),0),1)*(IF(OR(INDEX(Quick_Type,MATCH($O640,Quick_Names,0))=INDEX(Species_Type_1,MATCH($N640,Species_Names,0)),INDEX(Quick_Type,MATCH($O640,Quick_Names,0))=INDEX(Species_Type_2,MATCH($N640,Species_Names,0))),Game_STAB_Multiplier,1)))</f>
        <v>1.25</v>
      </c>
      <c r="V640" s="33">
        <f t="array" ref="V6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640,Charge_Names,0))),Type_Species)),0),1)*IF(COUNTBLANK(Combo_Opponent_Type_2)=0,INDEX(Type_Damage_Multipliers,MATCH(Combo_Opponent_Type_2,IF(Type_Move=(INDEX(Charge_Type,MATCH($P640,Charge_Names,0))),Type_Species)),0),1)*
IF(OR(INDEX(Charge_Type,MATCH($P640,Charge_Names,0))=INDEX(Species_Type_1,MATCH($N640,Species_Names,0)),INDEX(Charge_Type,MATCH($P640,Charge_Names,0))=INDEX(Species_Type_2,MATCH($N640,Species_Names,0))),Game_STAB_Multiplier,1))</f>
        <v>1.25</v>
      </c>
      <c r="W640" s="33" t="s">
        <v>481</v>
      </c>
      <c r="X640" s="33" t="s">
        <v>1031</v>
      </c>
      <c r="Y640" s="32" t="e">
        <f t="array" ref="Y640">((($Z640)*
INDEX(Species_Attack,MATCH($N640,Species_Names,0))*
INDEX(Species_Tankiness,MATCH($N640,Species_Names,0)))/1000)</f>
        <v>#VALUE!</v>
      </c>
      <c r="Z640" s="33" t="s">
        <v>1032</v>
      </c>
    </row>
    <row r="641" spans="1:26" ht="14.25" customHeight="1" x14ac:dyDescent="0.2">
      <c r="A641" s="86"/>
      <c r="B641" s="22" t="str">
        <f t="array" ref="B641">CONCATENATE(TEXT($M641,"000"),".",TEXT(INDEX(Quick_Number,MATCH($O641,Quick_Names,0)),"000"),".",TEXT(INDEX(Charge_Number,MATCH($P641,Charge_Names,0)),"000"))</f>
        <v>007.237.057</v>
      </c>
      <c r="C641" s="23" t="e">
        <f t="array" ref="C641">RANK($S641,IF(Combo_Species_Names=$N641,Combo_Gym_Offense),0)</f>
        <v>#VALUE!</v>
      </c>
      <c r="D641" s="24" t="e">
        <f t="array" ref="D641">$S641/MAX(IF(Combo_Species_Names=$N641,Combo_Gym_Offense))</f>
        <v>#VALUE!</v>
      </c>
      <c r="E641" s="23" t="e">
        <f t="array" ref="E641">RANK($Y641,IF(Combo_Species_Names=$N641,Combo_Gym_Defense),0)</f>
        <v>#VALUE!</v>
      </c>
      <c r="F641" s="25" t="e">
        <f t="array" ref="F641">$Y641/MAX(IF(Combo_Species_Names=$N641,Combo_Gym_Defense))</f>
        <v>#VALUE!</v>
      </c>
      <c r="G641" s="23" t="str">
        <f t="array" ref="G641">IF(OR(INDEX(Species_Availability,MATCH($N641,Species_Names,0))="No",INDEX(Species_Evo_Numbers,MATCH($N641,Species_Names,0))&lt;&gt;1),"N/A",RANK($R641,IF(NOT(ISNA(MATCH(Combo_Species_Names,IF(Species_Availability="Yes",IF(Species_Evo_Numbers=1,Species_Names)),0))),Combo_Duel_Ability),0))</f>
        <v>N/A</v>
      </c>
      <c r="H641" s="24" t="str">
        <f t="array" ref="H641">IF(OR(INDEX(Species_Availability,MATCH($N641,Species_Names,0))="No",INDEX(Species_Evo_Numbers,MATCH($N641,Species_Names,0))&lt;&gt;1),"N/A",$R641/MAX(IF(NOT(ISNA(MATCH(Combo_Species_Names,IF(Species_Availability="Yes",IF(Species_Evo_Numbers=1,Species_Names)),0))),Combo_Duel_Ability)))</f>
        <v>N/A</v>
      </c>
      <c r="I641" s="23" t="str">
        <f t="array" ref="I641">IF(OR(INDEX(Species_Availability,MATCH($N641,Species_Names,0))="No",INDEX(Species_Evo_Numbers,MATCH($N641,Species_Names,0))&lt;&gt;1),"N/A",RANK($S641,IF(NOT(ISNA(MATCH(Combo_Species_Names,IF(Species_Availability="Yes",IF(Species_Evo_Numbers=1,Species_Names)),0))),Combo_Gym_Offense),0))</f>
        <v>N/A</v>
      </c>
      <c r="J641" s="24" t="str">
        <f t="array" ref="J641">IF(OR(INDEX(Species_Availability,MATCH($N641,Species_Names,0))="No",INDEX(Species_Evo_Numbers,MATCH($N641,Species_Names,0))&lt;&gt;1),"N/A",$S641/MAX(IF(NOT(ISNA(MATCH(Combo_Species_Names,IF(Species_Availability="Yes",IF(Species_Evo_Numbers=1,Species_Names)),0))),Combo_Gym_Offense)))</f>
        <v>N/A</v>
      </c>
      <c r="K641" s="23" t="str">
        <f t="array" ref="K641">IF(OR(INDEX(Species_Availability,MATCH($N641,Species_Names,0))="No",INDEX(Species_Evo_Numbers,MATCH($N641,Species_Names,0))&lt;&gt;1),"N/A",RANK($Y641,IF(NOT(ISNA(MATCH(Combo_Species_Names,IF(Species_Availability="Yes",IF(Species_Evo_Numbers=1,Species_Names)),0))),Combo_Gym_Defense),0))</f>
        <v>N/A</v>
      </c>
      <c r="L641" s="24" t="str">
        <f t="array" ref="L641">IF(OR(INDEX(Species_Availability,MATCH($N641,Species_Names,0))="No",INDEX(Species_Evo_Numbers,MATCH($N641,Species_Names,0))&lt;&gt;1),"N/A",$Y641/MAX(IF(NOT(ISNA(MATCH(Combo_Species_Names,IF(Species_Availability="Yes",IF(Species_Evo_Numbers=1,Species_Names)),0))),Combo_Gym_Defense)))</f>
        <v>N/A</v>
      </c>
      <c r="M641" s="28">
        <f t="array" ref="M641">INDEX(Species_Pdex_Numbers,MATCH($N641,Species_Names,0))</f>
        <v>7</v>
      </c>
      <c r="N641" s="30" t="s">
        <v>86</v>
      </c>
      <c r="O641" s="31" t="s">
        <v>92</v>
      </c>
      <c r="P641" s="31" t="s">
        <v>280</v>
      </c>
      <c r="Q641" s="17" t="e">
        <f t="shared" si="18"/>
        <v>#VALUE!</v>
      </c>
      <c r="R641" s="32" t="e">
        <f t="array" ref="R641">IF(OR(AND(COUNTBLANK(Combo_Opponent_Type_1)=1,COUNTBLANK(Combo_Opponent_Type_2)=0),AND(AND(COUNTBLANK(Combo_Opponent_Type_1)=0,COUNTBLANK(Combo_Opponent_Type_2)=0),Combo_Opponent_Type_1=Combo_Opponent_Type_2)),
"Check Types",($S641*INDEX(Species_Tankiness,MATCH($N641,Species_Names,0)))/225)</f>
        <v>#VALUE!</v>
      </c>
      <c r="S641" s="32" t="e">
        <f t="array" ref="S641">IF(OR(AND(COUNTBLANK(Combo_Opponent_Type_1)=1,COUNTBLANK(Combo_Opponent_Type_2)=0),AND(AND(COUNTBLANK(Combo_Opponent_Type_1)=0,COUNTBLANK(Combo_Opponent_Type_2)=0),Combo_Opponent_Type_1=Combo_Opponent_Type_2)),
"Check Types",(
IF($W641&gt;=((1-Game_Weave_Human_Error)*$X641),$W641,$X641)*INDEX(Species_Attack,MATCH($N641,Species_Names,0)))/11)</f>
        <v>#VALUE!</v>
      </c>
      <c r="T641" s="33" t="e">
        <f t="shared" si="19"/>
        <v>#VALUE!</v>
      </c>
      <c r="U641" s="33">
        <f t="array" ref="U6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641,Quick_Names,0))),Type_Species)),0),1)*IF(COUNTBLANK(Combo_Opponent_Type_2)=0,INDEX(Type_Damage_Multipliers,MATCH(Combo_Opponent_Type_2,IF(Type_Move=(INDEX(Quick_Type,MATCH($O641,Quick_Names,0))),Type_Species)),0),1)*(IF(OR(INDEX(Quick_Type,MATCH($O641,Quick_Names,0))=INDEX(Species_Type_1,MATCH($N641,Species_Names,0)),INDEX(Quick_Type,MATCH($O641,Quick_Names,0))=INDEX(Species_Type_2,MATCH($N641,Species_Names,0))),Game_STAB_Multiplier,1)))</f>
        <v>1.25</v>
      </c>
      <c r="V641" s="33">
        <f t="array" ref="V6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641,Charge_Names,0))),Type_Species)),0),1)*IF(COUNTBLANK(Combo_Opponent_Type_2)=0,INDEX(Type_Damage_Multipliers,MATCH(Combo_Opponent_Type_2,IF(Type_Move=(INDEX(Charge_Type,MATCH($P641,Charge_Names,0))),Type_Species)),0),1)*
IF(OR(INDEX(Charge_Type,MATCH($P641,Charge_Names,0))=INDEX(Species_Type_1,MATCH($N641,Species_Names,0)),INDEX(Charge_Type,MATCH($P641,Charge_Names,0))=INDEX(Species_Type_2,MATCH($N641,Species_Names,0))),Game_STAB_Multiplier,1))</f>
        <v>1.25</v>
      </c>
      <c r="W641" s="33" t="s">
        <v>481</v>
      </c>
      <c r="X641" s="33" t="s">
        <v>1033</v>
      </c>
      <c r="Y641" s="32" t="e">
        <f t="array" ref="Y641">((($Z641)*
INDEX(Species_Attack,MATCH($N641,Species_Names,0))*
INDEX(Species_Tankiness,MATCH($N641,Species_Names,0)))/1000)</f>
        <v>#VALUE!</v>
      </c>
      <c r="Z641" s="33" t="s">
        <v>1034</v>
      </c>
    </row>
    <row r="642" spans="1:26" ht="14.25" customHeight="1" x14ac:dyDescent="0.2">
      <c r="A642" s="86"/>
      <c r="B642" s="22" t="str">
        <f t="array" ref="B642">CONCATENATE(TEXT($M642,"000"),".",TEXT(INDEX(Quick_Number,MATCH($O642,Quick_Names,0)),"000"),".",TEXT(INDEX(Charge_Number,MATCH($P642,Charge_Names,0)),"000"))</f>
        <v>132.222.133</v>
      </c>
      <c r="C642" s="23" t="e">
        <f t="array" ref="C642">RANK($S642,IF(Combo_Species_Names=$N642,Combo_Gym_Offense),0)</f>
        <v>#VALUE!</v>
      </c>
      <c r="D642" s="24" t="e">
        <f t="array" ref="D642">$S642/MAX(IF(Combo_Species_Names=$N642,Combo_Gym_Offense))</f>
        <v>#VALUE!</v>
      </c>
      <c r="E642" s="23" t="e">
        <f t="array" ref="E642">RANK($Y642,IF(Combo_Species_Names=$N642,Combo_Gym_Defense),0)</f>
        <v>#VALUE!</v>
      </c>
      <c r="F642" s="25" t="e">
        <f t="array" ref="F642">$Y642/MAX(IF(Combo_Species_Names=$N642,Combo_Gym_Defense))</f>
        <v>#VALUE!</v>
      </c>
      <c r="G642" s="23" t="str">
        <f t="array" ref="G642">IF(OR(INDEX(Species_Availability,MATCH($N642,Species_Names,0))="No",INDEX(Species_Evo_Numbers,MATCH($N642,Species_Names,0))&lt;&gt;1),"N/A",RANK($R642,IF(NOT(ISNA(MATCH(Combo_Species_Names,IF(Species_Availability="Yes",IF(Species_Evo_Numbers=1,Species_Names)),0))),Combo_Duel_Ability),0))</f>
        <v>N/A</v>
      </c>
      <c r="H642" s="24" t="str">
        <f t="array" ref="H642">IF(OR(INDEX(Species_Availability,MATCH($N642,Species_Names,0))="No",INDEX(Species_Evo_Numbers,MATCH($N642,Species_Names,0))&lt;&gt;1),"N/A",$R642/MAX(IF(NOT(ISNA(MATCH(Combo_Species_Names,IF(Species_Availability="Yes",IF(Species_Evo_Numbers=1,Species_Names)),0))),Combo_Duel_Ability)))</f>
        <v>N/A</v>
      </c>
      <c r="I642" s="23" t="str">
        <f t="array" ref="I642">IF(OR(INDEX(Species_Availability,MATCH($N642,Species_Names,0))="No",INDEX(Species_Evo_Numbers,MATCH($N642,Species_Names,0))&lt;&gt;1),"N/A",RANK($S642,IF(NOT(ISNA(MATCH(Combo_Species_Names,IF(Species_Availability="Yes",IF(Species_Evo_Numbers=1,Species_Names)),0))),Combo_Gym_Offense),0))</f>
        <v>N/A</v>
      </c>
      <c r="J642" s="24" t="str">
        <f t="array" ref="J642">IF(OR(INDEX(Species_Availability,MATCH($N642,Species_Names,0))="No",INDEX(Species_Evo_Numbers,MATCH($N642,Species_Names,0))&lt;&gt;1),"N/A",$S642/MAX(IF(NOT(ISNA(MATCH(Combo_Species_Names,IF(Species_Availability="Yes",IF(Species_Evo_Numbers=1,Species_Names)),0))),Combo_Gym_Offense)))</f>
        <v>N/A</v>
      </c>
      <c r="K642" s="23" t="str">
        <f t="array" ref="K642">IF(OR(INDEX(Species_Availability,MATCH($N642,Species_Names,0))="No",INDEX(Species_Evo_Numbers,MATCH($N642,Species_Names,0))&lt;&gt;1),"N/A",RANK($Y642,IF(NOT(ISNA(MATCH(Combo_Species_Names,IF(Species_Availability="Yes",IF(Species_Evo_Numbers=1,Species_Names)),0))),Combo_Gym_Defense),0))</f>
        <v>N/A</v>
      </c>
      <c r="L642" s="24" t="str">
        <f t="array" ref="L642">IF(OR(INDEX(Species_Availability,MATCH($N642,Species_Names,0))="No",INDEX(Species_Evo_Numbers,MATCH($N642,Species_Names,0))&lt;&gt;1),"N/A",$Y642/MAX(IF(NOT(ISNA(MATCH(Combo_Species_Names,IF(Species_Availability="Yes",IF(Species_Evo_Numbers=1,Species_Names)),0))),Combo_Gym_Defense)))</f>
        <v>N/A</v>
      </c>
      <c r="M642" s="28">
        <f t="array" ref="M642">INDEX(Species_Pdex_Numbers,MATCH($N642,Species_Names,0))</f>
        <v>132</v>
      </c>
      <c r="N642" s="30" t="s">
        <v>349</v>
      </c>
      <c r="O642" s="31" t="s">
        <v>32</v>
      </c>
      <c r="P642" s="31" t="s">
        <v>307</v>
      </c>
      <c r="Q642" s="17" t="e">
        <f t="shared" si="18"/>
        <v>#VALUE!</v>
      </c>
      <c r="R642" s="32" t="e">
        <f t="array" ref="R642">IF(OR(AND(COUNTBLANK(Combo_Opponent_Type_1)=1,COUNTBLANK(Combo_Opponent_Type_2)=0),AND(AND(COUNTBLANK(Combo_Opponent_Type_1)=0,COUNTBLANK(Combo_Opponent_Type_2)=0),Combo_Opponent_Type_1=Combo_Opponent_Type_2)),
"Check Types",($S642*INDEX(Species_Tankiness,MATCH($N642,Species_Names,0)))/225)</f>
        <v>#VALUE!</v>
      </c>
      <c r="S642" s="32" t="e">
        <f t="array" ref="S642">IF(OR(AND(COUNTBLANK(Combo_Opponent_Type_1)=1,COUNTBLANK(Combo_Opponent_Type_2)=0),AND(AND(COUNTBLANK(Combo_Opponent_Type_1)=0,COUNTBLANK(Combo_Opponent_Type_2)=0),Combo_Opponent_Type_1=Combo_Opponent_Type_2)),
"Check Types",(
IF($W642&gt;=((1-Game_Weave_Human_Error)*$X642),$W642,$X642)*INDEX(Species_Attack,MATCH($N642,Species_Names,0)))/11)</f>
        <v>#VALUE!</v>
      </c>
      <c r="T642" s="33" t="e">
        <f t="shared" si="19"/>
        <v>#VALUE!</v>
      </c>
      <c r="U642" s="33">
        <f t="array" ref="U6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642,Quick_Names,0))),Type_Species)),0),1)*IF(COUNTBLANK(Combo_Opponent_Type_2)=0,INDEX(Type_Damage_Multipliers,MATCH(Combo_Opponent_Type_2,IF(Type_Move=(INDEX(Quick_Type,MATCH($O642,Quick_Names,0))),Type_Species)),0),1)*(IF(OR(INDEX(Quick_Type,MATCH($O642,Quick_Names,0))=INDEX(Species_Type_1,MATCH($N642,Species_Names,0)),INDEX(Quick_Type,MATCH($O642,Quick_Names,0))=INDEX(Species_Type_2,MATCH($N642,Species_Names,0))),Game_STAB_Multiplier,1)))</f>
        <v>1.25</v>
      </c>
      <c r="V642" s="33">
        <f t="array" ref="V6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642,Charge_Names,0))),Type_Species)),0),1)*IF(COUNTBLANK(Combo_Opponent_Type_2)=0,INDEX(Type_Damage_Multipliers,MATCH(Combo_Opponent_Type_2,IF(Type_Move=(INDEX(Charge_Type,MATCH($P642,Charge_Names,0))),Type_Species)),0),1)*
IF(OR(INDEX(Charge_Type,MATCH($P642,Charge_Names,0))=INDEX(Species_Type_1,MATCH($N642,Species_Names,0)),INDEX(Charge_Type,MATCH($P642,Charge_Names,0))=INDEX(Species_Type_2,MATCH($N642,Species_Names,0))),Game_STAB_Multiplier,1))</f>
        <v>1.25</v>
      </c>
      <c r="W642" s="33" t="s">
        <v>508</v>
      </c>
      <c r="X642" s="33" t="s">
        <v>1035</v>
      </c>
      <c r="Y642" s="32" t="e">
        <f t="array" ref="Y642">((($Z642)*
INDEX(Species_Attack,MATCH($N642,Species_Names,0))*
INDEX(Species_Tankiness,MATCH($N642,Species_Names,0)))/1000)</f>
        <v>#VALUE!</v>
      </c>
      <c r="Z642" s="33" t="s">
        <v>1036</v>
      </c>
    </row>
    <row r="643" spans="1:26" ht="14.25" customHeight="1" x14ac:dyDescent="0.2">
      <c r="A643" s="86"/>
      <c r="B643" s="22" t="str">
        <f t="array" ref="B643">CONCATENATE(TEXT($M643,"000"),".",TEXT(INDEX(Quick_Number,MATCH($O643,Quick_Names,0)),"000"),".",TEXT(INDEX(Charge_Number,MATCH($P643,Charge_Names,0)),"000"))</f>
        <v>069.225.118</v>
      </c>
      <c r="C643" s="23" t="e">
        <f t="array" ref="C643">RANK($S643,IF(Combo_Species_Names=$N643,Combo_Gym_Offense),0)</f>
        <v>#VALUE!</v>
      </c>
      <c r="D643" s="24" t="e">
        <f t="array" ref="D643">$S643/MAX(IF(Combo_Species_Names=$N643,Combo_Gym_Offense))</f>
        <v>#VALUE!</v>
      </c>
      <c r="E643" s="23" t="e">
        <f t="array" ref="E643">RANK($Y643,IF(Combo_Species_Names=$N643,Combo_Gym_Defense),0)</f>
        <v>#VALUE!</v>
      </c>
      <c r="F643" s="25" t="e">
        <f t="array" ref="F643">$Y643/MAX(IF(Combo_Species_Names=$N643,Combo_Gym_Defense))</f>
        <v>#VALUE!</v>
      </c>
      <c r="G643" s="23" t="str">
        <f t="array" ref="G643">IF(OR(INDEX(Species_Availability,MATCH($N643,Species_Names,0))="No",INDEX(Species_Evo_Numbers,MATCH($N643,Species_Names,0))&lt;&gt;1),"N/A",RANK($R643,IF(NOT(ISNA(MATCH(Combo_Species_Names,IF(Species_Availability="Yes",IF(Species_Evo_Numbers=1,Species_Names)),0))),Combo_Duel_Ability),0))</f>
        <v>N/A</v>
      </c>
      <c r="H643" s="24" t="str">
        <f t="array" ref="H643">IF(OR(INDEX(Species_Availability,MATCH($N643,Species_Names,0))="No",INDEX(Species_Evo_Numbers,MATCH($N643,Species_Names,0))&lt;&gt;1),"N/A",$R643/MAX(IF(NOT(ISNA(MATCH(Combo_Species_Names,IF(Species_Availability="Yes",IF(Species_Evo_Numbers=1,Species_Names)),0))),Combo_Duel_Ability)))</f>
        <v>N/A</v>
      </c>
      <c r="I643" s="23" t="str">
        <f t="array" ref="I643">IF(OR(INDEX(Species_Availability,MATCH($N643,Species_Names,0))="No",INDEX(Species_Evo_Numbers,MATCH($N643,Species_Names,0))&lt;&gt;1),"N/A",RANK($S643,IF(NOT(ISNA(MATCH(Combo_Species_Names,IF(Species_Availability="Yes",IF(Species_Evo_Numbers=1,Species_Names)),0))),Combo_Gym_Offense),0))</f>
        <v>N/A</v>
      </c>
      <c r="J643" s="24" t="str">
        <f t="array" ref="J643">IF(OR(INDEX(Species_Availability,MATCH($N643,Species_Names,0))="No",INDEX(Species_Evo_Numbers,MATCH($N643,Species_Names,0))&lt;&gt;1),"N/A",$S643/MAX(IF(NOT(ISNA(MATCH(Combo_Species_Names,IF(Species_Availability="Yes",IF(Species_Evo_Numbers=1,Species_Names)),0))),Combo_Gym_Offense)))</f>
        <v>N/A</v>
      </c>
      <c r="K643" s="23" t="str">
        <f t="array" ref="K643">IF(OR(INDEX(Species_Availability,MATCH($N643,Species_Names,0))="No",INDEX(Species_Evo_Numbers,MATCH($N643,Species_Names,0))&lt;&gt;1),"N/A",RANK($Y643,IF(NOT(ISNA(MATCH(Combo_Species_Names,IF(Species_Availability="Yes",IF(Species_Evo_Numbers=1,Species_Names)),0))),Combo_Gym_Defense),0))</f>
        <v>N/A</v>
      </c>
      <c r="L643" s="24" t="str">
        <f t="array" ref="L643">IF(OR(INDEX(Species_Availability,MATCH($N643,Species_Names,0))="No",INDEX(Species_Evo_Numbers,MATCH($N643,Species_Names,0))&lt;&gt;1),"N/A",$Y643/MAX(IF(NOT(ISNA(MATCH(Combo_Species_Names,IF(Species_Availability="Yes",IF(Species_Evo_Numbers=1,Species_Names)),0))),Combo_Gym_Defense)))</f>
        <v>N/A</v>
      </c>
      <c r="M643" s="28">
        <f t="array" ref="M643">INDEX(Species_Pdex_Numbers,MATCH($N643,Species_Names,0))</f>
        <v>69</v>
      </c>
      <c r="N643" s="30" t="s">
        <v>229</v>
      </c>
      <c r="O643" s="31" t="s">
        <v>110</v>
      </c>
      <c r="P643" s="31" t="s">
        <v>165</v>
      </c>
      <c r="Q643" s="17" t="e">
        <f t="shared" si="18"/>
        <v>#VALUE!</v>
      </c>
      <c r="R643" s="32" t="e">
        <f t="array" ref="R643">IF(OR(AND(COUNTBLANK(Combo_Opponent_Type_1)=1,COUNTBLANK(Combo_Opponent_Type_2)=0),AND(AND(COUNTBLANK(Combo_Opponent_Type_1)=0,COUNTBLANK(Combo_Opponent_Type_2)=0),Combo_Opponent_Type_1=Combo_Opponent_Type_2)),
"Check Types",($S643*INDEX(Species_Tankiness,MATCH($N643,Species_Names,0)))/225)</f>
        <v>#VALUE!</v>
      </c>
      <c r="S643" s="32" t="e">
        <f t="array" ref="S643">IF(OR(AND(COUNTBLANK(Combo_Opponent_Type_1)=1,COUNTBLANK(Combo_Opponent_Type_2)=0),AND(AND(COUNTBLANK(Combo_Opponent_Type_1)=0,COUNTBLANK(Combo_Opponent_Type_2)=0),Combo_Opponent_Type_1=Combo_Opponent_Type_2)),
"Check Types",(
IF($W643&gt;=((1-Game_Weave_Human_Error)*$X643),$W643,$X643)*INDEX(Species_Attack,MATCH($N643,Species_Names,0)))/11)</f>
        <v>#VALUE!</v>
      </c>
      <c r="T643" s="33" t="e">
        <f t="shared" si="19"/>
        <v>#VALUE!</v>
      </c>
      <c r="U643" s="33">
        <f t="array" ref="U6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643,Quick_Names,0))),Type_Species)),0),1)*IF(COUNTBLANK(Combo_Opponent_Type_2)=0,INDEX(Type_Damage_Multipliers,MATCH(Combo_Opponent_Type_2,IF(Type_Move=(INDEX(Quick_Type,MATCH($O643,Quick_Names,0))),Type_Species)),0),1)*(IF(OR(INDEX(Quick_Type,MATCH($O643,Quick_Names,0))=INDEX(Species_Type_1,MATCH($N643,Species_Names,0)),INDEX(Quick_Type,MATCH($O643,Quick_Names,0))=INDEX(Species_Type_2,MATCH($N643,Species_Names,0))),Game_STAB_Multiplier,1)))</f>
        <v>1.25</v>
      </c>
      <c r="V643" s="33">
        <f t="array" ref="V6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643,Charge_Names,0))),Type_Species)),0),1)*IF(COUNTBLANK(Combo_Opponent_Type_2)=0,INDEX(Type_Damage_Multipliers,MATCH(Combo_Opponent_Type_2,IF(Type_Move=(INDEX(Charge_Type,MATCH($P643,Charge_Names,0))),Type_Species)),0),1)*
IF(OR(INDEX(Charge_Type,MATCH($P643,Charge_Names,0))=INDEX(Species_Type_1,MATCH($N643,Species_Names,0)),INDEX(Charge_Type,MATCH($P643,Charge_Names,0))=INDEX(Species_Type_2,MATCH($N643,Species_Names,0))),Game_STAB_Multiplier,1))</f>
        <v>1.25</v>
      </c>
      <c r="W643" s="33" t="s">
        <v>511</v>
      </c>
      <c r="X643" s="33" t="s">
        <v>954</v>
      </c>
      <c r="Y643" s="32" t="e">
        <f t="array" ref="Y643">((($Z643)*
INDEX(Species_Attack,MATCH($N643,Species_Names,0))*
INDEX(Species_Tankiness,MATCH($N643,Species_Names,0)))/1000)</f>
        <v>#VALUE!</v>
      </c>
      <c r="Z643" s="33" t="s">
        <v>744</v>
      </c>
    </row>
    <row r="644" spans="1:26" ht="14.25" customHeight="1" x14ac:dyDescent="0.2">
      <c r="A644" s="86"/>
      <c r="B644" s="22" t="str">
        <f t="array" ref="B644">CONCATENATE(TEXT($M644,"000"),".",TEXT(INDEX(Quick_Number,MATCH($O644,Quick_Names,0)),"000"),".",TEXT(INDEX(Charge_Number,MATCH($P644,Charge_Names,0)),"000"))</f>
        <v>104.241.094</v>
      </c>
      <c r="C644" s="23" t="e">
        <f t="array" ref="C644">RANK($S644,IF(Combo_Species_Names=$N644,Combo_Gym_Offense),0)</f>
        <v>#VALUE!</v>
      </c>
      <c r="D644" s="24" t="e">
        <f t="array" ref="D644">$S644/MAX(IF(Combo_Species_Names=$N644,Combo_Gym_Offense))</f>
        <v>#VALUE!</v>
      </c>
      <c r="E644" s="23" t="e">
        <f t="array" ref="E644">RANK($Y644,IF(Combo_Species_Names=$N644,Combo_Gym_Defense),0)</f>
        <v>#VALUE!</v>
      </c>
      <c r="F644" s="25" t="e">
        <f t="array" ref="F644">$Y644/MAX(IF(Combo_Species_Names=$N644,Combo_Gym_Defense))</f>
        <v>#VALUE!</v>
      </c>
      <c r="G644" s="23" t="str">
        <f t="array" ref="G644">IF(OR(INDEX(Species_Availability,MATCH($N644,Species_Names,0))="No",INDEX(Species_Evo_Numbers,MATCH($N644,Species_Names,0))&lt;&gt;1),"N/A",RANK($R644,IF(NOT(ISNA(MATCH(Combo_Species_Names,IF(Species_Availability="Yes",IF(Species_Evo_Numbers=1,Species_Names)),0))),Combo_Duel_Ability),0))</f>
        <v>N/A</v>
      </c>
      <c r="H644" s="24" t="str">
        <f t="array" ref="H644">IF(OR(INDEX(Species_Availability,MATCH($N644,Species_Names,0))="No",INDEX(Species_Evo_Numbers,MATCH($N644,Species_Names,0))&lt;&gt;1),"N/A",$R644/MAX(IF(NOT(ISNA(MATCH(Combo_Species_Names,IF(Species_Availability="Yes",IF(Species_Evo_Numbers=1,Species_Names)),0))),Combo_Duel_Ability)))</f>
        <v>N/A</v>
      </c>
      <c r="I644" s="23" t="str">
        <f t="array" ref="I644">IF(OR(INDEX(Species_Availability,MATCH($N644,Species_Names,0))="No",INDEX(Species_Evo_Numbers,MATCH($N644,Species_Names,0))&lt;&gt;1),"N/A",RANK($S644,IF(NOT(ISNA(MATCH(Combo_Species_Names,IF(Species_Availability="Yes",IF(Species_Evo_Numbers=1,Species_Names)),0))),Combo_Gym_Offense),0))</f>
        <v>N/A</v>
      </c>
      <c r="J644" s="24" t="str">
        <f t="array" ref="J644">IF(OR(INDEX(Species_Availability,MATCH($N644,Species_Names,0))="No",INDEX(Species_Evo_Numbers,MATCH($N644,Species_Names,0))&lt;&gt;1),"N/A",$S644/MAX(IF(NOT(ISNA(MATCH(Combo_Species_Names,IF(Species_Availability="Yes",IF(Species_Evo_Numbers=1,Species_Names)),0))),Combo_Gym_Offense)))</f>
        <v>N/A</v>
      </c>
      <c r="K644" s="23" t="str">
        <f t="array" ref="K644">IF(OR(INDEX(Species_Availability,MATCH($N644,Species_Names,0))="No",INDEX(Species_Evo_Numbers,MATCH($N644,Species_Names,0))&lt;&gt;1),"N/A",RANK($Y644,IF(NOT(ISNA(MATCH(Combo_Species_Names,IF(Species_Availability="Yes",IF(Species_Evo_Numbers=1,Species_Names)),0))),Combo_Gym_Defense),0))</f>
        <v>N/A</v>
      </c>
      <c r="L644" s="24" t="str">
        <f t="array" ref="L644">IF(OR(INDEX(Species_Availability,MATCH($N644,Species_Names,0))="No",INDEX(Species_Evo_Numbers,MATCH($N644,Species_Names,0))&lt;&gt;1),"N/A",$Y644/MAX(IF(NOT(ISNA(MATCH(Combo_Species_Names,IF(Species_Availability="Yes",IF(Species_Evo_Numbers=1,Species_Names)),0))),Combo_Gym_Defense)))</f>
        <v>N/A</v>
      </c>
      <c r="M644" s="28">
        <f t="array" ref="M644">INDEX(Species_Pdex_Numbers,MATCH($N644,Species_Names,0))</f>
        <v>104</v>
      </c>
      <c r="N644" s="30" t="s">
        <v>311</v>
      </c>
      <c r="O644" s="31" t="s">
        <v>97</v>
      </c>
      <c r="P644" s="31" t="s">
        <v>224</v>
      </c>
      <c r="Q644" s="17" t="e">
        <f t="shared" si="18"/>
        <v>#VALUE!</v>
      </c>
      <c r="R644" s="32" t="e">
        <f t="array" ref="R644">IF(OR(AND(COUNTBLANK(Combo_Opponent_Type_1)=1,COUNTBLANK(Combo_Opponent_Type_2)=0),AND(AND(COUNTBLANK(Combo_Opponent_Type_1)=0,COUNTBLANK(Combo_Opponent_Type_2)=0),Combo_Opponent_Type_1=Combo_Opponent_Type_2)),
"Check Types",($S644*INDEX(Species_Tankiness,MATCH($N644,Species_Names,0)))/225)</f>
        <v>#VALUE!</v>
      </c>
      <c r="S644" s="32" t="e">
        <f t="array" ref="S644">IF(OR(AND(COUNTBLANK(Combo_Opponent_Type_1)=1,COUNTBLANK(Combo_Opponent_Type_2)=0),AND(AND(COUNTBLANK(Combo_Opponent_Type_1)=0,COUNTBLANK(Combo_Opponent_Type_2)=0),Combo_Opponent_Type_1=Combo_Opponent_Type_2)),
"Check Types",(
IF($W644&gt;=((1-Game_Weave_Human_Error)*$X644),$W644,$X644)*INDEX(Species_Attack,MATCH($N644,Species_Names,0)))/11)</f>
        <v>#VALUE!</v>
      </c>
      <c r="T644" s="33" t="e">
        <f t="shared" si="19"/>
        <v>#VALUE!</v>
      </c>
      <c r="U644" s="33">
        <f t="array" ref="U6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644,Quick_Names,0))),Type_Species)),0),1)*IF(COUNTBLANK(Combo_Opponent_Type_2)=0,INDEX(Type_Damage_Multipliers,MATCH(Combo_Opponent_Type_2,IF(Type_Move=(INDEX(Quick_Type,MATCH($O644,Quick_Names,0))),Type_Species)),0),1)*(IF(OR(INDEX(Quick_Type,MATCH($O644,Quick_Names,0))=INDEX(Species_Type_1,MATCH($N644,Species_Names,0)),INDEX(Quick_Type,MATCH($O644,Quick_Names,0))=INDEX(Species_Type_2,MATCH($N644,Species_Names,0))),Game_STAB_Multiplier,1)))</f>
        <v>1</v>
      </c>
      <c r="V644" s="33">
        <f t="array" ref="V6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644,Charge_Names,0))),Type_Species)),0),1)*IF(COUNTBLANK(Combo_Opponent_Type_2)=0,INDEX(Type_Damage_Multipliers,MATCH(Combo_Opponent_Type_2,IF(Type_Move=(INDEX(Charge_Type,MATCH($P644,Charge_Names,0))),Type_Species)),0),1)*
IF(OR(INDEX(Charge_Type,MATCH($P644,Charge_Names,0))=INDEX(Species_Type_1,MATCH($N644,Species_Names,0)),INDEX(Charge_Type,MATCH($P644,Charge_Names,0))=INDEX(Species_Type_2,MATCH($N644,Species_Names,0))),Game_STAB_Multiplier,1))</f>
        <v>1.25</v>
      </c>
      <c r="W644" s="33" t="s">
        <v>577</v>
      </c>
      <c r="X644" s="33" t="s">
        <v>453</v>
      </c>
      <c r="Y644" s="32" t="e">
        <f t="array" ref="Y644">((($Z644)*
INDEX(Species_Attack,MATCH($N644,Species_Names,0))*
INDEX(Species_Tankiness,MATCH($N644,Species_Names,0)))/1000)</f>
        <v>#VALUE!</v>
      </c>
      <c r="Z644" s="33" t="s">
        <v>433</v>
      </c>
    </row>
    <row r="645" spans="1:26" ht="14.25" customHeight="1" x14ac:dyDescent="0.2">
      <c r="A645" s="86"/>
      <c r="B645" s="22" t="str">
        <f t="array" ref="B645">CONCATENATE(TEXT($M645,"000"),".",TEXT(INDEX(Quick_Number,MATCH($O645,Quick_Names,0)),"000"),".",TEXT(INDEX(Charge_Number,MATCH($P645,Charge_Names,0)),"000"))</f>
        <v>109.225.016</v>
      </c>
      <c r="C645" s="23" t="e">
        <f t="array" ref="C645">RANK($S645,IF(Combo_Species_Names=$N645,Combo_Gym_Offense),0)</f>
        <v>#VALUE!</v>
      </c>
      <c r="D645" s="24" t="e">
        <f t="array" ref="D645">$S645/MAX(IF(Combo_Species_Names=$N645,Combo_Gym_Offense))</f>
        <v>#VALUE!</v>
      </c>
      <c r="E645" s="23" t="e">
        <f t="array" ref="E645">RANK($Y645,IF(Combo_Species_Names=$N645,Combo_Gym_Defense),0)</f>
        <v>#VALUE!</v>
      </c>
      <c r="F645" s="25" t="e">
        <f t="array" ref="F645">$Y645/MAX(IF(Combo_Species_Names=$N645,Combo_Gym_Defense))</f>
        <v>#VALUE!</v>
      </c>
      <c r="G645" s="23" t="str">
        <f t="array" ref="G645">IF(OR(INDEX(Species_Availability,MATCH($N645,Species_Names,0))="No",INDEX(Species_Evo_Numbers,MATCH($N645,Species_Names,0))&lt;&gt;1),"N/A",RANK($R645,IF(NOT(ISNA(MATCH(Combo_Species_Names,IF(Species_Availability="Yes",IF(Species_Evo_Numbers=1,Species_Names)),0))),Combo_Duel_Ability),0))</f>
        <v>N/A</v>
      </c>
      <c r="H645" s="24" t="str">
        <f t="array" ref="H645">IF(OR(INDEX(Species_Availability,MATCH($N645,Species_Names,0))="No",INDEX(Species_Evo_Numbers,MATCH($N645,Species_Names,0))&lt;&gt;1),"N/A",$R645/MAX(IF(NOT(ISNA(MATCH(Combo_Species_Names,IF(Species_Availability="Yes",IF(Species_Evo_Numbers=1,Species_Names)),0))),Combo_Duel_Ability)))</f>
        <v>N/A</v>
      </c>
      <c r="I645" s="23" t="str">
        <f t="array" ref="I645">IF(OR(INDEX(Species_Availability,MATCH($N645,Species_Names,0))="No",INDEX(Species_Evo_Numbers,MATCH($N645,Species_Names,0))&lt;&gt;1),"N/A",RANK($S645,IF(NOT(ISNA(MATCH(Combo_Species_Names,IF(Species_Availability="Yes",IF(Species_Evo_Numbers=1,Species_Names)),0))),Combo_Gym_Offense),0))</f>
        <v>N/A</v>
      </c>
      <c r="J645" s="24" t="str">
        <f t="array" ref="J645">IF(OR(INDEX(Species_Availability,MATCH($N645,Species_Names,0))="No",INDEX(Species_Evo_Numbers,MATCH($N645,Species_Names,0))&lt;&gt;1),"N/A",$S645/MAX(IF(NOT(ISNA(MATCH(Combo_Species_Names,IF(Species_Availability="Yes",IF(Species_Evo_Numbers=1,Species_Names)),0))),Combo_Gym_Offense)))</f>
        <v>N/A</v>
      </c>
      <c r="K645" s="23" t="str">
        <f t="array" ref="K645">IF(OR(INDEX(Species_Availability,MATCH($N645,Species_Names,0))="No",INDEX(Species_Evo_Numbers,MATCH($N645,Species_Names,0))&lt;&gt;1),"N/A",RANK($Y645,IF(NOT(ISNA(MATCH(Combo_Species_Names,IF(Species_Availability="Yes",IF(Species_Evo_Numbers=1,Species_Names)),0))),Combo_Gym_Defense),0))</f>
        <v>N/A</v>
      </c>
      <c r="L645" s="24" t="str">
        <f t="array" ref="L645">IF(OR(INDEX(Species_Availability,MATCH($N645,Species_Names,0))="No",INDEX(Species_Evo_Numbers,MATCH($N645,Species_Names,0))&lt;&gt;1),"N/A",$Y645/MAX(IF(NOT(ISNA(MATCH(Combo_Species_Names,IF(Species_Availability="Yes",IF(Species_Evo_Numbers=1,Species_Names)),0))),Combo_Gym_Defense)))</f>
        <v>N/A</v>
      </c>
      <c r="M645" s="28">
        <f t="array" ref="M645">INDEX(Species_Pdex_Numbers,MATCH($N645,Species_Names,0))</f>
        <v>109</v>
      </c>
      <c r="N645" s="30" t="s">
        <v>322</v>
      </c>
      <c r="O645" s="31" t="s">
        <v>110</v>
      </c>
      <c r="P645" s="31" t="s">
        <v>258</v>
      </c>
      <c r="Q645" s="17" t="e">
        <f t="shared" si="18"/>
        <v>#VALUE!</v>
      </c>
      <c r="R645" s="32" t="e">
        <f t="array" ref="R645">IF(OR(AND(COUNTBLANK(Combo_Opponent_Type_1)=1,COUNTBLANK(Combo_Opponent_Type_2)=0),AND(AND(COUNTBLANK(Combo_Opponent_Type_1)=0,COUNTBLANK(Combo_Opponent_Type_2)=0),Combo_Opponent_Type_1=Combo_Opponent_Type_2)),
"Check Types",($S645*INDEX(Species_Tankiness,MATCH($N645,Species_Names,0)))/225)</f>
        <v>#VALUE!</v>
      </c>
      <c r="S645" s="32" t="e">
        <f t="array" ref="S645">IF(OR(AND(COUNTBLANK(Combo_Opponent_Type_1)=1,COUNTBLANK(Combo_Opponent_Type_2)=0),AND(AND(COUNTBLANK(Combo_Opponent_Type_1)=0,COUNTBLANK(Combo_Opponent_Type_2)=0),Combo_Opponent_Type_1=Combo_Opponent_Type_2)),
"Check Types",(
IF($W645&gt;=((1-Game_Weave_Human_Error)*$X645),$W645,$X645)*INDEX(Species_Attack,MATCH($N645,Species_Names,0)))/11)</f>
        <v>#VALUE!</v>
      </c>
      <c r="T645" s="33" t="e">
        <f t="shared" si="19"/>
        <v>#VALUE!</v>
      </c>
      <c r="U645" s="33">
        <f t="array" ref="U6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645,Quick_Names,0))),Type_Species)),0),1)*IF(COUNTBLANK(Combo_Opponent_Type_2)=0,INDEX(Type_Damage_Multipliers,MATCH(Combo_Opponent_Type_2,IF(Type_Move=(INDEX(Quick_Type,MATCH($O645,Quick_Names,0))),Type_Species)),0),1)*(IF(OR(INDEX(Quick_Type,MATCH($O645,Quick_Names,0))=INDEX(Species_Type_1,MATCH($N645,Species_Names,0)),INDEX(Quick_Type,MATCH($O645,Quick_Names,0))=INDEX(Species_Type_2,MATCH($N645,Species_Names,0))),Game_STAB_Multiplier,1)))</f>
        <v>1.25</v>
      </c>
      <c r="V645" s="33">
        <f t="array" ref="V6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645,Charge_Names,0))),Type_Species)),0),1)*IF(COUNTBLANK(Combo_Opponent_Type_2)=0,INDEX(Type_Damage_Multipliers,MATCH(Combo_Opponent_Type_2,IF(Type_Move=(INDEX(Charge_Type,MATCH($P645,Charge_Names,0))),Type_Species)),0),1)*
IF(OR(INDEX(Charge_Type,MATCH($P645,Charge_Names,0))=INDEX(Species_Type_1,MATCH($N645,Species_Names,0)),INDEX(Charge_Type,MATCH($P645,Charge_Names,0))=INDEX(Species_Type_2,MATCH($N645,Species_Names,0))),Game_STAB_Multiplier,1))</f>
        <v>1</v>
      </c>
      <c r="W645" s="33" t="s">
        <v>511</v>
      </c>
      <c r="X645" s="33" t="s">
        <v>598</v>
      </c>
      <c r="Y645" s="32" t="e">
        <f t="array" ref="Y645">((($Z645)*
INDEX(Species_Attack,MATCH($N645,Species_Names,0))*
INDEX(Species_Tankiness,MATCH($N645,Species_Names,0)))/1000)</f>
        <v>#VALUE!</v>
      </c>
      <c r="Z645" s="33" t="s">
        <v>599</v>
      </c>
    </row>
    <row r="646" spans="1:26" ht="14.25" customHeight="1" x14ac:dyDescent="0.2">
      <c r="A646" s="86"/>
      <c r="B646" s="22" t="str">
        <f t="array" ref="B646">CONCATENATE(TEXT($M646,"000"),".",TEXT(INDEX(Quick_Number,MATCH($O646,Quick_Names,0)),"000"),".",TEXT(INDEX(Charge_Number,MATCH($P646,Charge_Names,0)),"000"))</f>
        <v>109.225.018</v>
      </c>
      <c r="C646" s="23" t="e">
        <f t="array" ref="C646">RANK($S646,IF(Combo_Species_Names=$N646,Combo_Gym_Offense),0)</f>
        <v>#VALUE!</v>
      </c>
      <c r="D646" s="24" t="e">
        <f t="array" ref="D646">$S646/MAX(IF(Combo_Species_Names=$N646,Combo_Gym_Offense))</f>
        <v>#VALUE!</v>
      </c>
      <c r="E646" s="23" t="e">
        <f t="array" ref="E646">RANK($Y646,IF(Combo_Species_Names=$N646,Combo_Gym_Defense),0)</f>
        <v>#VALUE!</v>
      </c>
      <c r="F646" s="25" t="e">
        <f t="array" ref="F646">$Y646/MAX(IF(Combo_Species_Names=$N646,Combo_Gym_Defense))</f>
        <v>#VALUE!</v>
      </c>
      <c r="G646" s="23" t="str">
        <f t="array" ref="G646">IF(OR(INDEX(Species_Availability,MATCH($N646,Species_Names,0))="No",INDEX(Species_Evo_Numbers,MATCH($N646,Species_Names,0))&lt;&gt;1),"N/A",RANK($R646,IF(NOT(ISNA(MATCH(Combo_Species_Names,IF(Species_Availability="Yes",IF(Species_Evo_Numbers=1,Species_Names)),0))),Combo_Duel_Ability),0))</f>
        <v>N/A</v>
      </c>
      <c r="H646" s="24" t="str">
        <f t="array" ref="H646">IF(OR(INDEX(Species_Availability,MATCH($N646,Species_Names,0))="No",INDEX(Species_Evo_Numbers,MATCH($N646,Species_Names,0))&lt;&gt;1),"N/A",$R646/MAX(IF(NOT(ISNA(MATCH(Combo_Species_Names,IF(Species_Availability="Yes",IF(Species_Evo_Numbers=1,Species_Names)),0))),Combo_Duel_Ability)))</f>
        <v>N/A</v>
      </c>
      <c r="I646" s="23" t="str">
        <f t="array" ref="I646">IF(OR(INDEX(Species_Availability,MATCH($N646,Species_Names,0))="No",INDEX(Species_Evo_Numbers,MATCH($N646,Species_Names,0))&lt;&gt;1),"N/A",RANK($S646,IF(NOT(ISNA(MATCH(Combo_Species_Names,IF(Species_Availability="Yes",IF(Species_Evo_Numbers=1,Species_Names)),0))),Combo_Gym_Offense),0))</f>
        <v>N/A</v>
      </c>
      <c r="J646" s="24" t="str">
        <f t="array" ref="J646">IF(OR(INDEX(Species_Availability,MATCH($N646,Species_Names,0))="No",INDEX(Species_Evo_Numbers,MATCH($N646,Species_Names,0))&lt;&gt;1),"N/A",$S646/MAX(IF(NOT(ISNA(MATCH(Combo_Species_Names,IF(Species_Availability="Yes",IF(Species_Evo_Numbers=1,Species_Names)),0))),Combo_Gym_Offense)))</f>
        <v>N/A</v>
      </c>
      <c r="K646" s="23" t="str">
        <f t="array" ref="K646">IF(OR(INDEX(Species_Availability,MATCH($N646,Species_Names,0))="No",INDEX(Species_Evo_Numbers,MATCH($N646,Species_Names,0))&lt;&gt;1),"N/A",RANK($Y646,IF(NOT(ISNA(MATCH(Combo_Species_Names,IF(Species_Availability="Yes",IF(Species_Evo_Numbers=1,Species_Names)),0))),Combo_Gym_Defense),0))</f>
        <v>N/A</v>
      </c>
      <c r="L646" s="24" t="str">
        <f t="array" ref="L646">IF(OR(INDEX(Species_Availability,MATCH($N646,Species_Names,0))="No",INDEX(Species_Evo_Numbers,MATCH($N646,Species_Names,0))&lt;&gt;1),"N/A",$Y646/MAX(IF(NOT(ISNA(MATCH(Combo_Species_Names,IF(Species_Availability="Yes",IF(Species_Evo_Numbers=1,Species_Names)),0))),Combo_Gym_Defense)))</f>
        <v>N/A</v>
      </c>
      <c r="M646" s="28">
        <f t="array" ref="M646">INDEX(Species_Pdex_Numbers,MATCH($N646,Species_Names,0))</f>
        <v>109</v>
      </c>
      <c r="N646" s="30" t="s">
        <v>322</v>
      </c>
      <c r="O646" s="31" t="s">
        <v>110</v>
      </c>
      <c r="P646" s="31" t="s">
        <v>273</v>
      </c>
      <c r="Q646" s="17" t="e">
        <f t="shared" ref="Q646:Q709" si="20">IF(OR(AND(COUNTBLANK(Combo_Opponent_Type_1)=1,COUNTBLANK(Combo_Opponent_Type_2)=0),AND(AND(COUNTBLANK(Combo_Opponent_Type_1)=0,COUNTBLANK(Combo_Opponent_Type_2)=0),Combo_Opponent_Type_1=Combo_Opponent_Type_2)),
"Check Types",IF($W646&gt;=((1-Game_Weave_Human_Error)*$X646),"Quick Only","Weave"))</f>
        <v>#VALUE!</v>
      </c>
      <c r="R646" s="32" t="e">
        <f t="array" ref="R646">IF(OR(AND(COUNTBLANK(Combo_Opponent_Type_1)=1,COUNTBLANK(Combo_Opponent_Type_2)=0),AND(AND(COUNTBLANK(Combo_Opponent_Type_1)=0,COUNTBLANK(Combo_Opponent_Type_2)=0),Combo_Opponent_Type_1=Combo_Opponent_Type_2)),
"Check Types",($S646*INDEX(Species_Tankiness,MATCH($N646,Species_Names,0)))/225)</f>
        <v>#VALUE!</v>
      </c>
      <c r="S646" s="32" t="e">
        <f t="array" ref="S646">IF(OR(AND(COUNTBLANK(Combo_Opponent_Type_1)=1,COUNTBLANK(Combo_Opponent_Type_2)=0),AND(AND(COUNTBLANK(Combo_Opponent_Type_1)=0,COUNTBLANK(Combo_Opponent_Type_2)=0),Combo_Opponent_Type_1=Combo_Opponent_Type_2)),
"Check Types",(
IF($W646&gt;=((1-Game_Weave_Human_Error)*$X646),$W646,$X646)*INDEX(Species_Attack,MATCH($N646,Species_Names,0)))/11)</f>
        <v>#VALUE!</v>
      </c>
      <c r="T646" s="33" t="e">
        <f t="shared" ref="T646:T709" si="21">IF(OR(AND(COUNTBLANK(Combo_Opponent_Type_1)=1,COUNTBLANK(Combo_Opponent_Type_2)=0),AND(AND(COUNTBLANK(Combo_Opponent_Type_1)=0,COUNTBLANK(Combo_Opponent_Type_2)=0),Combo_Opponent_Type_1=Combo_Opponent_Type_2)),
"Check Types",IF($W646&gt;=((1-Game_Weave_Human_Error)*$X646),$W646,$X646))</f>
        <v>#VALUE!</v>
      </c>
      <c r="U646" s="33">
        <f t="array" ref="U6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646,Quick_Names,0))),Type_Species)),0),1)*IF(COUNTBLANK(Combo_Opponent_Type_2)=0,INDEX(Type_Damage_Multipliers,MATCH(Combo_Opponent_Type_2,IF(Type_Move=(INDEX(Quick_Type,MATCH($O646,Quick_Names,0))),Type_Species)),0),1)*(IF(OR(INDEX(Quick_Type,MATCH($O646,Quick_Names,0))=INDEX(Species_Type_1,MATCH($N646,Species_Names,0)),INDEX(Quick_Type,MATCH($O646,Quick_Names,0))=INDEX(Species_Type_2,MATCH($N646,Species_Names,0))),Game_STAB_Multiplier,1)))</f>
        <v>1.25</v>
      </c>
      <c r="V646" s="33">
        <f t="array" ref="V6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646,Charge_Names,0))),Type_Species)),0),1)*IF(COUNTBLANK(Combo_Opponent_Type_2)=0,INDEX(Type_Damage_Multipliers,MATCH(Combo_Opponent_Type_2,IF(Type_Move=(INDEX(Charge_Type,MATCH($P646,Charge_Names,0))),Type_Species)),0),1)*
IF(OR(INDEX(Charge_Type,MATCH($P646,Charge_Names,0))=INDEX(Species_Type_1,MATCH($N646,Species_Names,0)),INDEX(Charge_Type,MATCH($P646,Charge_Names,0))=INDEX(Species_Type_2,MATCH($N646,Species_Names,0))),Game_STAB_Multiplier,1))</f>
        <v>1.25</v>
      </c>
      <c r="W646" s="33" t="s">
        <v>511</v>
      </c>
      <c r="X646" s="33" t="s">
        <v>694</v>
      </c>
      <c r="Y646" s="32" t="e">
        <f t="array" ref="Y646">((($Z646)*
INDEX(Species_Attack,MATCH($N646,Species_Names,0))*
INDEX(Species_Tankiness,MATCH($N646,Species_Names,0)))/1000)</f>
        <v>#VALUE!</v>
      </c>
      <c r="Z646" s="33" t="s">
        <v>814</v>
      </c>
    </row>
    <row r="647" spans="1:26" ht="14.25" customHeight="1" x14ac:dyDescent="0.2">
      <c r="A647" s="86"/>
      <c r="B647" s="22" t="str">
        <f t="array" ref="B647">CONCATENATE(TEXT($M647,"000"),".",TEXT(INDEX(Quick_Number,MATCH($O647,Quick_Names,0)),"000"),".",TEXT(INDEX(Charge_Number,MATCH($P647,Charge_Names,0)),"000"))</f>
        <v>039.238.131</v>
      </c>
      <c r="C647" s="23" t="e">
        <f t="array" ref="C647">RANK($S647,IF(Combo_Species_Names=$N647,Combo_Gym_Offense),0)</f>
        <v>#VALUE!</v>
      </c>
      <c r="D647" s="24" t="e">
        <f t="array" ref="D647">$S647/MAX(IF(Combo_Species_Names=$N647,Combo_Gym_Offense))</f>
        <v>#VALUE!</v>
      </c>
      <c r="E647" s="23" t="e">
        <f t="array" ref="E647">RANK($Y647,IF(Combo_Species_Names=$N647,Combo_Gym_Defense),0)</f>
        <v>#VALUE!</v>
      </c>
      <c r="F647" s="25" t="e">
        <f t="array" ref="F647">$Y647/MAX(IF(Combo_Species_Names=$N647,Combo_Gym_Defense))</f>
        <v>#VALUE!</v>
      </c>
      <c r="G647" s="23" t="str">
        <f t="array" ref="G647">IF(OR(INDEX(Species_Availability,MATCH($N647,Species_Names,0))="No",INDEX(Species_Evo_Numbers,MATCH($N647,Species_Names,0))&lt;&gt;1),"N/A",RANK($R647,IF(NOT(ISNA(MATCH(Combo_Species_Names,IF(Species_Availability="Yes",IF(Species_Evo_Numbers=1,Species_Names)),0))),Combo_Duel_Ability),0))</f>
        <v>N/A</v>
      </c>
      <c r="H647" s="24" t="str">
        <f t="array" ref="H647">IF(OR(INDEX(Species_Availability,MATCH($N647,Species_Names,0))="No",INDEX(Species_Evo_Numbers,MATCH($N647,Species_Names,0))&lt;&gt;1),"N/A",$R647/MAX(IF(NOT(ISNA(MATCH(Combo_Species_Names,IF(Species_Availability="Yes",IF(Species_Evo_Numbers=1,Species_Names)),0))),Combo_Duel_Ability)))</f>
        <v>N/A</v>
      </c>
      <c r="I647" s="23" t="str">
        <f t="array" ref="I647">IF(OR(INDEX(Species_Availability,MATCH($N647,Species_Names,0))="No",INDEX(Species_Evo_Numbers,MATCH($N647,Species_Names,0))&lt;&gt;1),"N/A",RANK($S647,IF(NOT(ISNA(MATCH(Combo_Species_Names,IF(Species_Availability="Yes",IF(Species_Evo_Numbers=1,Species_Names)),0))),Combo_Gym_Offense),0))</f>
        <v>N/A</v>
      </c>
      <c r="J647" s="24" t="str">
        <f t="array" ref="J647">IF(OR(INDEX(Species_Availability,MATCH($N647,Species_Names,0))="No",INDEX(Species_Evo_Numbers,MATCH($N647,Species_Names,0))&lt;&gt;1),"N/A",$S647/MAX(IF(NOT(ISNA(MATCH(Combo_Species_Names,IF(Species_Availability="Yes",IF(Species_Evo_Numbers=1,Species_Names)),0))),Combo_Gym_Offense)))</f>
        <v>N/A</v>
      </c>
      <c r="K647" s="23" t="str">
        <f t="array" ref="K647">IF(OR(INDEX(Species_Availability,MATCH($N647,Species_Names,0))="No",INDEX(Species_Evo_Numbers,MATCH($N647,Species_Names,0))&lt;&gt;1),"N/A",RANK($Y647,IF(NOT(ISNA(MATCH(Combo_Species_Names,IF(Species_Availability="Yes",IF(Species_Evo_Numbers=1,Species_Names)),0))),Combo_Gym_Defense),0))</f>
        <v>N/A</v>
      </c>
      <c r="L647" s="24" t="str">
        <f t="array" ref="L647">IF(OR(INDEX(Species_Availability,MATCH($N647,Species_Names,0))="No",INDEX(Species_Evo_Numbers,MATCH($N647,Species_Names,0))&lt;&gt;1),"N/A",$Y647/MAX(IF(NOT(ISNA(MATCH(Combo_Species_Names,IF(Species_Availability="Yes",IF(Species_Evo_Numbers=1,Species_Names)),0))),Combo_Gym_Defense)))</f>
        <v>N/A</v>
      </c>
      <c r="M647" s="28">
        <f t="array" ref="M647">INDEX(Species_Pdex_Numbers,MATCH($N647,Species_Names,0))</f>
        <v>39</v>
      </c>
      <c r="N647" s="30" t="s">
        <v>168</v>
      </c>
      <c r="O647" s="31" t="s">
        <v>76</v>
      </c>
      <c r="P647" s="31" t="s">
        <v>151</v>
      </c>
      <c r="Q647" s="17" t="e">
        <f t="shared" si="20"/>
        <v>#VALUE!</v>
      </c>
      <c r="R647" s="32" t="e">
        <f t="array" ref="R647">IF(OR(AND(COUNTBLANK(Combo_Opponent_Type_1)=1,COUNTBLANK(Combo_Opponent_Type_2)=0),AND(AND(COUNTBLANK(Combo_Opponent_Type_1)=0,COUNTBLANK(Combo_Opponent_Type_2)=0),Combo_Opponent_Type_1=Combo_Opponent_Type_2)),
"Check Types",($S647*INDEX(Species_Tankiness,MATCH($N647,Species_Names,0)))/225)</f>
        <v>#VALUE!</v>
      </c>
      <c r="S647" s="32" t="e">
        <f t="array" ref="S647">IF(OR(AND(COUNTBLANK(Combo_Opponent_Type_1)=1,COUNTBLANK(Combo_Opponent_Type_2)=0),AND(AND(COUNTBLANK(Combo_Opponent_Type_1)=0,COUNTBLANK(Combo_Opponent_Type_2)=0),Combo_Opponent_Type_1=Combo_Opponent_Type_2)),
"Check Types",(
IF($W647&gt;=((1-Game_Weave_Human_Error)*$X647),$W647,$X647)*INDEX(Species_Attack,MATCH($N647,Species_Names,0)))/11)</f>
        <v>#VALUE!</v>
      </c>
      <c r="T647" s="33" t="e">
        <f t="shared" si="21"/>
        <v>#VALUE!</v>
      </c>
      <c r="U647" s="33">
        <f t="array" ref="U6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647,Quick_Names,0))),Type_Species)),0),1)*IF(COUNTBLANK(Combo_Opponent_Type_2)=0,INDEX(Type_Damage_Multipliers,MATCH(Combo_Opponent_Type_2,IF(Type_Move=(INDEX(Quick_Type,MATCH($O647,Quick_Names,0))),Type_Species)),0),1)*(IF(OR(INDEX(Quick_Type,MATCH($O647,Quick_Names,0))=INDEX(Species_Type_1,MATCH($N647,Species_Names,0)),INDEX(Quick_Type,MATCH($O647,Quick_Names,0))=INDEX(Species_Type_2,MATCH($N647,Species_Names,0))),Game_STAB_Multiplier,1)))</f>
        <v>1</v>
      </c>
      <c r="V647" s="33">
        <f t="array" ref="V6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647,Charge_Names,0))),Type_Species)),0),1)*IF(COUNTBLANK(Combo_Opponent_Type_2)=0,INDEX(Type_Damage_Multipliers,MATCH(Combo_Opponent_Type_2,IF(Type_Move=(INDEX(Charge_Type,MATCH($P647,Charge_Names,0))),Type_Species)),0),1)*
IF(OR(INDEX(Charge_Type,MATCH($P647,Charge_Names,0))=INDEX(Species_Type_1,MATCH($N647,Species_Names,0)),INDEX(Charge_Type,MATCH($P647,Charge_Names,0))=INDEX(Species_Type_2,MATCH($N647,Species_Names,0))),Game_STAB_Multiplier,1))</f>
        <v>1.25</v>
      </c>
      <c r="W647" s="33" t="s">
        <v>589</v>
      </c>
      <c r="X647" s="33" t="s">
        <v>769</v>
      </c>
      <c r="Y647" s="32" t="e">
        <f t="array" ref="Y647">((($Z647)*
INDEX(Species_Attack,MATCH($N647,Species_Names,0))*
INDEX(Species_Tankiness,MATCH($N647,Species_Names,0)))/1000)</f>
        <v>#VALUE!</v>
      </c>
      <c r="Z647" s="33" t="s">
        <v>433</v>
      </c>
    </row>
    <row r="648" spans="1:26" ht="14.25" customHeight="1" x14ac:dyDescent="0.2">
      <c r="A648" s="86"/>
      <c r="B648" s="22" t="str">
        <f t="array" ref="B648">CONCATENATE(TEXT($M648,"000"),".",TEXT(INDEX(Quick_Number,MATCH($O648,Quick_Names,0)),"000"),".",TEXT(INDEX(Charge_Number,MATCH($P648,Charge_Names,0)),"000"))</f>
        <v>118.216.058</v>
      </c>
      <c r="C648" s="23" t="e">
        <f t="array" ref="C648">RANK($S648,IF(Combo_Species_Names=$N648,Combo_Gym_Offense),0)</f>
        <v>#VALUE!</v>
      </c>
      <c r="D648" s="24" t="e">
        <f t="array" ref="D648">$S648/MAX(IF(Combo_Species_Names=$N648,Combo_Gym_Offense))</f>
        <v>#VALUE!</v>
      </c>
      <c r="E648" s="23" t="e">
        <f t="array" ref="E648">RANK($Y648,IF(Combo_Species_Names=$N648,Combo_Gym_Defense),0)</f>
        <v>#VALUE!</v>
      </c>
      <c r="F648" s="25" t="e">
        <f t="array" ref="F648">$Y648/MAX(IF(Combo_Species_Names=$N648,Combo_Gym_Defense))</f>
        <v>#VALUE!</v>
      </c>
      <c r="G648" s="23" t="str">
        <f t="array" ref="G648">IF(OR(INDEX(Species_Availability,MATCH($N648,Species_Names,0))="No",INDEX(Species_Evo_Numbers,MATCH($N648,Species_Names,0))&lt;&gt;1),"N/A",RANK($R648,IF(NOT(ISNA(MATCH(Combo_Species_Names,IF(Species_Availability="Yes",IF(Species_Evo_Numbers=1,Species_Names)),0))),Combo_Duel_Ability),0))</f>
        <v>N/A</v>
      </c>
      <c r="H648" s="24" t="str">
        <f t="array" ref="H648">IF(OR(INDEX(Species_Availability,MATCH($N648,Species_Names,0))="No",INDEX(Species_Evo_Numbers,MATCH($N648,Species_Names,0))&lt;&gt;1),"N/A",$R648/MAX(IF(NOT(ISNA(MATCH(Combo_Species_Names,IF(Species_Availability="Yes",IF(Species_Evo_Numbers=1,Species_Names)),0))),Combo_Duel_Ability)))</f>
        <v>N/A</v>
      </c>
      <c r="I648" s="23" t="str">
        <f t="array" ref="I648">IF(OR(INDEX(Species_Availability,MATCH($N648,Species_Names,0))="No",INDEX(Species_Evo_Numbers,MATCH($N648,Species_Names,0))&lt;&gt;1),"N/A",RANK($S648,IF(NOT(ISNA(MATCH(Combo_Species_Names,IF(Species_Availability="Yes",IF(Species_Evo_Numbers=1,Species_Names)),0))),Combo_Gym_Offense),0))</f>
        <v>N/A</v>
      </c>
      <c r="J648" s="24" t="str">
        <f t="array" ref="J648">IF(OR(INDEX(Species_Availability,MATCH($N648,Species_Names,0))="No",INDEX(Species_Evo_Numbers,MATCH($N648,Species_Names,0))&lt;&gt;1),"N/A",$S648/MAX(IF(NOT(ISNA(MATCH(Combo_Species_Names,IF(Species_Availability="Yes",IF(Species_Evo_Numbers=1,Species_Names)),0))),Combo_Gym_Offense)))</f>
        <v>N/A</v>
      </c>
      <c r="K648" s="23" t="str">
        <f t="array" ref="K648">IF(OR(INDEX(Species_Availability,MATCH($N648,Species_Names,0))="No",INDEX(Species_Evo_Numbers,MATCH($N648,Species_Names,0))&lt;&gt;1),"N/A",RANK($Y648,IF(NOT(ISNA(MATCH(Combo_Species_Names,IF(Species_Availability="Yes",IF(Species_Evo_Numbers=1,Species_Names)),0))),Combo_Gym_Defense),0))</f>
        <v>N/A</v>
      </c>
      <c r="L648" s="24" t="str">
        <f t="array" ref="L648">IF(OR(INDEX(Species_Availability,MATCH($N648,Species_Names,0))="No",INDEX(Species_Evo_Numbers,MATCH($N648,Species_Names,0))&lt;&gt;1),"N/A",$Y648/MAX(IF(NOT(ISNA(MATCH(Combo_Species_Names,IF(Species_Availability="Yes",IF(Species_Evo_Numbers=1,Species_Names)),0))),Combo_Gym_Defense)))</f>
        <v>N/A</v>
      </c>
      <c r="M648" s="28">
        <f t="array" ref="M648">INDEX(Species_Pdex_Numbers,MATCH($N648,Species_Names,0))</f>
        <v>118</v>
      </c>
      <c r="N648" s="30" t="s">
        <v>331</v>
      </c>
      <c r="O648" s="31" t="s">
        <v>89</v>
      </c>
      <c r="P648" s="31" t="s">
        <v>198</v>
      </c>
      <c r="Q648" s="17" t="e">
        <f t="shared" si="20"/>
        <v>#VALUE!</v>
      </c>
      <c r="R648" s="32" t="e">
        <f t="array" ref="R648">IF(OR(AND(COUNTBLANK(Combo_Opponent_Type_1)=1,COUNTBLANK(Combo_Opponent_Type_2)=0),AND(AND(COUNTBLANK(Combo_Opponent_Type_1)=0,COUNTBLANK(Combo_Opponent_Type_2)=0),Combo_Opponent_Type_1=Combo_Opponent_Type_2)),
"Check Types",($S648*INDEX(Species_Tankiness,MATCH($N648,Species_Names,0)))/225)</f>
        <v>#VALUE!</v>
      </c>
      <c r="S648" s="32" t="e">
        <f t="array" ref="S648">IF(OR(AND(COUNTBLANK(Combo_Opponent_Type_1)=1,COUNTBLANK(Combo_Opponent_Type_2)=0),AND(AND(COUNTBLANK(Combo_Opponent_Type_1)=0,COUNTBLANK(Combo_Opponent_Type_2)=0),Combo_Opponent_Type_1=Combo_Opponent_Type_2)),
"Check Types",(
IF($W648&gt;=((1-Game_Weave_Human_Error)*$X648),$W648,$X648)*INDEX(Species_Attack,MATCH($N648,Species_Names,0)))/11)</f>
        <v>#VALUE!</v>
      </c>
      <c r="T648" s="33" t="e">
        <f t="shared" si="21"/>
        <v>#VALUE!</v>
      </c>
      <c r="U648" s="33">
        <f t="array" ref="U6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648,Quick_Names,0))),Type_Species)),0),1)*IF(COUNTBLANK(Combo_Opponent_Type_2)=0,INDEX(Type_Damage_Multipliers,MATCH(Combo_Opponent_Type_2,IF(Type_Move=(INDEX(Quick_Type,MATCH($O648,Quick_Names,0))),Type_Species)),0),1)*(IF(OR(INDEX(Quick_Type,MATCH($O648,Quick_Names,0))=INDEX(Species_Type_1,MATCH($N648,Species_Names,0)),INDEX(Quick_Type,MATCH($O648,Quick_Names,0))=INDEX(Species_Type_2,MATCH($N648,Species_Names,0))),Game_STAB_Multiplier,1)))</f>
        <v>1</v>
      </c>
      <c r="V648" s="33">
        <f t="array" ref="V6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648,Charge_Names,0))),Type_Species)),0),1)*IF(COUNTBLANK(Combo_Opponent_Type_2)=0,INDEX(Type_Damage_Multipliers,MATCH(Combo_Opponent_Type_2,IF(Type_Move=(INDEX(Charge_Type,MATCH($P648,Charge_Names,0))),Type_Species)),0),1)*
IF(OR(INDEX(Charge_Type,MATCH($P648,Charge_Names,0))=INDEX(Species_Type_1,MATCH($N648,Species_Names,0)),INDEX(Charge_Type,MATCH($P648,Charge_Names,0))=INDEX(Species_Type_2,MATCH($N648,Species_Names,0))),Game_STAB_Multiplier,1))</f>
        <v>1.25</v>
      </c>
      <c r="W648" s="33" t="s">
        <v>518</v>
      </c>
      <c r="X648" s="33" t="s">
        <v>1037</v>
      </c>
      <c r="Y648" s="32" t="e">
        <f t="array" ref="Y648">((($Z648)*
INDEX(Species_Attack,MATCH($N648,Species_Names,0))*
INDEX(Species_Tankiness,MATCH($N648,Species_Names,0)))/1000)</f>
        <v>#VALUE!</v>
      </c>
      <c r="Z648" s="33" t="s">
        <v>1038</v>
      </c>
    </row>
    <row r="649" spans="1:26" ht="14.25" customHeight="1" x14ac:dyDescent="0.2">
      <c r="A649" s="86"/>
      <c r="B649" s="22" t="str">
        <f t="array" ref="B649">CONCATENATE(TEXT($M649,"000"),".",TEXT(INDEX(Quick_Number,MATCH($O649,Quick_Names,0)),"000"),".",TEXT(INDEX(Charge_Number,MATCH($P649,Charge_Names,0)),"000"))</f>
        <v>039.238.088</v>
      </c>
      <c r="C649" s="23" t="e">
        <f t="array" ref="C649">RANK($S649,IF(Combo_Species_Names=$N649,Combo_Gym_Offense),0)</f>
        <v>#VALUE!</v>
      </c>
      <c r="D649" s="24" t="e">
        <f t="array" ref="D649">$S649/MAX(IF(Combo_Species_Names=$N649,Combo_Gym_Offense))</f>
        <v>#VALUE!</v>
      </c>
      <c r="E649" s="23" t="e">
        <f t="array" ref="E649">RANK($Y649,IF(Combo_Species_Names=$N649,Combo_Gym_Defense),0)</f>
        <v>#VALUE!</v>
      </c>
      <c r="F649" s="25" t="e">
        <f t="array" ref="F649">$Y649/MAX(IF(Combo_Species_Names=$N649,Combo_Gym_Defense))</f>
        <v>#VALUE!</v>
      </c>
      <c r="G649" s="23" t="str">
        <f t="array" ref="G649">IF(OR(INDEX(Species_Availability,MATCH($N649,Species_Names,0))="No",INDEX(Species_Evo_Numbers,MATCH($N649,Species_Names,0))&lt;&gt;1),"N/A",RANK($R649,IF(NOT(ISNA(MATCH(Combo_Species_Names,IF(Species_Availability="Yes",IF(Species_Evo_Numbers=1,Species_Names)),0))),Combo_Duel_Ability),0))</f>
        <v>N/A</v>
      </c>
      <c r="H649" s="24" t="str">
        <f t="array" ref="H649">IF(OR(INDEX(Species_Availability,MATCH($N649,Species_Names,0))="No",INDEX(Species_Evo_Numbers,MATCH($N649,Species_Names,0))&lt;&gt;1),"N/A",$R649/MAX(IF(NOT(ISNA(MATCH(Combo_Species_Names,IF(Species_Availability="Yes",IF(Species_Evo_Numbers=1,Species_Names)),0))),Combo_Duel_Ability)))</f>
        <v>N/A</v>
      </c>
      <c r="I649" s="23" t="str">
        <f t="array" ref="I649">IF(OR(INDEX(Species_Availability,MATCH($N649,Species_Names,0))="No",INDEX(Species_Evo_Numbers,MATCH($N649,Species_Names,0))&lt;&gt;1),"N/A",RANK($S649,IF(NOT(ISNA(MATCH(Combo_Species_Names,IF(Species_Availability="Yes",IF(Species_Evo_Numbers=1,Species_Names)),0))),Combo_Gym_Offense),0))</f>
        <v>N/A</v>
      </c>
      <c r="J649" s="24" t="str">
        <f t="array" ref="J649">IF(OR(INDEX(Species_Availability,MATCH($N649,Species_Names,0))="No",INDEX(Species_Evo_Numbers,MATCH($N649,Species_Names,0))&lt;&gt;1),"N/A",$S649/MAX(IF(NOT(ISNA(MATCH(Combo_Species_Names,IF(Species_Availability="Yes",IF(Species_Evo_Numbers=1,Species_Names)),0))),Combo_Gym_Offense)))</f>
        <v>N/A</v>
      </c>
      <c r="K649" s="23" t="str">
        <f t="array" ref="K649">IF(OR(INDEX(Species_Availability,MATCH($N649,Species_Names,0))="No",INDEX(Species_Evo_Numbers,MATCH($N649,Species_Names,0))&lt;&gt;1),"N/A",RANK($Y649,IF(NOT(ISNA(MATCH(Combo_Species_Names,IF(Species_Availability="Yes",IF(Species_Evo_Numbers=1,Species_Names)),0))),Combo_Gym_Defense),0))</f>
        <v>N/A</v>
      </c>
      <c r="L649" s="24" t="str">
        <f t="array" ref="L649">IF(OR(INDEX(Species_Availability,MATCH($N649,Species_Names,0))="No",INDEX(Species_Evo_Numbers,MATCH($N649,Species_Names,0))&lt;&gt;1),"N/A",$Y649/MAX(IF(NOT(ISNA(MATCH(Combo_Species_Names,IF(Species_Availability="Yes",IF(Species_Evo_Numbers=1,Species_Names)),0))),Combo_Gym_Defense)))</f>
        <v>N/A</v>
      </c>
      <c r="M649" s="28">
        <f t="array" ref="M649">INDEX(Species_Pdex_Numbers,MATCH($N649,Species_Names,0))</f>
        <v>39</v>
      </c>
      <c r="N649" s="30" t="s">
        <v>168</v>
      </c>
      <c r="O649" s="31" t="s">
        <v>76</v>
      </c>
      <c r="P649" s="31" t="s">
        <v>202</v>
      </c>
      <c r="Q649" s="17" t="e">
        <f t="shared" si="20"/>
        <v>#VALUE!</v>
      </c>
      <c r="R649" s="32" t="e">
        <f t="array" ref="R649">IF(OR(AND(COUNTBLANK(Combo_Opponent_Type_1)=1,COUNTBLANK(Combo_Opponent_Type_2)=0),AND(AND(COUNTBLANK(Combo_Opponent_Type_1)=0,COUNTBLANK(Combo_Opponent_Type_2)=0),Combo_Opponent_Type_1=Combo_Opponent_Type_2)),
"Check Types",($S649*INDEX(Species_Tankiness,MATCH($N649,Species_Names,0)))/225)</f>
        <v>#VALUE!</v>
      </c>
      <c r="S649" s="32" t="e">
        <f t="array" ref="S649">IF(OR(AND(COUNTBLANK(Combo_Opponent_Type_1)=1,COUNTBLANK(Combo_Opponent_Type_2)=0),AND(AND(COUNTBLANK(Combo_Opponent_Type_1)=0,COUNTBLANK(Combo_Opponent_Type_2)=0),Combo_Opponent_Type_1=Combo_Opponent_Type_2)),
"Check Types",(
IF($W649&gt;=((1-Game_Weave_Human_Error)*$X649),$W649,$X649)*INDEX(Species_Attack,MATCH($N649,Species_Names,0)))/11)</f>
        <v>#VALUE!</v>
      </c>
      <c r="T649" s="33" t="e">
        <f t="shared" si="21"/>
        <v>#VALUE!</v>
      </c>
      <c r="U649" s="33">
        <f t="array" ref="U6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649,Quick_Names,0))),Type_Species)),0),1)*IF(COUNTBLANK(Combo_Opponent_Type_2)=0,INDEX(Type_Damage_Multipliers,MATCH(Combo_Opponent_Type_2,IF(Type_Move=(INDEX(Quick_Type,MATCH($O649,Quick_Names,0))),Type_Species)),0),1)*(IF(OR(INDEX(Quick_Type,MATCH($O649,Quick_Names,0))=INDEX(Species_Type_1,MATCH($N649,Species_Names,0)),INDEX(Quick_Type,MATCH($O649,Quick_Names,0))=INDEX(Species_Type_2,MATCH($N649,Species_Names,0))),Game_STAB_Multiplier,1)))</f>
        <v>1</v>
      </c>
      <c r="V649" s="33">
        <f t="array" ref="V6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649,Charge_Names,0))),Type_Species)),0),1)*IF(COUNTBLANK(Combo_Opponent_Type_2)=0,INDEX(Type_Damage_Multipliers,MATCH(Combo_Opponent_Type_2,IF(Type_Move=(INDEX(Charge_Type,MATCH($P649,Charge_Names,0))),Type_Species)),0),1)*
IF(OR(INDEX(Charge_Type,MATCH($P649,Charge_Names,0))=INDEX(Species_Type_1,MATCH($N649,Species_Names,0)),INDEX(Charge_Type,MATCH($P649,Charge_Names,0))=INDEX(Species_Type_2,MATCH($N649,Species_Names,0))),Game_STAB_Multiplier,1))</f>
        <v>1.25</v>
      </c>
      <c r="W649" s="33" t="s">
        <v>589</v>
      </c>
      <c r="X649" s="33" t="s">
        <v>642</v>
      </c>
      <c r="Y649" s="32" t="e">
        <f t="array" ref="Y649">((($Z649)*
INDEX(Species_Attack,MATCH($N649,Species_Names,0))*
INDEX(Species_Tankiness,MATCH($N649,Species_Names,0)))/1000)</f>
        <v>#VALUE!</v>
      </c>
      <c r="Z649" s="33" t="s">
        <v>643</v>
      </c>
    </row>
    <row r="650" spans="1:26" ht="14.25" customHeight="1" x14ac:dyDescent="0.2">
      <c r="A650" s="86"/>
      <c r="B650" s="22" t="str">
        <f t="array" ref="B650">CONCATENATE(TEXT($M650,"000"),".",TEXT(INDEX(Quick_Number,MATCH($O650,Quick_Names,0)),"000"),".",TEXT(INDEX(Charge_Number,MATCH($P650,Charge_Names,0)),"000"))</f>
        <v>066.208.056</v>
      </c>
      <c r="C650" s="23" t="e">
        <f t="array" ref="C650">RANK($S650,IF(Combo_Species_Names=$N650,Combo_Gym_Offense),0)</f>
        <v>#VALUE!</v>
      </c>
      <c r="D650" s="24" t="e">
        <f t="array" ref="D650">$S650/MAX(IF(Combo_Species_Names=$N650,Combo_Gym_Offense))</f>
        <v>#VALUE!</v>
      </c>
      <c r="E650" s="23" t="e">
        <f t="array" ref="E650">RANK($Y650,IF(Combo_Species_Names=$N650,Combo_Gym_Defense),0)</f>
        <v>#VALUE!</v>
      </c>
      <c r="F650" s="25" t="e">
        <f t="array" ref="F650">$Y650/MAX(IF(Combo_Species_Names=$N650,Combo_Gym_Defense))</f>
        <v>#VALUE!</v>
      </c>
      <c r="G650" s="23" t="str">
        <f t="array" ref="G650">IF(OR(INDEX(Species_Availability,MATCH($N650,Species_Names,0))="No",INDEX(Species_Evo_Numbers,MATCH($N650,Species_Names,0))&lt;&gt;1),"N/A",RANK($R650,IF(NOT(ISNA(MATCH(Combo_Species_Names,IF(Species_Availability="Yes",IF(Species_Evo_Numbers=1,Species_Names)),0))),Combo_Duel_Ability),0))</f>
        <v>N/A</v>
      </c>
      <c r="H650" s="24" t="str">
        <f t="array" ref="H650">IF(OR(INDEX(Species_Availability,MATCH($N650,Species_Names,0))="No",INDEX(Species_Evo_Numbers,MATCH($N650,Species_Names,0))&lt;&gt;1),"N/A",$R650/MAX(IF(NOT(ISNA(MATCH(Combo_Species_Names,IF(Species_Availability="Yes",IF(Species_Evo_Numbers=1,Species_Names)),0))),Combo_Duel_Ability)))</f>
        <v>N/A</v>
      </c>
      <c r="I650" s="23" t="str">
        <f t="array" ref="I650">IF(OR(INDEX(Species_Availability,MATCH($N650,Species_Names,0))="No",INDEX(Species_Evo_Numbers,MATCH($N650,Species_Names,0))&lt;&gt;1),"N/A",RANK($S650,IF(NOT(ISNA(MATCH(Combo_Species_Names,IF(Species_Availability="Yes",IF(Species_Evo_Numbers=1,Species_Names)),0))),Combo_Gym_Offense),0))</f>
        <v>N/A</v>
      </c>
      <c r="J650" s="24" t="str">
        <f t="array" ref="J650">IF(OR(INDEX(Species_Availability,MATCH($N650,Species_Names,0))="No",INDEX(Species_Evo_Numbers,MATCH($N650,Species_Names,0))&lt;&gt;1),"N/A",$S650/MAX(IF(NOT(ISNA(MATCH(Combo_Species_Names,IF(Species_Availability="Yes",IF(Species_Evo_Numbers=1,Species_Names)),0))),Combo_Gym_Offense)))</f>
        <v>N/A</v>
      </c>
      <c r="K650" s="23" t="str">
        <f t="array" ref="K650">IF(OR(INDEX(Species_Availability,MATCH($N650,Species_Names,0))="No",INDEX(Species_Evo_Numbers,MATCH($N650,Species_Names,0))&lt;&gt;1),"N/A",RANK($Y650,IF(NOT(ISNA(MATCH(Combo_Species_Names,IF(Species_Availability="Yes",IF(Species_Evo_Numbers=1,Species_Names)),0))),Combo_Gym_Defense),0))</f>
        <v>N/A</v>
      </c>
      <c r="L650" s="24" t="str">
        <f t="array" ref="L650">IF(OR(INDEX(Species_Availability,MATCH($N650,Species_Names,0))="No",INDEX(Species_Evo_Numbers,MATCH($N650,Species_Names,0))&lt;&gt;1),"N/A",$Y650/MAX(IF(NOT(ISNA(MATCH(Combo_Species_Names,IF(Species_Availability="Yes",IF(Species_Evo_Numbers=1,Species_Names)),0))),Combo_Gym_Defense)))</f>
        <v>N/A</v>
      </c>
      <c r="M650" s="28">
        <f t="array" ref="M650">INDEX(Species_Pdex_Numbers,MATCH($N650,Species_Names,0))</f>
        <v>66</v>
      </c>
      <c r="N650" s="30" t="s">
        <v>223</v>
      </c>
      <c r="O650" s="31" t="s">
        <v>122</v>
      </c>
      <c r="P650" s="31" t="s">
        <v>255</v>
      </c>
      <c r="Q650" s="17" t="e">
        <f t="shared" si="20"/>
        <v>#VALUE!</v>
      </c>
      <c r="R650" s="32" t="e">
        <f t="array" ref="R650">IF(OR(AND(COUNTBLANK(Combo_Opponent_Type_1)=1,COUNTBLANK(Combo_Opponent_Type_2)=0),AND(AND(COUNTBLANK(Combo_Opponent_Type_1)=0,COUNTBLANK(Combo_Opponent_Type_2)=0),Combo_Opponent_Type_1=Combo_Opponent_Type_2)),
"Check Types",($S650*INDEX(Species_Tankiness,MATCH($N650,Species_Names,0)))/225)</f>
        <v>#VALUE!</v>
      </c>
      <c r="S650" s="32" t="e">
        <f t="array" ref="S650">IF(OR(AND(COUNTBLANK(Combo_Opponent_Type_1)=1,COUNTBLANK(Combo_Opponent_Type_2)=0),AND(AND(COUNTBLANK(Combo_Opponent_Type_1)=0,COUNTBLANK(Combo_Opponent_Type_2)=0),Combo_Opponent_Type_1=Combo_Opponent_Type_2)),
"Check Types",(
IF($W650&gt;=((1-Game_Weave_Human_Error)*$X650),$W650,$X650)*INDEX(Species_Attack,MATCH($N650,Species_Names,0)))/11)</f>
        <v>#VALUE!</v>
      </c>
      <c r="T650" s="33" t="e">
        <f t="shared" si="21"/>
        <v>#VALUE!</v>
      </c>
      <c r="U650" s="33">
        <f t="array" ref="U6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650,Quick_Names,0))),Type_Species)),0),1)*IF(COUNTBLANK(Combo_Opponent_Type_2)=0,INDEX(Type_Damage_Multipliers,MATCH(Combo_Opponent_Type_2,IF(Type_Move=(INDEX(Quick_Type,MATCH($O650,Quick_Names,0))),Type_Species)),0),1)*(IF(OR(INDEX(Quick_Type,MATCH($O650,Quick_Names,0))=INDEX(Species_Type_1,MATCH($N650,Species_Names,0)),INDEX(Quick_Type,MATCH($O650,Quick_Names,0))=INDEX(Species_Type_2,MATCH($N650,Species_Names,0))),Game_STAB_Multiplier,1)))</f>
        <v>1.25</v>
      </c>
      <c r="V650" s="33">
        <f t="array" ref="V6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650,Charge_Names,0))),Type_Species)),0),1)*IF(COUNTBLANK(Combo_Opponent_Type_2)=0,INDEX(Type_Damage_Multipliers,MATCH(Combo_Opponent_Type_2,IF(Type_Move=(INDEX(Charge_Type,MATCH($P650,Charge_Names,0))),Type_Species)),0),1)*
IF(OR(INDEX(Charge_Type,MATCH($P650,Charge_Names,0))=INDEX(Species_Type_1,MATCH($N650,Species_Names,0)),INDEX(Charge_Type,MATCH($P650,Charge_Names,0))=INDEX(Species_Type_2,MATCH($N650,Species_Names,0))),Game_STAB_Multiplier,1))</f>
        <v>1.25</v>
      </c>
      <c r="W650" s="33" t="s">
        <v>564</v>
      </c>
      <c r="X650" s="33" t="s">
        <v>419</v>
      </c>
      <c r="Y650" s="32" t="e">
        <f t="array" ref="Y650">((($Z650)*
INDEX(Species_Attack,MATCH($N650,Species_Names,0))*
INDEX(Species_Tankiness,MATCH($N650,Species_Names,0)))/1000)</f>
        <v>#VALUE!</v>
      </c>
      <c r="Z650" s="33" t="s">
        <v>875</v>
      </c>
    </row>
    <row r="651" spans="1:26" ht="14.25" customHeight="1" x14ac:dyDescent="0.2">
      <c r="A651" s="86"/>
      <c r="B651" s="22" t="str">
        <f t="array" ref="B651">CONCATENATE(TEXT($M651,"000"),".",TEXT(INDEX(Quick_Number,MATCH($O651,Quick_Names,0)),"000"),".",TEXT(INDEX(Charge_Number,MATCH($P651,Charge_Names,0)),"000"))</f>
        <v>109.221.018</v>
      </c>
      <c r="C651" s="23" t="e">
        <f t="array" ref="C651">RANK($S651,IF(Combo_Species_Names=$N651,Combo_Gym_Offense),0)</f>
        <v>#VALUE!</v>
      </c>
      <c r="D651" s="24" t="e">
        <f t="array" ref="D651">$S651/MAX(IF(Combo_Species_Names=$N651,Combo_Gym_Offense))</f>
        <v>#VALUE!</v>
      </c>
      <c r="E651" s="23" t="e">
        <f t="array" ref="E651">RANK($Y651,IF(Combo_Species_Names=$N651,Combo_Gym_Defense),0)</f>
        <v>#VALUE!</v>
      </c>
      <c r="F651" s="25" t="e">
        <f t="array" ref="F651">$Y651/MAX(IF(Combo_Species_Names=$N651,Combo_Gym_Defense))</f>
        <v>#VALUE!</v>
      </c>
      <c r="G651" s="23" t="str">
        <f t="array" ref="G651">IF(OR(INDEX(Species_Availability,MATCH($N651,Species_Names,0))="No",INDEX(Species_Evo_Numbers,MATCH($N651,Species_Names,0))&lt;&gt;1),"N/A",RANK($R651,IF(NOT(ISNA(MATCH(Combo_Species_Names,IF(Species_Availability="Yes",IF(Species_Evo_Numbers=1,Species_Names)),0))),Combo_Duel_Ability),0))</f>
        <v>N/A</v>
      </c>
      <c r="H651" s="24" t="str">
        <f t="array" ref="H651">IF(OR(INDEX(Species_Availability,MATCH($N651,Species_Names,0))="No",INDEX(Species_Evo_Numbers,MATCH($N651,Species_Names,0))&lt;&gt;1),"N/A",$R651/MAX(IF(NOT(ISNA(MATCH(Combo_Species_Names,IF(Species_Availability="Yes",IF(Species_Evo_Numbers=1,Species_Names)),0))),Combo_Duel_Ability)))</f>
        <v>N/A</v>
      </c>
      <c r="I651" s="23" t="str">
        <f t="array" ref="I651">IF(OR(INDEX(Species_Availability,MATCH($N651,Species_Names,0))="No",INDEX(Species_Evo_Numbers,MATCH($N651,Species_Names,0))&lt;&gt;1),"N/A",RANK($S651,IF(NOT(ISNA(MATCH(Combo_Species_Names,IF(Species_Availability="Yes",IF(Species_Evo_Numbers=1,Species_Names)),0))),Combo_Gym_Offense),0))</f>
        <v>N/A</v>
      </c>
      <c r="J651" s="24" t="str">
        <f t="array" ref="J651">IF(OR(INDEX(Species_Availability,MATCH($N651,Species_Names,0))="No",INDEX(Species_Evo_Numbers,MATCH($N651,Species_Names,0))&lt;&gt;1),"N/A",$S651/MAX(IF(NOT(ISNA(MATCH(Combo_Species_Names,IF(Species_Availability="Yes",IF(Species_Evo_Numbers=1,Species_Names)),0))),Combo_Gym_Offense)))</f>
        <v>N/A</v>
      </c>
      <c r="K651" s="23" t="str">
        <f t="array" ref="K651">IF(OR(INDEX(Species_Availability,MATCH($N651,Species_Names,0))="No",INDEX(Species_Evo_Numbers,MATCH($N651,Species_Names,0))&lt;&gt;1),"N/A",RANK($Y651,IF(NOT(ISNA(MATCH(Combo_Species_Names,IF(Species_Availability="Yes",IF(Species_Evo_Numbers=1,Species_Names)),0))),Combo_Gym_Defense),0))</f>
        <v>N/A</v>
      </c>
      <c r="L651" s="24" t="str">
        <f t="array" ref="L651">IF(OR(INDEX(Species_Availability,MATCH($N651,Species_Names,0))="No",INDEX(Species_Evo_Numbers,MATCH($N651,Species_Names,0))&lt;&gt;1),"N/A",$Y651/MAX(IF(NOT(ISNA(MATCH(Combo_Species_Names,IF(Species_Availability="Yes",IF(Species_Evo_Numbers=1,Species_Names)),0))),Combo_Gym_Defense)))</f>
        <v>N/A</v>
      </c>
      <c r="M651" s="28">
        <f t="array" ref="M651">INDEX(Species_Pdex_Numbers,MATCH($N651,Species_Names,0))</f>
        <v>109</v>
      </c>
      <c r="N651" s="30" t="s">
        <v>322</v>
      </c>
      <c r="O651" s="31" t="s">
        <v>91</v>
      </c>
      <c r="P651" s="31" t="s">
        <v>273</v>
      </c>
      <c r="Q651" s="17" t="e">
        <f t="shared" si="20"/>
        <v>#VALUE!</v>
      </c>
      <c r="R651" s="32" t="e">
        <f t="array" ref="R651">IF(OR(AND(COUNTBLANK(Combo_Opponent_Type_1)=1,COUNTBLANK(Combo_Opponent_Type_2)=0),AND(AND(COUNTBLANK(Combo_Opponent_Type_1)=0,COUNTBLANK(Combo_Opponent_Type_2)=0),Combo_Opponent_Type_1=Combo_Opponent_Type_2)),
"Check Types",($S651*INDEX(Species_Tankiness,MATCH($N651,Species_Names,0)))/225)</f>
        <v>#VALUE!</v>
      </c>
      <c r="S651" s="32" t="e">
        <f t="array" ref="S651">IF(OR(AND(COUNTBLANK(Combo_Opponent_Type_1)=1,COUNTBLANK(Combo_Opponent_Type_2)=0),AND(AND(COUNTBLANK(Combo_Opponent_Type_1)=0,COUNTBLANK(Combo_Opponent_Type_2)=0),Combo_Opponent_Type_1=Combo_Opponent_Type_2)),
"Check Types",(
IF($W651&gt;=((1-Game_Weave_Human_Error)*$X651),$W651,$X651)*INDEX(Species_Attack,MATCH($N651,Species_Names,0)))/11)</f>
        <v>#VALUE!</v>
      </c>
      <c r="T651" s="33" t="e">
        <f t="shared" si="21"/>
        <v>#VALUE!</v>
      </c>
      <c r="U651" s="33">
        <f t="array" ref="U6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651,Quick_Names,0))),Type_Species)),0),1)*IF(COUNTBLANK(Combo_Opponent_Type_2)=0,INDEX(Type_Damage_Multipliers,MATCH(Combo_Opponent_Type_2,IF(Type_Move=(INDEX(Quick_Type,MATCH($O651,Quick_Names,0))),Type_Species)),0),1)*(IF(OR(INDEX(Quick_Type,MATCH($O651,Quick_Names,0))=INDEX(Species_Type_1,MATCH($N651,Species_Names,0)),INDEX(Quick_Type,MATCH($O651,Quick_Names,0))=INDEX(Species_Type_2,MATCH($N651,Species_Names,0))),Game_STAB_Multiplier,1)))</f>
        <v>1</v>
      </c>
      <c r="V651" s="33">
        <f t="array" ref="V6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651,Charge_Names,0))),Type_Species)),0),1)*IF(COUNTBLANK(Combo_Opponent_Type_2)=0,INDEX(Type_Damage_Multipliers,MATCH(Combo_Opponent_Type_2,IF(Type_Move=(INDEX(Charge_Type,MATCH($P651,Charge_Names,0))),Type_Species)),0),1)*
IF(OR(INDEX(Charge_Type,MATCH($P651,Charge_Names,0))=INDEX(Species_Type_1,MATCH($N651,Species_Names,0)),INDEX(Charge_Type,MATCH($P651,Charge_Names,0))=INDEX(Species_Type_2,MATCH($N651,Species_Names,0))),Game_STAB_Multiplier,1))</f>
        <v>1.25</v>
      </c>
      <c r="W651" s="33" t="s">
        <v>658</v>
      </c>
      <c r="X651" s="33" t="s">
        <v>1039</v>
      </c>
      <c r="Y651" s="32" t="e">
        <f t="array" ref="Y651">((($Z651)*
INDEX(Species_Attack,MATCH($N651,Species_Names,0))*
INDEX(Species_Tankiness,MATCH($N651,Species_Names,0)))/1000)</f>
        <v>#VALUE!</v>
      </c>
      <c r="Z651" s="33" t="s">
        <v>887</v>
      </c>
    </row>
    <row r="652" spans="1:26" ht="14.25" customHeight="1" x14ac:dyDescent="0.2">
      <c r="A652" s="86"/>
      <c r="B652" s="22" t="str">
        <f t="array" ref="B652">CONCATENATE(TEXT($M652,"000"),".",TEXT(INDEX(Quick_Number,MATCH($O652,Quick_Names,0)),"000"),".",TEXT(INDEX(Charge_Number,MATCH($P652,Charge_Names,0)),"000"))</f>
        <v>029.236.131</v>
      </c>
      <c r="C652" s="23" t="e">
        <f t="array" ref="C652">RANK($S652,IF(Combo_Species_Names=$N652,Combo_Gym_Offense),0)</f>
        <v>#VALUE!</v>
      </c>
      <c r="D652" s="24" t="e">
        <f t="array" ref="D652">$S652/MAX(IF(Combo_Species_Names=$N652,Combo_Gym_Offense))</f>
        <v>#VALUE!</v>
      </c>
      <c r="E652" s="23" t="e">
        <f t="array" ref="E652">RANK($Y652,IF(Combo_Species_Names=$N652,Combo_Gym_Defense),0)</f>
        <v>#VALUE!</v>
      </c>
      <c r="F652" s="25" t="e">
        <f t="array" ref="F652">$Y652/MAX(IF(Combo_Species_Names=$N652,Combo_Gym_Defense))</f>
        <v>#VALUE!</v>
      </c>
      <c r="G652" s="23" t="str">
        <f t="array" ref="G652">IF(OR(INDEX(Species_Availability,MATCH($N652,Species_Names,0))="No",INDEX(Species_Evo_Numbers,MATCH($N652,Species_Names,0))&lt;&gt;1),"N/A",RANK($R652,IF(NOT(ISNA(MATCH(Combo_Species_Names,IF(Species_Availability="Yes",IF(Species_Evo_Numbers=1,Species_Names)),0))),Combo_Duel_Ability),0))</f>
        <v>N/A</v>
      </c>
      <c r="H652" s="24" t="str">
        <f t="array" ref="H652">IF(OR(INDEX(Species_Availability,MATCH($N652,Species_Names,0))="No",INDEX(Species_Evo_Numbers,MATCH($N652,Species_Names,0))&lt;&gt;1),"N/A",$R652/MAX(IF(NOT(ISNA(MATCH(Combo_Species_Names,IF(Species_Availability="Yes",IF(Species_Evo_Numbers=1,Species_Names)),0))),Combo_Duel_Ability)))</f>
        <v>N/A</v>
      </c>
      <c r="I652" s="23" t="str">
        <f t="array" ref="I652">IF(OR(INDEX(Species_Availability,MATCH($N652,Species_Names,0))="No",INDEX(Species_Evo_Numbers,MATCH($N652,Species_Names,0))&lt;&gt;1),"N/A",RANK($S652,IF(NOT(ISNA(MATCH(Combo_Species_Names,IF(Species_Availability="Yes",IF(Species_Evo_Numbers=1,Species_Names)),0))),Combo_Gym_Offense),0))</f>
        <v>N/A</v>
      </c>
      <c r="J652" s="24" t="str">
        <f t="array" ref="J652">IF(OR(INDEX(Species_Availability,MATCH($N652,Species_Names,0))="No",INDEX(Species_Evo_Numbers,MATCH($N652,Species_Names,0))&lt;&gt;1),"N/A",$S652/MAX(IF(NOT(ISNA(MATCH(Combo_Species_Names,IF(Species_Availability="Yes",IF(Species_Evo_Numbers=1,Species_Names)),0))),Combo_Gym_Offense)))</f>
        <v>N/A</v>
      </c>
      <c r="K652" s="23" t="str">
        <f t="array" ref="K652">IF(OR(INDEX(Species_Availability,MATCH($N652,Species_Names,0))="No",INDEX(Species_Evo_Numbers,MATCH($N652,Species_Names,0))&lt;&gt;1),"N/A",RANK($Y652,IF(NOT(ISNA(MATCH(Combo_Species_Names,IF(Species_Availability="Yes",IF(Species_Evo_Numbers=1,Species_Names)),0))),Combo_Gym_Defense),0))</f>
        <v>N/A</v>
      </c>
      <c r="L652" s="24" t="str">
        <f t="array" ref="L652">IF(OR(INDEX(Species_Availability,MATCH($N652,Species_Names,0))="No",INDEX(Species_Evo_Numbers,MATCH($N652,Species_Names,0))&lt;&gt;1),"N/A",$Y652/MAX(IF(NOT(ISNA(MATCH(Combo_Species_Names,IF(Species_Availability="Yes",IF(Species_Evo_Numbers=1,Species_Names)),0))),Combo_Gym_Defense)))</f>
        <v>N/A</v>
      </c>
      <c r="M652" s="28">
        <f t="array" ref="M652">INDEX(Species_Pdex_Numbers,MATCH($N652,Species_Names,0))</f>
        <v>29</v>
      </c>
      <c r="N652" s="30" t="s">
        <v>148</v>
      </c>
      <c r="O652" s="31" t="s">
        <v>101</v>
      </c>
      <c r="P652" s="31" t="s">
        <v>151</v>
      </c>
      <c r="Q652" s="17" t="e">
        <f t="shared" si="20"/>
        <v>#VALUE!</v>
      </c>
      <c r="R652" s="32" t="e">
        <f t="array" ref="R652">IF(OR(AND(COUNTBLANK(Combo_Opponent_Type_1)=1,COUNTBLANK(Combo_Opponent_Type_2)=0),AND(AND(COUNTBLANK(Combo_Opponent_Type_1)=0,COUNTBLANK(Combo_Opponent_Type_2)=0),Combo_Opponent_Type_1=Combo_Opponent_Type_2)),
"Check Types",($S652*INDEX(Species_Tankiness,MATCH($N652,Species_Names,0)))/225)</f>
        <v>#VALUE!</v>
      </c>
      <c r="S652" s="32" t="e">
        <f t="array" ref="S652">IF(OR(AND(COUNTBLANK(Combo_Opponent_Type_1)=1,COUNTBLANK(Combo_Opponent_Type_2)=0),AND(AND(COUNTBLANK(Combo_Opponent_Type_1)=0,COUNTBLANK(Combo_Opponent_Type_2)=0),Combo_Opponent_Type_1=Combo_Opponent_Type_2)),
"Check Types",(
IF($W652&gt;=((1-Game_Weave_Human_Error)*$X652),$W652,$X652)*INDEX(Species_Attack,MATCH($N652,Species_Names,0)))/11)</f>
        <v>#VALUE!</v>
      </c>
      <c r="T652" s="33" t="e">
        <f t="shared" si="21"/>
        <v>#VALUE!</v>
      </c>
      <c r="U652" s="33">
        <f t="array" ref="U6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652,Quick_Names,0))),Type_Species)),0),1)*IF(COUNTBLANK(Combo_Opponent_Type_2)=0,INDEX(Type_Damage_Multipliers,MATCH(Combo_Opponent_Type_2,IF(Type_Move=(INDEX(Quick_Type,MATCH($O652,Quick_Names,0))),Type_Species)),0),1)*(IF(OR(INDEX(Quick_Type,MATCH($O652,Quick_Names,0))=INDEX(Species_Type_1,MATCH($N652,Species_Names,0)),INDEX(Quick_Type,MATCH($O652,Quick_Names,0))=INDEX(Species_Type_2,MATCH($N652,Species_Names,0))),Game_STAB_Multiplier,1)))</f>
        <v>1.25</v>
      </c>
      <c r="V652" s="33">
        <f t="array" ref="V6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652,Charge_Names,0))),Type_Species)),0),1)*IF(COUNTBLANK(Combo_Opponent_Type_2)=0,INDEX(Type_Damage_Multipliers,MATCH(Combo_Opponent_Type_2,IF(Type_Move=(INDEX(Charge_Type,MATCH($P652,Charge_Names,0))),Type_Species)),0),1)*
IF(OR(INDEX(Charge_Type,MATCH($P652,Charge_Names,0))=INDEX(Species_Type_1,MATCH($N652,Species_Names,0)),INDEX(Charge_Type,MATCH($P652,Charge_Names,0))=INDEX(Species_Type_2,MATCH($N652,Species_Names,0))),Game_STAB_Multiplier,1))</f>
        <v>1</v>
      </c>
      <c r="W652" s="33" t="s">
        <v>738</v>
      </c>
      <c r="X652" s="33" t="s">
        <v>1040</v>
      </c>
      <c r="Y652" s="32" t="e">
        <f t="array" ref="Y652">((($Z652)*
INDEX(Species_Attack,MATCH($N652,Species_Names,0))*
INDEX(Species_Tankiness,MATCH($N652,Species_Names,0)))/1000)</f>
        <v>#VALUE!</v>
      </c>
      <c r="Z652" s="33" t="s">
        <v>755</v>
      </c>
    </row>
    <row r="653" spans="1:26" ht="14.25" customHeight="1" x14ac:dyDescent="0.2">
      <c r="A653" s="86"/>
      <c r="B653" s="22" t="str">
        <f t="array" ref="B653">CONCATENATE(TEXT($M653,"000"),".",TEXT(INDEX(Quick_Number,MATCH($O653,Quick_Names,0)),"000"),".",TEXT(INDEX(Charge_Number,MATCH($P653,Charge_Names,0)),"000"))</f>
        <v>147.204.058</v>
      </c>
      <c r="C653" s="23" t="e">
        <f t="array" ref="C653">RANK($S653,IF(Combo_Species_Names=$N653,Combo_Gym_Offense),0)</f>
        <v>#VALUE!</v>
      </c>
      <c r="D653" s="24" t="e">
        <f t="array" ref="D653">$S653/MAX(IF(Combo_Species_Names=$N653,Combo_Gym_Offense))</f>
        <v>#VALUE!</v>
      </c>
      <c r="E653" s="23" t="e">
        <f t="array" ref="E653">RANK($Y653,IF(Combo_Species_Names=$N653,Combo_Gym_Defense),0)</f>
        <v>#VALUE!</v>
      </c>
      <c r="F653" s="25" t="e">
        <f t="array" ref="F653">$Y653/MAX(IF(Combo_Species_Names=$N653,Combo_Gym_Defense))</f>
        <v>#VALUE!</v>
      </c>
      <c r="G653" s="23" t="str">
        <f t="array" ref="G653">IF(OR(INDEX(Species_Availability,MATCH($N653,Species_Names,0))="No",INDEX(Species_Evo_Numbers,MATCH($N653,Species_Names,0))&lt;&gt;1),"N/A",RANK($R653,IF(NOT(ISNA(MATCH(Combo_Species_Names,IF(Species_Availability="Yes",IF(Species_Evo_Numbers=1,Species_Names)),0))),Combo_Duel_Ability),0))</f>
        <v>N/A</v>
      </c>
      <c r="H653" s="24" t="str">
        <f t="array" ref="H653">IF(OR(INDEX(Species_Availability,MATCH($N653,Species_Names,0))="No",INDEX(Species_Evo_Numbers,MATCH($N653,Species_Names,0))&lt;&gt;1),"N/A",$R653/MAX(IF(NOT(ISNA(MATCH(Combo_Species_Names,IF(Species_Availability="Yes",IF(Species_Evo_Numbers=1,Species_Names)),0))),Combo_Duel_Ability)))</f>
        <v>N/A</v>
      </c>
      <c r="I653" s="23" t="str">
        <f t="array" ref="I653">IF(OR(INDEX(Species_Availability,MATCH($N653,Species_Names,0))="No",INDEX(Species_Evo_Numbers,MATCH($N653,Species_Names,0))&lt;&gt;1),"N/A",RANK($S653,IF(NOT(ISNA(MATCH(Combo_Species_Names,IF(Species_Availability="Yes",IF(Species_Evo_Numbers=1,Species_Names)),0))),Combo_Gym_Offense),0))</f>
        <v>N/A</v>
      </c>
      <c r="J653" s="24" t="str">
        <f t="array" ref="J653">IF(OR(INDEX(Species_Availability,MATCH($N653,Species_Names,0))="No",INDEX(Species_Evo_Numbers,MATCH($N653,Species_Names,0))&lt;&gt;1),"N/A",$S653/MAX(IF(NOT(ISNA(MATCH(Combo_Species_Names,IF(Species_Availability="Yes",IF(Species_Evo_Numbers=1,Species_Names)),0))),Combo_Gym_Offense)))</f>
        <v>N/A</v>
      </c>
      <c r="K653" s="23" t="str">
        <f t="array" ref="K653">IF(OR(INDEX(Species_Availability,MATCH($N653,Species_Names,0))="No",INDEX(Species_Evo_Numbers,MATCH($N653,Species_Names,0))&lt;&gt;1),"N/A",RANK($Y653,IF(NOT(ISNA(MATCH(Combo_Species_Names,IF(Species_Availability="Yes",IF(Species_Evo_Numbers=1,Species_Names)),0))),Combo_Gym_Defense),0))</f>
        <v>N/A</v>
      </c>
      <c r="L653" s="24" t="str">
        <f t="array" ref="L653">IF(OR(INDEX(Species_Availability,MATCH($N653,Species_Names,0))="No",INDEX(Species_Evo_Numbers,MATCH($N653,Species_Names,0))&lt;&gt;1),"N/A",$Y653/MAX(IF(NOT(ISNA(MATCH(Combo_Species_Names,IF(Species_Availability="Yes",IF(Species_Evo_Numbers=1,Species_Names)),0))),Combo_Gym_Defense)))</f>
        <v>N/A</v>
      </c>
      <c r="M653" s="28">
        <f t="array" ref="M653">INDEX(Species_Pdex_Numbers,MATCH($N653,Species_Names,0))</f>
        <v>147</v>
      </c>
      <c r="N653" s="30" t="s">
        <v>364</v>
      </c>
      <c r="O653" s="31" t="s">
        <v>62</v>
      </c>
      <c r="P653" s="31" t="s">
        <v>198</v>
      </c>
      <c r="Q653" s="17" t="e">
        <f t="shared" si="20"/>
        <v>#VALUE!</v>
      </c>
      <c r="R653" s="32" t="e">
        <f t="array" ref="R653">IF(OR(AND(COUNTBLANK(Combo_Opponent_Type_1)=1,COUNTBLANK(Combo_Opponent_Type_2)=0),AND(AND(COUNTBLANK(Combo_Opponent_Type_1)=0,COUNTBLANK(Combo_Opponent_Type_2)=0),Combo_Opponent_Type_1=Combo_Opponent_Type_2)),
"Check Types",($S653*INDEX(Species_Tankiness,MATCH($N653,Species_Names,0)))/225)</f>
        <v>#VALUE!</v>
      </c>
      <c r="S653" s="32" t="e">
        <f t="array" ref="S653">IF(OR(AND(COUNTBLANK(Combo_Opponent_Type_1)=1,COUNTBLANK(Combo_Opponent_Type_2)=0),AND(AND(COUNTBLANK(Combo_Opponent_Type_1)=0,COUNTBLANK(Combo_Opponent_Type_2)=0),Combo_Opponent_Type_1=Combo_Opponent_Type_2)),
"Check Types",(
IF($W653&gt;=((1-Game_Weave_Human_Error)*$X653),$W653,$X653)*INDEX(Species_Attack,MATCH($N653,Species_Names,0)))/11)</f>
        <v>#VALUE!</v>
      </c>
      <c r="T653" s="33" t="e">
        <f t="shared" si="21"/>
        <v>#VALUE!</v>
      </c>
      <c r="U653" s="33">
        <f t="array" ref="U6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653,Quick_Names,0))),Type_Species)),0),1)*IF(COUNTBLANK(Combo_Opponent_Type_2)=0,INDEX(Type_Damage_Multipliers,MATCH(Combo_Opponent_Type_2,IF(Type_Move=(INDEX(Quick_Type,MATCH($O653,Quick_Names,0))),Type_Species)),0),1)*(IF(OR(INDEX(Quick_Type,MATCH($O653,Quick_Names,0))=INDEX(Species_Type_1,MATCH($N653,Species_Names,0)),INDEX(Quick_Type,MATCH($O653,Quick_Names,0))=INDEX(Species_Type_2,MATCH($N653,Species_Names,0))),Game_STAB_Multiplier,1)))</f>
        <v>1.25</v>
      </c>
      <c r="V653" s="33">
        <f t="array" ref="V6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653,Charge_Names,0))),Type_Species)),0),1)*IF(COUNTBLANK(Combo_Opponent_Type_2)=0,INDEX(Type_Damage_Multipliers,MATCH(Combo_Opponent_Type_2,IF(Type_Move=(INDEX(Charge_Type,MATCH($P653,Charge_Names,0))),Type_Species)),0),1)*
IF(OR(INDEX(Charge_Type,MATCH($P653,Charge_Names,0))=INDEX(Species_Type_1,MATCH($N653,Species_Names,0)),INDEX(Charge_Type,MATCH($P653,Charge_Names,0))=INDEX(Species_Type_2,MATCH($N653,Species_Names,0))),Game_STAB_Multiplier,1))</f>
        <v>1</v>
      </c>
      <c r="W653" s="33" t="s">
        <v>412</v>
      </c>
      <c r="X653" s="33" t="s">
        <v>615</v>
      </c>
      <c r="Y653" s="32" t="e">
        <f t="array" ref="Y653">((($Z653)*
INDEX(Species_Attack,MATCH($N653,Species_Names,0))*
INDEX(Species_Tankiness,MATCH($N653,Species_Names,0)))/1000)</f>
        <v>#VALUE!</v>
      </c>
      <c r="Z653" s="33" t="s">
        <v>947</v>
      </c>
    </row>
    <row r="654" spans="1:26" ht="14.25" customHeight="1" x14ac:dyDescent="0.2">
      <c r="A654" s="86"/>
      <c r="B654" s="22" t="str">
        <f t="array" ref="B654">CONCATENATE(TEXT($M654,"000"),".",TEXT(INDEX(Quick_Number,MATCH($O654,Quick_Names,0)),"000"),".",TEXT(INDEX(Charge_Number,MATCH($P654,Charge_Names,0)),"000"))</f>
        <v>147.204.080</v>
      </c>
      <c r="C654" s="23" t="e">
        <f t="array" ref="C654">RANK($S654,IF(Combo_Species_Names=$N654,Combo_Gym_Offense),0)</f>
        <v>#VALUE!</v>
      </c>
      <c r="D654" s="24" t="e">
        <f t="array" ref="D654">$S654/MAX(IF(Combo_Species_Names=$N654,Combo_Gym_Offense))</f>
        <v>#VALUE!</v>
      </c>
      <c r="E654" s="23" t="e">
        <f t="array" ref="E654">RANK($Y654,IF(Combo_Species_Names=$N654,Combo_Gym_Defense),0)</f>
        <v>#VALUE!</v>
      </c>
      <c r="F654" s="25" t="e">
        <f t="array" ref="F654">$Y654/MAX(IF(Combo_Species_Names=$N654,Combo_Gym_Defense))</f>
        <v>#VALUE!</v>
      </c>
      <c r="G654" s="23" t="str">
        <f t="array" ref="G654">IF(OR(INDEX(Species_Availability,MATCH($N654,Species_Names,0))="No",INDEX(Species_Evo_Numbers,MATCH($N654,Species_Names,0))&lt;&gt;1),"N/A",RANK($R654,IF(NOT(ISNA(MATCH(Combo_Species_Names,IF(Species_Availability="Yes",IF(Species_Evo_Numbers=1,Species_Names)),0))),Combo_Duel_Ability),0))</f>
        <v>N/A</v>
      </c>
      <c r="H654" s="24" t="str">
        <f t="array" ref="H654">IF(OR(INDEX(Species_Availability,MATCH($N654,Species_Names,0))="No",INDEX(Species_Evo_Numbers,MATCH($N654,Species_Names,0))&lt;&gt;1),"N/A",$R654/MAX(IF(NOT(ISNA(MATCH(Combo_Species_Names,IF(Species_Availability="Yes",IF(Species_Evo_Numbers=1,Species_Names)),0))),Combo_Duel_Ability)))</f>
        <v>N/A</v>
      </c>
      <c r="I654" s="23" t="str">
        <f t="array" ref="I654">IF(OR(INDEX(Species_Availability,MATCH($N654,Species_Names,0))="No",INDEX(Species_Evo_Numbers,MATCH($N654,Species_Names,0))&lt;&gt;1),"N/A",RANK($S654,IF(NOT(ISNA(MATCH(Combo_Species_Names,IF(Species_Availability="Yes",IF(Species_Evo_Numbers=1,Species_Names)),0))),Combo_Gym_Offense),0))</f>
        <v>N/A</v>
      </c>
      <c r="J654" s="24" t="str">
        <f t="array" ref="J654">IF(OR(INDEX(Species_Availability,MATCH($N654,Species_Names,0))="No",INDEX(Species_Evo_Numbers,MATCH($N654,Species_Names,0))&lt;&gt;1),"N/A",$S654/MAX(IF(NOT(ISNA(MATCH(Combo_Species_Names,IF(Species_Availability="Yes",IF(Species_Evo_Numbers=1,Species_Names)),0))),Combo_Gym_Offense)))</f>
        <v>N/A</v>
      </c>
      <c r="K654" s="23" t="str">
        <f t="array" ref="K654">IF(OR(INDEX(Species_Availability,MATCH($N654,Species_Names,0))="No",INDEX(Species_Evo_Numbers,MATCH($N654,Species_Names,0))&lt;&gt;1),"N/A",RANK($Y654,IF(NOT(ISNA(MATCH(Combo_Species_Names,IF(Species_Availability="Yes",IF(Species_Evo_Numbers=1,Species_Names)),0))),Combo_Gym_Defense),0))</f>
        <v>N/A</v>
      </c>
      <c r="L654" s="24" t="str">
        <f t="array" ref="L654">IF(OR(INDEX(Species_Availability,MATCH($N654,Species_Names,0))="No",INDEX(Species_Evo_Numbers,MATCH($N654,Species_Names,0))&lt;&gt;1),"N/A",$Y654/MAX(IF(NOT(ISNA(MATCH(Combo_Species_Names,IF(Species_Availability="Yes",IF(Species_Evo_Numbers=1,Species_Names)),0))),Combo_Gym_Defense)))</f>
        <v>N/A</v>
      </c>
      <c r="M654" s="28">
        <f t="array" ref="M654">INDEX(Species_Pdex_Numbers,MATCH($N654,Species_Names,0))</f>
        <v>147</v>
      </c>
      <c r="N654" s="30" t="s">
        <v>364</v>
      </c>
      <c r="O654" s="31" t="s">
        <v>62</v>
      </c>
      <c r="P654" s="31" t="s">
        <v>302</v>
      </c>
      <c r="Q654" s="17" t="e">
        <f t="shared" si="20"/>
        <v>#VALUE!</v>
      </c>
      <c r="R654" s="32" t="e">
        <f t="array" ref="R654">IF(OR(AND(COUNTBLANK(Combo_Opponent_Type_1)=1,COUNTBLANK(Combo_Opponent_Type_2)=0),AND(AND(COUNTBLANK(Combo_Opponent_Type_1)=0,COUNTBLANK(Combo_Opponent_Type_2)=0),Combo_Opponent_Type_1=Combo_Opponent_Type_2)),
"Check Types",($S654*INDEX(Species_Tankiness,MATCH($N654,Species_Names,0)))/225)</f>
        <v>#VALUE!</v>
      </c>
      <c r="S654" s="32" t="e">
        <f t="array" ref="S654">IF(OR(AND(COUNTBLANK(Combo_Opponent_Type_1)=1,COUNTBLANK(Combo_Opponent_Type_2)=0),AND(AND(COUNTBLANK(Combo_Opponent_Type_1)=0,COUNTBLANK(Combo_Opponent_Type_2)=0),Combo_Opponent_Type_1=Combo_Opponent_Type_2)),
"Check Types",(
IF($W654&gt;=((1-Game_Weave_Human_Error)*$X654),$W654,$X654)*INDEX(Species_Attack,MATCH($N654,Species_Names,0)))/11)</f>
        <v>#VALUE!</v>
      </c>
      <c r="T654" s="33" t="e">
        <f t="shared" si="21"/>
        <v>#VALUE!</v>
      </c>
      <c r="U654" s="33">
        <f t="array" ref="U6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654,Quick_Names,0))),Type_Species)),0),1)*IF(COUNTBLANK(Combo_Opponent_Type_2)=0,INDEX(Type_Damage_Multipliers,MATCH(Combo_Opponent_Type_2,IF(Type_Move=(INDEX(Quick_Type,MATCH($O654,Quick_Names,0))),Type_Species)),0),1)*(IF(OR(INDEX(Quick_Type,MATCH($O654,Quick_Names,0))=INDEX(Species_Type_1,MATCH($N654,Species_Names,0)),INDEX(Quick_Type,MATCH($O654,Quick_Names,0))=INDEX(Species_Type_2,MATCH($N654,Species_Names,0))),Game_STAB_Multiplier,1)))</f>
        <v>1.25</v>
      </c>
      <c r="V654" s="33">
        <f t="array" ref="V6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654,Charge_Names,0))),Type_Species)),0),1)*IF(COUNTBLANK(Combo_Opponent_Type_2)=0,INDEX(Type_Damage_Multipliers,MATCH(Combo_Opponent_Type_2,IF(Type_Move=(INDEX(Charge_Type,MATCH($P654,Charge_Names,0))),Type_Species)),0),1)*
IF(OR(INDEX(Charge_Type,MATCH($P654,Charge_Names,0))=INDEX(Species_Type_1,MATCH($N654,Species_Names,0)),INDEX(Charge_Type,MATCH($P654,Charge_Names,0))=INDEX(Species_Type_2,MATCH($N654,Species_Names,0))),Game_STAB_Multiplier,1))</f>
        <v>1.25</v>
      </c>
      <c r="W654" s="33" t="s">
        <v>412</v>
      </c>
      <c r="X654" s="33" t="s">
        <v>1011</v>
      </c>
      <c r="Y654" s="32" t="e">
        <f t="array" ref="Y654">((($Z654)*
INDEX(Species_Attack,MATCH($N654,Species_Names,0))*
INDEX(Species_Tankiness,MATCH($N654,Species_Names,0)))/1000)</f>
        <v>#VALUE!</v>
      </c>
      <c r="Z654" s="33" t="s">
        <v>914</v>
      </c>
    </row>
    <row r="655" spans="1:26" ht="14.25" customHeight="1" x14ac:dyDescent="0.2">
      <c r="A655" s="86"/>
      <c r="B655" s="22" t="str">
        <f t="array" ref="B655">CONCATENATE(TEXT($M655,"000"),".",TEXT(INDEX(Quick_Number,MATCH($O655,Quick_Names,0)),"000"),".",TEXT(INDEX(Charge_Number,MATCH($P655,Charge_Names,0)),"000"))</f>
        <v>147.204.013</v>
      </c>
      <c r="C655" s="23" t="e">
        <f t="array" ref="C655">RANK($S655,IF(Combo_Species_Names=$N655,Combo_Gym_Offense),0)</f>
        <v>#VALUE!</v>
      </c>
      <c r="D655" s="24" t="e">
        <f t="array" ref="D655">$S655/MAX(IF(Combo_Species_Names=$N655,Combo_Gym_Offense))</f>
        <v>#VALUE!</v>
      </c>
      <c r="E655" s="23" t="e">
        <f t="array" ref="E655">RANK($Y655,IF(Combo_Species_Names=$N655,Combo_Gym_Defense),0)</f>
        <v>#VALUE!</v>
      </c>
      <c r="F655" s="25" t="e">
        <f t="array" ref="F655">$Y655/MAX(IF(Combo_Species_Names=$N655,Combo_Gym_Defense))</f>
        <v>#VALUE!</v>
      </c>
      <c r="G655" s="23" t="str">
        <f t="array" ref="G655">IF(OR(INDEX(Species_Availability,MATCH($N655,Species_Names,0))="No",INDEX(Species_Evo_Numbers,MATCH($N655,Species_Names,0))&lt;&gt;1),"N/A",RANK($R655,IF(NOT(ISNA(MATCH(Combo_Species_Names,IF(Species_Availability="Yes",IF(Species_Evo_Numbers=1,Species_Names)),0))),Combo_Duel_Ability),0))</f>
        <v>N/A</v>
      </c>
      <c r="H655" s="24" t="str">
        <f t="array" ref="H655">IF(OR(INDEX(Species_Availability,MATCH($N655,Species_Names,0))="No",INDEX(Species_Evo_Numbers,MATCH($N655,Species_Names,0))&lt;&gt;1),"N/A",$R655/MAX(IF(NOT(ISNA(MATCH(Combo_Species_Names,IF(Species_Availability="Yes",IF(Species_Evo_Numbers=1,Species_Names)),0))),Combo_Duel_Ability)))</f>
        <v>N/A</v>
      </c>
      <c r="I655" s="23" t="str">
        <f t="array" ref="I655">IF(OR(INDEX(Species_Availability,MATCH($N655,Species_Names,0))="No",INDEX(Species_Evo_Numbers,MATCH($N655,Species_Names,0))&lt;&gt;1),"N/A",RANK($S655,IF(NOT(ISNA(MATCH(Combo_Species_Names,IF(Species_Availability="Yes",IF(Species_Evo_Numbers=1,Species_Names)),0))),Combo_Gym_Offense),0))</f>
        <v>N/A</v>
      </c>
      <c r="J655" s="24" t="str">
        <f t="array" ref="J655">IF(OR(INDEX(Species_Availability,MATCH($N655,Species_Names,0))="No",INDEX(Species_Evo_Numbers,MATCH($N655,Species_Names,0))&lt;&gt;1),"N/A",$S655/MAX(IF(NOT(ISNA(MATCH(Combo_Species_Names,IF(Species_Availability="Yes",IF(Species_Evo_Numbers=1,Species_Names)),0))),Combo_Gym_Offense)))</f>
        <v>N/A</v>
      </c>
      <c r="K655" s="23" t="str">
        <f t="array" ref="K655">IF(OR(INDEX(Species_Availability,MATCH($N655,Species_Names,0))="No",INDEX(Species_Evo_Numbers,MATCH($N655,Species_Names,0))&lt;&gt;1),"N/A",RANK($Y655,IF(NOT(ISNA(MATCH(Combo_Species_Names,IF(Species_Availability="Yes",IF(Species_Evo_Numbers=1,Species_Names)),0))),Combo_Gym_Defense),0))</f>
        <v>N/A</v>
      </c>
      <c r="L655" s="24" t="str">
        <f t="array" ref="L655">IF(OR(INDEX(Species_Availability,MATCH($N655,Species_Names,0))="No",INDEX(Species_Evo_Numbers,MATCH($N655,Species_Names,0))&lt;&gt;1),"N/A",$Y655/MAX(IF(NOT(ISNA(MATCH(Combo_Species_Names,IF(Species_Availability="Yes",IF(Species_Evo_Numbers=1,Species_Names)),0))),Combo_Gym_Defense)))</f>
        <v>N/A</v>
      </c>
      <c r="M655" s="28">
        <f t="array" ref="M655">INDEX(Species_Pdex_Numbers,MATCH($N655,Species_Names,0))</f>
        <v>147</v>
      </c>
      <c r="N655" s="30" t="s">
        <v>364</v>
      </c>
      <c r="O655" s="31" t="s">
        <v>62</v>
      </c>
      <c r="P655" s="31" t="s">
        <v>321</v>
      </c>
      <c r="Q655" s="17" t="e">
        <f t="shared" si="20"/>
        <v>#VALUE!</v>
      </c>
      <c r="R655" s="32" t="e">
        <f t="array" ref="R655">IF(OR(AND(COUNTBLANK(Combo_Opponent_Type_1)=1,COUNTBLANK(Combo_Opponent_Type_2)=0),AND(AND(COUNTBLANK(Combo_Opponent_Type_1)=0,COUNTBLANK(Combo_Opponent_Type_2)=0),Combo_Opponent_Type_1=Combo_Opponent_Type_2)),
"Check Types",($S655*INDEX(Species_Tankiness,MATCH($N655,Species_Names,0)))/225)</f>
        <v>#VALUE!</v>
      </c>
      <c r="S655" s="32" t="e">
        <f t="array" ref="S655">IF(OR(AND(COUNTBLANK(Combo_Opponent_Type_1)=1,COUNTBLANK(Combo_Opponent_Type_2)=0),AND(AND(COUNTBLANK(Combo_Opponent_Type_1)=0,COUNTBLANK(Combo_Opponent_Type_2)=0),Combo_Opponent_Type_1=Combo_Opponent_Type_2)),
"Check Types",(
IF($W655&gt;=((1-Game_Weave_Human_Error)*$X655),$W655,$X655)*INDEX(Species_Attack,MATCH($N655,Species_Names,0)))/11)</f>
        <v>#VALUE!</v>
      </c>
      <c r="T655" s="33" t="e">
        <f t="shared" si="21"/>
        <v>#VALUE!</v>
      </c>
      <c r="U655" s="33">
        <f t="array" ref="U6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655,Quick_Names,0))),Type_Species)),0),1)*IF(COUNTBLANK(Combo_Opponent_Type_2)=0,INDEX(Type_Damage_Multipliers,MATCH(Combo_Opponent_Type_2,IF(Type_Move=(INDEX(Quick_Type,MATCH($O655,Quick_Names,0))),Type_Species)),0),1)*(IF(OR(INDEX(Quick_Type,MATCH($O655,Quick_Names,0))=INDEX(Species_Type_1,MATCH($N655,Species_Names,0)),INDEX(Quick_Type,MATCH($O655,Quick_Names,0))=INDEX(Species_Type_2,MATCH($N655,Species_Names,0))),Game_STAB_Multiplier,1)))</f>
        <v>1.25</v>
      </c>
      <c r="V655" s="33">
        <f t="array" ref="V6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655,Charge_Names,0))),Type_Species)),0),1)*IF(COUNTBLANK(Combo_Opponent_Type_2)=0,INDEX(Type_Damage_Multipliers,MATCH(Combo_Opponent_Type_2,IF(Type_Move=(INDEX(Charge_Type,MATCH($P655,Charge_Names,0))),Type_Species)),0),1)*
IF(OR(INDEX(Charge_Type,MATCH($P655,Charge_Names,0))=INDEX(Species_Type_1,MATCH($N655,Species_Names,0)),INDEX(Charge_Type,MATCH($P655,Charge_Names,0))=INDEX(Species_Type_2,MATCH($N655,Species_Names,0))),Game_STAB_Multiplier,1))</f>
        <v>1</v>
      </c>
      <c r="W655" s="33" t="s">
        <v>412</v>
      </c>
      <c r="X655" s="33" t="s">
        <v>621</v>
      </c>
      <c r="Y655" s="32" t="e">
        <f t="array" ref="Y655">((($Z655)*
INDEX(Species_Attack,MATCH($N655,Species_Names,0))*
INDEX(Species_Tankiness,MATCH($N655,Species_Names,0)))/1000)</f>
        <v>#VALUE!</v>
      </c>
      <c r="Z655" s="33" t="s">
        <v>770</v>
      </c>
    </row>
    <row r="656" spans="1:26" ht="14.25" customHeight="1" x14ac:dyDescent="0.2">
      <c r="A656" s="86"/>
      <c r="B656" s="22" t="str">
        <f t="array" ref="B656">CONCATENATE(TEXT($M656,"000"),".",TEXT(INDEX(Quick_Number,MATCH($O656,Quick_Names,0)),"000"),".",TEXT(INDEX(Charge_Number,MATCH($P656,Charge_Names,0)),"000"))</f>
        <v>004.220.024</v>
      </c>
      <c r="C656" s="23" t="e">
        <f t="array" ref="C656">RANK($S656,IF(Combo_Species_Names=$N656,Combo_Gym_Offense),0)</f>
        <v>#VALUE!</v>
      </c>
      <c r="D656" s="24" t="e">
        <f t="array" ref="D656">$S656/MAX(IF(Combo_Species_Names=$N656,Combo_Gym_Offense))</f>
        <v>#VALUE!</v>
      </c>
      <c r="E656" s="23" t="e">
        <f t="array" ref="E656">RANK($Y656,IF(Combo_Species_Names=$N656,Combo_Gym_Defense),0)</f>
        <v>#VALUE!</v>
      </c>
      <c r="F656" s="25" t="e">
        <f t="array" ref="F656">$Y656/MAX(IF(Combo_Species_Names=$N656,Combo_Gym_Defense))</f>
        <v>#VALUE!</v>
      </c>
      <c r="G656" s="23" t="str">
        <f t="array" ref="G656">IF(OR(INDEX(Species_Availability,MATCH($N656,Species_Names,0))="No",INDEX(Species_Evo_Numbers,MATCH($N656,Species_Names,0))&lt;&gt;1),"N/A",RANK($R656,IF(NOT(ISNA(MATCH(Combo_Species_Names,IF(Species_Availability="Yes",IF(Species_Evo_Numbers=1,Species_Names)),0))),Combo_Duel_Ability),0))</f>
        <v>N/A</v>
      </c>
      <c r="H656" s="24" t="str">
        <f t="array" ref="H656">IF(OR(INDEX(Species_Availability,MATCH($N656,Species_Names,0))="No",INDEX(Species_Evo_Numbers,MATCH($N656,Species_Names,0))&lt;&gt;1),"N/A",$R656/MAX(IF(NOT(ISNA(MATCH(Combo_Species_Names,IF(Species_Availability="Yes",IF(Species_Evo_Numbers=1,Species_Names)),0))),Combo_Duel_Ability)))</f>
        <v>N/A</v>
      </c>
      <c r="I656" s="23" t="str">
        <f t="array" ref="I656">IF(OR(INDEX(Species_Availability,MATCH($N656,Species_Names,0))="No",INDEX(Species_Evo_Numbers,MATCH($N656,Species_Names,0))&lt;&gt;1),"N/A",RANK($S656,IF(NOT(ISNA(MATCH(Combo_Species_Names,IF(Species_Availability="Yes",IF(Species_Evo_Numbers=1,Species_Names)),0))),Combo_Gym_Offense),0))</f>
        <v>N/A</v>
      </c>
      <c r="J656" s="24" t="str">
        <f t="array" ref="J656">IF(OR(INDEX(Species_Availability,MATCH($N656,Species_Names,0))="No",INDEX(Species_Evo_Numbers,MATCH($N656,Species_Names,0))&lt;&gt;1),"N/A",$S656/MAX(IF(NOT(ISNA(MATCH(Combo_Species_Names,IF(Species_Availability="Yes",IF(Species_Evo_Numbers=1,Species_Names)),0))),Combo_Gym_Offense)))</f>
        <v>N/A</v>
      </c>
      <c r="K656" s="23" t="str">
        <f t="array" ref="K656">IF(OR(INDEX(Species_Availability,MATCH($N656,Species_Names,0))="No",INDEX(Species_Evo_Numbers,MATCH($N656,Species_Names,0))&lt;&gt;1),"N/A",RANK($Y656,IF(NOT(ISNA(MATCH(Combo_Species_Names,IF(Species_Availability="Yes",IF(Species_Evo_Numbers=1,Species_Names)),0))),Combo_Gym_Defense),0))</f>
        <v>N/A</v>
      </c>
      <c r="L656" s="24" t="str">
        <f t="array" ref="L656">IF(OR(INDEX(Species_Availability,MATCH($N656,Species_Names,0))="No",INDEX(Species_Evo_Numbers,MATCH($N656,Species_Names,0))&lt;&gt;1),"N/A",$Y656/MAX(IF(NOT(ISNA(MATCH(Combo_Species_Names,IF(Species_Availability="Yes",IF(Species_Evo_Numbers=1,Species_Names)),0))),Combo_Gym_Defense)))</f>
        <v>N/A</v>
      </c>
      <c r="M656" s="28">
        <f t="array" ref="M656">INDEX(Species_Pdex_Numbers,MATCH($N656,Species_Names,0))</f>
        <v>4</v>
      </c>
      <c r="N656" s="30" t="s">
        <v>73</v>
      </c>
      <c r="O656" s="31" t="s">
        <v>64</v>
      </c>
      <c r="P656" s="31" t="s">
        <v>200</v>
      </c>
      <c r="Q656" s="17" t="e">
        <f t="shared" si="20"/>
        <v>#VALUE!</v>
      </c>
      <c r="R656" s="32" t="e">
        <f t="array" ref="R656">IF(OR(AND(COUNTBLANK(Combo_Opponent_Type_1)=1,COUNTBLANK(Combo_Opponent_Type_2)=0),AND(AND(COUNTBLANK(Combo_Opponent_Type_1)=0,COUNTBLANK(Combo_Opponent_Type_2)=0),Combo_Opponent_Type_1=Combo_Opponent_Type_2)),
"Check Types",($S656*INDEX(Species_Tankiness,MATCH($N656,Species_Names,0)))/225)</f>
        <v>#VALUE!</v>
      </c>
      <c r="S656" s="32" t="e">
        <f t="array" ref="S656">IF(OR(AND(COUNTBLANK(Combo_Opponent_Type_1)=1,COUNTBLANK(Combo_Opponent_Type_2)=0),AND(AND(COUNTBLANK(Combo_Opponent_Type_1)=0,COUNTBLANK(Combo_Opponent_Type_2)=0),Combo_Opponent_Type_1=Combo_Opponent_Type_2)),
"Check Types",(
IF($W656&gt;=((1-Game_Weave_Human_Error)*$X656),$W656,$X656)*INDEX(Species_Attack,MATCH($N656,Species_Names,0)))/11)</f>
        <v>#VALUE!</v>
      </c>
      <c r="T656" s="33" t="e">
        <f t="shared" si="21"/>
        <v>#VALUE!</v>
      </c>
      <c r="U656" s="33">
        <f t="array" ref="U6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656,Quick_Names,0))),Type_Species)),0),1)*IF(COUNTBLANK(Combo_Opponent_Type_2)=0,INDEX(Type_Damage_Multipliers,MATCH(Combo_Opponent_Type_2,IF(Type_Move=(INDEX(Quick_Type,MATCH($O656,Quick_Names,0))),Type_Species)),0),1)*(IF(OR(INDEX(Quick_Type,MATCH($O656,Quick_Names,0))=INDEX(Species_Type_1,MATCH($N656,Species_Names,0)),INDEX(Quick_Type,MATCH($O656,Quick_Names,0))=INDEX(Species_Type_2,MATCH($N656,Species_Names,0))),Game_STAB_Multiplier,1)))</f>
        <v>1</v>
      </c>
      <c r="V656" s="33">
        <f t="array" ref="V6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656,Charge_Names,0))),Type_Species)),0),1)*IF(COUNTBLANK(Combo_Opponent_Type_2)=0,INDEX(Type_Damage_Multipliers,MATCH(Combo_Opponent_Type_2,IF(Type_Move=(INDEX(Charge_Type,MATCH($P656,Charge_Names,0))),Type_Species)),0),1)*
IF(OR(INDEX(Charge_Type,MATCH($P656,Charge_Names,0))=INDEX(Species_Type_1,MATCH($N656,Species_Names,0)),INDEX(Charge_Type,MATCH($P656,Charge_Names,0))=INDEX(Species_Type_2,MATCH($N656,Species_Names,0))),Game_STAB_Multiplier,1))</f>
        <v>1.25</v>
      </c>
      <c r="W656" s="33" t="s">
        <v>453</v>
      </c>
      <c r="X656" s="33" t="s">
        <v>472</v>
      </c>
      <c r="Y656" s="32" t="e">
        <f t="array" ref="Y656">((($Z656)*
INDEX(Species_Attack,MATCH($N656,Species_Names,0))*
INDEX(Species_Tankiness,MATCH($N656,Species_Names,0)))/1000)</f>
        <v>#VALUE!</v>
      </c>
      <c r="Z656" s="33" t="s">
        <v>473</v>
      </c>
    </row>
    <row r="657" spans="1:26" ht="14.25" customHeight="1" x14ac:dyDescent="0.2">
      <c r="A657" s="86"/>
      <c r="B657" s="22" t="str">
        <f t="array" ref="B657">CONCATENATE(TEXT($M657,"000"),".",TEXT(INDEX(Quick_Number,MATCH($O657,Quick_Names,0)),"000"),".",TEXT(INDEX(Charge_Number,MATCH($P657,Charge_Names,0)),"000"))</f>
        <v>054.234.030</v>
      </c>
      <c r="C657" s="23" t="e">
        <f t="array" ref="C657">RANK($S657,IF(Combo_Species_Names=$N657,Combo_Gym_Offense),0)</f>
        <v>#VALUE!</v>
      </c>
      <c r="D657" s="24" t="e">
        <f t="array" ref="D657">$S657/MAX(IF(Combo_Species_Names=$N657,Combo_Gym_Offense))</f>
        <v>#VALUE!</v>
      </c>
      <c r="E657" s="23" t="e">
        <f t="array" ref="E657">RANK($Y657,IF(Combo_Species_Names=$N657,Combo_Gym_Defense),0)</f>
        <v>#VALUE!</v>
      </c>
      <c r="F657" s="25" t="e">
        <f t="array" ref="F657">$Y657/MAX(IF(Combo_Species_Names=$N657,Combo_Gym_Defense))</f>
        <v>#VALUE!</v>
      </c>
      <c r="G657" s="23" t="str">
        <f t="array" ref="G657">IF(OR(INDEX(Species_Availability,MATCH($N657,Species_Names,0))="No",INDEX(Species_Evo_Numbers,MATCH($N657,Species_Names,0))&lt;&gt;1),"N/A",RANK($R657,IF(NOT(ISNA(MATCH(Combo_Species_Names,IF(Species_Availability="Yes",IF(Species_Evo_Numbers=1,Species_Names)),0))),Combo_Duel_Ability),0))</f>
        <v>N/A</v>
      </c>
      <c r="H657" s="24" t="str">
        <f t="array" ref="H657">IF(OR(INDEX(Species_Availability,MATCH($N657,Species_Names,0))="No",INDEX(Species_Evo_Numbers,MATCH($N657,Species_Names,0))&lt;&gt;1),"N/A",$R657/MAX(IF(NOT(ISNA(MATCH(Combo_Species_Names,IF(Species_Availability="Yes",IF(Species_Evo_Numbers=1,Species_Names)),0))),Combo_Duel_Ability)))</f>
        <v>N/A</v>
      </c>
      <c r="I657" s="23" t="str">
        <f t="array" ref="I657">IF(OR(INDEX(Species_Availability,MATCH($N657,Species_Names,0))="No",INDEX(Species_Evo_Numbers,MATCH($N657,Species_Names,0))&lt;&gt;1),"N/A",RANK($S657,IF(NOT(ISNA(MATCH(Combo_Species_Names,IF(Species_Availability="Yes",IF(Species_Evo_Numbers=1,Species_Names)),0))),Combo_Gym_Offense),0))</f>
        <v>N/A</v>
      </c>
      <c r="J657" s="24" t="str">
        <f t="array" ref="J657">IF(OR(INDEX(Species_Availability,MATCH($N657,Species_Names,0))="No",INDEX(Species_Evo_Numbers,MATCH($N657,Species_Names,0))&lt;&gt;1),"N/A",$S657/MAX(IF(NOT(ISNA(MATCH(Combo_Species_Names,IF(Species_Availability="Yes",IF(Species_Evo_Numbers=1,Species_Names)),0))),Combo_Gym_Offense)))</f>
        <v>N/A</v>
      </c>
      <c r="K657" s="23" t="str">
        <f t="array" ref="K657">IF(OR(INDEX(Species_Availability,MATCH($N657,Species_Names,0))="No",INDEX(Species_Evo_Numbers,MATCH($N657,Species_Names,0))&lt;&gt;1),"N/A",RANK($Y657,IF(NOT(ISNA(MATCH(Combo_Species_Names,IF(Species_Availability="Yes",IF(Species_Evo_Numbers=1,Species_Names)),0))),Combo_Gym_Defense),0))</f>
        <v>N/A</v>
      </c>
      <c r="L657" s="24" t="str">
        <f t="array" ref="L657">IF(OR(INDEX(Species_Availability,MATCH($N657,Species_Names,0))="No",INDEX(Species_Evo_Numbers,MATCH($N657,Species_Names,0))&lt;&gt;1),"N/A",$Y657/MAX(IF(NOT(ISNA(MATCH(Combo_Species_Names,IF(Species_Availability="Yes",IF(Species_Evo_Numbers=1,Species_Names)),0))),Combo_Gym_Defense)))</f>
        <v>N/A</v>
      </c>
      <c r="M657" s="28">
        <f t="array" ref="M657">INDEX(Species_Pdex_Numbers,MATCH($N657,Species_Names,0))</f>
        <v>54</v>
      </c>
      <c r="N657" s="30" t="s">
        <v>197</v>
      </c>
      <c r="O657" s="31" t="s">
        <v>79</v>
      </c>
      <c r="P657" s="31" t="s">
        <v>283</v>
      </c>
      <c r="Q657" s="17" t="e">
        <f t="shared" si="20"/>
        <v>#VALUE!</v>
      </c>
      <c r="R657" s="32" t="e">
        <f t="array" ref="R657">IF(OR(AND(COUNTBLANK(Combo_Opponent_Type_1)=1,COUNTBLANK(Combo_Opponent_Type_2)=0),AND(AND(COUNTBLANK(Combo_Opponent_Type_1)=0,COUNTBLANK(Combo_Opponent_Type_2)=0),Combo_Opponent_Type_1=Combo_Opponent_Type_2)),
"Check Types",($S657*INDEX(Species_Tankiness,MATCH($N657,Species_Names,0)))/225)</f>
        <v>#VALUE!</v>
      </c>
      <c r="S657" s="32" t="e">
        <f t="array" ref="S657">IF(OR(AND(COUNTBLANK(Combo_Opponent_Type_1)=1,COUNTBLANK(Combo_Opponent_Type_2)=0),AND(AND(COUNTBLANK(Combo_Opponent_Type_1)=0,COUNTBLANK(Combo_Opponent_Type_2)=0),Combo_Opponent_Type_1=Combo_Opponent_Type_2)),
"Check Types",(
IF($W657&gt;=((1-Game_Weave_Human_Error)*$X657),$W657,$X657)*INDEX(Species_Attack,MATCH($N657,Species_Names,0)))/11)</f>
        <v>#VALUE!</v>
      </c>
      <c r="T657" s="33" t="e">
        <f t="shared" si="21"/>
        <v>#VALUE!</v>
      </c>
      <c r="U657" s="33">
        <f t="array" ref="U6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657,Quick_Names,0))),Type_Species)),0),1)*IF(COUNTBLANK(Combo_Opponent_Type_2)=0,INDEX(Type_Damage_Multipliers,MATCH(Combo_Opponent_Type_2,IF(Type_Move=(INDEX(Quick_Type,MATCH($O657,Quick_Names,0))),Type_Species)),0),1)*(IF(OR(INDEX(Quick_Type,MATCH($O657,Quick_Names,0))=INDEX(Species_Type_1,MATCH($N657,Species_Names,0)),INDEX(Quick_Type,MATCH($O657,Quick_Names,0))=INDEX(Species_Type_2,MATCH($N657,Species_Names,0))),Game_STAB_Multiplier,1)))</f>
        <v>1</v>
      </c>
      <c r="V657" s="33">
        <f t="array" ref="V6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657,Charge_Names,0))),Type_Species)),0),1)*IF(COUNTBLANK(Combo_Opponent_Type_2)=0,INDEX(Type_Damage_Multipliers,MATCH(Combo_Opponent_Type_2,IF(Type_Move=(INDEX(Charge_Type,MATCH($P657,Charge_Names,0))),Type_Species)),0),1)*
IF(OR(INDEX(Charge_Type,MATCH($P657,Charge_Names,0))=INDEX(Species_Type_1,MATCH($N657,Species_Names,0)),INDEX(Charge_Type,MATCH($P657,Charge_Names,0))=INDEX(Species_Type_2,MATCH($N657,Species_Names,0))),Game_STAB_Multiplier,1))</f>
        <v>1</v>
      </c>
      <c r="W657" s="33" t="s">
        <v>419</v>
      </c>
      <c r="X657" s="33" t="s">
        <v>937</v>
      </c>
      <c r="Y657" s="32" t="e">
        <f t="array" ref="Y657">((($Z657)*
INDEX(Species_Attack,MATCH($N657,Species_Names,0))*
INDEX(Species_Tankiness,MATCH($N657,Species_Names,0)))/1000)</f>
        <v>#VALUE!</v>
      </c>
      <c r="Z657" s="33" t="s">
        <v>938</v>
      </c>
    </row>
    <row r="658" spans="1:26" ht="14.25" customHeight="1" x14ac:dyDescent="0.2">
      <c r="A658" s="86"/>
      <c r="B658" s="22" t="str">
        <f t="array" ref="B658">CONCATENATE(TEXT($M658,"000"),".",TEXT(INDEX(Quick_Number,MATCH($O658,Quick_Names,0)),"000"),".",TEXT(INDEX(Charge_Number,MATCH($P658,Charge_Names,0)),"000"))</f>
        <v>133.219.026</v>
      </c>
      <c r="C658" s="23" t="e">
        <f t="array" ref="C658">RANK($S658,IF(Combo_Species_Names=$N658,Combo_Gym_Offense),0)</f>
        <v>#VALUE!</v>
      </c>
      <c r="D658" s="24" t="e">
        <f t="array" ref="D658">$S658/MAX(IF(Combo_Species_Names=$N658,Combo_Gym_Offense))</f>
        <v>#VALUE!</v>
      </c>
      <c r="E658" s="23" t="e">
        <f t="array" ref="E658">RANK($Y658,IF(Combo_Species_Names=$N658,Combo_Gym_Defense),0)</f>
        <v>#VALUE!</v>
      </c>
      <c r="F658" s="25" t="e">
        <f t="array" ref="F658">$Y658/MAX(IF(Combo_Species_Names=$N658,Combo_Gym_Defense))</f>
        <v>#VALUE!</v>
      </c>
      <c r="G658" s="23" t="str">
        <f t="array" ref="G658">IF(OR(INDEX(Species_Availability,MATCH($N658,Species_Names,0))="No",INDEX(Species_Evo_Numbers,MATCH($N658,Species_Names,0))&lt;&gt;1),"N/A",RANK($R658,IF(NOT(ISNA(MATCH(Combo_Species_Names,IF(Species_Availability="Yes",IF(Species_Evo_Numbers=1,Species_Names)),0))),Combo_Duel_Ability),0))</f>
        <v>N/A</v>
      </c>
      <c r="H658" s="24" t="str">
        <f t="array" ref="H658">IF(OR(INDEX(Species_Availability,MATCH($N658,Species_Names,0))="No",INDEX(Species_Evo_Numbers,MATCH($N658,Species_Names,0))&lt;&gt;1),"N/A",$R658/MAX(IF(NOT(ISNA(MATCH(Combo_Species_Names,IF(Species_Availability="Yes",IF(Species_Evo_Numbers=1,Species_Names)),0))),Combo_Duel_Ability)))</f>
        <v>N/A</v>
      </c>
      <c r="I658" s="23" t="str">
        <f t="array" ref="I658">IF(OR(INDEX(Species_Availability,MATCH($N658,Species_Names,0))="No",INDEX(Species_Evo_Numbers,MATCH($N658,Species_Names,0))&lt;&gt;1),"N/A",RANK($S658,IF(NOT(ISNA(MATCH(Combo_Species_Names,IF(Species_Availability="Yes",IF(Species_Evo_Numbers=1,Species_Names)),0))),Combo_Gym_Offense),0))</f>
        <v>N/A</v>
      </c>
      <c r="J658" s="24" t="str">
        <f t="array" ref="J658">IF(OR(INDEX(Species_Availability,MATCH($N658,Species_Names,0))="No",INDEX(Species_Evo_Numbers,MATCH($N658,Species_Names,0))&lt;&gt;1),"N/A",$S658/MAX(IF(NOT(ISNA(MATCH(Combo_Species_Names,IF(Species_Availability="Yes",IF(Species_Evo_Numbers=1,Species_Names)),0))),Combo_Gym_Offense)))</f>
        <v>N/A</v>
      </c>
      <c r="K658" s="23" t="str">
        <f t="array" ref="K658">IF(OR(INDEX(Species_Availability,MATCH($N658,Species_Names,0))="No",INDEX(Species_Evo_Numbers,MATCH($N658,Species_Names,0))&lt;&gt;1),"N/A",RANK($Y658,IF(NOT(ISNA(MATCH(Combo_Species_Names,IF(Species_Availability="Yes",IF(Species_Evo_Numbers=1,Species_Names)),0))),Combo_Gym_Defense),0))</f>
        <v>N/A</v>
      </c>
      <c r="L658" s="24" t="str">
        <f t="array" ref="L658">IF(OR(INDEX(Species_Availability,MATCH($N658,Species_Names,0))="No",INDEX(Species_Evo_Numbers,MATCH($N658,Species_Names,0))&lt;&gt;1),"N/A",$Y658/MAX(IF(NOT(ISNA(MATCH(Combo_Species_Names,IF(Species_Availability="Yes",IF(Species_Evo_Numbers=1,Species_Names)),0))),Combo_Gym_Defense)))</f>
        <v>N/A</v>
      </c>
      <c r="M658" s="28">
        <f t="array" ref="M658">INDEX(Species_Pdex_Numbers,MATCH($N658,Species_Names,0))</f>
        <v>133</v>
      </c>
      <c r="N658" s="30" t="s">
        <v>351</v>
      </c>
      <c r="O658" s="31" t="s">
        <v>119</v>
      </c>
      <c r="P658" s="31" t="s">
        <v>264</v>
      </c>
      <c r="Q658" s="17" t="e">
        <f t="shared" si="20"/>
        <v>#VALUE!</v>
      </c>
      <c r="R658" s="32" t="e">
        <f t="array" ref="R658">IF(OR(AND(COUNTBLANK(Combo_Opponent_Type_1)=1,COUNTBLANK(Combo_Opponent_Type_2)=0),AND(AND(COUNTBLANK(Combo_Opponent_Type_1)=0,COUNTBLANK(Combo_Opponent_Type_2)=0),Combo_Opponent_Type_1=Combo_Opponent_Type_2)),
"Check Types",($S658*INDEX(Species_Tankiness,MATCH($N658,Species_Names,0)))/225)</f>
        <v>#VALUE!</v>
      </c>
      <c r="S658" s="32" t="e">
        <f t="array" ref="S658">IF(OR(AND(COUNTBLANK(Combo_Opponent_Type_1)=1,COUNTBLANK(Combo_Opponent_Type_2)=0),AND(AND(COUNTBLANK(Combo_Opponent_Type_1)=0,COUNTBLANK(Combo_Opponent_Type_2)=0),Combo_Opponent_Type_1=Combo_Opponent_Type_2)),
"Check Types",(
IF($W658&gt;=((1-Game_Weave_Human_Error)*$X658),$W658,$X658)*INDEX(Species_Attack,MATCH($N658,Species_Names,0)))/11)</f>
        <v>#VALUE!</v>
      </c>
      <c r="T658" s="33" t="e">
        <f t="shared" si="21"/>
        <v>#VALUE!</v>
      </c>
      <c r="U658" s="33">
        <f t="array" ref="U6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658,Quick_Names,0))),Type_Species)),0),1)*IF(COUNTBLANK(Combo_Opponent_Type_2)=0,INDEX(Type_Damage_Multipliers,MATCH(Combo_Opponent_Type_2,IF(Type_Move=(INDEX(Quick_Type,MATCH($O658,Quick_Names,0))),Type_Species)),0),1)*(IF(OR(INDEX(Quick_Type,MATCH($O658,Quick_Names,0))=INDEX(Species_Type_1,MATCH($N658,Species_Names,0)),INDEX(Quick_Type,MATCH($O658,Quick_Names,0))=INDEX(Species_Type_2,MATCH($N658,Species_Names,0))),Game_STAB_Multiplier,1)))</f>
        <v>1.25</v>
      </c>
      <c r="V658" s="33">
        <f t="array" ref="V6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658,Charge_Names,0))),Type_Species)),0),1)*IF(COUNTBLANK(Combo_Opponent_Type_2)=0,INDEX(Type_Damage_Multipliers,MATCH(Combo_Opponent_Type_2,IF(Type_Move=(INDEX(Charge_Type,MATCH($P658,Charge_Names,0))),Type_Species)),0),1)*
IF(OR(INDEX(Charge_Type,MATCH($P658,Charge_Names,0))=INDEX(Species_Type_1,MATCH($N658,Species_Names,0)),INDEX(Charge_Type,MATCH($P658,Charge_Names,0))=INDEX(Species_Type_2,MATCH($N658,Species_Names,0))),Game_STAB_Multiplier,1))</f>
        <v>1</v>
      </c>
      <c r="W658" s="33" t="s">
        <v>564</v>
      </c>
      <c r="X658" s="33" t="s">
        <v>921</v>
      </c>
      <c r="Y658" s="32" t="e">
        <f t="array" ref="Y658">((($Z658)*
INDEX(Species_Attack,MATCH($N658,Species_Names,0))*
INDEX(Species_Tankiness,MATCH($N658,Species_Names,0)))/1000)</f>
        <v>#VALUE!</v>
      </c>
      <c r="Z658" s="33" t="s">
        <v>693</v>
      </c>
    </row>
    <row r="659" spans="1:26" ht="14.25" customHeight="1" x14ac:dyDescent="0.2">
      <c r="A659" s="86"/>
      <c r="B659" s="22" t="str">
        <f t="array" ref="B659">CONCATENATE(TEXT($M659,"000"),".",TEXT(INDEX(Quick_Number,MATCH($O659,Quick_Names,0)),"000"),".",TEXT(INDEX(Charge_Number,MATCH($P659,Charge_Names,0)),"000"))</f>
        <v>029.202.131</v>
      </c>
      <c r="C659" s="23" t="e">
        <f t="array" ref="C659">RANK($S659,IF(Combo_Species_Names=$N659,Combo_Gym_Offense),0)</f>
        <v>#VALUE!</v>
      </c>
      <c r="D659" s="24" t="e">
        <f t="array" ref="D659">$S659/MAX(IF(Combo_Species_Names=$N659,Combo_Gym_Offense))</f>
        <v>#VALUE!</v>
      </c>
      <c r="E659" s="23" t="e">
        <f t="array" ref="E659">RANK($Y659,IF(Combo_Species_Names=$N659,Combo_Gym_Defense),0)</f>
        <v>#VALUE!</v>
      </c>
      <c r="F659" s="25" t="e">
        <f t="array" ref="F659">$Y659/MAX(IF(Combo_Species_Names=$N659,Combo_Gym_Defense))</f>
        <v>#VALUE!</v>
      </c>
      <c r="G659" s="23" t="str">
        <f t="array" ref="G659">IF(OR(INDEX(Species_Availability,MATCH($N659,Species_Names,0))="No",INDEX(Species_Evo_Numbers,MATCH($N659,Species_Names,0))&lt;&gt;1),"N/A",RANK($R659,IF(NOT(ISNA(MATCH(Combo_Species_Names,IF(Species_Availability="Yes",IF(Species_Evo_Numbers=1,Species_Names)),0))),Combo_Duel_Ability),0))</f>
        <v>N/A</v>
      </c>
      <c r="H659" s="24" t="str">
        <f t="array" ref="H659">IF(OR(INDEX(Species_Availability,MATCH($N659,Species_Names,0))="No",INDEX(Species_Evo_Numbers,MATCH($N659,Species_Names,0))&lt;&gt;1),"N/A",$R659/MAX(IF(NOT(ISNA(MATCH(Combo_Species_Names,IF(Species_Availability="Yes",IF(Species_Evo_Numbers=1,Species_Names)),0))),Combo_Duel_Ability)))</f>
        <v>N/A</v>
      </c>
      <c r="I659" s="23" t="str">
        <f t="array" ref="I659">IF(OR(INDEX(Species_Availability,MATCH($N659,Species_Names,0))="No",INDEX(Species_Evo_Numbers,MATCH($N659,Species_Names,0))&lt;&gt;1),"N/A",RANK($S659,IF(NOT(ISNA(MATCH(Combo_Species_Names,IF(Species_Availability="Yes",IF(Species_Evo_Numbers=1,Species_Names)),0))),Combo_Gym_Offense),0))</f>
        <v>N/A</v>
      </c>
      <c r="J659" s="24" t="str">
        <f t="array" ref="J659">IF(OR(INDEX(Species_Availability,MATCH($N659,Species_Names,0))="No",INDEX(Species_Evo_Numbers,MATCH($N659,Species_Names,0))&lt;&gt;1),"N/A",$S659/MAX(IF(NOT(ISNA(MATCH(Combo_Species_Names,IF(Species_Availability="Yes",IF(Species_Evo_Numbers=1,Species_Names)),0))),Combo_Gym_Offense)))</f>
        <v>N/A</v>
      </c>
      <c r="K659" s="23" t="str">
        <f t="array" ref="K659">IF(OR(INDEX(Species_Availability,MATCH($N659,Species_Names,0))="No",INDEX(Species_Evo_Numbers,MATCH($N659,Species_Names,0))&lt;&gt;1),"N/A",RANK($Y659,IF(NOT(ISNA(MATCH(Combo_Species_Names,IF(Species_Availability="Yes",IF(Species_Evo_Numbers=1,Species_Names)),0))),Combo_Gym_Defense),0))</f>
        <v>N/A</v>
      </c>
      <c r="L659" s="24" t="str">
        <f t="array" ref="L659">IF(OR(INDEX(Species_Availability,MATCH($N659,Species_Names,0))="No",INDEX(Species_Evo_Numbers,MATCH($N659,Species_Names,0))&lt;&gt;1),"N/A",$Y659/MAX(IF(NOT(ISNA(MATCH(Combo_Species_Names,IF(Species_Availability="Yes",IF(Species_Evo_Numbers=1,Species_Names)),0))),Combo_Gym_Defense)))</f>
        <v>N/A</v>
      </c>
      <c r="M659" s="28">
        <f t="array" ref="M659">INDEX(Species_Pdex_Numbers,MATCH($N659,Species_Names,0))</f>
        <v>29</v>
      </c>
      <c r="N659" s="30" t="s">
        <v>148</v>
      </c>
      <c r="O659" s="31" t="s">
        <v>59</v>
      </c>
      <c r="P659" s="31" t="s">
        <v>151</v>
      </c>
      <c r="Q659" s="17" t="e">
        <f t="shared" si="20"/>
        <v>#VALUE!</v>
      </c>
      <c r="R659" s="32" t="e">
        <f t="array" ref="R659">IF(OR(AND(COUNTBLANK(Combo_Opponent_Type_1)=1,COUNTBLANK(Combo_Opponent_Type_2)=0),AND(AND(COUNTBLANK(Combo_Opponent_Type_1)=0,COUNTBLANK(Combo_Opponent_Type_2)=0),Combo_Opponent_Type_1=Combo_Opponent_Type_2)),
"Check Types",($S659*INDEX(Species_Tankiness,MATCH($N659,Species_Names,0)))/225)</f>
        <v>#VALUE!</v>
      </c>
      <c r="S659" s="32" t="e">
        <f t="array" ref="S659">IF(OR(AND(COUNTBLANK(Combo_Opponent_Type_1)=1,COUNTBLANK(Combo_Opponent_Type_2)=0),AND(AND(COUNTBLANK(Combo_Opponent_Type_1)=0,COUNTBLANK(Combo_Opponent_Type_2)=0),Combo_Opponent_Type_1=Combo_Opponent_Type_2)),
"Check Types",(
IF($W659&gt;=((1-Game_Weave_Human_Error)*$X659),$W659,$X659)*INDEX(Species_Attack,MATCH($N659,Species_Names,0)))/11)</f>
        <v>#VALUE!</v>
      </c>
      <c r="T659" s="33" t="e">
        <f t="shared" si="21"/>
        <v>#VALUE!</v>
      </c>
      <c r="U659" s="33">
        <f t="array" ref="U6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659,Quick_Names,0))),Type_Species)),0),1)*IF(COUNTBLANK(Combo_Opponent_Type_2)=0,INDEX(Type_Damage_Multipliers,MATCH(Combo_Opponent_Type_2,IF(Type_Move=(INDEX(Quick_Type,MATCH($O659,Quick_Names,0))),Type_Species)),0),1)*(IF(OR(INDEX(Quick_Type,MATCH($O659,Quick_Names,0))=INDEX(Species_Type_1,MATCH($N659,Species_Names,0)),INDEX(Quick_Type,MATCH($O659,Quick_Names,0))=INDEX(Species_Type_2,MATCH($N659,Species_Names,0))),Game_STAB_Multiplier,1)))</f>
        <v>1</v>
      </c>
      <c r="V659" s="33">
        <f t="array" ref="V6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659,Charge_Names,0))),Type_Species)),0),1)*IF(COUNTBLANK(Combo_Opponent_Type_2)=0,INDEX(Type_Damage_Multipliers,MATCH(Combo_Opponent_Type_2,IF(Type_Move=(INDEX(Charge_Type,MATCH($P659,Charge_Names,0))),Type_Species)),0),1)*
IF(OR(INDEX(Charge_Type,MATCH($P659,Charge_Names,0))=INDEX(Species_Type_1,MATCH($N659,Species_Names,0)),INDEX(Charge_Type,MATCH($P659,Charge_Names,0))=INDEX(Species_Type_2,MATCH($N659,Species_Names,0))),Game_STAB_Multiplier,1))</f>
        <v>1</v>
      </c>
      <c r="W659" s="33" t="s">
        <v>453</v>
      </c>
      <c r="X659" s="33" t="s">
        <v>992</v>
      </c>
      <c r="Y659" s="32" t="e">
        <f t="array" ref="Y659">((($Z659)*
INDEX(Species_Attack,MATCH($N659,Species_Names,0))*
INDEX(Species_Tankiness,MATCH($N659,Species_Names,0)))/1000)</f>
        <v>#VALUE!</v>
      </c>
      <c r="Z659" s="33" t="s">
        <v>993</v>
      </c>
    </row>
    <row r="660" spans="1:26" ht="14.25" customHeight="1" x14ac:dyDescent="0.2">
      <c r="A660" s="86"/>
      <c r="B660" s="22" t="str">
        <f t="array" ref="B660">CONCATENATE(TEXT($M660,"000"),".",TEXT(INDEX(Quick_Number,MATCH($O660,Quick_Names,0)),"000"),".",TEXT(INDEX(Charge_Number,MATCH($P660,Charge_Names,0)),"000"))</f>
        <v>109.221.016</v>
      </c>
      <c r="C660" s="23" t="e">
        <f t="array" ref="C660">RANK($S660,IF(Combo_Species_Names=$N660,Combo_Gym_Offense),0)</f>
        <v>#VALUE!</v>
      </c>
      <c r="D660" s="24" t="e">
        <f t="array" ref="D660">$S660/MAX(IF(Combo_Species_Names=$N660,Combo_Gym_Offense))</f>
        <v>#VALUE!</v>
      </c>
      <c r="E660" s="23" t="e">
        <f t="array" ref="E660">RANK($Y660,IF(Combo_Species_Names=$N660,Combo_Gym_Defense),0)</f>
        <v>#VALUE!</v>
      </c>
      <c r="F660" s="25" t="e">
        <f t="array" ref="F660">$Y660/MAX(IF(Combo_Species_Names=$N660,Combo_Gym_Defense))</f>
        <v>#VALUE!</v>
      </c>
      <c r="G660" s="23" t="str">
        <f t="array" ref="G660">IF(OR(INDEX(Species_Availability,MATCH($N660,Species_Names,0))="No",INDEX(Species_Evo_Numbers,MATCH($N660,Species_Names,0))&lt;&gt;1),"N/A",RANK($R660,IF(NOT(ISNA(MATCH(Combo_Species_Names,IF(Species_Availability="Yes",IF(Species_Evo_Numbers=1,Species_Names)),0))),Combo_Duel_Ability),0))</f>
        <v>N/A</v>
      </c>
      <c r="H660" s="24" t="str">
        <f t="array" ref="H660">IF(OR(INDEX(Species_Availability,MATCH($N660,Species_Names,0))="No",INDEX(Species_Evo_Numbers,MATCH($N660,Species_Names,0))&lt;&gt;1),"N/A",$R660/MAX(IF(NOT(ISNA(MATCH(Combo_Species_Names,IF(Species_Availability="Yes",IF(Species_Evo_Numbers=1,Species_Names)),0))),Combo_Duel_Ability)))</f>
        <v>N/A</v>
      </c>
      <c r="I660" s="23" t="str">
        <f t="array" ref="I660">IF(OR(INDEX(Species_Availability,MATCH($N660,Species_Names,0))="No",INDEX(Species_Evo_Numbers,MATCH($N660,Species_Names,0))&lt;&gt;1),"N/A",RANK($S660,IF(NOT(ISNA(MATCH(Combo_Species_Names,IF(Species_Availability="Yes",IF(Species_Evo_Numbers=1,Species_Names)),0))),Combo_Gym_Offense),0))</f>
        <v>N/A</v>
      </c>
      <c r="J660" s="24" t="str">
        <f t="array" ref="J660">IF(OR(INDEX(Species_Availability,MATCH($N660,Species_Names,0))="No",INDEX(Species_Evo_Numbers,MATCH($N660,Species_Names,0))&lt;&gt;1),"N/A",$S660/MAX(IF(NOT(ISNA(MATCH(Combo_Species_Names,IF(Species_Availability="Yes",IF(Species_Evo_Numbers=1,Species_Names)),0))),Combo_Gym_Offense)))</f>
        <v>N/A</v>
      </c>
      <c r="K660" s="23" t="str">
        <f t="array" ref="K660">IF(OR(INDEX(Species_Availability,MATCH($N660,Species_Names,0))="No",INDEX(Species_Evo_Numbers,MATCH($N660,Species_Names,0))&lt;&gt;1),"N/A",RANK($Y660,IF(NOT(ISNA(MATCH(Combo_Species_Names,IF(Species_Availability="Yes",IF(Species_Evo_Numbers=1,Species_Names)),0))),Combo_Gym_Defense),0))</f>
        <v>N/A</v>
      </c>
      <c r="L660" s="24" t="str">
        <f t="array" ref="L660">IF(OR(INDEX(Species_Availability,MATCH($N660,Species_Names,0))="No",INDEX(Species_Evo_Numbers,MATCH($N660,Species_Names,0))&lt;&gt;1),"N/A",$Y660/MAX(IF(NOT(ISNA(MATCH(Combo_Species_Names,IF(Species_Availability="Yes",IF(Species_Evo_Numbers=1,Species_Names)),0))),Combo_Gym_Defense)))</f>
        <v>N/A</v>
      </c>
      <c r="M660" s="28">
        <f t="array" ref="M660">INDEX(Species_Pdex_Numbers,MATCH($N660,Species_Names,0))</f>
        <v>109</v>
      </c>
      <c r="N660" s="30" t="s">
        <v>322</v>
      </c>
      <c r="O660" s="31" t="s">
        <v>91</v>
      </c>
      <c r="P660" s="31" t="s">
        <v>258</v>
      </c>
      <c r="Q660" s="17" t="e">
        <f t="shared" si="20"/>
        <v>#VALUE!</v>
      </c>
      <c r="R660" s="32" t="e">
        <f t="array" ref="R660">IF(OR(AND(COUNTBLANK(Combo_Opponent_Type_1)=1,COUNTBLANK(Combo_Opponent_Type_2)=0),AND(AND(COUNTBLANK(Combo_Opponent_Type_1)=0,COUNTBLANK(Combo_Opponent_Type_2)=0),Combo_Opponent_Type_1=Combo_Opponent_Type_2)),
"Check Types",($S660*INDEX(Species_Tankiness,MATCH($N660,Species_Names,0)))/225)</f>
        <v>#VALUE!</v>
      </c>
      <c r="S660" s="32" t="e">
        <f t="array" ref="S660">IF(OR(AND(COUNTBLANK(Combo_Opponent_Type_1)=1,COUNTBLANK(Combo_Opponent_Type_2)=0),AND(AND(COUNTBLANK(Combo_Opponent_Type_1)=0,COUNTBLANK(Combo_Opponent_Type_2)=0),Combo_Opponent_Type_1=Combo_Opponent_Type_2)),
"Check Types",(
IF($W660&gt;=((1-Game_Weave_Human_Error)*$X660),$W660,$X660)*INDEX(Species_Attack,MATCH($N660,Species_Names,0)))/11)</f>
        <v>#VALUE!</v>
      </c>
      <c r="T660" s="33" t="e">
        <f t="shared" si="21"/>
        <v>#VALUE!</v>
      </c>
      <c r="U660" s="33">
        <f t="array" ref="U6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660,Quick_Names,0))),Type_Species)),0),1)*IF(COUNTBLANK(Combo_Opponent_Type_2)=0,INDEX(Type_Damage_Multipliers,MATCH(Combo_Opponent_Type_2,IF(Type_Move=(INDEX(Quick_Type,MATCH($O660,Quick_Names,0))),Type_Species)),0),1)*(IF(OR(INDEX(Quick_Type,MATCH($O660,Quick_Names,0))=INDEX(Species_Type_1,MATCH($N660,Species_Names,0)),INDEX(Quick_Type,MATCH($O660,Quick_Names,0))=INDEX(Species_Type_2,MATCH($N660,Species_Names,0))),Game_STAB_Multiplier,1)))</f>
        <v>1</v>
      </c>
      <c r="V660" s="33">
        <f t="array" ref="V6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660,Charge_Names,0))),Type_Species)),0),1)*IF(COUNTBLANK(Combo_Opponent_Type_2)=0,INDEX(Type_Damage_Multipliers,MATCH(Combo_Opponent_Type_2,IF(Type_Move=(INDEX(Charge_Type,MATCH($P660,Charge_Names,0))),Type_Species)),0),1)*
IF(OR(INDEX(Charge_Type,MATCH($P660,Charge_Names,0))=INDEX(Species_Type_1,MATCH($N660,Species_Names,0)),INDEX(Charge_Type,MATCH($P660,Charge_Names,0))=INDEX(Species_Type_2,MATCH($N660,Species_Names,0))),Game_STAB_Multiplier,1))</f>
        <v>1</v>
      </c>
      <c r="W660" s="33" t="s">
        <v>658</v>
      </c>
      <c r="X660" s="33" t="s">
        <v>765</v>
      </c>
      <c r="Y660" s="32" t="e">
        <f t="array" ref="Y660">((($Z660)*
INDEX(Species_Attack,MATCH($N660,Species_Names,0))*
INDEX(Species_Tankiness,MATCH($N660,Species_Names,0)))/1000)</f>
        <v>#VALUE!</v>
      </c>
      <c r="Z660" s="33" t="s">
        <v>739</v>
      </c>
    </row>
    <row r="661" spans="1:26" ht="14.25" customHeight="1" x14ac:dyDescent="0.2">
      <c r="A661" s="86"/>
      <c r="B661" s="22" t="str">
        <f t="array" ref="B661">CONCATENATE(TEXT($M661,"000"),".",TEXT(INDEX(Quick_Number,MATCH($O661,Quick_Names,0)),"000"),".",TEXT(INDEX(Charge_Number,MATCH($P661,Charge_Names,0)),"000"))</f>
        <v>064.235.086</v>
      </c>
      <c r="C661" s="23" t="e">
        <f t="array" ref="C661">RANK($S661,IF(Combo_Species_Names=$N661,Combo_Gym_Offense),0)</f>
        <v>#VALUE!</v>
      </c>
      <c r="D661" s="24" t="e">
        <f t="array" ref="D661">$S661/MAX(IF(Combo_Species_Names=$N661,Combo_Gym_Offense))</f>
        <v>#VALUE!</v>
      </c>
      <c r="E661" s="23" t="e">
        <f t="array" ref="E661">RANK($Y661,IF(Combo_Species_Names=$N661,Combo_Gym_Defense),0)</f>
        <v>#VALUE!</v>
      </c>
      <c r="F661" s="25" t="e">
        <f t="array" ref="F661">$Y661/MAX(IF(Combo_Species_Names=$N661,Combo_Gym_Defense))</f>
        <v>#VALUE!</v>
      </c>
      <c r="G661" s="23" t="str">
        <f t="array" ref="G661">IF(OR(INDEX(Species_Availability,MATCH($N661,Species_Names,0))="No",INDEX(Species_Evo_Numbers,MATCH($N661,Species_Names,0))&lt;&gt;1),"N/A",RANK($R661,IF(NOT(ISNA(MATCH(Combo_Species_Names,IF(Species_Availability="Yes",IF(Species_Evo_Numbers=1,Species_Names)),0))),Combo_Duel_Ability),0))</f>
        <v>N/A</v>
      </c>
      <c r="H661" s="24" t="str">
        <f t="array" ref="H661">IF(OR(INDEX(Species_Availability,MATCH($N661,Species_Names,0))="No",INDEX(Species_Evo_Numbers,MATCH($N661,Species_Names,0))&lt;&gt;1),"N/A",$R661/MAX(IF(NOT(ISNA(MATCH(Combo_Species_Names,IF(Species_Availability="Yes",IF(Species_Evo_Numbers=1,Species_Names)),0))),Combo_Duel_Ability)))</f>
        <v>N/A</v>
      </c>
      <c r="I661" s="23" t="str">
        <f t="array" ref="I661">IF(OR(INDEX(Species_Availability,MATCH($N661,Species_Names,0))="No",INDEX(Species_Evo_Numbers,MATCH($N661,Species_Names,0))&lt;&gt;1),"N/A",RANK($S661,IF(NOT(ISNA(MATCH(Combo_Species_Names,IF(Species_Availability="Yes",IF(Species_Evo_Numbers=1,Species_Names)),0))),Combo_Gym_Offense),0))</f>
        <v>N/A</v>
      </c>
      <c r="J661" s="24" t="str">
        <f t="array" ref="J661">IF(OR(INDEX(Species_Availability,MATCH($N661,Species_Names,0))="No",INDEX(Species_Evo_Numbers,MATCH($N661,Species_Names,0))&lt;&gt;1),"N/A",$S661/MAX(IF(NOT(ISNA(MATCH(Combo_Species_Names,IF(Species_Availability="Yes",IF(Species_Evo_Numbers=1,Species_Names)),0))),Combo_Gym_Offense)))</f>
        <v>N/A</v>
      </c>
      <c r="K661" s="23" t="str">
        <f t="array" ref="K661">IF(OR(INDEX(Species_Availability,MATCH($N661,Species_Names,0))="No",INDEX(Species_Evo_Numbers,MATCH($N661,Species_Names,0))&lt;&gt;1),"N/A",RANK($Y661,IF(NOT(ISNA(MATCH(Combo_Species_Names,IF(Species_Availability="Yes",IF(Species_Evo_Numbers=1,Species_Names)),0))),Combo_Gym_Defense),0))</f>
        <v>N/A</v>
      </c>
      <c r="L661" s="24" t="str">
        <f t="array" ref="L661">IF(OR(INDEX(Species_Availability,MATCH($N661,Species_Names,0))="No",INDEX(Species_Evo_Numbers,MATCH($N661,Species_Names,0))&lt;&gt;1),"N/A",$Y661/MAX(IF(NOT(ISNA(MATCH(Combo_Species_Names,IF(Species_Availability="Yes",IF(Species_Evo_Numbers=1,Species_Names)),0))),Combo_Gym_Defense)))</f>
        <v>N/A</v>
      </c>
      <c r="M661" s="28">
        <f t="array" ref="M661">INDEX(Species_Pdex_Numbers,MATCH($N661,Species_Names,0))</f>
        <v>64</v>
      </c>
      <c r="N661" s="30" t="s">
        <v>219</v>
      </c>
      <c r="O661" s="31" t="s">
        <v>108</v>
      </c>
      <c r="P661" s="31" t="s">
        <v>257</v>
      </c>
      <c r="Q661" s="17" t="e">
        <f t="shared" si="20"/>
        <v>#VALUE!</v>
      </c>
      <c r="R661" s="32" t="e">
        <f t="array" ref="R661">IF(OR(AND(COUNTBLANK(Combo_Opponent_Type_1)=1,COUNTBLANK(Combo_Opponent_Type_2)=0),AND(AND(COUNTBLANK(Combo_Opponent_Type_1)=0,COUNTBLANK(Combo_Opponent_Type_2)=0),Combo_Opponent_Type_1=Combo_Opponent_Type_2)),
"Check Types",($S661*INDEX(Species_Tankiness,MATCH($N661,Species_Names,0)))/225)</f>
        <v>#VALUE!</v>
      </c>
      <c r="S661" s="32" t="e">
        <f t="array" ref="S661">IF(OR(AND(COUNTBLANK(Combo_Opponent_Type_1)=1,COUNTBLANK(Combo_Opponent_Type_2)=0),AND(AND(COUNTBLANK(Combo_Opponent_Type_1)=0,COUNTBLANK(Combo_Opponent_Type_2)=0),Combo_Opponent_Type_1=Combo_Opponent_Type_2)),
"Check Types",(
IF($W661&gt;=((1-Game_Weave_Human_Error)*$X661),$W661,$X661)*INDEX(Species_Attack,MATCH($N661,Species_Names,0)))/11)</f>
        <v>#VALUE!</v>
      </c>
      <c r="T661" s="33" t="e">
        <f t="shared" si="21"/>
        <v>#VALUE!</v>
      </c>
      <c r="U661" s="33">
        <f t="array" ref="U6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661,Quick_Names,0))),Type_Species)),0),1)*IF(COUNTBLANK(Combo_Opponent_Type_2)=0,INDEX(Type_Damage_Multipliers,MATCH(Combo_Opponent_Type_2,IF(Type_Move=(INDEX(Quick_Type,MATCH($O661,Quick_Names,0))),Type_Species)),0),1)*(IF(OR(INDEX(Quick_Type,MATCH($O661,Quick_Names,0))=INDEX(Species_Type_1,MATCH($N661,Species_Names,0)),INDEX(Quick_Type,MATCH($O661,Quick_Names,0))=INDEX(Species_Type_2,MATCH($N661,Species_Names,0))),Game_STAB_Multiplier,1)))</f>
        <v>1.25</v>
      </c>
      <c r="V661" s="33">
        <f t="array" ref="V6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661,Charge_Names,0))),Type_Species)),0),1)*IF(COUNTBLANK(Combo_Opponent_Type_2)=0,INDEX(Type_Damage_Multipliers,MATCH(Combo_Opponent_Type_2,IF(Type_Move=(INDEX(Charge_Type,MATCH($P661,Charge_Names,0))),Type_Species)),0),1)*
IF(OR(INDEX(Charge_Type,MATCH($P661,Charge_Names,0))=INDEX(Species_Type_1,MATCH($N661,Species_Names,0)),INDEX(Charge_Type,MATCH($P661,Charge_Names,0))=INDEX(Species_Type_2,MATCH($N661,Species_Names,0))),Game_STAB_Multiplier,1))</f>
        <v>1</v>
      </c>
      <c r="W661" s="33" t="s">
        <v>467</v>
      </c>
      <c r="X661" s="33" t="s">
        <v>663</v>
      </c>
      <c r="Y661" s="32" t="e">
        <f t="array" ref="Y661">((($Z661)*
INDEX(Species_Attack,MATCH($N661,Species_Names,0))*
INDEX(Species_Tankiness,MATCH($N661,Species_Names,0)))/1000)</f>
        <v>#VALUE!</v>
      </c>
      <c r="Z661" s="33" t="s">
        <v>881</v>
      </c>
    </row>
    <row r="662" spans="1:26" ht="14.25" customHeight="1" x14ac:dyDescent="0.2">
      <c r="A662" s="86"/>
      <c r="B662" s="22" t="str">
        <f t="array" ref="B662">CONCATENATE(TEXT($M662,"000"),".",TEXT(INDEX(Quick_Number,MATCH($O662,Quick_Names,0)),"000"),".",TEXT(INDEX(Charge_Number,MATCH($P662,Charge_Names,0)),"000"))</f>
        <v>064.235.070</v>
      </c>
      <c r="C662" s="23" t="e">
        <f t="array" ref="C662">RANK($S662,IF(Combo_Species_Names=$N662,Combo_Gym_Offense),0)</f>
        <v>#VALUE!</v>
      </c>
      <c r="D662" s="24" t="e">
        <f t="array" ref="D662">$S662/MAX(IF(Combo_Species_Names=$N662,Combo_Gym_Offense))</f>
        <v>#VALUE!</v>
      </c>
      <c r="E662" s="23" t="e">
        <f t="array" ref="E662">RANK($Y662,IF(Combo_Species_Names=$N662,Combo_Gym_Defense),0)</f>
        <v>#VALUE!</v>
      </c>
      <c r="F662" s="25" t="e">
        <f t="array" ref="F662">$Y662/MAX(IF(Combo_Species_Names=$N662,Combo_Gym_Defense))</f>
        <v>#VALUE!</v>
      </c>
      <c r="G662" s="23" t="str">
        <f t="array" ref="G662">IF(OR(INDEX(Species_Availability,MATCH($N662,Species_Names,0))="No",INDEX(Species_Evo_Numbers,MATCH($N662,Species_Names,0))&lt;&gt;1),"N/A",RANK($R662,IF(NOT(ISNA(MATCH(Combo_Species_Names,IF(Species_Availability="Yes",IF(Species_Evo_Numbers=1,Species_Names)),0))),Combo_Duel_Ability),0))</f>
        <v>N/A</v>
      </c>
      <c r="H662" s="24" t="str">
        <f t="array" ref="H662">IF(OR(INDEX(Species_Availability,MATCH($N662,Species_Names,0))="No",INDEX(Species_Evo_Numbers,MATCH($N662,Species_Names,0))&lt;&gt;1),"N/A",$R662/MAX(IF(NOT(ISNA(MATCH(Combo_Species_Names,IF(Species_Availability="Yes",IF(Species_Evo_Numbers=1,Species_Names)),0))),Combo_Duel_Ability)))</f>
        <v>N/A</v>
      </c>
      <c r="I662" s="23" t="str">
        <f t="array" ref="I662">IF(OR(INDEX(Species_Availability,MATCH($N662,Species_Names,0))="No",INDEX(Species_Evo_Numbers,MATCH($N662,Species_Names,0))&lt;&gt;1),"N/A",RANK($S662,IF(NOT(ISNA(MATCH(Combo_Species_Names,IF(Species_Availability="Yes",IF(Species_Evo_Numbers=1,Species_Names)),0))),Combo_Gym_Offense),0))</f>
        <v>N/A</v>
      </c>
      <c r="J662" s="24" t="str">
        <f t="array" ref="J662">IF(OR(INDEX(Species_Availability,MATCH($N662,Species_Names,0))="No",INDEX(Species_Evo_Numbers,MATCH($N662,Species_Names,0))&lt;&gt;1),"N/A",$S662/MAX(IF(NOT(ISNA(MATCH(Combo_Species_Names,IF(Species_Availability="Yes",IF(Species_Evo_Numbers=1,Species_Names)),0))),Combo_Gym_Offense)))</f>
        <v>N/A</v>
      </c>
      <c r="K662" s="23" t="str">
        <f t="array" ref="K662">IF(OR(INDEX(Species_Availability,MATCH($N662,Species_Names,0))="No",INDEX(Species_Evo_Numbers,MATCH($N662,Species_Names,0))&lt;&gt;1),"N/A",RANK($Y662,IF(NOT(ISNA(MATCH(Combo_Species_Names,IF(Species_Availability="Yes",IF(Species_Evo_Numbers=1,Species_Names)),0))),Combo_Gym_Defense),0))</f>
        <v>N/A</v>
      </c>
      <c r="L662" s="24" t="str">
        <f t="array" ref="L662">IF(OR(INDEX(Species_Availability,MATCH($N662,Species_Names,0))="No",INDEX(Species_Evo_Numbers,MATCH($N662,Species_Names,0))&lt;&gt;1),"N/A",$Y662/MAX(IF(NOT(ISNA(MATCH(Combo_Species_Names,IF(Species_Availability="Yes",IF(Species_Evo_Numbers=1,Species_Names)),0))),Combo_Gym_Defense)))</f>
        <v>N/A</v>
      </c>
      <c r="M662" s="28">
        <f t="array" ref="M662">INDEX(Species_Pdex_Numbers,MATCH($N662,Species_Names,0))</f>
        <v>64</v>
      </c>
      <c r="N662" s="30" t="s">
        <v>219</v>
      </c>
      <c r="O662" s="31" t="s">
        <v>108</v>
      </c>
      <c r="P662" s="31" t="s">
        <v>234</v>
      </c>
      <c r="Q662" s="17" t="e">
        <f t="shared" si="20"/>
        <v>#VALUE!</v>
      </c>
      <c r="R662" s="32" t="e">
        <f t="array" ref="R662">IF(OR(AND(COUNTBLANK(Combo_Opponent_Type_1)=1,COUNTBLANK(Combo_Opponent_Type_2)=0),AND(AND(COUNTBLANK(Combo_Opponent_Type_1)=0,COUNTBLANK(Combo_Opponent_Type_2)=0),Combo_Opponent_Type_1=Combo_Opponent_Type_2)),
"Check Types",($S662*INDEX(Species_Tankiness,MATCH($N662,Species_Names,0)))/225)</f>
        <v>#VALUE!</v>
      </c>
      <c r="S662" s="32" t="e">
        <f t="array" ref="S662">IF(OR(AND(COUNTBLANK(Combo_Opponent_Type_1)=1,COUNTBLANK(Combo_Opponent_Type_2)=0),AND(AND(COUNTBLANK(Combo_Opponent_Type_1)=0,COUNTBLANK(Combo_Opponent_Type_2)=0),Combo_Opponent_Type_1=Combo_Opponent_Type_2)),
"Check Types",(
IF($W662&gt;=((1-Game_Weave_Human_Error)*$X662),$W662,$X662)*INDEX(Species_Attack,MATCH($N662,Species_Names,0)))/11)</f>
        <v>#VALUE!</v>
      </c>
      <c r="T662" s="33" t="e">
        <f t="shared" si="21"/>
        <v>#VALUE!</v>
      </c>
      <c r="U662" s="33">
        <f t="array" ref="U6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662,Quick_Names,0))),Type_Species)),0),1)*IF(COUNTBLANK(Combo_Opponent_Type_2)=0,INDEX(Type_Damage_Multipliers,MATCH(Combo_Opponent_Type_2,IF(Type_Move=(INDEX(Quick_Type,MATCH($O662,Quick_Names,0))),Type_Species)),0),1)*(IF(OR(INDEX(Quick_Type,MATCH($O662,Quick_Names,0))=INDEX(Species_Type_1,MATCH($N662,Species_Names,0)),INDEX(Quick_Type,MATCH($O662,Quick_Names,0))=INDEX(Species_Type_2,MATCH($N662,Species_Names,0))),Game_STAB_Multiplier,1)))</f>
        <v>1.25</v>
      </c>
      <c r="V662" s="33">
        <f t="array" ref="V6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662,Charge_Names,0))),Type_Species)),0),1)*IF(COUNTBLANK(Combo_Opponent_Type_2)=0,INDEX(Type_Damage_Multipliers,MATCH(Combo_Opponent_Type_2,IF(Type_Move=(INDEX(Charge_Type,MATCH($P662,Charge_Names,0))),Type_Species)),0),1)*
IF(OR(INDEX(Charge_Type,MATCH($P662,Charge_Names,0))=INDEX(Species_Type_1,MATCH($N662,Species_Names,0)),INDEX(Charge_Type,MATCH($P662,Charge_Names,0))=INDEX(Species_Type_2,MATCH($N662,Species_Names,0))),Game_STAB_Multiplier,1))</f>
        <v>1</v>
      </c>
      <c r="W662" s="33" t="s">
        <v>467</v>
      </c>
      <c r="X662" s="33" t="s">
        <v>689</v>
      </c>
      <c r="Y662" s="32" t="e">
        <f t="array" ref="Y662">((($Z662)*
INDEX(Species_Attack,MATCH($N662,Species_Names,0))*
INDEX(Species_Tankiness,MATCH($N662,Species_Names,0)))/1000)</f>
        <v>#VALUE!</v>
      </c>
      <c r="Z662" s="33" t="s">
        <v>471</v>
      </c>
    </row>
    <row r="663" spans="1:26" ht="14.25" customHeight="1" x14ac:dyDescent="0.2">
      <c r="A663" s="86"/>
      <c r="B663" s="22" t="str">
        <f t="array" ref="B663">CONCATENATE(TEXT($M663,"000"),".",TEXT(INDEX(Quick_Number,MATCH($O663,Quick_Names,0)),"000"),".",TEXT(INDEX(Charge_Number,MATCH($P663,Charge_Names,0)),"000"))</f>
        <v>064.235.030</v>
      </c>
      <c r="C663" s="23" t="e">
        <f t="array" ref="C663">RANK($S663,IF(Combo_Species_Names=$N663,Combo_Gym_Offense),0)</f>
        <v>#VALUE!</v>
      </c>
      <c r="D663" s="24" t="e">
        <f t="array" ref="D663">$S663/MAX(IF(Combo_Species_Names=$N663,Combo_Gym_Offense))</f>
        <v>#VALUE!</v>
      </c>
      <c r="E663" s="23" t="e">
        <f t="array" ref="E663">RANK($Y663,IF(Combo_Species_Names=$N663,Combo_Gym_Defense),0)</f>
        <v>#VALUE!</v>
      </c>
      <c r="F663" s="25" t="e">
        <f t="array" ref="F663">$Y663/MAX(IF(Combo_Species_Names=$N663,Combo_Gym_Defense))</f>
        <v>#VALUE!</v>
      </c>
      <c r="G663" s="23" t="str">
        <f t="array" ref="G663">IF(OR(INDEX(Species_Availability,MATCH($N663,Species_Names,0))="No",INDEX(Species_Evo_Numbers,MATCH($N663,Species_Names,0))&lt;&gt;1),"N/A",RANK($R663,IF(NOT(ISNA(MATCH(Combo_Species_Names,IF(Species_Availability="Yes",IF(Species_Evo_Numbers=1,Species_Names)),0))),Combo_Duel_Ability),0))</f>
        <v>N/A</v>
      </c>
      <c r="H663" s="24" t="str">
        <f t="array" ref="H663">IF(OR(INDEX(Species_Availability,MATCH($N663,Species_Names,0))="No",INDEX(Species_Evo_Numbers,MATCH($N663,Species_Names,0))&lt;&gt;1),"N/A",$R663/MAX(IF(NOT(ISNA(MATCH(Combo_Species_Names,IF(Species_Availability="Yes",IF(Species_Evo_Numbers=1,Species_Names)),0))),Combo_Duel_Ability)))</f>
        <v>N/A</v>
      </c>
      <c r="I663" s="23" t="str">
        <f t="array" ref="I663">IF(OR(INDEX(Species_Availability,MATCH($N663,Species_Names,0))="No",INDEX(Species_Evo_Numbers,MATCH($N663,Species_Names,0))&lt;&gt;1),"N/A",RANK($S663,IF(NOT(ISNA(MATCH(Combo_Species_Names,IF(Species_Availability="Yes",IF(Species_Evo_Numbers=1,Species_Names)),0))),Combo_Gym_Offense),0))</f>
        <v>N/A</v>
      </c>
      <c r="J663" s="24" t="str">
        <f t="array" ref="J663">IF(OR(INDEX(Species_Availability,MATCH($N663,Species_Names,0))="No",INDEX(Species_Evo_Numbers,MATCH($N663,Species_Names,0))&lt;&gt;1),"N/A",$S663/MAX(IF(NOT(ISNA(MATCH(Combo_Species_Names,IF(Species_Availability="Yes",IF(Species_Evo_Numbers=1,Species_Names)),0))),Combo_Gym_Offense)))</f>
        <v>N/A</v>
      </c>
      <c r="K663" s="23" t="str">
        <f t="array" ref="K663">IF(OR(INDEX(Species_Availability,MATCH($N663,Species_Names,0))="No",INDEX(Species_Evo_Numbers,MATCH($N663,Species_Names,0))&lt;&gt;1),"N/A",RANK($Y663,IF(NOT(ISNA(MATCH(Combo_Species_Names,IF(Species_Availability="Yes",IF(Species_Evo_Numbers=1,Species_Names)),0))),Combo_Gym_Defense),0))</f>
        <v>N/A</v>
      </c>
      <c r="L663" s="24" t="str">
        <f t="array" ref="L663">IF(OR(INDEX(Species_Availability,MATCH($N663,Species_Names,0))="No",INDEX(Species_Evo_Numbers,MATCH($N663,Species_Names,0))&lt;&gt;1),"N/A",$Y663/MAX(IF(NOT(ISNA(MATCH(Combo_Species_Names,IF(Species_Availability="Yes",IF(Species_Evo_Numbers=1,Species_Names)),0))),Combo_Gym_Defense)))</f>
        <v>N/A</v>
      </c>
      <c r="M663" s="28">
        <f t="array" ref="M663">INDEX(Species_Pdex_Numbers,MATCH($N663,Species_Names,0))</f>
        <v>64</v>
      </c>
      <c r="N663" s="30" t="s">
        <v>219</v>
      </c>
      <c r="O663" s="31" t="s">
        <v>108</v>
      </c>
      <c r="P663" s="31" t="s">
        <v>283</v>
      </c>
      <c r="Q663" s="17" t="e">
        <f t="shared" si="20"/>
        <v>#VALUE!</v>
      </c>
      <c r="R663" s="32" t="e">
        <f t="array" ref="R663">IF(OR(AND(COUNTBLANK(Combo_Opponent_Type_1)=1,COUNTBLANK(Combo_Opponent_Type_2)=0),AND(AND(COUNTBLANK(Combo_Opponent_Type_1)=0,COUNTBLANK(Combo_Opponent_Type_2)=0),Combo_Opponent_Type_1=Combo_Opponent_Type_2)),
"Check Types",($S663*INDEX(Species_Tankiness,MATCH($N663,Species_Names,0)))/225)</f>
        <v>#VALUE!</v>
      </c>
      <c r="S663" s="32" t="e">
        <f t="array" ref="S663">IF(OR(AND(COUNTBLANK(Combo_Opponent_Type_1)=1,COUNTBLANK(Combo_Opponent_Type_2)=0),AND(AND(COUNTBLANK(Combo_Opponent_Type_1)=0,COUNTBLANK(Combo_Opponent_Type_2)=0),Combo_Opponent_Type_1=Combo_Opponent_Type_2)),
"Check Types",(
IF($W663&gt;=((1-Game_Weave_Human_Error)*$X663),$W663,$X663)*INDEX(Species_Attack,MATCH($N663,Species_Names,0)))/11)</f>
        <v>#VALUE!</v>
      </c>
      <c r="T663" s="33" t="e">
        <f t="shared" si="21"/>
        <v>#VALUE!</v>
      </c>
      <c r="U663" s="33">
        <f t="array" ref="U6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663,Quick_Names,0))),Type_Species)),0),1)*IF(COUNTBLANK(Combo_Opponent_Type_2)=0,INDEX(Type_Damage_Multipliers,MATCH(Combo_Opponent_Type_2,IF(Type_Move=(INDEX(Quick_Type,MATCH($O663,Quick_Names,0))),Type_Species)),0),1)*(IF(OR(INDEX(Quick_Type,MATCH($O663,Quick_Names,0))=INDEX(Species_Type_1,MATCH($N663,Species_Names,0)),INDEX(Quick_Type,MATCH($O663,Quick_Names,0))=INDEX(Species_Type_2,MATCH($N663,Species_Names,0))),Game_STAB_Multiplier,1)))</f>
        <v>1.25</v>
      </c>
      <c r="V663" s="33">
        <f t="array" ref="V6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663,Charge_Names,0))),Type_Species)),0),1)*IF(COUNTBLANK(Combo_Opponent_Type_2)=0,INDEX(Type_Damage_Multipliers,MATCH(Combo_Opponent_Type_2,IF(Type_Move=(INDEX(Charge_Type,MATCH($P663,Charge_Names,0))),Type_Species)),0),1)*
IF(OR(INDEX(Charge_Type,MATCH($P663,Charge_Names,0))=INDEX(Species_Type_1,MATCH($N663,Species_Names,0)),INDEX(Charge_Type,MATCH($P663,Charge_Names,0))=INDEX(Species_Type_2,MATCH($N663,Species_Names,0))),Game_STAB_Multiplier,1))</f>
        <v>1.25</v>
      </c>
      <c r="W663" s="33" t="s">
        <v>467</v>
      </c>
      <c r="X663" s="33" t="s">
        <v>910</v>
      </c>
      <c r="Y663" s="32" t="e">
        <f t="array" ref="Y663">((($Z663)*
INDEX(Species_Attack,MATCH($N663,Species_Names,0))*
INDEX(Species_Tankiness,MATCH($N663,Species_Names,0)))/1000)</f>
        <v>#VALUE!</v>
      </c>
      <c r="Z663" s="33" t="s">
        <v>911</v>
      </c>
    </row>
    <row r="664" spans="1:26" ht="14.25" customHeight="1" x14ac:dyDescent="0.2">
      <c r="A664" s="86"/>
      <c r="B664" s="22" t="str">
        <f t="array" ref="B664">CONCATENATE(TEXT($M664,"000"),".",TEXT(INDEX(Quick_Number,MATCH($O664,Quick_Names,0)),"000"),".",TEXT(INDEX(Charge_Number,MATCH($P664,Charge_Names,0)),"000"))</f>
        <v>069.214.013</v>
      </c>
      <c r="C664" s="23" t="e">
        <f t="array" ref="C664">RANK($S664,IF(Combo_Species_Names=$N664,Combo_Gym_Offense),0)</f>
        <v>#VALUE!</v>
      </c>
      <c r="D664" s="24" t="e">
        <f t="array" ref="D664">$S664/MAX(IF(Combo_Species_Names=$N664,Combo_Gym_Offense))</f>
        <v>#VALUE!</v>
      </c>
      <c r="E664" s="23" t="e">
        <f t="array" ref="E664">RANK($Y664,IF(Combo_Species_Names=$N664,Combo_Gym_Defense),0)</f>
        <v>#VALUE!</v>
      </c>
      <c r="F664" s="25" t="e">
        <f t="array" ref="F664">$Y664/MAX(IF(Combo_Species_Names=$N664,Combo_Gym_Defense))</f>
        <v>#VALUE!</v>
      </c>
      <c r="G664" s="23" t="str">
        <f t="array" ref="G664">IF(OR(INDEX(Species_Availability,MATCH($N664,Species_Names,0))="No",INDEX(Species_Evo_Numbers,MATCH($N664,Species_Names,0))&lt;&gt;1),"N/A",RANK($R664,IF(NOT(ISNA(MATCH(Combo_Species_Names,IF(Species_Availability="Yes",IF(Species_Evo_Numbers=1,Species_Names)),0))),Combo_Duel_Ability),0))</f>
        <v>N/A</v>
      </c>
      <c r="H664" s="24" t="str">
        <f t="array" ref="H664">IF(OR(INDEX(Species_Availability,MATCH($N664,Species_Names,0))="No",INDEX(Species_Evo_Numbers,MATCH($N664,Species_Names,0))&lt;&gt;1),"N/A",$R664/MAX(IF(NOT(ISNA(MATCH(Combo_Species_Names,IF(Species_Availability="Yes",IF(Species_Evo_Numbers=1,Species_Names)),0))),Combo_Duel_Ability)))</f>
        <v>N/A</v>
      </c>
      <c r="I664" s="23" t="str">
        <f t="array" ref="I664">IF(OR(INDEX(Species_Availability,MATCH($N664,Species_Names,0))="No",INDEX(Species_Evo_Numbers,MATCH($N664,Species_Names,0))&lt;&gt;1),"N/A",RANK($S664,IF(NOT(ISNA(MATCH(Combo_Species_Names,IF(Species_Availability="Yes",IF(Species_Evo_Numbers=1,Species_Names)),0))),Combo_Gym_Offense),0))</f>
        <v>N/A</v>
      </c>
      <c r="J664" s="24" t="str">
        <f t="array" ref="J664">IF(OR(INDEX(Species_Availability,MATCH($N664,Species_Names,0))="No",INDEX(Species_Evo_Numbers,MATCH($N664,Species_Names,0))&lt;&gt;1),"N/A",$S664/MAX(IF(NOT(ISNA(MATCH(Combo_Species_Names,IF(Species_Availability="Yes",IF(Species_Evo_Numbers=1,Species_Names)),0))),Combo_Gym_Offense)))</f>
        <v>N/A</v>
      </c>
      <c r="K664" s="23" t="str">
        <f t="array" ref="K664">IF(OR(INDEX(Species_Availability,MATCH($N664,Species_Names,0))="No",INDEX(Species_Evo_Numbers,MATCH($N664,Species_Names,0))&lt;&gt;1),"N/A",RANK($Y664,IF(NOT(ISNA(MATCH(Combo_Species_Names,IF(Species_Availability="Yes",IF(Species_Evo_Numbers=1,Species_Names)),0))),Combo_Gym_Defense),0))</f>
        <v>N/A</v>
      </c>
      <c r="L664" s="24" t="str">
        <f t="array" ref="L664">IF(OR(INDEX(Species_Availability,MATCH($N664,Species_Names,0))="No",INDEX(Species_Evo_Numbers,MATCH($N664,Species_Names,0))&lt;&gt;1),"N/A",$Y664/MAX(IF(NOT(ISNA(MATCH(Combo_Species_Names,IF(Species_Availability="Yes",IF(Species_Evo_Numbers=1,Species_Names)),0))),Combo_Gym_Defense)))</f>
        <v>N/A</v>
      </c>
      <c r="M664" s="28">
        <f t="array" ref="M664">INDEX(Species_Pdex_Numbers,MATCH($N664,Species_Names,0))</f>
        <v>69</v>
      </c>
      <c r="N664" s="30" t="s">
        <v>229</v>
      </c>
      <c r="O664" s="31" t="s">
        <v>94</v>
      </c>
      <c r="P664" s="31" t="s">
        <v>321</v>
      </c>
      <c r="Q664" s="17" t="e">
        <f t="shared" si="20"/>
        <v>#VALUE!</v>
      </c>
      <c r="R664" s="32" t="e">
        <f t="array" ref="R664">IF(OR(AND(COUNTBLANK(Combo_Opponent_Type_1)=1,COUNTBLANK(Combo_Opponent_Type_2)=0),AND(AND(COUNTBLANK(Combo_Opponent_Type_1)=0,COUNTBLANK(Combo_Opponent_Type_2)=0),Combo_Opponent_Type_1=Combo_Opponent_Type_2)),
"Check Types",($S664*INDEX(Species_Tankiness,MATCH($N664,Species_Names,0)))/225)</f>
        <v>#VALUE!</v>
      </c>
      <c r="S664" s="32" t="e">
        <f t="array" ref="S664">IF(OR(AND(COUNTBLANK(Combo_Opponent_Type_1)=1,COUNTBLANK(Combo_Opponent_Type_2)=0),AND(AND(COUNTBLANK(Combo_Opponent_Type_1)=0,COUNTBLANK(Combo_Opponent_Type_2)=0),Combo_Opponent_Type_1=Combo_Opponent_Type_2)),
"Check Types",(
IF($W664&gt;=((1-Game_Weave_Human_Error)*$X664),$W664,$X664)*INDEX(Species_Attack,MATCH($N664,Species_Names,0)))/11)</f>
        <v>#VALUE!</v>
      </c>
      <c r="T664" s="33" t="e">
        <f t="shared" si="21"/>
        <v>#VALUE!</v>
      </c>
      <c r="U664" s="33">
        <f t="array" ref="U6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664,Quick_Names,0))),Type_Species)),0),1)*IF(COUNTBLANK(Combo_Opponent_Type_2)=0,INDEX(Type_Damage_Multipliers,MATCH(Combo_Opponent_Type_2,IF(Type_Move=(INDEX(Quick_Type,MATCH($O664,Quick_Names,0))),Type_Species)),0),1)*(IF(OR(INDEX(Quick_Type,MATCH($O664,Quick_Names,0))=INDEX(Species_Type_1,MATCH($N664,Species_Names,0)),INDEX(Quick_Type,MATCH($O664,Quick_Names,0))=INDEX(Species_Type_2,MATCH($N664,Species_Names,0))),Game_STAB_Multiplier,1)))</f>
        <v>1.25</v>
      </c>
      <c r="V664" s="33">
        <f t="array" ref="V6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664,Charge_Names,0))),Type_Species)),0),1)*IF(COUNTBLANK(Combo_Opponent_Type_2)=0,INDEX(Type_Damage_Multipliers,MATCH(Combo_Opponent_Type_2,IF(Type_Move=(INDEX(Charge_Type,MATCH($P664,Charge_Names,0))),Type_Species)),0),1)*
IF(OR(INDEX(Charge_Type,MATCH($P664,Charge_Names,0))=INDEX(Species_Type_1,MATCH($N664,Species_Names,0)),INDEX(Charge_Type,MATCH($P664,Charge_Names,0))=INDEX(Species_Type_2,MATCH($N664,Species_Names,0))),Game_STAB_Multiplier,1))</f>
        <v>1</v>
      </c>
      <c r="W664" s="33" t="s">
        <v>476</v>
      </c>
      <c r="X664" s="33" t="s">
        <v>1041</v>
      </c>
      <c r="Y664" s="32" t="e">
        <f t="array" ref="Y664">((($Z664)*
INDEX(Species_Attack,MATCH($N664,Species_Names,0))*
INDEX(Species_Tankiness,MATCH($N664,Species_Names,0)))/1000)</f>
        <v>#VALUE!</v>
      </c>
      <c r="Z664" s="33" t="s">
        <v>813</v>
      </c>
    </row>
    <row r="665" spans="1:26" ht="14.25" customHeight="1" x14ac:dyDescent="0.2">
      <c r="A665" s="86"/>
      <c r="B665" s="22" t="str">
        <f t="array" ref="B665">CONCATENATE(TEXT($M665,"000"),".",TEXT(INDEX(Quick_Number,MATCH($O665,Quick_Names,0)),"000"),".",TEXT(INDEX(Charge_Number,MATCH($P665,Charge_Names,0)),"000"))</f>
        <v>032.236.090</v>
      </c>
      <c r="C665" s="23" t="e">
        <f t="array" ref="C665">RANK($S665,IF(Combo_Species_Names=$N665,Combo_Gym_Offense),0)</f>
        <v>#VALUE!</v>
      </c>
      <c r="D665" s="24" t="e">
        <f t="array" ref="D665">$S665/MAX(IF(Combo_Species_Names=$N665,Combo_Gym_Offense))</f>
        <v>#VALUE!</v>
      </c>
      <c r="E665" s="23" t="e">
        <f t="array" ref="E665">RANK($Y665,IF(Combo_Species_Names=$N665,Combo_Gym_Defense),0)</f>
        <v>#VALUE!</v>
      </c>
      <c r="F665" s="25" t="e">
        <f t="array" ref="F665">$Y665/MAX(IF(Combo_Species_Names=$N665,Combo_Gym_Defense))</f>
        <v>#VALUE!</v>
      </c>
      <c r="G665" s="23" t="str">
        <f t="array" ref="G665">IF(OR(INDEX(Species_Availability,MATCH($N665,Species_Names,0))="No",INDEX(Species_Evo_Numbers,MATCH($N665,Species_Names,0))&lt;&gt;1),"N/A",RANK($R665,IF(NOT(ISNA(MATCH(Combo_Species_Names,IF(Species_Availability="Yes",IF(Species_Evo_Numbers=1,Species_Names)),0))),Combo_Duel_Ability),0))</f>
        <v>N/A</v>
      </c>
      <c r="H665" s="24" t="str">
        <f t="array" ref="H665">IF(OR(INDEX(Species_Availability,MATCH($N665,Species_Names,0))="No",INDEX(Species_Evo_Numbers,MATCH($N665,Species_Names,0))&lt;&gt;1),"N/A",$R665/MAX(IF(NOT(ISNA(MATCH(Combo_Species_Names,IF(Species_Availability="Yes",IF(Species_Evo_Numbers=1,Species_Names)),0))),Combo_Duel_Ability)))</f>
        <v>N/A</v>
      </c>
      <c r="I665" s="23" t="str">
        <f t="array" ref="I665">IF(OR(INDEX(Species_Availability,MATCH($N665,Species_Names,0))="No",INDEX(Species_Evo_Numbers,MATCH($N665,Species_Names,0))&lt;&gt;1),"N/A",RANK($S665,IF(NOT(ISNA(MATCH(Combo_Species_Names,IF(Species_Availability="Yes",IF(Species_Evo_Numbers=1,Species_Names)),0))),Combo_Gym_Offense),0))</f>
        <v>N/A</v>
      </c>
      <c r="J665" s="24" t="str">
        <f t="array" ref="J665">IF(OR(INDEX(Species_Availability,MATCH($N665,Species_Names,0))="No",INDEX(Species_Evo_Numbers,MATCH($N665,Species_Names,0))&lt;&gt;1),"N/A",$S665/MAX(IF(NOT(ISNA(MATCH(Combo_Species_Names,IF(Species_Availability="Yes",IF(Species_Evo_Numbers=1,Species_Names)),0))),Combo_Gym_Offense)))</f>
        <v>N/A</v>
      </c>
      <c r="K665" s="23" t="str">
        <f t="array" ref="K665">IF(OR(INDEX(Species_Availability,MATCH($N665,Species_Names,0))="No",INDEX(Species_Evo_Numbers,MATCH($N665,Species_Names,0))&lt;&gt;1),"N/A",RANK($Y665,IF(NOT(ISNA(MATCH(Combo_Species_Names,IF(Species_Availability="Yes",IF(Species_Evo_Numbers=1,Species_Names)),0))),Combo_Gym_Defense),0))</f>
        <v>N/A</v>
      </c>
      <c r="L665" s="24" t="str">
        <f t="array" ref="L665">IF(OR(INDEX(Species_Availability,MATCH($N665,Species_Names,0))="No",INDEX(Species_Evo_Numbers,MATCH($N665,Species_Names,0))&lt;&gt;1),"N/A",$Y665/MAX(IF(NOT(ISNA(MATCH(Combo_Species_Names,IF(Species_Availability="Yes",IF(Species_Evo_Numbers=1,Species_Names)),0))),Combo_Gym_Defense)))</f>
        <v>N/A</v>
      </c>
      <c r="M665" s="28">
        <f t="array" ref="M665">INDEX(Species_Pdex_Numbers,MATCH($N665,Species_Names,0))</f>
        <v>32</v>
      </c>
      <c r="N665" s="30" t="s">
        <v>154</v>
      </c>
      <c r="O665" s="31" t="s">
        <v>101</v>
      </c>
      <c r="P665" s="31" t="s">
        <v>180</v>
      </c>
      <c r="Q665" s="17" t="e">
        <f t="shared" si="20"/>
        <v>#VALUE!</v>
      </c>
      <c r="R665" s="32" t="e">
        <f t="array" ref="R665">IF(OR(AND(COUNTBLANK(Combo_Opponent_Type_1)=1,COUNTBLANK(Combo_Opponent_Type_2)=0),AND(AND(COUNTBLANK(Combo_Opponent_Type_1)=0,COUNTBLANK(Combo_Opponent_Type_2)=0),Combo_Opponent_Type_1=Combo_Opponent_Type_2)),
"Check Types",($S665*INDEX(Species_Tankiness,MATCH($N665,Species_Names,0)))/225)</f>
        <v>#VALUE!</v>
      </c>
      <c r="S665" s="32" t="e">
        <f t="array" ref="S665">IF(OR(AND(COUNTBLANK(Combo_Opponent_Type_1)=1,COUNTBLANK(Combo_Opponent_Type_2)=0),AND(AND(COUNTBLANK(Combo_Opponent_Type_1)=0,COUNTBLANK(Combo_Opponent_Type_2)=0),Combo_Opponent_Type_1=Combo_Opponent_Type_2)),
"Check Types",(
IF($W665&gt;=((1-Game_Weave_Human_Error)*$X665),$W665,$X665)*INDEX(Species_Attack,MATCH($N665,Species_Names,0)))/11)</f>
        <v>#VALUE!</v>
      </c>
      <c r="T665" s="33" t="e">
        <f t="shared" si="21"/>
        <v>#VALUE!</v>
      </c>
      <c r="U665" s="33">
        <f t="array" ref="U6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665,Quick_Names,0))),Type_Species)),0),1)*IF(COUNTBLANK(Combo_Opponent_Type_2)=0,INDEX(Type_Damage_Multipliers,MATCH(Combo_Opponent_Type_2,IF(Type_Move=(INDEX(Quick_Type,MATCH($O665,Quick_Names,0))),Type_Species)),0),1)*(IF(OR(INDEX(Quick_Type,MATCH($O665,Quick_Names,0))=INDEX(Species_Type_1,MATCH($N665,Species_Names,0)),INDEX(Quick_Type,MATCH($O665,Quick_Names,0))=INDEX(Species_Type_2,MATCH($N665,Species_Names,0))),Game_STAB_Multiplier,1)))</f>
        <v>1.25</v>
      </c>
      <c r="V665" s="33">
        <f t="array" ref="V6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665,Charge_Names,0))),Type_Species)),0),1)*IF(COUNTBLANK(Combo_Opponent_Type_2)=0,INDEX(Type_Damage_Multipliers,MATCH(Combo_Opponent_Type_2,IF(Type_Move=(INDEX(Charge_Type,MATCH($P665,Charge_Names,0))),Type_Species)),0),1)*
IF(OR(INDEX(Charge_Type,MATCH($P665,Charge_Names,0))=INDEX(Species_Type_1,MATCH($N665,Species_Names,0)),INDEX(Charge_Type,MATCH($P665,Charge_Names,0))=INDEX(Species_Type_2,MATCH($N665,Species_Names,0))),Game_STAB_Multiplier,1))</f>
        <v>1.25</v>
      </c>
      <c r="W665" s="33" t="s">
        <v>738</v>
      </c>
      <c r="X665" s="33" t="s">
        <v>952</v>
      </c>
      <c r="Y665" s="32" t="e">
        <f t="array" ref="Y665">((($Z665)*
INDEX(Species_Attack,MATCH($N665,Species_Names,0))*
INDEX(Species_Tankiness,MATCH($N665,Species_Names,0)))/1000)</f>
        <v>#VALUE!</v>
      </c>
      <c r="Z665" s="33" t="s">
        <v>953</v>
      </c>
    </row>
    <row r="666" spans="1:26" ht="14.25" customHeight="1" x14ac:dyDescent="0.2">
      <c r="A666" s="86"/>
      <c r="B666" s="22" t="str">
        <f t="array" ref="B666">CONCATENATE(TEXT($M666,"000"),".",TEXT(INDEX(Quick_Number,MATCH($O666,Quick_Names,0)),"000"),".",TEXT(INDEX(Charge_Number,MATCH($P666,Charge_Names,0)),"000"))</f>
        <v>100.206.079</v>
      </c>
      <c r="C666" s="23" t="e">
        <f t="array" ref="C666">RANK($S666,IF(Combo_Species_Names=$N666,Combo_Gym_Offense),0)</f>
        <v>#VALUE!</v>
      </c>
      <c r="D666" s="24" t="e">
        <f t="array" ref="D666">$S666/MAX(IF(Combo_Species_Names=$N666,Combo_Gym_Offense))</f>
        <v>#VALUE!</v>
      </c>
      <c r="E666" s="23" t="e">
        <f t="array" ref="E666">RANK($Y666,IF(Combo_Species_Names=$N666,Combo_Gym_Defense),0)</f>
        <v>#VALUE!</v>
      </c>
      <c r="F666" s="25" t="e">
        <f t="array" ref="F666">$Y666/MAX(IF(Combo_Species_Names=$N666,Combo_Gym_Defense))</f>
        <v>#VALUE!</v>
      </c>
      <c r="G666" s="23" t="str">
        <f t="array" ref="G666">IF(OR(INDEX(Species_Availability,MATCH($N666,Species_Names,0))="No",INDEX(Species_Evo_Numbers,MATCH($N666,Species_Names,0))&lt;&gt;1),"N/A",RANK($R666,IF(NOT(ISNA(MATCH(Combo_Species_Names,IF(Species_Availability="Yes",IF(Species_Evo_Numbers=1,Species_Names)),0))),Combo_Duel_Ability),0))</f>
        <v>N/A</v>
      </c>
      <c r="H666" s="24" t="str">
        <f t="array" ref="H666">IF(OR(INDEX(Species_Availability,MATCH($N666,Species_Names,0))="No",INDEX(Species_Evo_Numbers,MATCH($N666,Species_Names,0))&lt;&gt;1),"N/A",$R666/MAX(IF(NOT(ISNA(MATCH(Combo_Species_Names,IF(Species_Availability="Yes",IF(Species_Evo_Numbers=1,Species_Names)),0))),Combo_Duel_Ability)))</f>
        <v>N/A</v>
      </c>
      <c r="I666" s="23" t="str">
        <f t="array" ref="I666">IF(OR(INDEX(Species_Availability,MATCH($N666,Species_Names,0))="No",INDEX(Species_Evo_Numbers,MATCH($N666,Species_Names,0))&lt;&gt;1),"N/A",RANK($S666,IF(NOT(ISNA(MATCH(Combo_Species_Names,IF(Species_Availability="Yes",IF(Species_Evo_Numbers=1,Species_Names)),0))),Combo_Gym_Offense),0))</f>
        <v>N/A</v>
      </c>
      <c r="J666" s="24" t="str">
        <f t="array" ref="J666">IF(OR(INDEX(Species_Availability,MATCH($N666,Species_Names,0))="No",INDEX(Species_Evo_Numbers,MATCH($N666,Species_Names,0))&lt;&gt;1),"N/A",$S666/MAX(IF(NOT(ISNA(MATCH(Combo_Species_Names,IF(Species_Availability="Yes",IF(Species_Evo_Numbers=1,Species_Names)),0))),Combo_Gym_Offense)))</f>
        <v>N/A</v>
      </c>
      <c r="K666" s="23" t="str">
        <f t="array" ref="K666">IF(OR(INDEX(Species_Availability,MATCH($N666,Species_Names,0))="No",INDEX(Species_Evo_Numbers,MATCH($N666,Species_Names,0))&lt;&gt;1),"N/A",RANK($Y666,IF(NOT(ISNA(MATCH(Combo_Species_Names,IF(Species_Availability="Yes",IF(Species_Evo_Numbers=1,Species_Names)),0))),Combo_Gym_Defense),0))</f>
        <v>N/A</v>
      </c>
      <c r="L666" s="24" t="str">
        <f t="array" ref="L666">IF(OR(INDEX(Species_Availability,MATCH($N666,Species_Names,0))="No",INDEX(Species_Evo_Numbers,MATCH($N666,Species_Names,0))&lt;&gt;1),"N/A",$Y666/MAX(IF(NOT(ISNA(MATCH(Combo_Species_Names,IF(Species_Availability="Yes",IF(Species_Evo_Numbers=1,Species_Names)),0))),Combo_Gym_Defense)))</f>
        <v>N/A</v>
      </c>
      <c r="M666" s="28">
        <f t="array" ref="M666">INDEX(Species_Pdex_Numbers,MATCH($N666,Species_Names,0))</f>
        <v>100</v>
      </c>
      <c r="N666" s="30" t="s">
        <v>301</v>
      </c>
      <c r="O666" s="31" t="s">
        <v>106</v>
      </c>
      <c r="P666" s="31" t="s">
        <v>190</v>
      </c>
      <c r="Q666" s="17" t="e">
        <f t="shared" si="20"/>
        <v>#VALUE!</v>
      </c>
      <c r="R666" s="32" t="e">
        <f t="array" ref="R666">IF(OR(AND(COUNTBLANK(Combo_Opponent_Type_1)=1,COUNTBLANK(Combo_Opponent_Type_2)=0),AND(AND(COUNTBLANK(Combo_Opponent_Type_1)=0,COUNTBLANK(Combo_Opponent_Type_2)=0),Combo_Opponent_Type_1=Combo_Opponent_Type_2)),
"Check Types",($S666*INDEX(Species_Tankiness,MATCH($N666,Species_Names,0)))/225)</f>
        <v>#VALUE!</v>
      </c>
      <c r="S666" s="32" t="e">
        <f t="array" ref="S666">IF(OR(AND(COUNTBLANK(Combo_Opponent_Type_1)=1,COUNTBLANK(Combo_Opponent_Type_2)=0),AND(AND(COUNTBLANK(Combo_Opponent_Type_1)=0,COUNTBLANK(Combo_Opponent_Type_2)=0),Combo_Opponent_Type_1=Combo_Opponent_Type_2)),
"Check Types",(
IF($W666&gt;=((1-Game_Weave_Human_Error)*$X666),$W666,$X666)*INDEX(Species_Attack,MATCH($N666,Species_Names,0)))/11)</f>
        <v>#VALUE!</v>
      </c>
      <c r="T666" s="33" t="e">
        <f t="shared" si="21"/>
        <v>#VALUE!</v>
      </c>
      <c r="U666" s="33">
        <f t="array" ref="U6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666,Quick_Names,0))),Type_Species)),0),1)*IF(COUNTBLANK(Combo_Opponent_Type_2)=0,INDEX(Type_Damage_Multipliers,MATCH(Combo_Opponent_Type_2,IF(Type_Move=(INDEX(Quick_Type,MATCH($O666,Quick_Names,0))),Type_Species)),0),1)*(IF(OR(INDEX(Quick_Type,MATCH($O666,Quick_Names,0))=INDEX(Species_Type_1,MATCH($N666,Species_Names,0)),INDEX(Quick_Type,MATCH($O666,Quick_Names,0))=INDEX(Species_Type_2,MATCH($N666,Species_Names,0))),Game_STAB_Multiplier,1)))</f>
        <v>1.25</v>
      </c>
      <c r="V666" s="33">
        <f t="array" ref="V6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666,Charge_Names,0))),Type_Species)),0),1)*IF(COUNTBLANK(Combo_Opponent_Type_2)=0,INDEX(Type_Damage_Multipliers,MATCH(Combo_Opponent_Type_2,IF(Type_Move=(INDEX(Charge_Type,MATCH($P666,Charge_Names,0))),Type_Species)),0),1)*
IF(OR(INDEX(Charge_Type,MATCH($P666,Charge_Names,0))=INDEX(Species_Type_1,MATCH($N666,Species_Names,0)),INDEX(Charge_Type,MATCH($P666,Charge_Names,0))=INDEX(Species_Type_2,MATCH($N666,Species_Names,0))),Game_STAB_Multiplier,1))</f>
        <v>1.25</v>
      </c>
      <c r="W666" s="33" t="s">
        <v>708</v>
      </c>
      <c r="X666" s="33" t="s">
        <v>434</v>
      </c>
      <c r="Y666" s="32" t="e">
        <f t="array" ref="Y666">((($Z666)*
INDEX(Species_Attack,MATCH($N666,Species_Names,0))*
INDEX(Species_Tankiness,MATCH($N666,Species_Names,0)))/1000)</f>
        <v>#VALUE!</v>
      </c>
      <c r="Z666" s="33" t="s">
        <v>507</v>
      </c>
    </row>
    <row r="667" spans="1:26" ht="14.25" customHeight="1" x14ac:dyDescent="0.2">
      <c r="A667" s="86"/>
      <c r="B667" s="22" t="str">
        <f t="array" ref="B667">CONCATENATE(TEXT($M667,"000"),".",TEXT(INDEX(Quick_Number,MATCH($O667,Quick_Names,0)),"000"),".",TEXT(INDEX(Charge_Number,MATCH($P667,Charge_Names,0)),"000"))</f>
        <v>056.220.028</v>
      </c>
      <c r="C667" s="23" t="e">
        <f t="array" ref="C667">RANK($S667,IF(Combo_Species_Names=$N667,Combo_Gym_Offense),0)</f>
        <v>#VALUE!</v>
      </c>
      <c r="D667" s="24" t="e">
        <f t="array" ref="D667">$S667/MAX(IF(Combo_Species_Names=$N667,Combo_Gym_Offense))</f>
        <v>#VALUE!</v>
      </c>
      <c r="E667" s="23" t="e">
        <f t="array" ref="E667">RANK($Y667,IF(Combo_Species_Names=$N667,Combo_Gym_Defense),0)</f>
        <v>#VALUE!</v>
      </c>
      <c r="F667" s="25" t="e">
        <f t="array" ref="F667">$Y667/MAX(IF(Combo_Species_Names=$N667,Combo_Gym_Defense))</f>
        <v>#VALUE!</v>
      </c>
      <c r="G667" s="23" t="str">
        <f t="array" ref="G667">IF(OR(INDEX(Species_Availability,MATCH($N667,Species_Names,0))="No",INDEX(Species_Evo_Numbers,MATCH($N667,Species_Names,0))&lt;&gt;1),"N/A",RANK($R667,IF(NOT(ISNA(MATCH(Combo_Species_Names,IF(Species_Availability="Yes",IF(Species_Evo_Numbers=1,Species_Names)),0))),Combo_Duel_Ability),0))</f>
        <v>N/A</v>
      </c>
      <c r="H667" s="24" t="str">
        <f t="array" ref="H667">IF(OR(INDEX(Species_Availability,MATCH($N667,Species_Names,0))="No",INDEX(Species_Evo_Numbers,MATCH($N667,Species_Names,0))&lt;&gt;1),"N/A",$R667/MAX(IF(NOT(ISNA(MATCH(Combo_Species_Names,IF(Species_Availability="Yes",IF(Species_Evo_Numbers=1,Species_Names)),0))),Combo_Duel_Ability)))</f>
        <v>N/A</v>
      </c>
      <c r="I667" s="23" t="str">
        <f t="array" ref="I667">IF(OR(INDEX(Species_Availability,MATCH($N667,Species_Names,0))="No",INDEX(Species_Evo_Numbers,MATCH($N667,Species_Names,0))&lt;&gt;1),"N/A",RANK($S667,IF(NOT(ISNA(MATCH(Combo_Species_Names,IF(Species_Availability="Yes",IF(Species_Evo_Numbers=1,Species_Names)),0))),Combo_Gym_Offense),0))</f>
        <v>N/A</v>
      </c>
      <c r="J667" s="24" t="str">
        <f t="array" ref="J667">IF(OR(INDEX(Species_Availability,MATCH($N667,Species_Names,0))="No",INDEX(Species_Evo_Numbers,MATCH($N667,Species_Names,0))&lt;&gt;1),"N/A",$S667/MAX(IF(NOT(ISNA(MATCH(Combo_Species_Names,IF(Species_Availability="Yes",IF(Species_Evo_Numbers=1,Species_Names)),0))),Combo_Gym_Offense)))</f>
        <v>N/A</v>
      </c>
      <c r="K667" s="23" t="str">
        <f t="array" ref="K667">IF(OR(INDEX(Species_Availability,MATCH($N667,Species_Names,0))="No",INDEX(Species_Evo_Numbers,MATCH($N667,Species_Names,0))&lt;&gt;1),"N/A",RANK($Y667,IF(NOT(ISNA(MATCH(Combo_Species_Names,IF(Species_Availability="Yes",IF(Species_Evo_Numbers=1,Species_Names)),0))),Combo_Gym_Defense),0))</f>
        <v>N/A</v>
      </c>
      <c r="L667" s="24" t="str">
        <f t="array" ref="L667">IF(OR(INDEX(Species_Availability,MATCH($N667,Species_Names,0))="No",INDEX(Species_Evo_Numbers,MATCH($N667,Species_Names,0))&lt;&gt;1),"N/A",$Y667/MAX(IF(NOT(ISNA(MATCH(Combo_Species_Names,IF(Species_Availability="Yes",IF(Species_Evo_Numbers=1,Species_Names)),0))),Combo_Gym_Defense)))</f>
        <v>N/A</v>
      </c>
      <c r="M667" s="28">
        <f t="array" ref="M667">INDEX(Species_Pdex_Numbers,MATCH($N667,Species_Names,0))</f>
        <v>56</v>
      </c>
      <c r="N667" s="30" t="s">
        <v>201</v>
      </c>
      <c r="O667" s="31" t="s">
        <v>64</v>
      </c>
      <c r="P667" s="31" t="s">
        <v>146</v>
      </c>
      <c r="Q667" s="17" t="e">
        <f t="shared" si="20"/>
        <v>#VALUE!</v>
      </c>
      <c r="R667" s="32" t="e">
        <f t="array" ref="R667">IF(OR(AND(COUNTBLANK(Combo_Opponent_Type_1)=1,COUNTBLANK(Combo_Opponent_Type_2)=0),AND(AND(COUNTBLANK(Combo_Opponent_Type_1)=0,COUNTBLANK(Combo_Opponent_Type_2)=0),Combo_Opponent_Type_1=Combo_Opponent_Type_2)),
"Check Types",($S667*INDEX(Species_Tankiness,MATCH($N667,Species_Names,0)))/225)</f>
        <v>#VALUE!</v>
      </c>
      <c r="S667" s="32" t="e">
        <f t="array" ref="S667">IF(OR(AND(COUNTBLANK(Combo_Opponent_Type_1)=1,COUNTBLANK(Combo_Opponent_Type_2)=0),AND(AND(COUNTBLANK(Combo_Opponent_Type_1)=0,COUNTBLANK(Combo_Opponent_Type_2)=0),Combo_Opponent_Type_1=Combo_Opponent_Type_2)),
"Check Types",(
IF($W667&gt;=((1-Game_Weave_Human_Error)*$X667),$W667,$X667)*INDEX(Species_Attack,MATCH($N667,Species_Names,0)))/11)</f>
        <v>#VALUE!</v>
      </c>
      <c r="T667" s="33" t="e">
        <f t="shared" si="21"/>
        <v>#VALUE!</v>
      </c>
      <c r="U667" s="33">
        <f t="array" ref="U6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667,Quick_Names,0))),Type_Species)),0),1)*IF(COUNTBLANK(Combo_Opponent_Type_2)=0,INDEX(Type_Damage_Multipliers,MATCH(Combo_Opponent_Type_2,IF(Type_Move=(INDEX(Quick_Type,MATCH($O667,Quick_Names,0))),Type_Species)),0),1)*(IF(OR(INDEX(Quick_Type,MATCH($O667,Quick_Names,0))=INDEX(Species_Type_1,MATCH($N667,Species_Names,0)),INDEX(Quick_Type,MATCH($O667,Quick_Names,0))=INDEX(Species_Type_2,MATCH($N667,Species_Names,0))),Game_STAB_Multiplier,1)))</f>
        <v>1</v>
      </c>
      <c r="V667" s="33">
        <f t="array" ref="V6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667,Charge_Names,0))),Type_Species)),0),1)*IF(COUNTBLANK(Combo_Opponent_Type_2)=0,INDEX(Type_Damage_Multipliers,MATCH(Combo_Opponent_Type_2,IF(Type_Move=(INDEX(Charge_Type,MATCH($P667,Charge_Names,0))),Type_Species)),0),1)*
IF(OR(INDEX(Charge_Type,MATCH($P667,Charge_Names,0))=INDEX(Species_Type_1,MATCH($N667,Species_Names,0)),INDEX(Charge_Type,MATCH($P667,Charge_Names,0))=INDEX(Species_Type_2,MATCH($N667,Species_Names,0))),Game_STAB_Multiplier,1))</f>
        <v>1.25</v>
      </c>
      <c r="W667" s="33" t="s">
        <v>453</v>
      </c>
      <c r="X667" s="33" t="s">
        <v>1042</v>
      </c>
      <c r="Y667" s="32" t="e">
        <f t="array" ref="Y667">((($Z667)*
INDEX(Species_Attack,MATCH($N667,Species_Names,0))*
INDEX(Species_Tankiness,MATCH($N667,Species_Names,0)))/1000)</f>
        <v>#VALUE!</v>
      </c>
      <c r="Z667" s="33" t="s">
        <v>1043</v>
      </c>
    </row>
    <row r="668" spans="1:26" ht="14.25" customHeight="1" x14ac:dyDescent="0.2">
      <c r="A668" s="86"/>
      <c r="B668" s="22" t="str">
        <f t="array" ref="B668">CONCATENATE(TEXT($M668,"000"),".",TEXT(INDEX(Quick_Number,MATCH($O668,Quick_Names,0)),"000"),".",TEXT(INDEX(Charge_Number,MATCH($P668,Charge_Names,0)),"000"))</f>
        <v>046.201.059</v>
      </c>
      <c r="C668" s="23" t="e">
        <f t="array" ref="C668">RANK($S668,IF(Combo_Species_Names=$N668,Combo_Gym_Offense),0)</f>
        <v>#VALUE!</v>
      </c>
      <c r="D668" s="24" t="e">
        <f t="array" ref="D668">$S668/MAX(IF(Combo_Species_Names=$N668,Combo_Gym_Offense))</f>
        <v>#VALUE!</v>
      </c>
      <c r="E668" s="23" t="e">
        <f t="array" ref="E668">RANK($Y668,IF(Combo_Species_Names=$N668,Combo_Gym_Defense),0)</f>
        <v>#VALUE!</v>
      </c>
      <c r="F668" s="25" t="e">
        <f t="array" ref="F668">$Y668/MAX(IF(Combo_Species_Names=$N668,Combo_Gym_Defense))</f>
        <v>#VALUE!</v>
      </c>
      <c r="G668" s="23" t="str">
        <f t="array" ref="G668">IF(OR(INDEX(Species_Availability,MATCH($N668,Species_Names,0))="No",INDEX(Species_Evo_Numbers,MATCH($N668,Species_Names,0))&lt;&gt;1),"N/A",RANK($R668,IF(NOT(ISNA(MATCH(Combo_Species_Names,IF(Species_Availability="Yes",IF(Species_Evo_Numbers=1,Species_Names)),0))),Combo_Duel_Ability),0))</f>
        <v>N/A</v>
      </c>
      <c r="H668" s="24" t="str">
        <f t="array" ref="H668">IF(OR(INDEX(Species_Availability,MATCH($N668,Species_Names,0))="No",INDEX(Species_Evo_Numbers,MATCH($N668,Species_Names,0))&lt;&gt;1),"N/A",$R668/MAX(IF(NOT(ISNA(MATCH(Combo_Species_Names,IF(Species_Availability="Yes",IF(Species_Evo_Numbers=1,Species_Names)),0))),Combo_Duel_Ability)))</f>
        <v>N/A</v>
      </c>
      <c r="I668" s="23" t="str">
        <f t="array" ref="I668">IF(OR(INDEX(Species_Availability,MATCH($N668,Species_Names,0))="No",INDEX(Species_Evo_Numbers,MATCH($N668,Species_Names,0))&lt;&gt;1),"N/A",RANK($S668,IF(NOT(ISNA(MATCH(Combo_Species_Names,IF(Species_Availability="Yes",IF(Species_Evo_Numbers=1,Species_Names)),0))),Combo_Gym_Offense),0))</f>
        <v>N/A</v>
      </c>
      <c r="J668" s="24" t="str">
        <f t="array" ref="J668">IF(OR(INDEX(Species_Availability,MATCH($N668,Species_Names,0))="No",INDEX(Species_Evo_Numbers,MATCH($N668,Species_Names,0))&lt;&gt;1),"N/A",$S668/MAX(IF(NOT(ISNA(MATCH(Combo_Species_Names,IF(Species_Availability="Yes",IF(Species_Evo_Numbers=1,Species_Names)),0))),Combo_Gym_Offense)))</f>
        <v>N/A</v>
      </c>
      <c r="K668" s="23" t="str">
        <f t="array" ref="K668">IF(OR(INDEX(Species_Availability,MATCH($N668,Species_Names,0))="No",INDEX(Species_Evo_Numbers,MATCH($N668,Species_Names,0))&lt;&gt;1),"N/A",RANK($Y668,IF(NOT(ISNA(MATCH(Combo_Species_Names,IF(Species_Availability="Yes",IF(Species_Evo_Numbers=1,Species_Names)),0))),Combo_Gym_Defense),0))</f>
        <v>N/A</v>
      </c>
      <c r="L668" s="24" t="str">
        <f t="array" ref="L668">IF(OR(INDEX(Species_Availability,MATCH($N668,Species_Names,0))="No",INDEX(Species_Evo_Numbers,MATCH($N668,Species_Names,0))&lt;&gt;1),"N/A",$Y668/MAX(IF(NOT(ISNA(MATCH(Combo_Species_Names,IF(Species_Availability="Yes",IF(Species_Evo_Numbers=1,Species_Names)),0))),Combo_Gym_Defense)))</f>
        <v>N/A</v>
      </c>
      <c r="M668" s="28">
        <f t="array" ref="M668">INDEX(Species_Pdex_Numbers,MATCH($N668,Species_Names,0))</f>
        <v>46</v>
      </c>
      <c r="N668" s="30" t="s">
        <v>182</v>
      </c>
      <c r="O668" s="31" t="s">
        <v>82</v>
      </c>
      <c r="P668" s="31" t="s">
        <v>213</v>
      </c>
      <c r="Q668" s="17" t="e">
        <f t="shared" si="20"/>
        <v>#VALUE!</v>
      </c>
      <c r="R668" s="32" t="e">
        <f t="array" ref="R668">IF(OR(AND(COUNTBLANK(Combo_Opponent_Type_1)=1,COUNTBLANK(Combo_Opponent_Type_2)=0),AND(AND(COUNTBLANK(Combo_Opponent_Type_1)=0,COUNTBLANK(Combo_Opponent_Type_2)=0),Combo_Opponent_Type_1=Combo_Opponent_Type_2)),
"Check Types",($S668*INDEX(Species_Tankiness,MATCH($N668,Species_Names,0)))/225)</f>
        <v>#VALUE!</v>
      </c>
      <c r="S668" s="32" t="e">
        <f t="array" ref="S668">IF(OR(AND(COUNTBLANK(Combo_Opponent_Type_1)=1,COUNTBLANK(Combo_Opponent_Type_2)=0),AND(AND(COUNTBLANK(Combo_Opponent_Type_1)=0,COUNTBLANK(Combo_Opponent_Type_2)=0),Combo_Opponent_Type_1=Combo_Opponent_Type_2)),
"Check Types",(
IF($W668&gt;=((1-Game_Weave_Human_Error)*$X668),$W668,$X668)*INDEX(Species_Attack,MATCH($N668,Species_Names,0)))/11)</f>
        <v>#VALUE!</v>
      </c>
      <c r="T668" s="33" t="e">
        <f t="shared" si="21"/>
        <v>#VALUE!</v>
      </c>
      <c r="U668" s="33">
        <f t="array" ref="U6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668,Quick_Names,0))),Type_Species)),0),1)*IF(COUNTBLANK(Combo_Opponent_Type_2)=0,INDEX(Type_Damage_Multipliers,MATCH(Combo_Opponent_Type_2,IF(Type_Move=(INDEX(Quick_Type,MATCH($O668,Quick_Names,0))),Type_Species)),0),1)*(IF(OR(INDEX(Quick_Type,MATCH($O668,Quick_Names,0))=INDEX(Species_Type_1,MATCH($N668,Species_Names,0)),INDEX(Quick_Type,MATCH($O668,Quick_Names,0))=INDEX(Species_Type_2,MATCH($N668,Species_Names,0))),Game_STAB_Multiplier,1)))</f>
        <v>1.25</v>
      </c>
      <c r="V668" s="33">
        <f t="array" ref="V6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668,Charge_Names,0))),Type_Species)),0),1)*IF(COUNTBLANK(Combo_Opponent_Type_2)=0,INDEX(Type_Damage_Multipliers,MATCH(Combo_Opponent_Type_2,IF(Type_Move=(INDEX(Charge_Type,MATCH($P668,Charge_Names,0))),Type_Species)),0),1)*
IF(OR(INDEX(Charge_Type,MATCH($P668,Charge_Names,0))=INDEX(Species_Type_1,MATCH($N668,Species_Names,0)),INDEX(Charge_Type,MATCH($P668,Charge_Names,0))=INDEX(Species_Type_2,MATCH($N668,Species_Names,0))),Game_STAB_Multiplier,1))</f>
        <v>1.25</v>
      </c>
      <c r="W668" s="33" t="s">
        <v>436</v>
      </c>
      <c r="X668" s="33" t="s">
        <v>1017</v>
      </c>
      <c r="Y668" s="32" t="e">
        <f t="array" ref="Y668">((($Z668)*
INDEX(Species_Attack,MATCH($N668,Species_Names,0))*
INDEX(Species_Tankiness,MATCH($N668,Species_Names,0)))/1000)</f>
        <v>#VALUE!</v>
      </c>
      <c r="Z668" s="33" t="s">
        <v>945</v>
      </c>
    </row>
    <row r="669" spans="1:26" ht="14.25" customHeight="1" x14ac:dyDescent="0.2">
      <c r="A669" s="86"/>
      <c r="B669" s="22" t="str">
        <f t="array" ref="B669">CONCATENATE(TEXT($M669,"000"),".",TEXT(INDEX(Quick_Number,MATCH($O669,Quick_Names,0)),"000"),".",TEXT(INDEX(Charge_Number,MATCH($P669,Charge_Names,0)),"000"))</f>
        <v>004.209.024</v>
      </c>
      <c r="C669" s="23" t="e">
        <f t="array" ref="C669">RANK($S669,IF(Combo_Species_Names=$N669,Combo_Gym_Offense),0)</f>
        <v>#VALUE!</v>
      </c>
      <c r="D669" s="24" t="e">
        <f t="array" ref="D669">$S669/MAX(IF(Combo_Species_Names=$N669,Combo_Gym_Offense))</f>
        <v>#VALUE!</v>
      </c>
      <c r="E669" s="23" t="e">
        <f t="array" ref="E669">RANK($Y669,IF(Combo_Species_Names=$N669,Combo_Gym_Defense),0)</f>
        <v>#VALUE!</v>
      </c>
      <c r="F669" s="25" t="e">
        <f t="array" ref="F669">$Y669/MAX(IF(Combo_Species_Names=$N669,Combo_Gym_Defense))</f>
        <v>#VALUE!</v>
      </c>
      <c r="G669" s="23" t="str">
        <f t="array" ref="G669">IF(OR(INDEX(Species_Availability,MATCH($N669,Species_Names,0))="No",INDEX(Species_Evo_Numbers,MATCH($N669,Species_Names,0))&lt;&gt;1),"N/A",RANK($R669,IF(NOT(ISNA(MATCH(Combo_Species_Names,IF(Species_Availability="Yes",IF(Species_Evo_Numbers=1,Species_Names)),0))),Combo_Duel_Ability),0))</f>
        <v>N/A</v>
      </c>
      <c r="H669" s="24" t="str">
        <f t="array" ref="H669">IF(OR(INDEX(Species_Availability,MATCH($N669,Species_Names,0))="No",INDEX(Species_Evo_Numbers,MATCH($N669,Species_Names,0))&lt;&gt;1),"N/A",$R669/MAX(IF(NOT(ISNA(MATCH(Combo_Species_Names,IF(Species_Availability="Yes",IF(Species_Evo_Numbers=1,Species_Names)),0))),Combo_Duel_Ability)))</f>
        <v>N/A</v>
      </c>
      <c r="I669" s="23" t="str">
        <f t="array" ref="I669">IF(OR(INDEX(Species_Availability,MATCH($N669,Species_Names,0))="No",INDEX(Species_Evo_Numbers,MATCH($N669,Species_Names,0))&lt;&gt;1),"N/A",RANK($S669,IF(NOT(ISNA(MATCH(Combo_Species_Names,IF(Species_Availability="Yes",IF(Species_Evo_Numbers=1,Species_Names)),0))),Combo_Gym_Offense),0))</f>
        <v>N/A</v>
      </c>
      <c r="J669" s="24" t="str">
        <f t="array" ref="J669">IF(OR(INDEX(Species_Availability,MATCH($N669,Species_Names,0))="No",INDEX(Species_Evo_Numbers,MATCH($N669,Species_Names,0))&lt;&gt;1),"N/A",$S669/MAX(IF(NOT(ISNA(MATCH(Combo_Species_Names,IF(Species_Availability="Yes",IF(Species_Evo_Numbers=1,Species_Names)),0))),Combo_Gym_Offense)))</f>
        <v>N/A</v>
      </c>
      <c r="K669" s="23" t="str">
        <f t="array" ref="K669">IF(OR(INDEX(Species_Availability,MATCH($N669,Species_Names,0))="No",INDEX(Species_Evo_Numbers,MATCH($N669,Species_Names,0))&lt;&gt;1),"N/A",RANK($Y669,IF(NOT(ISNA(MATCH(Combo_Species_Names,IF(Species_Availability="Yes",IF(Species_Evo_Numbers=1,Species_Names)),0))),Combo_Gym_Defense),0))</f>
        <v>N/A</v>
      </c>
      <c r="L669" s="24" t="str">
        <f t="array" ref="L669">IF(OR(INDEX(Species_Availability,MATCH($N669,Species_Names,0))="No",INDEX(Species_Evo_Numbers,MATCH($N669,Species_Names,0))&lt;&gt;1),"N/A",$Y669/MAX(IF(NOT(ISNA(MATCH(Combo_Species_Names,IF(Species_Availability="Yes",IF(Species_Evo_Numbers=1,Species_Names)),0))),Combo_Gym_Defense)))</f>
        <v>N/A</v>
      </c>
      <c r="M669" s="28">
        <f t="array" ref="M669">INDEX(Species_Pdex_Numbers,MATCH($N669,Species_Names,0))</f>
        <v>4</v>
      </c>
      <c r="N669" s="30" t="s">
        <v>73</v>
      </c>
      <c r="O669" s="31" t="s">
        <v>111</v>
      </c>
      <c r="P669" s="31" t="s">
        <v>200</v>
      </c>
      <c r="Q669" s="17" t="e">
        <f t="shared" si="20"/>
        <v>#VALUE!</v>
      </c>
      <c r="R669" s="32" t="e">
        <f t="array" ref="R669">IF(OR(AND(COUNTBLANK(Combo_Opponent_Type_1)=1,COUNTBLANK(Combo_Opponent_Type_2)=0),AND(AND(COUNTBLANK(Combo_Opponent_Type_1)=0,COUNTBLANK(Combo_Opponent_Type_2)=0),Combo_Opponent_Type_1=Combo_Opponent_Type_2)),
"Check Types",($S669*INDEX(Species_Tankiness,MATCH($N669,Species_Names,0)))/225)</f>
        <v>#VALUE!</v>
      </c>
      <c r="S669" s="32" t="e">
        <f t="array" ref="S669">IF(OR(AND(COUNTBLANK(Combo_Opponent_Type_1)=1,COUNTBLANK(Combo_Opponent_Type_2)=0),AND(AND(COUNTBLANK(Combo_Opponent_Type_1)=0,COUNTBLANK(Combo_Opponent_Type_2)=0),Combo_Opponent_Type_1=Combo_Opponent_Type_2)),
"Check Types",(
IF($W669&gt;=((1-Game_Weave_Human_Error)*$X669),$W669,$X669)*INDEX(Species_Attack,MATCH($N669,Species_Names,0)))/11)</f>
        <v>#VALUE!</v>
      </c>
      <c r="T669" s="33" t="e">
        <f t="shared" si="21"/>
        <v>#VALUE!</v>
      </c>
      <c r="U669" s="33">
        <f t="array" ref="U6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669,Quick_Names,0))),Type_Species)),0),1)*IF(COUNTBLANK(Combo_Opponent_Type_2)=0,INDEX(Type_Damage_Multipliers,MATCH(Combo_Opponent_Type_2,IF(Type_Move=(INDEX(Quick_Type,MATCH($O669,Quick_Names,0))),Type_Species)),0),1)*(IF(OR(INDEX(Quick_Type,MATCH($O669,Quick_Names,0))=INDEX(Species_Type_1,MATCH($N669,Species_Names,0)),INDEX(Quick_Type,MATCH($O669,Quick_Names,0))=INDEX(Species_Type_2,MATCH($N669,Species_Names,0))),Game_STAB_Multiplier,1)))</f>
        <v>1.25</v>
      </c>
      <c r="V669" s="33">
        <f t="array" ref="V6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669,Charge_Names,0))),Type_Species)),0),1)*IF(COUNTBLANK(Combo_Opponent_Type_2)=0,INDEX(Type_Damage_Multipliers,MATCH(Combo_Opponent_Type_2,IF(Type_Move=(INDEX(Charge_Type,MATCH($P669,Charge_Names,0))),Type_Species)),0),1)*
IF(OR(INDEX(Charge_Type,MATCH($P669,Charge_Names,0))=INDEX(Species_Type_1,MATCH($N669,Species_Names,0)),INDEX(Charge_Type,MATCH($P669,Charge_Names,0))=INDEX(Species_Type_2,MATCH($N669,Species_Names,0))),Game_STAB_Multiplier,1))</f>
        <v>1.25</v>
      </c>
      <c r="W669" s="33" t="s">
        <v>511</v>
      </c>
      <c r="X669" s="33" t="s">
        <v>560</v>
      </c>
      <c r="Y669" s="32" t="e">
        <f t="array" ref="Y669">((($Z669)*
INDEX(Species_Attack,MATCH($N669,Species_Names,0))*
INDEX(Species_Tankiness,MATCH($N669,Species_Names,0)))/1000)</f>
        <v>#VALUE!</v>
      </c>
      <c r="Z669" s="33" t="s">
        <v>561</v>
      </c>
    </row>
    <row r="670" spans="1:26" ht="14.25" customHeight="1" x14ac:dyDescent="0.2">
      <c r="A670" s="86"/>
      <c r="B670" s="22" t="str">
        <f t="array" ref="B670">CONCATENATE(TEXT($M670,"000"),".",TEXT(INDEX(Quick_Number,MATCH($O670,Quick_Names,0)),"000"),".",TEXT(INDEX(Charge_Number,MATCH($P670,Charge_Names,0)),"000"))</f>
        <v>104.241.095</v>
      </c>
      <c r="C670" s="23" t="e">
        <f t="array" ref="C670">RANK($S670,IF(Combo_Species_Names=$N670,Combo_Gym_Offense),0)</f>
        <v>#VALUE!</v>
      </c>
      <c r="D670" s="24" t="e">
        <f t="array" ref="D670">$S670/MAX(IF(Combo_Species_Names=$N670,Combo_Gym_Offense))</f>
        <v>#VALUE!</v>
      </c>
      <c r="E670" s="23" t="e">
        <f t="array" ref="E670">RANK($Y670,IF(Combo_Species_Names=$N670,Combo_Gym_Defense),0)</f>
        <v>#VALUE!</v>
      </c>
      <c r="F670" s="25" t="e">
        <f t="array" ref="F670">$Y670/MAX(IF(Combo_Species_Names=$N670,Combo_Gym_Defense))</f>
        <v>#VALUE!</v>
      </c>
      <c r="G670" s="23" t="str">
        <f t="array" ref="G670">IF(OR(INDEX(Species_Availability,MATCH($N670,Species_Names,0))="No",INDEX(Species_Evo_Numbers,MATCH($N670,Species_Names,0))&lt;&gt;1),"N/A",RANK($R670,IF(NOT(ISNA(MATCH(Combo_Species_Names,IF(Species_Availability="Yes",IF(Species_Evo_Numbers=1,Species_Names)),0))),Combo_Duel_Ability),0))</f>
        <v>N/A</v>
      </c>
      <c r="H670" s="24" t="str">
        <f t="array" ref="H670">IF(OR(INDEX(Species_Availability,MATCH($N670,Species_Names,0))="No",INDEX(Species_Evo_Numbers,MATCH($N670,Species_Names,0))&lt;&gt;1),"N/A",$R670/MAX(IF(NOT(ISNA(MATCH(Combo_Species_Names,IF(Species_Availability="Yes",IF(Species_Evo_Numbers=1,Species_Names)),0))),Combo_Duel_Ability)))</f>
        <v>N/A</v>
      </c>
      <c r="I670" s="23" t="str">
        <f t="array" ref="I670">IF(OR(INDEX(Species_Availability,MATCH($N670,Species_Names,0))="No",INDEX(Species_Evo_Numbers,MATCH($N670,Species_Names,0))&lt;&gt;1),"N/A",RANK($S670,IF(NOT(ISNA(MATCH(Combo_Species_Names,IF(Species_Availability="Yes",IF(Species_Evo_Numbers=1,Species_Names)),0))),Combo_Gym_Offense),0))</f>
        <v>N/A</v>
      </c>
      <c r="J670" s="24" t="str">
        <f t="array" ref="J670">IF(OR(INDEX(Species_Availability,MATCH($N670,Species_Names,0))="No",INDEX(Species_Evo_Numbers,MATCH($N670,Species_Names,0))&lt;&gt;1),"N/A",$S670/MAX(IF(NOT(ISNA(MATCH(Combo_Species_Names,IF(Species_Availability="Yes",IF(Species_Evo_Numbers=1,Species_Names)),0))),Combo_Gym_Offense)))</f>
        <v>N/A</v>
      </c>
      <c r="K670" s="23" t="str">
        <f t="array" ref="K670">IF(OR(INDEX(Species_Availability,MATCH($N670,Species_Names,0))="No",INDEX(Species_Evo_Numbers,MATCH($N670,Species_Names,0))&lt;&gt;1),"N/A",RANK($Y670,IF(NOT(ISNA(MATCH(Combo_Species_Names,IF(Species_Availability="Yes",IF(Species_Evo_Numbers=1,Species_Names)),0))),Combo_Gym_Defense),0))</f>
        <v>N/A</v>
      </c>
      <c r="L670" s="24" t="str">
        <f t="array" ref="L670">IF(OR(INDEX(Species_Availability,MATCH($N670,Species_Names,0))="No",INDEX(Species_Evo_Numbers,MATCH($N670,Species_Names,0))&lt;&gt;1),"N/A",$Y670/MAX(IF(NOT(ISNA(MATCH(Combo_Species_Names,IF(Species_Availability="Yes",IF(Species_Evo_Numbers=1,Species_Names)),0))),Combo_Gym_Defense)))</f>
        <v>N/A</v>
      </c>
      <c r="M670" s="28">
        <f t="array" ref="M670">INDEX(Species_Pdex_Numbers,MATCH($N670,Species_Names,0))</f>
        <v>104</v>
      </c>
      <c r="N670" s="30" t="s">
        <v>311</v>
      </c>
      <c r="O670" s="31" t="s">
        <v>97</v>
      </c>
      <c r="P670" s="31" t="s">
        <v>291</v>
      </c>
      <c r="Q670" s="17" t="e">
        <f t="shared" si="20"/>
        <v>#VALUE!</v>
      </c>
      <c r="R670" s="32" t="e">
        <f t="array" ref="R670">IF(OR(AND(COUNTBLANK(Combo_Opponent_Type_1)=1,COUNTBLANK(Combo_Opponent_Type_2)=0),AND(AND(COUNTBLANK(Combo_Opponent_Type_1)=0,COUNTBLANK(Combo_Opponent_Type_2)=0),Combo_Opponent_Type_1=Combo_Opponent_Type_2)),
"Check Types",($S670*INDEX(Species_Tankiness,MATCH($N670,Species_Names,0)))/225)</f>
        <v>#VALUE!</v>
      </c>
      <c r="S670" s="32" t="e">
        <f t="array" ref="S670">IF(OR(AND(COUNTBLANK(Combo_Opponent_Type_1)=1,COUNTBLANK(Combo_Opponent_Type_2)=0),AND(AND(COUNTBLANK(Combo_Opponent_Type_1)=0,COUNTBLANK(Combo_Opponent_Type_2)=0),Combo_Opponent_Type_1=Combo_Opponent_Type_2)),
"Check Types",(
IF($W670&gt;=((1-Game_Weave_Human_Error)*$X670),$W670,$X670)*INDEX(Species_Attack,MATCH($N670,Species_Names,0)))/11)</f>
        <v>#VALUE!</v>
      </c>
      <c r="T670" s="33" t="e">
        <f t="shared" si="21"/>
        <v>#VALUE!</v>
      </c>
      <c r="U670" s="33">
        <f t="array" ref="U6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670,Quick_Names,0))),Type_Species)),0),1)*IF(COUNTBLANK(Combo_Opponent_Type_2)=0,INDEX(Type_Damage_Multipliers,MATCH(Combo_Opponent_Type_2,IF(Type_Move=(INDEX(Quick_Type,MATCH($O670,Quick_Names,0))),Type_Species)),0),1)*(IF(OR(INDEX(Quick_Type,MATCH($O670,Quick_Names,0))=INDEX(Species_Type_1,MATCH($N670,Species_Names,0)),INDEX(Quick_Type,MATCH($O670,Quick_Names,0))=INDEX(Species_Type_2,MATCH($N670,Species_Names,0))),Game_STAB_Multiplier,1)))</f>
        <v>1</v>
      </c>
      <c r="V670" s="33">
        <f t="array" ref="V6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670,Charge_Names,0))),Type_Species)),0),1)*IF(COUNTBLANK(Combo_Opponent_Type_2)=0,INDEX(Type_Damage_Multipliers,MATCH(Combo_Opponent_Type_2,IF(Type_Move=(INDEX(Charge_Type,MATCH($P670,Charge_Names,0))),Type_Species)),0),1)*
IF(OR(INDEX(Charge_Type,MATCH($P670,Charge_Names,0))=INDEX(Species_Type_1,MATCH($N670,Species_Names,0)),INDEX(Charge_Type,MATCH($P670,Charge_Names,0))=INDEX(Species_Type_2,MATCH($N670,Species_Names,0))),Game_STAB_Multiplier,1))</f>
        <v>1.25</v>
      </c>
      <c r="W670" s="33" t="s">
        <v>577</v>
      </c>
      <c r="X670" s="33" t="s">
        <v>715</v>
      </c>
      <c r="Y670" s="32" t="e">
        <f t="array" ref="Y670">((($Z670)*
INDEX(Species_Attack,MATCH($N670,Species_Names,0))*
INDEX(Species_Tankiness,MATCH($N670,Species_Names,0)))/1000)</f>
        <v>#VALUE!</v>
      </c>
      <c r="Z670" s="33" t="s">
        <v>480</v>
      </c>
    </row>
    <row r="671" spans="1:26" ht="14.25" customHeight="1" x14ac:dyDescent="0.2">
      <c r="A671" s="86"/>
      <c r="B671" s="22" t="str">
        <f t="array" ref="B671">CONCATENATE(TEXT($M671,"000"),".",TEXT(INDEX(Quick_Number,MATCH($O671,Quick_Names,0)),"000"),".",TEXT(INDEX(Charge_Number,MATCH($P671,Charge_Names,0)),"000"))</f>
        <v>138.216.104</v>
      </c>
      <c r="C671" s="23" t="e">
        <f t="array" ref="C671">RANK($S671,IF(Combo_Species_Names=$N671,Combo_Gym_Offense),0)</f>
        <v>#VALUE!</v>
      </c>
      <c r="D671" s="24" t="e">
        <f t="array" ref="D671">$S671/MAX(IF(Combo_Species_Names=$N671,Combo_Gym_Offense))</f>
        <v>#VALUE!</v>
      </c>
      <c r="E671" s="23" t="e">
        <f t="array" ref="E671">RANK($Y671,IF(Combo_Species_Names=$N671,Combo_Gym_Defense),0)</f>
        <v>#VALUE!</v>
      </c>
      <c r="F671" s="25" t="e">
        <f t="array" ref="F671">$Y671/MAX(IF(Combo_Species_Names=$N671,Combo_Gym_Defense))</f>
        <v>#VALUE!</v>
      </c>
      <c r="G671" s="23" t="str">
        <f t="array" ref="G671">IF(OR(INDEX(Species_Availability,MATCH($N671,Species_Names,0))="No",INDEX(Species_Evo_Numbers,MATCH($N671,Species_Names,0))&lt;&gt;1),"N/A",RANK($R671,IF(NOT(ISNA(MATCH(Combo_Species_Names,IF(Species_Availability="Yes",IF(Species_Evo_Numbers=1,Species_Names)),0))),Combo_Duel_Ability),0))</f>
        <v>N/A</v>
      </c>
      <c r="H671" s="24" t="str">
        <f t="array" ref="H671">IF(OR(INDEX(Species_Availability,MATCH($N671,Species_Names,0))="No",INDEX(Species_Evo_Numbers,MATCH($N671,Species_Names,0))&lt;&gt;1),"N/A",$R671/MAX(IF(NOT(ISNA(MATCH(Combo_Species_Names,IF(Species_Availability="Yes",IF(Species_Evo_Numbers=1,Species_Names)),0))),Combo_Duel_Ability)))</f>
        <v>N/A</v>
      </c>
      <c r="I671" s="23" t="str">
        <f t="array" ref="I671">IF(OR(INDEX(Species_Availability,MATCH($N671,Species_Names,0))="No",INDEX(Species_Evo_Numbers,MATCH($N671,Species_Names,0))&lt;&gt;1),"N/A",RANK($S671,IF(NOT(ISNA(MATCH(Combo_Species_Names,IF(Species_Availability="Yes",IF(Species_Evo_Numbers=1,Species_Names)),0))),Combo_Gym_Offense),0))</f>
        <v>N/A</v>
      </c>
      <c r="J671" s="24" t="str">
        <f t="array" ref="J671">IF(OR(INDEX(Species_Availability,MATCH($N671,Species_Names,0))="No",INDEX(Species_Evo_Numbers,MATCH($N671,Species_Names,0))&lt;&gt;1),"N/A",$S671/MAX(IF(NOT(ISNA(MATCH(Combo_Species_Names,IF(Species_Availability="Yes",IF(Species_Evo_Numbers=1,Species_Names)),0))),Combo_Gym_Offense)))</f>
        <v>N/A</v>
      </c>
      <c r="K671" s="23" t="str">
        <f t="array" ref="K671">IF(OR(INDEX(Species_Availability,MATCH($N671,Species_Names,0))="No",INDEX(Species_Evo_Numbers,MATCH($N671,Species_Names,0))&lt;&gt;1),"N/A",RANK($Y671,IF(NOT(ISNA(MATCH(Combo_Species_Names,IF(Species_Availability="Yes",IF(Species_Evo_Numbers=1,Species_Names)),0))),Combo_Gym_Defense),0))</f>
        <v>N/A</v>
      </c>
      <c r="L671" s="24" t="str">
        <f t="array" ref="L671">IF(OR(INDEX(Species_Availability,MATCH($N671,Species_Names,0))="No",INDEX(Species_Evo_Numbers,MATCH($N671,Species_Names,0))&lt;&gt;1),"N/A",$Y671/MAX(IF(NOT(ISNA(MATCH(Combo_Species_Names,IF(Species_Availability="Yes",IF(Species_Evo_Numbers=1,Species_Names)),0))),Combo_Gym_Defense)))</f>
        <v>N/A</v>
      </c>
      <c r="M671" s="28">
        <f t="array" ref="M671">INDEX(Species_Pdex_Numbers,MATCH($N671,Species_Names,0))</f>
        <v>138</v>
      </c>
      <c r="N671" s="30" t="s">
        <v>356</v>
      </c>
      <c r="O671" s="31" t="s">
        <v>89</v>
      </c>
      <c r="P671" s="31" t="s">
        <v>286</v>
      </c>
      <c r="Q671" s="17" t="e">
        <f t="shared" si="20"/>
        <v>#VALUE!</v>
      </c>
      <c r="R671" s="32" t="e">
        <f t="array" ref="R671">IF(OR(AND(COUNTBLANK(Combo_Opponent_Type_1)=1,COUNTBLANK(Combo_Opponent_Type_2)=0),AND(AND(COUNTBLANK(Combo_Opponent_Type_1)=0,COUNTBLANK(Combo_Opponent_Type_2)=0),Combo_Opponent_Type_1=Combo_Opponent_Type_2)),
"Check Types",($S671*INDEX(Species_Tankiness,MATCH($N671,Species_Names,0)))/225)</f>
        <v>#VALUE!</v>
      </c>
      <c r="S671" s="32" t="e">
        <f t="array" ref="S671">IF(OR(AND(COUNTBLANK(Combo_Opponent_Type_1)=1,COUNTBLANK(Combo_Opponent_Type_2)=0),AND(AND(COUNTBLANK(Combo_Opponent_Type_1)=0,COUNTBLANK(Combo_Opponent_Type_2)=0),Combo_Opponent_Type_1=Combo_Opponent_Type_2)),
"Check Types",(
IF($W671&gt;=((1-Game_Weave_Human_Error)*$X671),$W671,$X671)*INDEX(Species_Attack,MATCH($N671,Species_Names,0)))/11)</f>
        <v>#VALUE!</v>
      </c>
      <c r="T671" s="33" t="e">
        <f t="shared" si="21"/>
        <v>#VALUE!</v>
      </c>
      <c r="U671" s="33">
        <f t="array" ref="U6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671,Quick_Names,0))),Type_Species)),0),1)*IF(COUNTBLANK(Combo_Opponent_Type_2)=0,INDEX(Type_Damage_Multipliers,MATCH(Combo_Opponent_Type_2,IF(Type_Move=(INDEX(Quick_Type,MATCH($O671,Quick_Names,0))),Type_Species)),0),1)*(IF(OR(INDEX(Quick_Type,MATCH($O671,Quick_Names,0))=INDEX(Species_Type_1,MATCH($N671,Species_Names,0)),INDEX(Quick_Type,MATCH($O671,Quick_Names,0))=INDEX(Species_Type_2,MATCH($N671,Species_Names,0))),Game_STAB_Multiplier,1)))</f>
        <v>1</v>
      </c>
      <c r="V671" s="33">
        <f t="array" ref="V6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671,Charge_Names,0))),Type_Species)),0),1)*IF(COUNTBLANK(Combo_Opponent_Type_2)=0,INDEX(Type_Damage_Multipliers,MATCH(Combo_Opponent_Type_2,IF(Type_Move=(INDEX(Charge_Type,MATCH($P671,Charge_Names,0))),Type_Species)),0),1)*
IF(OR(INDEX(Charge_Type,MATCH($P671,Charge_Names,0))=INDEX(Species_Type_1,MATCH($N671,Species_Names,0)),INDEX(Charge_Type,MATCH($P671,Charge_Names,0))=INDEX(Species_Type_2,MATCH($N671,Species_Names,0))),Game_STAB_Multiplier,1))</f>
        <v>1.25</v>
      </c>
      <c r="W671" s="33" t="s">
        <v>518</v>
      </c>
      <c r="X671" s="33" t="s">
        <v>548</v>
      </c>
      <c r="Y671" s="32" t="e">
        <f t="array" ref="Y671">((($Z671)*
INDEX(Species_Attack,MATCH($N671,Species_Names,0))*
INDEX(Species_Tankiness,MATCH($N671,Species_Names,0)))/1000)</f>
        <v>#VALUE!</v>
      </c>
      <c r="Z671" s="33" t="s">
        <v>981</v>
      </c>
    </row>
    <row r="672" spans="1:26" ht="14.25" customHeight="1" x14ac:dyDescent="0.2">
      <c r="A672" s="86"/>
      <c r="B672" s="22" t="str">
        <f t="array" ref="B672">CONCATENATE(TEXT($M672,"000"),".",TEXT(INDEX(Quick_Number,MATCH($O672,Quick_Names,0)),"000"),".",TEXT(INDEX(Charge_Number,MATCH($P672,Charge_Names,0)),"000"))</f>
        <v>138.216.062</v>
      </c>
      <c r="C672" s="23" t="e">
        <f t="array" ref="C672">RANK($S672,IF(Combo_Species_Names=$N672,Combo_Gym_Offense),0)</f>
        <v>#VALUE!</v>
      </c>
      <c r="D672" s="24" t="e">
        <f t="array" ref="D672">$S672/MAX(IF(Combo_Species_Names=$N672,Combo_Gym_Offense))</f>
        <v>#VALUE!</v>
      </c>
      <c r="E672" s="23" t="e">
        <f t="array" ref="E672">RANK($Y672,IF(Combo_Species_Names=$N672,Combo_Gym_Defense),0)</f>
        <v>#VALUE!</v>
      </c>
      <c r="F672" s="25" t="e">
        <f t="array" ref="F672">$Y672/MAX(IF(Combo_Species_Names=$N672,Combo_Gym_Defense))</f>
        <v>#VALUE!</v>
      </c>
      <c r="G672" s="23" t="str">
        <f t="array" ref="G672">IF(OR(INDEX(Species_Availability,MATCH($N672,Species_Names,0))="No",INDEX(Species_Evo_Numbers,MATCH($N672,Species_Names,0))&lt;&gt;1),"N/A",RANK($R672,IF(NOT(ISNA(MATCH(Combo_Species_Names,IF(Species_Availability="Yes",IF(Species_Evo_Numbers=1,Species_Names)),0))),Combo_Duel_Ability),0))</f>
        <v>N/A</v>
      </c>
      <c r="H672" s="24" t="str">
        <f t="array" ref="H672">IF(OR(INDEX(Species_Availability,MATCH($N672,Species_Names,0))="No",INDEX(Species_Evo_Numbers,MATCH($N672,Species_Names,0))&lt;&gt;1),"N/A",$R672/MAX(IF(NOT(ISNA(MATCH(Combo_Species_Names,IF(Species_Availability="Yes",IF(Species_Evo_Numbers=1,Species_Names)),0))),Combo_Duel_Ability)))</f>
        <v>N/A</v>
      </c>
      <c r="I672" s="23" t="str">
        <f t="array" ref="I672">IF(OR(INDEX(Species_Availability,MATCH($N672,Species_Names,0))="No",INDEX(Species_Evo_Numbers,MATCH($N672,Species_Names,0))&lt;&gt;1),"N/A",RANK($S672,IF(NOT(ISNA(MATCH(Combo_Species_Names,IF(Species_Availability="Yes",IF(Species_Evo_Numbers=1,Species_Names)),0))),Combo_Gym_Offense),0))</f>
        <v>N/A</v>
      </c>
      <c r="J672" s="24" t="str">
        <f t="array" ref="J672">IF(OR(INDEX(Species_Availability,MATCH($N672,Species_Names,0))="No",INDEX(Species_Evo_Numbers,MATCH($N672,Species_Names,0))&lt;&gt;1),"N/A",$S672/MAX(IF(NOT(ISNA(MATCH(Combo_Species_Names,IF(Species_Availability="Yes",IF(Species_Evo_Numbers=1,Species_Names)),0))),Combo_Gym_Offense)))</f>
        <v>N/A</v>
      </c>
      <c r="K672" s="23" t="str">
        <f t="array" ref="K672">IF(OR(INDEX(Species_Availability,MATCH($N672,Species_Names,0))="No",INDEX(Species_Evo_Numbers,MATCH($N672,Species_Names,0))&lt;&gt;1),"N/A",RANK($Y672,IF(NOT(ISNA(MATCH(Combo_Species_Names,IF(Species_Availability="Yes",IF(Species_Evo_Numbers=1,Species_Names)),0))),Combo_Gym_Defense),0))</f>
        <v>N/A</v>
      </c>
      <c r="L672" s="24" t="str">
        <f t="array" ref="L672">IF(OR(INDEX(Species_Availability,MATCH($N672,Species_Names,0))="No",INDEX(Species_Evo_Numbers,MATCH($N672,Species_Names,0))&lt;&gt;1),"N/A",$Y672/MAX(IF(NOT(ISNA(MATCH(Combo_Species_Names,IF(Species_Availability="Yes",IF(Species_Evo_Numbers=1,Species_Names)),0))),Combo_Gym_Defense)))</f>
        <v>N/A</v>
      </c>
      <c r="M672" s="28">
        <f t="array" ref="M672">INDEX(Species_Pdex_Numbers,MATCH($N672,Species_Names,0))</f>
        <v>138</v>
      </c>
      <c r="N672" s="30" t="s">
        <v>356</v>
      </c>
      <c r="O672" s="31" t="s">
        <v>89</v>
      </c>
      <c r="P672" s="31" t="s">
        <v>297</v>
      </c>
      <c r="Q672" s="17" t="e">
        <f t="shared" si="20"/>
        <v>#VALUE!</v>
      </c>
      <c r="R672" s="32" t="e">
        <f t="array" ref="R672">IF(OR(AND(COUNTBLANK(Combo_Opponent_Type_1)=1,COUNTBLANK(Combo_Opponent_Type_2)=0),AND(AND(COUNTBLANK(Combo_Opponent_Type_1)=0,COUNTBLANK(Combo_Opponent_Type_2)=0),Combo_Opponent_Type_1=Combo_Opponent_Type_2)),
"Check Types",($S672*INDEX(Species_Tankiness,MATCH($N672,Species_Names,0)))/225)</f>
        <v>#VALUE!</v>
      </c>
      <c r="S672" s="32" t="e">
        <f t="array" ref="S672">IF(OR(AND(COUNTBLANK(Combo_Opponent_Type_1)=1,COUNTBLANK(Combo_Opponent_Type_2)=0),AND(AND(COUNTBLANK(Combo_Opponent_Type_1)=0,COUNTBLANK(Combo_Opponent_Type_2)=0),Combo_Opponent_Type_1=Combo_Opponent_Type_2)),
"Check Types",(
IF($W672&gt;=((1-Game_Weave_Human_Error)*$X672),$W672,$X672)*INDEX(Species_Attack,MATCH($N672,Species_Names,0)))/11)</f>
        <v>#VALUE!</v>
      </c>
      <c r="T672" s="33" t="e">
        <f t="shared" si="21"/>
        <v>#VALUE!</v>
      </c>
      <c r="U672" s="33">
        <f t="array" ref="U6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672,Quick_Names,0))),Type_Species)),0),1)*IF(COUNTBLANK(Combo_Opponent_Type_2)=0,INDEX(Type_Damage_Multipliers,MATCH(Combo_Opponent_Type_2,IF(Type_Move=(INDEX(Quick_Type,MATCH($O672,Quick_Names,0))),Type_Species)),0),1)*(IF(OR(INDEX(Quick_Type,MATCH($O672,Quick_Names,0))=INDEX(Species_Type_1,MATCH($N672,Species_Names,0)),INDEX(Quick_Type,MATCH($O672,Quick_Names,0))=INDEX(Species_Type_2,MATCH($N672,Species_Names,0))),Game_STAB_Multiplier,1)))</f>
        <v>1</v>
      </c>
      <c r="V672" s="33">
        <f t="array" ref="V6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672,Charge_Names,0))),Type_Species)),0),1)*IF(COUNTBLANK(Combo_Opponent_Type_2)=0,INDEX(Type_Damage_Multipliers,MATCH(Combo_Opponent_Type_2,IF(Type_Move=(INDEX(Charge_Type,MATCH($P672,Charge_Names,0))),Type_Species)),0),1)*
IF(OR(INDEX(Charge_Type,MATCH($P672,Charge_Names,0))=INDEX(Species_Type_1,MATCH($N672,Species_Names,0)),INDEX(Charge_Type,MATCH($P672,Charge_Names,0))=INDEX(Species_Type_2,MATCH($N672,Species_Names,0))),Game_STAB_Multiplier,1))</f>
        <v>1.25</v>
      </c>
      <c r="W672" s="33" t="s">
        <v>518</v>
      </c>
      <c r="X672" s="33" t="s">
        <v>715</v>
      </c>
      <c r="Y672" s="32" t="e">
        <f t="array" ref="Y672">((($Z672)*
INDEX(Species_Attack,MATCH($N672,Species_Names,0))*
INDEX(Species_Tankiness,MATCH($N672,Species_Names,0)))/1000)</f>
        <v>#VALUE!</v>
      </c>
      <c r="Z672" s="33" t="s">
        <v>810</v>
      </c>
    </row>
    <row r="673" spans="1:26" ht="14.25" customHeight="1" x14ac:dyDescent="0.2">
      <c r="A673" s="86"/>
      <c r="B673" s="22" t="str">
        <f t="array" ref="B673">CONCATENATE(TEXT($M673,"000"),".",TEXT(INDEX(Quick_Number,MATCH($O673,Quick_Names,0)),"000"),".",TEXT(INDEX(Charge_Number,MATCH($P673,Charge_Names,0)),"000"))</f>
        <v>138.216.063</v>
      </c>
      <c r="C673" s="23" t="e">
        <f t="array" ref="C673">RANK($S673,IF(Combo_Species_Names=$N673,Combo_Gym_Offense),0)</f>
        <v>#VALUE!</v>
      </c>
      <c r="D673" s="24" t="e">
        <f t="array" ref="D673">$S673/MAX(IF(Combo_Species_Names=$N673,Combo_Gym_Offense))</f>
        <v>#VALUE!</v>
      </c>
      <c r="E673" s="23" t="e">
        <f t="array" ref="E673">RANK($Y673,IF(Combo_Species_Names=$N673,Combo_Gym_Defense),0)</f>
        <v>#VALUE!</v>
      </c>
      <c r="F673" s="25" t="e">
        <f t="array" ref="F673">$Y673/MAX(IF(Combo_Species_Names=$N673,Combo_Gym_Defense))</f>
        <v>#VALUE!</v>
      </c>
      <c r="G673" s="23" t="str">
        <f t="array" ref="G673">IF(OR(INDEX(Species_Availability,MATCH($N673,Species_Names,0))="No",INDEX(Species_Evo_Numbers,MATCH($N673,Species_Names,0))&lt;&gt;1),"N/A",RANK($R673,IF(NOT(ISNA(MATCH(Combo_Species_Names,IF(Species_Availability="Yes",IF(Species_Evo_Numbers=1,Species_Names)),0))),Combo_Duel_Ability),0))</f>
        <v>N/A</v>
      </c>
      <c r="H673" s="24" t="str">
        <f t="array" ref="H673">IF(OR(INDEX(Species_Availability,MATCH($N673,Species_Names,0))="No",INDEX(Species_Evo_Numbers,MATCH($N673,Species_Names,0))&lt;&gt;1),"N/A",$R673/MAX(IF(NOT(ISNA(MATCH(Combo_Species_Names,IF(Species_Availability="Yes",IF(Species_Evo_Numbers=1,Species_Names)),0))),Combo_Duel_Ability)))</f>
        <v>N/A</v>
      </c>
      <c r="I673" s="23" t="str">
        <f t="array" ref="I673">IF(OR(INDEX(Species_Availability,MATCH($N673,Species_Names,0))="No",INDEX(Species_Evo_Numbers,MATCH($N673,Species_Names,0))&lt;&gt;1),"N/A",RANK($S673,IF(NOT(ISNA(MATCH(Combo_Species_Names,IF(Species_Availability="Yes",IF(Species_Evo_Numbers=1,Species_Names)),0))),Combo_Gym_Offense),0))</f>
        <v>N/A</v>
      </c>
      <c r="J673" s="24" t="str">
        <f t="array" ref="J673">IF(OR(INDEX(Species_Availability,MATCH($N673,Species_Names,0))="No",INDEX(Species_Evo_Numbers,MATCH($N673,Species_Names,0))&lt;&gt;1),"N/A",$S673/MAX(IF(NOT(ISNA(MATCH(Combo_Species_Names,IF(Species_Availability="Yes",IF(Species_Evo_Numbers=1,Species_Names)),0))),Combo_Gym_Offense)))</f>
        <v>N/A</v>
      </c>
      <c r="K673" s="23" t="str">
        <f t="array" ref="K673">IF(OR(INDEX(Species_Availability,MATCH($N673,Species_Names,0))="No",INDEX(Species_Evo_Numbers,MATCH($N673,Species_Names,0))&lt;&gt;1),"N/A",RANK($Y673,IF(NOT(ISNA(MATCH(Combo_Species_Names,IF(Species_Availability="Yes",IF(Species_Evo_Numbers=1,Species_Names)),0))),Combo_Gym_Defense),0))</f>
        <v>N/A</v>
      </c>
      <c r="L673" s="24" t="str">
        <f t="array" ref="L673">IF(OR(INDEX(Species_Availability,MATCH($N673,Species_Names,0))="No",INDEX(Species_Evo_Numbers,MATCH($N673,Species_Names,0))&lt;&gt;1),"N/A",$Y673/MAX(IF(NOT(ISNA(MATCH(Combo_Species_Names,IF(Species_Availability="Yes",IF(Species_Evo_Numbers=1,Species_Names)),0))),Combo_Gym_Defense)))</f>
        <v>N/A</v>
      </c>
      <c r="M673" s="28">
        <f t="array" ref="M673">INDEX(Species_Pdex_Numbers,MATCH($N673,Species_Names,0))</f>
        <v>138</v>
      </c>
      <c r="N673" s="30" t="s">
        <v>356</v>
      </c>
      <c r="O673" s="31" t="s">
        <v>89</v>
      </c>
      <c r="P673" s="31" t="s">
        <v>299</v>
      </c>
      <c r="Q673" s="17" t="e">
        <f t="shared" si="20"/>
        <v>#VALUE!</v>
      </c>
      <c r="R673" s="32" t="e">
        <f t="array" ref="R673">IF(OR(AND(COUNTBLANK(Combo_Opponent_Type_1)=1,COUNTBLANK(Combo_Opponent_Type_2)=0),AND(AND(COUNTBLANK(Combo_Opponent_Type_1)=0,COUNTBLANK(Combo_Opponent_Type_2)=0),Combo_Opponent_Type_1=Combo_Opponent_Type_2)),
"Check Types",($S673*INDEX(Species_Tankiness,MATCH($N673,Species_Names,0)))/225)</f>
        <v>#VALUE!</v>
      </c>
      <c r="S673" s="32" t="e">
        <f t="array" ref="S673">IF(OR(AND(COUNTBLANK(Combo_Opponent_Type_1)=1,COUNTBLANK(Combo_Opponent_Type_2)=0),AND(AND(COUNTBLANK(Combo_Opponent_Type_1)=0,COUNTBLANK(Combo_Opponent_Type_2)=0),Combo_Opponent_Type_1=Combo_Opponent_Type_2)),
"Check Types",(
IF($W673&gt;=((1-Game_Weave_Human_Error)*$X673),$W673,$X673)*INDEX(Species_Attack,MATCH($N673,Species_Names,0)))/11)</f>
        <v>#VALUE!</v>
      </c>
      <c r="T673" s="33" t="e">
        <f t="shared" si="21"/>
        <v>#VALUE!</v>
      </c>
      <c r="U673" s="33">
        <f t="array" ref="U6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673,Quick_Names,0))),Type_Species)),0),1)*IF(COUNTBLANK(Combo_Opponent_Type_2)=0,INDEX(Type_Damage_Multipliers,MATCH(Combo_Opponent_Type_2,IF(Type_Move=(INDEX(Quick_Type,MATCH($O673,Quick_Names,0))),Type_Species)),0),1)*(IF(OR(INDEX(Quick_Type,MATCH($O673,Quick_Names,0))=INDEX(Species_Type_1,MATCH($N673,Species_Names,0)),INDEX(Quick_Type,MATCH($O673,Quick_Names,0))=INDEX(Species_Type_2,MATCH($N673,Species_Names,0))),Game_STAB_Multiplier,1)))</f>
        <v>1</v>
      </c>
      <c r="V673" s="33">
        <f t="array" ref="V6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673,Charge_Names,0))),Type_Species)),0),1)*IF(COUNTBLANK(Combo_Opponent_Type_2)=0,INDEX(Type_Damage_Multipliers,MATCH(Combo_Opponent_Type_2,IF(Type_Move=(INDEX(Charge_Type,MATCH($P673,Charge_Names,0))),Type_Species)),0),1)*
IF(OR(INDEX(Charge_Type,MATCH($P673,Charge_Names,0))=INDEX(Species_Type_1,MATCH($N673,Species_Names,0)),INDEX(Charge_Type,MATCH($P673,Charge_Names,0))=INDEX(Species_Type_2,MATCH($N673,Species_Names,0))),Game_STAB_Multiplier,1))</f>
        <v>1.25</v>
      </c>
      <c r="W673" s="33" t="s">
        <v>518</v>
      </c>
      <c r="X673" s="33" t="s">
        <v>1044</v>
      </c>
      <c r="Y673" s="32" t="e">
        <f t="array" ref="Y673">((($Z673)*
INDEX(Species_Attack,MATCH($N673,Species_Names,0))*
INDEX(Species_Tankiness,MATCH($N673,Species_Names,0)))/1000)</f>
        <v>#VALUE!</v>
      </c>
      <c r="Z673" s="33" t="s">
        <v>635</v>
      </c>
    </row>
    <row r="674" spans="1:26" ht="14.25" customHeight="1" x14ac:dyDescent="0.2">
      <c r="A674" s="86"/>
      <c r="B674" s="22" t="str">
        <f t="array" ref="B674">CONCATENATE(TEXT($M674,"000"),".",TEXT(INDEX(Quick_Number,MATCH($O674,Quick_Names,0)),"000"),".",TEXT(INDEX(Charge_Number,MATCH($P674,Charge_Names,0)),"000"))</f>
        <v>133.219.125</v>
      </c>
      <c r="C674" s="23" t="e">
        <f t="array" ref="C674">RANK($S674,IF(Combo_Species_Names=$N674,Combo_Gym_Offense),0)</f>
        <v>#VALUE!</v>
      </c>
      <c r="D674" s="24" t="e">
        <f t="array" ref="D674">$S674/MAX(IF(Combo_Species_Names=$N674,Combo_Gym_Offense))</f>
        <v>#VALUE!</v>
      </c>
      <c r="E674" s="23" t="e">
        <f t="array" ref="E674">RANK($Y674,IF(Combo_Species_Names=$N674,Combo_Gym_Defense),0)</f>
        <v>#VALUE!</v>
      </c>
      <c r="F674" s="25" t="e">
        <f t="array" ref="F674">$Y674/MAX(IF(Combo_Species_Names=$N674,Combo_Gym_Defense))</f>
        <v>#VALUE!</v>
      </c>
      <c r="G674" s="23" t="str">
        <f t="array" ref="G674">IF(OR(INDEX(Species_Availability,MATCH($N674,Species_Names,0))="No",INDEX(Species_Evo_Numbers,MATCH($N674,Species_Names,0))&lt;&gt;1),"N/A",RANK($R674,IF(NOT(ISNA(MATCH(Combo_Species_Names,IF(Species_Availability="Yes",IF(Species_Evo_Numbers=1,Species_Names)),0))),Combo_Duel_Ability),0))</f>
        <v>N/A</v>
      </c>
      <c r="H674" s="24" t="str">
        <f t="array" ref="H674">IF(OR(INDEX(Species_Availability,MATCH($N674,Species_Names,0))="No",INDEX(Species_Evo_Numbers,MATCH($N674,Species_Names,0))&lt;&gt;1),"N/A",$R674/MAX(IF(NOT(ISNA(MATCH(Combo_Species_Names,IF(Species_Availability="Yes",IF(Species_Evo_Numbers=1,Species_Names)),0))),Combo_Duel_Ability)))</f>
        <v>N/A</v>
      </c>
      <c r="I674" s="23" t="str">
        <f t="array" ref="I674">IF(OR(INDEX(Species_Availability,MATCH($N674,Species_Names,0))="No",INDEX(Species_Evo_Numbers,MATCH($N674,Species_Names,0))&lt;&gt;1),"N/A",RANK($S674,IF(NOT(ISNA(MATCH(Combo_Species_Names,IF(Species_Availability="Yes",IF(Species_Evo_Numbers=1,Species_Names)),0))),Combo_Gym_Offense),0))</f>
        <v>N/A</v>
      </c>
      <c r="J674" s="24" t="str">
        <f t="array" ref="J674">IF(OR(INDEX(Species_Availability,MATCH($N674,Species_Names,0))="No",INDEX(Species_Evo_Numbers,MATCH($N674,Species_Names,0))&lt;&gt;1),"N/A",$S674/MAX(IF(NOT(ISNA(MATCH(Combo_Species_Names,IF(Species_Availability="Yes",IF(Species_Evo_Numbers=1,Species_Names)),0))),Combo_Gym_Offense)))</f>
        <v>N/A</v>
      </c>
      <c r="K674" s="23" t="str">
        <f t="array" ref="K674">IF(OR(INDEX(Species_Availability,MATCH($N674,Species_Names,0))="No",INDEX(Species_Evo_Numbers,MATCH($N674,Species_Names,0))&lt;&gt;1),"N/A",RANK($Y674,IF(NOT(ISNA(MATCH(Combo_Species_Names,IF(Species_Availability="Yes",IF(Species_Evo_Numbers=1,Species_Names)),0))),Combo_Gym_Defense),0))</f>
        <v>N/A</v>
      </c>
      <c r="L674" s="24" t="str">
        <f t="array" ref="L674">IF(OR(INDEX(Species_Availability,MATCH($N674,Species_Names,0))="No",INDEX(Species_Evo_Numbers,MATCH($N674,Species_Names,0))&lt;&gt;1),"N/A",$Y674/MAX(IF(NOT(ISNA(MATCH(Combo_Species_Names,IF(Species_Availability="Yes",IF(Species_Evo_Numbers=1,Species_Names)),0))),Combo_Gym_Defense)))</f>
        <v>N/A</v>
      </c>
      <c r="M674" s="28">
        <f t="array" ref="M674">INDEX(Species_Pdex_Numbers,MATCH($N674,Species_Names,0))</f>
        <v>133</v>
      </c>
      <c r="N674" s="30" t="s">
        <v>351</v>
      </c>
      <c r="O674" s="31" t="s">
        <v>119</v>
      </c>
      <c r="P674" s="31" t="s">
        <v>292</v>
      </c>
      <c r="Q674" s="17" t="e">
        <f t="shared" si="20"/>
        <v>#VALUE!</v>
      </c>
      <c r="R674" s="32" t="e">
        <f t="array" ref="R674">IF(OR(AND(COUNTBLANK(Combo_Opponent_Type_1)=1,COUNTBLANK(Combo_Opponent_Type_2)=0),AND(AND(COUNTBLANK(Combo_Opponent_Type_1)=0,COUNTBLANK(Combo_Opponent_Type_2)=0),Combo_Opponent_Type_1=Combo_Opponent_Type_2)),
"Check Types",($S674*INDEX(Species_Tankiness,MATCH($N674,Species_Names,0)))/225)</f>
        <v>#VALUE!</v>
      </c>
      <c r="S674" s="32" t="e">
        <f t="array" ref="S674">IF(OR(AND(COUNTBLANK(Combo_Opponent_Type_1)=1,COUNTBLANK(Combo_Opponent_Type_2)=0),AND(AND(COUNTBLANK(Combo_Opponent_Type_1)=0,COUNTBLANK(Combo_Opponent_Type_2)=0),Combo_Opponent_Type_1=Combo_Opponent_Type_2)),
"Check Types",(
IF($W674&gt;=((1-Game_Weave_Human_Error)*$X674),$W674,$X674)*INDEX(Species_Attack,MATCH($N674,Species_Names,0)))/11)</f>
        <v>#VALUE!</v>
      </c>
      <c r="T674" s="33" t="e">
        <f t="shared" si="21"/>
        <v>#VALUE!</v>
      </c>
      <c r="U674" s="33">
        <f t="array" ref="U6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674,Quick_Names,0))),Type_Species)),0),1)*IF(COUNTBLANK(Combo_Opponent_Type_2)=0,INDEX(Type_Damage_Multipliers,MATCH(Combo_Opponent_Type_2,IF(Type_Move=(INDEX(Quick_Type,MATCH($O674,Quick_Names,0))),Type_Species)),0),1)*(IF(OR(INDEX(Quick_Type,MATCH($O674,Quick_Names,0))=INDEX(Species_Type_1,MATCH($N674,Species_Names,0)),INDEX(Quick_Type,MATCH($O674,Quick_Names,0))=INDEX(Species_Type_2,MATCH($N674,Species_Names,0))),Game_STAB_Multiplier,1)))</f>
        <v>1.25</v>
      </c>
      <c r="V674" s="33">
        <f t="array" ref="V6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674,Charge_Names,0))),Type_Species)),0),1)*IF(COUNTBLANK(Combo_Opponent_Type_2)=0,INDEX(Type_Damage_Multipliers,MATCH(Combo_Opponent_Type_2,IF(Type_Move=(INDEX(Charge_Type,MATCH($P674,Charge_Names,0))),Type_Species)),0),1)*
IF(OR(INDEX(Charge_Type,MATCH($P674,Charge_Names,0))=INDEX(Species_Type_1,MATCH($N674,Species_Names,0)),INDEX(Charge_Type,MATCH($P674,Charge_Names,0))=INDEX(Species_Type_2,MATCH($N674,Species_Names,0))),Game_STAB_Multiplier,1))</f>
        <v>1.25</v>
      </c>
      <c r="W674" s="33" t="s">
        <v>564</v>
      </c>
      <c r="X674" s="33" t="s">
        <v>409</v>
      </c>
      <c r="Y674" s="32" t="e">
        <f t="array" ref="Y674">((($Z674)*
INDEX(Species_Attack,MATCH($N674,Species_Names,0))*
INDEX(Species_Tankiness,MATCH($N674,Species_Names,0)))/1000)</f>
        <v>#VALUE!</v>
      </c>
      <c r="Z674" s="33" t="s">
        <v>1045</v>
      </c>
    </row>
    <row r="675" spans="1:26" ht="14.25" customHeight="1" x14ac:dyDescent="0.2">
      <c r="A675" s="86"/>
      <c r="B675" s="22" t="str">
        <f t="array" ref="B675">CONCATENATE(TEXT($M675,"000"),".",TEXT(INDEX(Quick_Number,MATCH($O675,Quick_Names,0)),"000"),".",TEXT(INDEX(Charge_Number,MATCH($P675,Charge_Names,0)),"000"))</f>
        <v>046.201.100</v>
      </c>
      <c r="C675" s="23" t="e">
        <f t="array" ref="C675">RANK($S675,IF(Combo_Species_Names=$N675,Combo_Gym_Offense),0)</f>
        <v>#VALUE!</v>
      </c>
      <c r="D675" s="24" t="e">
        <f t="array" ref="D675">$S675/MAX(IF(Combo_Species_Names=$N675,Combo_Gym_Offense))</f>
        <v>#VALUE!</v>
      </c>
      <c r="E675" s="23" t="e">
        <f t="array" ref="E675">RANK($Y675,IF(Combo_Species_Names=$N675,Combo_Gym_Defense),0)</f>
        <v>#VALUE!</v>
      </c>
      <c r="F675" s="25" t="e">
        <f t="array" ref="F675">$Y675/MAX(IF(Combo_Species_Names=$N675,Combo_Gym_Defense))</f>
        <v>#VALUE!</v>
      </c>
      <c r="G675" s="23" t="str">
        <f t="array" ref="G675">IF(OR(INDEX(Species_Availability,MATCH($N675,Species_Names,0))="No",INDEX(Species_Evo_Numbers,MATCH($N675,Species_Names,0))&lt;&gt;1),"N/A",RANK($R675,IF(NOT(ISNA(MATCH(Combo_Species_Names,IF(Species_Availability="Yes",IF(Species_Evo_Numbers=1,Species_Names)),0))),Combo_Duel_Ability),0))</f>
        <v>N/A</v>
      </c>
      <c r="H675" s="24" t="str">
        <f t="array" ref="H675">IF(OR(INDEX(Species_Availability,MATCH($N675,Species_Names,0))="No",INDEX(Species_Evo_Numbers,MATCH($N675,Species_Names,0))&lt;&gt;1),"N/A",$R675/MAX(IF(NOT(ISNA(MATCH(Combo_Species_Names,IF(Species_Availability="Yes",IF(Species_Evo_Numbers=1,Species_Names)),0))),Combo_Duel_Ability)))</f>
        <v>N/A</v>
      </c>
      <c r="I675" s="23" t="str">
        <f t="array" ref="I675">IF(OR(INDEX(Species_Availability,MATCH($N675,Species_Names,0))="No",INDEX(Species_Evo_Numbers,MATCH($N675,Species_Names,0))&lt;&gt;1),"N/A",RANK($S675,IF(NOT(ISNA(MATCH(Combo_Species_Names,IF(Species_Availability="Yes",IF(Species_Evo_Numbers=1,Species_Names)),0))),Combo_Gym_Offense),0))</f>
        <v>N/A</v>
      </c>
      <c r="J675" s="24" t="str">
        <f t="array" ref="J675">IF(OR(INDEX(Species_Availability,MATCH($N675,Species_Names,0))="No",INDEX(Species_Evo_Numbers,MATCH($N675,Species_Names,0))&lt;&gt;1),"N/A",$S675/MAX(IF(NOT(ISNA(MATCH(Combo_Species_Names,IF(Species_Availability="Yes",IF(Species_Evo_Numbers=1,Species_Names)),0))),Combo_Gym_Offense)))</f>
        <v>N/A</v>
      </c>
      <c r="K675" s="23" t="str">
        <f t="array" ref="K675">IF(OR(INDEX(Species_Availability,MATCH($N675,Species_Names,0))="No",INDEX(Species_Evo_Numbers,MATCH($N675,Species_Names,0))&lt;&gt;1),"N/A",RANK($Y675,IF(NOT(ISNA(MATCH(Combo_Species_Names,IF(Species_Availability="Yes",IF(Species_Evo_Numbers=1,Species_Names)),0))),Combo_Gym_Defense),0))</f>
        <v>N/A</v>
      </c>
      <c r="L675" s="24" t="str">
        <f t="array" ref="L675">IF(OR(INDEX(Species_Availability,MATCH($N675,Species_Names,0))="No",INDEX(Species_Evo_Numbers,MATCH($N675,Species_Names,0))&lt;&gt;1),"N/A",$Y675/MAX(IF(NOT(ISNA(MATCH(Combo_Species_Names,IF(Species_Availability="Yes",IF(Species_Evo_Numbers=1,Species_Names)),0))),Combo_Gym_Defense)))</f>
        <v>N/A</v>
      </c>
      <c r="M675" s="28">
        <f t="array" ref="M675">INDEX(Species_Pdex_Numbers,MATCH($N675,Species_Names,0))</f>
        <v>46</v>
      </c>
      <c r="N675" s="30" t="s">
        <v>182</v>
      </c>
      <c r="O675" s="31" t="s">
        <v>82</v>
      </c>
      <c r="P675" s="31" t="s">
        <v>218</v>
      </c>
      <c r="Q675" s="17" t="e">
        <f t="shared" si="20"/>
        <v>#VALUE!</v>
      </c>
      <c r="R675" s="32" t="e">
        <f t="array" ref="R675">IF(OR(AND(COUNTBLANK(Combo_Opponent_Type_1)=1,COUNTBLANK(Combo_Opponent_Type_2)=0),AND(AND(COUNTBLANK(Combo_Opponent_Type_1)=0,COUNTBLANK(Combo_Opponent_Type_2)=0),Combo_Opponent_Type_1=Combo_Opponent_Type_2)),
"Check Types",($S675*INDEX(Species_Tankiness,MATCH($N675,Species_Names,0)))/225)</f>
        <v>#VALUE!</v>
      </c>
      <c r="S675" s="32" t="e">
        <f t="array" ref="S675">IF(OR(AND(COUNTBLANK(Combo_Opponent_Type_1)=1,COUNTBLANK(Combo_Opponent_Type_2)=0),AND(AND(COUNTBLANK(Combo_Opponent_Type_1)=0,COUNTBLANK(Combo_Opponent_Type_2)=0),Combo_Opponent_Type_1=Combo_Opponent_Type_2)),
"Check Types",(
IF($W675&gt;=((1-Game_Weave_Human_Error)*$X675),$W675,$X675)*INDEX(Species_Attack,MATCH($N675,Species_Names,0)))/11)</f>
        <v>#VALUE!</v>
      </c>
      <c r="T675" s="33" t="e">
        <f t="shared" si="21"/>
        <v>#VALUE!</v>
      </c>
      <c r="U675" s="33">
        <f t="array" ref="U6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675,Quick_Names,0))),Type_Species)),0),1)*IF(COUNTBLANK(Combo_Opponent_Type_2)=0,INDEX(Type_Damage_Multipliers,MATCH(Combo_Opponent_Type_2,IF(Type_Move=(INDEX(Quick_Type,MATCH($O675,Quick_Names,0))),Type_Species)),0),1)*(IF(OR(INDEX(Quick_Type,MATCH($O675,Quick_Names,0))=INDEX(Species_Type_1,MATCH($N675,Species_Names,0)),INDEX(Quick_Type,MATCH($O675,Quick_Names,0))=INDEX(Species_Type_2,MATCH($N675,Species_Names,0))),Game_STAB_Multiplier,1)))</f>
        <v>1.25</v>
      </c>
      <c r="V675" s="33">
        <f t="array" ref="V6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675,Charge_Names,0))),Type_Species)),0),1)*IF(COUNTBLANK(Combo_Opponent_Type_2)=0,INDEX(Type_Damage_Multipliers,MATCH(Combo_Opponent_Type_2,IF(Type_Move=(INDEX(Charge_Type,MATCH($P675,Charge_Names,0))),Type_Species)),0),1)*
IF(OR(INDEX(Charge_Type,MATCH($P675,Charge_Names,0))=INDEX(Species_Type_1,MATCH($N675,Species_Names,0)),INDEX(Charge_Type,MATCH($P675,Charge_Names,0))=INDEX(Species_Type_2,MATCH($N675,Species_Names,0))),Game_STAB_Multiplier,1))</f>
        <v>1.25</v>
      </c>
      <c r="W675" s="33" t="s">
        <v>436</v>
      </c>
      <c r="X675" s="33" t="s">
        <v>775</v>
      </c>
      <c r="Y675" s="32" t="e">
        <f t="array" ref="Y675">((($Z675)*
INDEX(Species_Attack,MATCH($N675,Species_Names,0))*
INDEX(Species_Tankiness,MATCH($N675,Species_Names,0)))/1000)</f>
        <v>#VALUE!</v>
      </c>
      <c r="Z675" s="33" t="s">
        <v>411</v>
      </c>
    </row>
    <row r="676" spans="1:26" ht="14.25" customHeight="1" x14ac:dyDescent="0.2">
      <c r="A676" s="86"/>
      <c r="B676" s="22" t="str">
        <f t="array" ref="B676">CONCATENATE(TEXT($M676,"000"),".",TEXT(INDEX(Quick_Number,MATCH($O676,Quick_Names,0)),"000"),".",TEXT(INDEX(Charge_Number,MATCH($P676,Charge_Names,0)),"000"))</f>
        <v>118.211.058</v>
      </c>
      <c r="C676" s="23" t="e">
        <f t="array" ref="C676">RANK($S676,IF(Combo_Species_Names=$N676,Combo_Gym_Offense),0)</f>
        <v>#VALUE!</v>
      </c>
      <c r="D676" s="24" t="e">
        <f t="array" ref="D676">$S676/MAX(IF(Combo_Species_Names=$N676,Combo_Gym_Offense))</f>
        <v>#VALUE!</v>
      </c>
      <c r="E676" s="23" t="e">
        <f t="array" ref="E676">RANK($Y676,IF(Combo_Species_Names=$N676,Combo_Gym_Defense),0)</f>
        <v>#VALUE!</v>
      </c>
      <c r="F676" s="25" t="e">
        <f t="array" ref="F676">$Y676/MAX(IF(Combo_Species_Names=$N676,Combo_Gym_Defense))</f>
        <v>#VALUE!</v>
      </c>
      <c r="G676" s="23" t="str">
        <f t="array" ref="G676">IF(OR(INDEX(Species_Availability,MATCH($N676,Species_Names,0))="No",INDEX(Species_Evo_Numbers,MATCH($N676,Species_Names,0))&lt;&gt;1),"N/A",RANK($R676,IF(NOT(ISNA(MATCH(Combo_Species_Names,IF(Species_Availability="Yes",IF(Species_Evo_Numbers=1,Species_Names)),0))),Combo_Duel_Ability),0))</f>
        <v>N/A</v>
      </c>
      <c r="H676" s="24" t="str">
        <f t="array" ref="H676">IF(OR(INDEX(Species_Availability,MATCH($N676,Species_Names,0))="No",INDEX(Species_Evo_Numbers,MATCH($N676,Species_Names,0))&lt;&gt;1),"N/A",$R676/MAX(IF(NOT(ISNA(MATCH(Combo_Species_Names,IF(Species_Availability="Yes",IF(Species_Evo_Numbers=1,Species_Names)),0))),Combo_Duel_Ability)))</f>
        <v>N/A</v>
      </c>
      <c r="I676" s="23" t="str">
        <f t="array" ref="I676">IF(OR(INDEX(Species_Availability,MATCH($N676,Species_Names,0))="No",INDEX(Species_Evo_Numbers,MATCH($N676,Species_Names,0))&lt;&gt;1),"N/A",RANK($S676,IF(NOT(ISNA(MATCH(Combo_Species_Names,IF(Species_Availability="Yes",IF(Species_Evo_Numbers=1,Species_Names)),0))),Combo_Gym_Offense),0))</f>
        <v>N/A</v>
      </c>
      <c r="J676" s="24" t="str">
        <f t="array" ref="J676">IF(OR(INDEX(Species_Availability,MATCH($N676,Species_Names,0))="No",INDEX(Species_Evo_Numbers,MATCH($N676,Species_Names,0))&lt;&gt;1),"N/A",$S676/MAX(IF(NOT(ISNA(MATCH(Combo_Species_Names,IF(Species_Availability="Yes",IF(Species_Evo_Numbers=1,Species_Names)),0))),Combo_Gym_Offense)))</f>
        <v>N/A</v>
      </c>
      <c r="K676" s="23" t="str">
        <f t="array" ref="K676">IF(OR(INDEX(Species_Availability,MATCH($N676,Species_Names,0))="No",INDEX(Species_Evo_Numbers,MATCH($N676,Species_Names,0))&lt;&gt;1),"N/A",RANK($Y676,IF(NOT(ISNA(MATCH(Combo_Species_Names,IF(Species_Availability="Yes",IF(Species_Evo_Numbers=1,Species_Names)),0))),Combo_Gym_Defense),0))</f>
        <v>N/A</v>
      </c>
      <c r="L676" s="24" t="str">
        <f t="array" ref="L676">IF(OR(INDEX(Species_Availability,MATCH($N676,Species_Names,0))="No",INDEX(Species_Evo_Numbers,MATCH($N676,Species_Names,0))&lt;&gt;1),"N/A",$Y676/MAX(IF(NOT(ISNA(MATCH(Combo_Species_Names,IF(Species_Availability="Yes",IF(Species_Evo_Numbers=1,Species_Names)),0))),Combo_Gym_Defense)))</f>
        <v>N/A</v>
      </c>
      <c r="M676" s="28">
        <f t="array" ref="M676">INDEX(Species_Pdex_Numbers,MATCH($N676,Species_Names,0))</f>
        <v>118</v>
      </c>
      <c r="N676" s="30" t="s">
        <v>331</v>
      </c>
      <c r="O676" s="31" t="s">
        <v>114</v>
      </c>
      <c r="P676" s="31" t="s">
        <v>198</v>
      </c>
      <c r="Q676" s="17" t="e">
        <f t="shared" si="20"/>
        <v>#VALUE!</v>
      </c>
      <c r="R676" s="32" t="e">
        <f t="array" ref="R676">IF(OR(AND(COUNTBLANK(Combo_Opponent_Type_1)=1,COUNTBLANK(Combo_Opponent_Type_2)=0),AND(AND(COUNTBLANK(Combo_Opponent_Type_1)=0,COUNTBLANK(Combo_Opponent_Type_2)=0),Combo_Opponent_Type_1=Combo_Opponent_Type_2)),
"Check Types",($S676*INDEX(Species_Tankiness,MATCH($N676,Species_Names,0)))/225)</f>
        <v>#VALUE!</v>
      </c>
      <c r="S676" s="32" t="e">
        <f t="array" ref="S676">IF(OR(AND(COUNTBLANK(Combo_Opponent_Type_1)=1,COUNTBLANK(Combo_Opponent_Type_2)=0),AND(AND(COUNTBLANK(Combo_Opponent_Type_1)=0,COUNTBLANK(Combo_Opponent_Type_2)=0),Combo_Opponent_Type_1=Combo_Opponent_Type_2)),
"Check Types",(
IF($W676&gt;=((1-Game_Weave_Human_Error)*$X676),$W676,$X676)*INDEX(Species_Attack,MATCH($N676,Species_Names,0)))/11)</f>
        <v>#VALUE!</v>
      </c>
      <c r="T676" s="33" t="e">
        <f t="shared" si="21"/>
        <v>#VALUE!</v>
      </c>
      <c r="U676" s="33">
        <f t="array" ref="U6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676,Quick_Names,0))),Type_Species)),0),1)*IF(COUNTBLANK(Combo_Opponent_Type_2)=0,INDEX(Type_Damage_Multipliers,MATCH(Combo_Opponent_Type_2,IF(Type_Move=(INDEX(Quick_Type,MATCH($O676,Quick_Names,0))),Type_Species)),0),1)*(IF(OR(INDEX(Quick_Type,MATCH($O676,Quick_Names,0))=INDEX(Species_Type_1,MATCH($N676,Species_Names,0)),INDEX(Quick_Type,MATCH($O676,Quick_Names,0))=INDEX(Species_Type_2,MATCH($N676,Species_Names,0))),Game_STAB_Multiplier,1)))</f>
        <v>1</v>
      </c>
      <c r="V676" s="33">
        <f t="array" ref="V6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676,Charge_Names,0))),Type_Species)),0),1)*IF(COUNTBLANK(Combo_Opponent_Type_2)=0,INDEX(Type_Damage_Multipliers,MATCH(Combo_Opponent_Type_2,IF(Type_Move=(INDEX(Charge_Type,MATCH($P676,Charge_Names,0))),Type_Species)),0),1)*
IF(OR(INDEX(Charge_Type,MATCH($P676,Charge_Names,0))=INDEX(Species_Type_1,MATCH($N676,Species_Names,0)),INDEX(Charge_Type,MATCH($P676,Charge_Names,0))=INDEX(Species_Type_2,MATCH($N676,Species_Names,0))),Game_STAB_Multiplier,1))</f>
        <v>1.25</v>
      </c>
      <c r="W676" s="33" t="s">
        <v>779</v>
      </c>
      <c r="X676" s="33" t="s">
        <v>688</v>
      </c>
      <c r="Y676" s="32" t="e">
        <f t="array" ref="Y676">((($Z676)*
INDEX(Species_Attack,MATCH($N676,Species_Names,0))*
INDEX(Species_Tankiness,MATCH($N676,Species_Names,0)))/1000)</f>
        <v>#VALUE!</v>
      </c>
      <c r="Z676" s="33" t="s">
        <v>900</v>
      </c>
    </row>
    <row r="677" spans="1:26" ht="14.25" customHeight="1" x14ac:dyDescent="0.2">
      <c r="A677" s="86"/>
      <c r="B677" s="22" t="str">
        <f t="array" ref="B677">CONCATENATE(TEXT($M677,"000"),".",TEXT(INDEX(Quick_Number,MATCH($O677,Quick_Names,0)),"000"),".",TEXT(INDEX(Charge_Number,MATCH($P677,Charge_Names,0)),"000"))</f>
        <v>072.237.105</v>
      </c>
      <c r="C677" s="23" t="e">
        <f t="array" ref="C677">RANK($S677,IF(Combo_Species_Names=$N677,Combo_Gym_Offense),0)</f>
        <v>#VALUE!</v>
      </c>
      <c r="D677" s="24" t="e">
        <f t="array" ref="D677">$S677/MAX(IF(Combo_Species_Names=$N677,Combo_Gym_Offense))</f>
        <v>#VALUE!</v>
      </c>
      <c r="E677" s="23" t="e">
        <f t="array" ref="E677">RANK($Y677,IF(Combo_Species_Names=$N677,Combo_Gym_Defense),0)</f>
        <v>#VALUE!</v>
      </c>
      <c r="F677" s="25" t="e">
        <f t="array" ref="F677">$Y677/MAX(IF(Combo_Species_Names=$N677,Combo_Gym_Defense))</f>
        <v>#VALUE!</v>
      </c>
      <c r="G677" s="23" t="str">
        <f t="array" ref="G677">IF(OR(INDEX(Species_Availability,MATCH($N677,Species_Names,0))="No",INDEX(Species_Evo_Numbers,MATCH($N677,Species_Names,0))&lt;&gt;1),"N/A",RANK($R677,IF(NOT(ISNA(MATCH(Combo_Species_Names,IF(Species_Availability="Yes",IF(Species_Evo_Numbers=1,Species_Names)),0))),Combo_Duel_Ability),0))</f>
        <v>N/A</v>
      </c>
      <c r="H677" s="24" t="str">
        <f t="array" ref="H677">IF(OR(INDEX(Species_Availability,MATCH($N677,Species_Names,0))="No",INDEX(Species_Evo_Numbers,MATCH($N677,Species_Names,0))&lt;&gt;1),"N/A",$R677/MAX(IF(NOT(ISNA(MATCH(Combo_Species_Names,IF(Species_Availability="Yes",IF(Species_Evo_Numbers=1,Species_Names)),0))),Combo_Duel_Ability)))</f>
        <v>N/A</v>
      </c>
      <c r="I677" s="23" t="str">
        <f t="array" ref="I677">IF(OR(INDEX(Species_Availability,MATCH($N677,Species_Names,0))="No",INDEX(Species_Evo_Numbers,MATCH($N677,Species_Names,0))&lt;&gt;1),"N/A",RANK($S677,IF(NOT(ISNA(MATCH(Combo_Species_Names,IF(Species_Availability="Yes",IF(Species_Evo_Numbers=1,Species_Names)),0))),Combo_Gym_Offense),0))</f>
        <v>N/A</v>
      </c>
      <c r="J677" s="24" t="str">
        <f t="array" ref="J677">IF(OR(INDEX(Species_Availability,MATCH($N677,Species_Names,0))="No",INDEX(Species_Evo_Numbers,MATCH($N677,Species_Names,0))&lt;&gt;1),"N/A",$S677/MAX(IF(NOT(ISNA(MATCH(Combo_Species_Names,IF(Species_Availability="Yes",IF(Species_Evo_Numbers=1,Species_Names)),0))),Combo_Gym_Offense)))</f>
        <v>N/A</v>
      </c>
      <c r="K677" s="23" t="str">
        <f t="array" ref="K677">IF(OR(INDEX(Species_Availability,MATCH($N677,Species_Names,0))="No",INDEX(Species_Evo_Numbers,MATCH($N677,Species_Names,0))&lt;&gt;1),"N/A",RANK($Y677,IF(NOT(ISNA(MATCH(Combo_Species_Names,IF(Species_Availability="Yes",IF(Species_Evo_Numbers=1,Species_Names)),0))),Combo_Gym_Defense),0))</f>
        <v>N/A</v>
      </c>
      <c r="L677" s="24" t="str">
        <f t="array" ref="L677">IF(OR(INDEX(Species_Availability,MATCH($N677,Species_Names,0))="No",INDEX(Species_Evo_Numbers,MATCH($N677,Species_Names,0))&lt;&gt;1),"N/A",$Y677/MAX(IF(NOT(ISNA(MATCH(Combo_Species_Names,IF(Species_Availability="Yes",IF(Species_Evo_Numbers=1,Species_Names)),0))),Combo_Gym_Defense)))</f>
        <v>N/A</v>
      </c>
      <c r="M677" s="28">
        <f t="array" ref="M677">INDEX(Species_Pdex_Numbers,MATCH($N677,Species_Names,0))</f>
        <v>72</v>
      </c>
      <c r="N677" s="30" t="s">
        <v>235</v>
      </c>
      <c r="O677" s="31" t="s">
        <v>92</v>
      </c>
      <c r="P677" s="31" t="s">
        <v>281</v>
      </c>
      <c r="Q677" s="17" t="e">
        <f t="shared" si="20"/>
        <v>#VALUE!</v>
      </c>
      <c r="R677" s="32" t="e">
        <f t="array" ref="R677">IF(OR(AND(COUNTBLANK(Combo_Opponent_Type_1)=1,COUNTBLANK(Combo_Opponent_Type_2)=0),AND(AND(COUNTBLANK(Combo_Opponent_Type_1)=0,COUNTBLANK(Combo_Opponent_Type_2)=0),Combo_Opponent_Type_1=Combo_Opponent_Type_2)),
"Check Types",($S677*INDEX(Species_Tankiness,MATCH($N677,Species_Names,0)))/225)</f>
        <v>#VALUE!</v>
      </c>
      <c r="S677" s="32" t="e">
        <f t="array" ref="S677">IF(OR(AND(COUNTBLANK(Combo_Opponent_Type_1)=1,COUNTBLANK(Combo_Opponent_Type_2)=0),AND(AND(COUNTBLANK(Combo_Opponent_Type_1)=0,COUNTBLANK(Combo_Opponent_Type_2)=0),Combo_Opponent_Type_1=Combo_Opponent_Type_2)),
"Check Types",(
IF($W677&gt;=((1-Game_Weave_Human_Error)*$X677),$W677,$X677)*INDEX(Species_Attack,MATCH($N677,Species_Names,0)))/11)</f>
        <v>#VALUE!</v>
      </c>
      <c r="T677" s="33" t="e">
        <f t="shared" si="21"/>
        <v>#VALUE!</v>
      </c>
      <c r="U677" s="33">
        <f t="array" ref="U6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677,Quick_Names,0))),Type_Species)),0),1)*IF(COUNTBLANK(Combo_Opponent_Type_2)=0,INDEX(Type_Damage_Multipliers,MATCH(Combo_Opponent_Type_2,IF(Type_Move=(INDEX(Quick_Type,MATCH($O677,Quick_Names,0))),Type_Species)),0),1)*(IF(OR(INDEX(Quick_Type,MATCH($O677,Quick_Names,0))=INDEX(Species_Type_1,MATCH($N677,Species_Names,0)),INDEX(Quick_Type,MATCH($O677,Quick_Names,0))=INDEX(Species_Type_2,MATCH($N677,Species_Names,0))),Game_STAB_Multiplier,1)))</f>
        <v>1.25</v>
      </c>
      <c r="V677" s="33">
        <f t="array" ref="V6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677,Charge_Names,0))),Type_Species)),0),1)*IF(COUNTBLANK(Combo_Opponent_Type_2)=0,INDEX(Type_Damage_Multipliers,MATCH(Combo_Opponent_Type_2,IF(Type_Move=(INDEX(Charge_Type,MATCH($P677,Charge_Names,0))),Type_Species)),0),1)*
IF(OR(INDEX(Charge_Type,MATCH($P677,Charge_Names,0))=INDEX(Species_Type_1,MATCH($N677,Species_Names,0)),INDEX(Charge_Type,MATCH($P677,Charge_Names,0))=INDEX(Species_Type_2,MATCH($N677,Species_Names,0))),Game_STAB_Multiplier,1))</f>
        <v>1.25</v>
      </c>
      <c r="W677" s="33" t="s">
        <v>481</v>
      </c>
      <c r="X677" s="33" t="s">
        <v>1031</v>
      </c>
      <c r="Y677" s="32" t="e">
        <f t="array" ref="Y677">((($Z677)*
INDEX(Species_Attack,MATCH($N677,Species_Names,0))*
INDEX(Species_Tankiness,MATCH($N677,Species_Names,0)))/1000)</f>
        <v>#VALUE!</v>
      </c>
      <c r="Z677" s="33" t="s">
        <v>1032</v>
      </c>
    </row>
    <row r="678" spans="1:26" ht="14.25" customHeight="1" x14ac:dyDescent="0.2">
      <c r="A678" s="86"/>
      <c r="B678" s="22" t="str">
        <f t="array" ref="B678">CONCATENATE(TEXT($M678,"000"),".",TEXT(INDEX(Quick_Number,MATCH($O678,Quick_Names,0)),"000"),".",TEXT(INDEX(Charge_Number,MATCH($P678,Charge_Names,0)),"000"))</f>
        <v>072.237.053</v>
      </c>
      <c r="C678" s="23" t="e">
        <f t="array" ref="C678">RANK($S678,IF(Combo_Species_Names=$N678,Combo_Gym_Offense),0)</f>
        <v>#VALUE!</v>
      </c>
      <c r="D678" s="24" t="e">
        <f t="array" ref="D678">$S678/MAX(IF(Combo_Species_Names=$N678,Combo_Gym_Offense))</f>
        <v>#VALUE!</v>
      </c>
      <c r="E678" s="23" t="e">
        <f t="array" ref="E678">RANK($Y678,IF(Combo_Species_Names=$N678,Combo_Gym_Defense),0)</f>
        <v>#VALUE!</v>
      </c>
      <c r="F678" s="25" t="e">
        <f t="array" ref="F678">$Y678/MAX(IF(Combo_Species_Names=$N678,Combo_Gym_Defense))</f>
        <v>#VALUE!</v>
      </c>
      <c r="G678" s="23" t="str">
        <f t="array" ref="G678">IF(OR(INDEX(Species_Availability,MATCH($N678,Species_Names,0))="No",INDEX(Species_Evo_Numbers,MATCH($N678,Species_Names,0))&lt;&gt;1),"N/A",RANK($R678,IF(NOT(ISNA(MATCH(Combo_Species_Names,IF(Species_Availability="Yes",IF(Species_Evo_Numbers=1,Species_Names)),0))),Combo_Duel_Ability),0))</f>
        <v>N/A</v>
      </c>
      <c r="H678" s="24" t="str">
        <f t="array" ref="H678">IF(OR(INDEX(Species_Availability,MATCH($N678,Species_Names,0))="No",INDEX(Species_Evo_Numbers,MATCH($N678,Species_Names,0))&lt;&gt;1),"N/A",$R678/MAX(IF(NOT(ISNA(MATCH(Combo_Species_Names,IF(Species_Availability="Yes",IF(Species_Evo_Numbers=1,Species_Names)),0))),Combo_Duel_Ability)))</f>
        <v>N/A</v>
      </c>
      <c r="I678" s="23" t="str">
        <f t="array" ref="I678">IF(OR(INDEX(Species_Availability,MATCH($N678,Species_Names,0))="No",INDEX(Species_Evo_Numbers,MATCH($N678,Species_Names,0))&lt;&gt;1),"N/A",RANK($S678,IF(NOT(ISNA(MATCH(Combo_Species_Names,IF(Species_Availability="Yes",IF(Species_Evo_Numbers=1,Species_Names)),0))),Combo_Gym_Offense),0))</f>
        <v>N/A</v>
      </c>
      <c r="J678" s="24" t="str">
        <f t="array" ref="J678">IF(OR(INDEX(Species_Availability,MATCH($N678,Species_Names,0))="No",INDEX(Species_Evo_Numbers,MATCH($N678,Species_Names,0))&lt;&gt;1),"N/A",$S678/MAX(IF(NOT(ISNA(MATCH(Combo_Species_Names,IF(Species_Availability="Yes",IF(Species_Evo_Numbers=1,Species_Names)),0))),Combo_Gym_Offense)))</f>
        <v>N/A</v>
      </c>
      <c r="K678" s="23" t="str">
        <f t="array" ref="K678">IF(OR(INDEX(Species_Availability,MATCH($N678,Species_Names,0))="No",INDEX(Species_Evo_Numbers,MATCH($N678,Species_Names,0))&lt;&gt;1),"N/A",RANK($Y678,IF(NOT(ISNA(MATCH(Combo_Species_Names,IF(Species_Availability="Yes",IF(Species_Evo_Numbers=1,Species_Names)),0))),Combo_Gym_Defense),0))</f>
        <v>N/A</v>
      </c>
      <c r="L678" s="24" t="str">
        <f t="array" ref="L678">IF(OR(INDEX(Species_Availability,MATCH($N678,Species_Names,0))="No",INDEX(Species_Evo_Numbers,MATCH($N678,Species_Names,0))&lt;&gt;1),"N/A",$Y678/MAX(IF(NOT(ISNA(MATCH(Combo_Species_Names,IF(Species_Availability="Yes",IF(Species_Evo_Numbers=1,Species_Names)),0))),Combo_Gym_Defense)))</f>
        <v>N/A</v>
      </c>
      <c r="M678" s="28">
        <f t="array" ref="M678">INDEX(Species_Pdex_Numbers,MATCH($N678,Species_Names,0))</f>
        <v>72</v>
      </c>
      <c r="N678" s="30" t="s">
        <v>235</v>
      </c>
      <c r="O678" s="31" t="s">
        <v>92</v>
      </c>
      <c r="P678" s="31" t="s">
        <v>289</v>
      </c>
      <c r="Q678" s="17" t="e">
        <f t="shared" si="20"/>
        <v>#VALUE!</v>
      </c>
      <c r="R678" s="32" t="e">
        <f t="array" ref="R678">IF(OR(AND(COUNTBLANK(Combo_Opponent_Type_1)=1,COUNTBLANK(Combo_Opponent_Type_2)=0),AND(AND(COUNTBLANK(Combo_Opponent_Type_1)=0,COUNTBLANK(Combo_Opponent_Type_2)=0),Combo_Opponent_Type_1=Combo_Opponent_Type_2)),
"Check Types",($S678*INDEX(Species_Tankiness,MATCH($N678,Species_Names,0)))/225)</f>
        <v>#VALUE!</v>
      </c>
      <c r="S678" s="32" t="e">
        <f t="array" ref="S678">IF(OR(AND(COUNTBLANK(Combo_Opponent_Type_1)=1,COUNTBLANK(Combo_Opponent_Type_2)=0),AND(AND(COUNTBLANK(Combo_Opponent_Type_1)=0,COUNTBLANK(Combo_Opponent_Type_2)=0),Combo_Opponent_Type_1=Combo_Opponent_Type_2)),
"Check Types",(
IF($W678&gt;=((1-Game_Weave_Human_Error)*$X678),$W678,$X678)*INDEX(Species_Attack,MATCH($N678,Species_Names,0)))/11)</f>
        <v>#VALUE!</v>
      </c>
      <c r="T678" s="33" t="e">
        <f t="shared" si="21"/>
        <v>#VALUE!</v>
      </c>
      <c r="U678" s="33">
        <f t="array" ref="U6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678,Quick_Names,0))),Type_Species)),0),1)*IF(COUNTBLANK(Combo_Opponent_Type_2)=0,INDEX(Type_Damage_Multipliers,MATCH(Combo_Opponent_Type_2,IF(Type_Move=(INDEX(Quick_Type,MATCH($O678,Quick_Names,0))),Type_Species)),0),1)*(IF(OR(INDEX(Quick_Type,MATCH($O678,Quick_Names,0))=INDEX(Species_Type_1,MATCH($N678,Species_Names,0)),INDEX(Quick_Type,MATCH($O678,Quick_Names,0))=INDEX(Species_Type_2,MATCH($N678,Species_Names,0))),Game_STAB_Multiplier,1)))</f>
        <v>1.25</v>
      </c>
      <c r="V678" s="33">
        <f t="array" ref="V6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678,Charge_Names,0))),Type_Species)),0),1)*IF(COUNTBLANK(Combo_Opponent_Type_2)=0,INDEX(Type_Damage_Multipliers,MATCH(Combo_Opponent_Type_2,IF(Type_Move=(INDEX(Charge_Type,MATCH($P678,Charge_Names,0))),Type_Species)),0),1)*
IF(OR(INDEX(Charge_Type,MATCH($P678,Charge_Names,0))=INDEX(Species_Type_1,MATCH($N678,Species_Names,0)),INDEX(Charge_Type,MATCH($P678,Charge_Names,0))=INDEX(Species_Type_2,MATCH($N678,Species_Names,0))),Game_STAB_Multiplier,1))</f>
        <v>1.25</v>
      </c>
      <c r="W678" s="33" t="s">
        <v>481</v>
      </c>
      <c r="X678" s="33" t="s">
        <v>975</v>
      </c>
      <c r="Y678" s="32" t="e">
        <f t="array" ref="Y678">((($Z678)*
INDEX(Species_Attack,MATCH($N678,Species_Names,0))*
INDEX(Species_Tankiness,MATCH($N678,Species_Names,0)))/1000)</f>
        <v>#VALUE!</v>
      </c>
      <c r="Z678" s="33" t="s">
        <v>976</v>
      </c>
    </row>
    <row r="679" spans="1:26" ht="14.25" customHeight="1" x14ac:dyDescent="0.2">
      <c r="A679" s="86"/>
      <c r="B679" s="22" t="str">
        <f t="array" ref="B679">CONCATENATE(TEXT($M679,"000"),".",TEXT(INDEX(Quick_Number,MATCH($O679,Quick_Names,0)),"000"),".",TEXT(INDEX(Charge_Number,MATCH($P679,Charge_Names,0)),"000"))</f>
        <v>072.237.013</v>
      </c>
      <c r="C679" s="23" t="e">
        <f t="array" ref="C679">RANK($S679,IF(Combo_Species_Names=$N679,Combo_Gym_Offense),0)</f>
        <v>#VALUE!</v>
      </c>
      <c r="D679" s="24" t="e">
        <f t="array" ref="D679">$S679/MAX(IF(Combo_Species_Names=$N679,Combo_Gym_Offense))</f>
        <v>#VALUE!</v>
      </c>
      <c r="E679" s="23" t="e">
        <f t="array" ref="E679">RANK($Y679,IF(Combo_Species_Names=$N679,Combo_Gym_Defense),0)</f>
        <v>#VALUE!</v>
      </c>
      <c r="F679" s="25" t="e">
        <f t="array" ref="F679">$Y679/MAX(IF(Combo_Species_Names=$N679,Combo_Gym_Defense))</f>
        <v>#VALUE!</v>
      </c>
      <c r="G679" s="23" t="str">
        <f t="array" ref="G679">IF(OR(INDEX(Species_Availability,MATCH($N679,Species_Names,0))="No",INDEX(Species_Evo_Numbers,MATCH($N679,Species_Names,0))&lt;&gt;1),"N/A",RANK($R679,IF(NOT(ISNA(MATCH(Combo_Species_Names,IF(Species_Availability="Yes",IF(Species_Evo_Numbers=1,Species_Names)),0))),Combo_Duel_Ability),0))</f>
        <v>N/A</v>
      </c>
      <c r="H679" s="24" t="str">
        <f t="array" ref="H679">IF(OR(INDEX(Species_Availability,MATCH($N679,Species_Names,0))="No",INDEX(Species_Evo_Numbers,MATCH($N679,Species_Names,0))&lt;&gt;1),"N/A",$R679/MAX(IF(NOT(ISNA(MATCH(Combo_Species_Names,IF(Species_Availability="Yes",IF(Species_Evo_Numbers=1,Species_Names)),0))),Combo_Duel_Ability)))</f>
        <v>N/A</v>
      </c>
      <c r="I679" s="23" t="str">
        <f t="array" ref="I679">IF(OR(INDEX(Species_Availability,MATCH($N679,Species_Names,0))="No",INDEX(Species_Evo_Numbers,MATCH($N679,Species_Names,0))&lt;&gt;1),"N/A",RANK($S679,IF(NOT(ISNA(MATCH(Combo_Species_Names,IF(Species_Availability="Yes",IF(Species_Evo_Numbers=1,Species_Names)),0))),Combo_Gym_Offense),0))</f>
        <v>N/A</v>
      </c>
      <c r="J679" s="24" t="str">
        <f t="array" ref="J679">IF(OR(INDEX(Species_Availability,MATCH($N679,Species_Names,0))="No",INDEX(Species_Evo_Numbers,MATCH($N679,Species_Names,0))&lt;&gt;1),"N/A",$S679/MAX(IF(NOT(ISNA(MATCH(Combo_Species_Names,IF(Species_Availability="Yes",IF(Species_Evo_Numbers=1,Species_Names)),0))),Combo_Gym_Offense)))</f>
        <v>N/A</v>
      </c>
      <c r="K679" s="23" t="str">
        <f t="array" ref="K679">IF(OR(INDEX(Species_Availability,MATCH($N679,Species_Names,0))="No",INDEX(Species_Evo_Numbers,MATCH($N679,Species_Names,0))&lt;&gt;1),"N/A",RANK($Y679,IF(NOT(ISNA(MATCH(Combo_Species_Names,IF(Species_Availability="Yes",IF(Species_Evo_Numbers=1,Species_Names)),0))),Combo_Gym_Defense),0))</f>
        <v>N/A</v>
      </c>
      <c r="L679" s="24" t="str">
        <f t="array" ref="L679">IF(OR(INDEX(Species_Availability,MATCH($N679,Species_Names,0))="No",INDEX(Species_Evo_Numbers,MATCH($N679,Species_Names,0))&lt;&gt;1),"N/A",$Y679/MAX(IF(NOT(ISNA(MATCH(Combo_Species_Names,IF(Species_Availability="Yes",IF(Species_Evo_Numbers=1,Species_Names)),0))),Combo_Gym_Defense)))</f>
        <v>N/A</v>
      </c>
      <c r="M679" s="28">
        <f t="array" ref="M679">INDEX(Species_Pdex_Numbers,MATCH($N679,Species_Names,0))</f>
        <v>72</v>
      </c>
      <c r="N679" s="30" t="s">
        <v>235</v>
      </c>
      <c r="O679" s="31" t="s">
        <v>92</v>
      </c>
      <c r="P679" s="31" t="s">
        <v>321</v>
      </c>
      <c r="Q679" s="17" t="e">
        <f t="shared" si="20"/>
        <v>#VALUE!</v>
      </c>
      <c r="R679" s="32" t="e">
        <f t="array" ref="R679">IF(OR(AND(COUNTBLANK(Combo_Opponent_Type_1)=1,COUNTBLANK(Combo_Opponent_Type_2)=0),AND(AND(COUNTBLANK(Combo_Opponent_Type_1)=0,COUNTBLANK(Combo_Opponent_Type_2)=0),Combo_Opponent_Type_1=Combo_Opponent_Type_2)),
"Check Types",($S679*INDEX(Species_Tankiness,MATCH($N679,Species_Names,0)))/225)</f>
        <v>#VALUE!</v>
      </c>
      <c r="S679" s="32" t="e">
        <f t="array" ref="S679">IF(OR(AND(COUNTBLANK(Combo_Opponent_Type_1)=1,COUNTBLANK(Combo_Opponent_Type_2)=0),AND(AND(COUNTBLANK(Combo_Opponent_Type_1)=0,COUNTBLANK(Combo_Opponent_Type_2)=0),Combo_Opponent_Type_1=Combo_Opponent_Type_2)),
"Check Types",(
IF($W679&gt;=((1-Game_Weave_Human_Error)*$X679),$W679,$X679)*INDEX(Species_Attack,MATCH($N679,Species_Names,0)))/11)</f>
        <v>#VALUE!</v>
      </c>
      <c r="T679" s="33" t="e">
        <f t="shared" si="21"/>
        <v>#VALUE!</v>
      </c>
      <c r="U679" s="33">
        <f t="array" ref="U6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679,Quick_Names,0))),Type_Species)),0),1)*IF(COUNTBLANK(Combo_Opponent_Type_2)=0,INDEX(Type_Damage_Multipliers,MATCH(Combo_Opponent_Type_2,IF(Type_Move=(INDEX(Quick_Type,MATCH($O679,Quick_Names,0))),Type_Species)),0),1)*(IF(OR(INDEX(Quick_Type,MATCH($O679,Quick_Names,0))=INDEX(Species_Type_1,MATCH($N679,Species_Names,0)),INDEX(Quick_Type,MATCH($O679,Quick_Names,0))=INDEX(Species_Type_2,MATCH($N679,Species_Names,0))),Game_STAB_Multiplier,1)))</f>
        <v>1.25</v>
      </c>
      <c r="V679" s="33">
        <f t="array" ref="V6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679,Charge_Names,0))),Type_Species)),0),1)*IF(COUNTBLANK(Combo_Opponent_Type_2)=0,INDEX(Type_Damage_Multipliers,MATCH(Combo_Opponent_Type_2,IF(Type_Move=(INDEX(Charge_Type,MATCH($P679,Charge_Names,0))),Type_Species)),0),1)*
IF(OR(INDEX(Charge_Type,MATCH($P679,Charge_Names,0))=INDEX(Species_Type_1,MATCH($N679,Species_Names,0)),INDEX(Charge_Type,MATCH($P679,Charge_Names,0))=INDEX(Species_Type_2,MATCH($N679,Species_Names,0))),Game_STAB_Multiplier,1))</f>
        <v>1</v>
      </c>
      <c r="W679" s="33" t="s">
        <v>481</v>
      </c>
      <c r="X679" s="33" t="s">
        <v>1046</v>
      </c>
      <c r="Y679" s="32" t="e">
        <f t="array" ref="Y679">((($Z679)*
INDEX(Species_Attack,MATCH($N679,Species_Names,0))*
INDEX(Species_Tankiness,MATCH($N679,Species_Names,0)))/1000)</f>
        <v>#VALUE!</v>
      </c>
      <c r="Z679" s="33" t="s">
        <v>1047</v>
      </c>
    </row>
    <row r="680" spans="1:26" ht="14.25" customHeight="1" x14ac:dyDescent="0.2">
      <c r="A680" s="86"/>
      <c r="B680" s="22" t="str">
        <f t="array" ref="B680">CONCATENATE(TEXT($M680,"000"),".",TEXT(INDEX(Quick_Number,MATCH($O680,Quick_Names,0)),"000"),".",TEXT(INDEX(Charge_Number,MATCH($P680,Charge_Names,0)),"000"))</f>
        <v>046.220.059</v>
      </c>
      <c r="C680" s="23" t="e">
        <f t="array" ref="C680">RANK($S680,IF(Combo_Species_Names=$N680,Combo_Gym_Offense),0)</f>
        <v>#VALUE!</v>
      </c>
      <c r="D680" s="24" t="e">
        <f t="array" ref="D680">$S680/MAX(IF(Combo_Species_Names=$N680,Combo_Gym_Offense))</f>
        <v>#VALUE!</v>
      </c>
      <c r="E680" s="23" t="e">
        <f t="array" ref="E680">RANK($Y680,IF(Combo_Species_Names=$N680,Combo_Gym_Defense),0)</f>
        <v>#VALUE!</v>
      </c>
      <c r="F680" s="25" t="e">
        <f t="array" ref="F680">$Y680/MAX(IF(Combo_Species_Names=$N680,Combo_Gym_Defense))</f>
        <v>#VALUE!</v>
      </c>
      <c r="G680" s="23" t="str">
        <f t="array" ref="G680">IF(OR(INDEX(Species_Availability,MATCH($N680,Species_Names,0))="No",INDEX(Species_Evo_Numbers,MATCH($N680,Species_Names,0))&lt;&gt;1),"N/A",RANK($R680,IF(NOT(ISNA(MATCH(Combo_Species_Names,IF(Species_Availability="Yes",IF(Species_Evo_Numbers=1,Species_Names)),0))),Combo_Duel_Ability),0))</f>
        <v>N/A</v>
      </c>
      <c r="H680" s="24" t="str">
        <f t="array" ref="H680">IF(OR(INDEX(Species_Availability,MATCH($N680,Species_Names,0))="No",INDEX(Species_Evo_Numbers,MATCH($N680,Species_Names,0))&lt;&gt;1),"N/A",$R680/MAX(IF(NOT(ISNA(MATCH(Combo_Species_Names,IF(Species_Availability="Yes",IF(Species_Evo_Numbers=1,Species_Names)),0))),Combo_Duel_Ability)))</f>
        <v>N/A</v>
      </c>
      <c r="I680" s="23" t="str">
        <f t="array" ref="I680">IF(OR(INDEX(Species_Availability,MATCH($N680,Species_Names,0))="No",INDEX(Species_Evo_Numbers,MATCH($N680,Species_Names,0))&lt;&gt;1),"N/A",RANK($S680,IF(NOT(ISNA(MATCH(Combo_Species_Names,IF(Species_Availability="Yes",IF(Species_Evo_Numbers=1,Species_Names)),0))),Combo_Gym_Offense),0))</f>
        <v>N/A</v>
      </c>
      <c r="J680" s="24" t="str">
        <f t="array" ref="J680">IF(OR(INDEX(Species_Availability,MATCH($N680,Species_Names,0))="No",INDEX(Species_Evo_Numbers,MATCH($N680,Species_Names,0))&lt;&gt;1),"N/A",$S680/MAX(IF(NOT(ISNA(MATCH(Combo_Species_Names,IF(Species_Availability="Yes",IF(Species_Evo_Numbers=1,Species_Names)),0))),Combo_Gym_Offense)))</f>
        <v>N/A</v>
      </c>
      <c r="K680" s="23" t="str">
        <f t="array" ref="K680">IF(OR(INDEX(Species_Availability,MATCH($N680,Species_Names,0))="No",INDEX(Species_Evo_Numbers,MATCH($N680,Species_Names,0))&lt;&gt;1),"N/A",RANK($Y680,IF(NOT(ISNA(MATCH(Combo_Species_Names,IF(Species_Availability="Yes",IF(Species_Evo_Numbers=1,Species_Names)),0))),Combo_Gym_Defense),0))</f>
        <v>N/A</v>
      </c>
      <c r="L680" s="24" t="str">
        <f t="array" ref="L680">IF(OR(INDEX(Species_Availability,MATCH($N680,Species_Names,0))="No",INDEX(Species_Evo_Numbers,MATCH($N680,Species_Names,0))&lt;&gt;1),"N/A",$Y680/MAX(IF(NOT(ISNA(MATCH(Combo_Species_Names,IF(Species_Availability="Yes",IF(Species_Evo_Numbers=1,Species_Names)),0))),Combo_Gym_Defense)))</f>
        <v>N/A</v>
      </c>
      <c r="M680" s="28">
        <f t="array" ref="M680">INDEX(Species_Pdex_Numbers,MATCH($N680,Species_Names,0))</f>
        <v>46</v>
      </c>
      <c r="N680" s="30" t="s">
        <v>182</v>
      </c>
      <c r="O680" s="31" t="s">
        <v>64</v>
      </c>
      <c r="P680" s="31" t="s">
        <v>213</v>
      </c>
      <c r="Q680" s="17" t="e">
        <f t="shared" si="20"/>
        <v>#VALUE!</v>
      </c>
      <c r="R680" s="32" t="e">
        <f t="array" ref="R680">IF(OR(AND(COUNTBLANK(Combo_Opponent_Type_1)=1,COUNTBLANK(Combo_Opponent_Type_2)=0),AND(AND(COUNTBLANK(Combo_Opponent_Type_1)=0,COUNTBLANK(Combo_Opponent_Type_2)=0),Combo_Opponent_Type_1=Combo_Opponent_Type_2)),
"Check Types",($S680*INDEX(Species_Tankiness,MATCH($N680,Species_Names,0)))/225)</f>
        <v>#VALUE!</v>
      </c>
      <c r="S680" s="32" t="e">
        <f t="array" ref="S680">IF(OR(AND(COUNTBLANK(Combo_Opponent_Type_1)=1,COUNTBLANK(Combo_Opponent_Type_2)=0),AND(AND(COUNTBLANK(Combo_Opponent_Type_1)=0,COUNTBLANK(Combo_Opponent_Type_2)=0),Combo_Opponent_Type_1=Combo_Opponent_Type_2)),
"Check Types",(
IF($W680&gt;=((1-Game_Weave_Human_Error)*$X680),$W680,$X680)*INDEX(Species_Attack,MATCH($N680,Species_Names,0)))/11)</f>
        <v>#VALUE!</v>
      </c>
      <c r="T680" s="33" t="e">
        <f t="shared" si="21"/>
        <v>#VALUE!</v>
      </c>
      <c r="U680" s="33">
        <f t="array" ref="U6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680,Quick_Names,0))),Type_Species)),0),1)*IF(COUNTBLANK(Combo_Opponent_Type_2)=0,INDEX(Type_Damage_Multipliers,MATCH(Combo_Opponent_Type_2,IF(Type_Move=(INDEX(Quick_Type,MATCH($O680,Quick_Names,0))),Type_Species)),0),1)*(IF(OR(INDEX(Quick_Type,MATCH($O680,Quick_Names,0))=INDEX(Species_Type_1,MATCH($N680,Species_Names,0)),INDEX(Quick_Type,MATCH($O680,Quick_Names,0))=INDEX(Species_Type_2,MATCH($N680,Species_Names,0))),Game_STAB_Multiplier,1)))</f>
        <v>1</v>
      </c>
      <c r="V680" s="33">
        <f t="array" ref="V6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680,Charge_Names,0))),Type_Species)),0),1)*IF(COUNTBLANK(Combo_Opponent_Type_2)=0,INDEX(Type_Damage_Multipliers,MATCH(Combo_Opponent_Type_2,IF(Type_Move=(INDEX(Charge_Type,MATCH($P680,Charge_Names,0))),Type_Species)),0),1)*
IF(OR(INDEX(Charge_Type,MATCH($P680,Charge_Names,0))=INDEX(Species_Type_1,MATCH($N680,Species_Names,0)),INDEX(Charge_Type,MATCH($P680,Charge_Names,0))=INDEX(Species_Type_2,MATCH($N680,Species_Names,0))),Game_STAB_Multiplier,1))</f>
        <v>1.25</v>
      </c>
      <c r="W680" s="33" t="s">
        <v>453</v>
      </c>
      <c r="X680" s="33" t="s">
        <v>601</v>
      </c>
      <c r="Y680" s="32" t="e">
        <f t="array" ref="Y680">((($Z680)*
INDEX(Species_Attack,MATCH($N680,Species_Names,0))*
INDEX(Species_Tankiness,MATCH($N680,Species_Names,0)))/1000)</f>
        <v>#VALUE!</v>
      </c>
      <c r="Z680" s="33" t="s">
        <v>914</v>
      </c>
    </row>
    <row r="681" spans="1:26" ht="14.25" customHeight="1" x14ac:dyDescent="0.2">
      <c r="A681" s="86"/>
      <c r="B681" s="22" t="str">
        <f t="array" ref="B681">CONCATENATE(TEXT($M681,"000"),".",TEXT(INDEX(Quick_Number,MATCH($O681,Quick_Names,0)),"000"),".",TEXT(INDEX(Charge_Number,MATCH($P681,Charge_Names,0)),"000"))</f>
        <v>048.235.050</v>
      </c>
      <c r="C681" s="23" t="e">
        <f t="array" ref="C681">RANK($S681,IF(Combo_Species_Names=$N681,Combo_Gym_Offense),0)</f>
        <v>#VALUE!</v>
      </c>
      <c r="D681" s="24" t="e">
        <f t="array" ref="D681">$S681/MAX(IF(Combo_Species_Names=$N681,Combo_Gym_Offense))</f>
        <v>#VALUE!</v>
      </c>
      <c r="E681" s="23" t="e">
        <f t="array" ref="E681">RANK($Y681,IF(Combo_Species_Names=$N681,Combo_Gym_Defense),0)</f>
        <v>#VALUE!</v>
      </c>
      <c r="F681" s="25" t="e">
        <f t="array" ref="F681">$Y681/MAX(IF(Combo_Species_Names=$N681,Combo_Gym_Defense))</f>
        <v>#VALUE!</v>
      </c>
      <c r="G681" s="23" t="str">
        <f t="array" ref="G681">IF(OR(INDEX(Species_Availability,MATCH($N681,Species_Names,0))="No",INDEX(Species_Evo_Numbers,MATCH($N681,Species_Names,0))&lt;&gt;1),"N/A",RANK($R681,IF(NOT(ISNA(MATCH(Combo_Species_Names,IF(Species_Availability="Yes",IF(Species_Evo_Numbers=1,Species_Names)),0))),Combo_Duel_Ability),0))</f>
        <v>N/A</v>
      </c>
      <c r="H681" s="24" t="str">
        <f t="array" ref="H681">IF(OR(INDEX(Species_Availability,MATCH($N681,Species_Names,0))="No",INDEX(Species_Evo_Numbers,MATCH($N681,Species_Names,0))&lt;&gt;1),"N/A",$R681/MAX(IF(NOT(ISNA(MATCH(Combo_Species_Names,IF(Species_Availability="Yes",IF(Species_Evo_Numbers=1,Species_Names)),0))),Combo_Duel_Ability)))</f>
        <v>N/A</v>
      </c>
      <c r="I681" s="23" t="str">
        <f t="array" ref="I681">IF(OR(INDEX(Species_Availability,MATCH($N681,Species_Names,0))="No",INDEX(Species_Evo_Numbers,MATCH($N681,Species_Names,0))&lt;&gt;1),"N/A",RANK($S681,IF(NOT(ISNA(MATCH(Combo_Species_Names,IF(Species_Availability="Yes",IF(Species_Evo_Numbers=1,Species_Names)),0))),Combo_Gym_Offense),0))</f>
        <v>N/A</v>
      </c>
      <c r="J681" s="24" t="str">
        <f t="array" ref="J681">IF(OR(INDEX(Species_Availability,MATCH($N681,Species_Names,0))="No",INDEX(Species_Evo_Numbers,MATCH($N681,Species_Names,0))&lt;&gt;1),"N/A",$S681/MAX(IF(NOT(ISNA(MATCH(Combo_Species_Names,IF(Species_Availability="Yes",IF(Species_Evo_Numbers=1,Species_Names)),0))),Combo_Gym_Offense)))</f>
        <v>N/A</v>
      </c>
      <c r="K681" s="23" t="str">
        <f t="array" ref="K681">IF(OR(INDEX(Species_Availability,MATCH($N681,Species_Names,0))="No",INDEX(Species_Evo_Numbers,MATCH($N681,Species_Names,0))&lt;&gt;1),"N/A",RANK($Y681,IF(NOT(ISNA(MATCH(Combo_Species_Names,IF(Species_Availability="Yes",IF(Species_Evo_Numbers=1,Species_Names)),0))),Combo_Gym_Defense),0))</f>
        <v>N/A</v>
      </c>
      <c r="L681" s="24" t="str">
        <f t="array" ref="L681">IF(OR(INDEX(Species_Availability,MATCH($N681,Species_Names,0))="No",INDEX(Species_Evo_Numbers,MATCH($N681,Species_Names,0))&lt;&gt;1),"N/A",$Y681/MAX(IF(NOT(ISNA(MATCH(Combo_Species_Names,IF(Species_Availability="Yes",IF(Species_Evo_Numbers=1,Species_Names)),0))),Combo_Gym_Defense)))</f>
        <v>N/A</v>
      </c>
      <c r="M681" s="28">
        <f t="array" ref="M681">INDEX(Species_Pdex_Numbers,MATCH($N681,Species_Names,0))</f>
        <v>48</v>
      </c>
      <c r="N681" s="30" t="s">
        <v>187</v>
      </c>
      <c r="O681" s="31" t="s">
        <v>108</v>
      </c>
      <c r="P681" s="31" t="s">
        <v>285</v>
      </c>
      <c r="Q681" s="17" t="e">
        <f t="shared" si="20"/>
        <v>#VALUE!</v>
      </c>
      <c r="R681" s="32" t="e">
        <f t="array" ref="R681">IF(OR(AND(COUNTBLANK(Combo_Opponent_Type_1)=1,COUNTBLANK(Combo_Opponent_Type_2)=0),AND(AND(COUNTBLANK(Combo_Opponent_Type_1)=0,COUNTBLANK(Combo_Opponent_Type_2)=0),Combo_Opponent_Type_1=Combo_Opponent_Type_2)),
"Check Types",($S681*INDEX(Species_Tankiness,MATCH($N681,Species_Names,0)))/225)</f>
        <v>#VALUE!</v>
      </c>
      <c r="S681" s="32" t="e">
        <f t="array" ref="S681">IF(OR(AND(COUNTBLANK(Combo_Opponent_Type_1)=1,COUNTBLANK(Combo_Opponent_Type_2)=0),AND(AND(COUNTBLANK(Combo_Opponent_Type_1)=0,COUNTBLANK(Combo_Opponent_Type_2)=0),Combo_Opponent_Type_1=Combo_Opponent_Type_2)),
"Check Types",(
IF($W681&gt;=((1-Game_Weave_Human_Error)*$X681),$W681,$X681)*INDEX(Species_Attack,MATCH($N681,Species_Names,0)))/11)</f>
        <v>#VALUE!</v>
      </c>
      <c r="T681" s="33" t="e">
        <f t="shared" si="21"/>
        <v>#VALUE!</v>
      </c>
      <c r="U681" s="33">
        <f t="array" ref="U6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681,Quick_Names,0))),Type_Species)),0),1)*IF(COUNTBLANK(Combo_Opponent_Type_2)=0,INDEX(Type_Damage_Multipliers,MATCH(Combo_Opponent_Type_2,IF(Type_Move=(INDEX(Quick_Type,MATCH($O681,Quick_Names,0))),Type_Species)),0),1)*(IF(OR(INDEX(Quick_Type,MATCH($O681,Quick_Names,0))=INDEX(Species_Type_1,MATCH($N681,Species_Names,0)),INDEX(Quick_Type,MATCH($O681,Quick_Names,0))=INDEX(Species_Type_2,MATCH($N681,Species_Names,0))),Game_STAB_Multiplier,1)))</f>
        <v>1</v>
      </c>
      <c r="V681" s="33">
        <f t="array" ref="V6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681,Charge_Names,0))),Type_Species)),0),1)*IF(COUNTBLANK(Combo_Opponent_Type_2)=0,INDEX(Type_Damage_Multipliers,MATCH(Combo_Opponent_Type_2,IF(Type_Move=(INDEX(Charge_Type,MATCH($P681,Charge_Names,0))),Type_Species)),0),1)*
IF(OR(INDEX(Charge_Type,MATCH($P681,Charge_Names,0))=INDEX(Species_Type_1,MATCH($N681,Species_Names,0)),INDEX(Charge_Type,MATCH($P681,Charge_Names,0))=INDEX(Species_Type_2,MATCH($N681,Species_Names,0))),Game_STAB_Multiplier,1))</f>
        <v>1.25</v>
      </c>
      <c r="W681" s="33" t="s">
        <v>631</v>
      </c>
      <c r="X681" s="33" t="s">
        <v>678</v>
      </c>
      <c r="Y681" s="32" t="e">
        <f t="array" ref="Y681">((($Z681)*
INDEX(Species_Attack,MATCH($N681,Species_Names,0))*
INDEX(Species_Tankiness,MATCH($N681,Species_Names,0)))/1000)</f>
        <v>#VALUE!</v>
      </c>
      <c r="Z681" s="33" t="s">
        <v>814</v>
      </c>
    </row>
    <row r="682" spans="1:26" ht="14.25" customHeight="1" x14ac:dyDescent="0.2">
      <c r="A682" s="86"/>
      <c r="B682" s="22" t="str">
        <f t="array" ref="B682">CONCATENATE(TEXT($M682,"000"),".",TEXT(INDEX(Quick_Number,MATCH($O682,Quick_Names,0)),"000"),".",TEXT(INDEX(Charge_Number,MATCH($P682,Charge_Names,0)),"000"))</f>
        <v>048.235.030</v>
      </c>
      <c r="C682" s="23" t="e">
        <f t="array" ref="C682">RANK($S682,IF(Combo_Species_Names=$N682,Combo_Gym_Offense),0)</f>
        <v>#VALUE!</v>
      </c>
      <c r="D682" s="24" t="e">
        <f t="array" ref="D682">$S682/MAX(IF(Combo_Species_Names=$N682,Combo_Gym_Offense))</f>
        <v>#VALUE!</v>
      </c>
      <c r="E682" s="23" t="e">
        <f t="array" ref="E682">RANK($Y682,IF(Combo_Species_Names=$N682,Combo_Gym_Defense),0)</f>
        <v>#VALUE!</v>
      </c>
      <c r="F682" s="25" t="e">
        <f t="array" ref="F682">$Y682/MAX(IF(Combo_Species_Names=$N682,Combo_Gym_Defense))</f>
        <v>#VALUE!</v>
      </c>
      <c r="G682" s="23" t="str">
        <f t="array" ref="G682">IF(OR(INDEX(Species_Availability,MATCH($N682,Species_Names,0))="No",INDEX(Species_Evo_Numbers,MATCH($N682,Species_Names,0))&lt;&gt;1),"N/A",RANK($R682,IF(NOT(ISNA(MATCH(Combo_Species_Names,IF(Species_Availability="Yes",IF(Species_Evo_Numbers=1,Species_Names)),0))),Combo_Duel_Ability),0))</f>
        <v>N/A</v>
      </c>
      <c r="H682" s="24" t="str">
        <f t="array" ref="H682">IF(OR(INDEX(Species_Availability,MATCH($N682,Species_Names,0))="No",INDEX(Species_Evo_Numbers,MATCH($N682,Species_Names,0))&lt;&gt;1),"N/A",$R682/MAX(IF(NOT(ISNA(MATCH(Combo_Species_Names,IF(Species_Availability="Yes",IF(Species_Evo_Numbers=1,Species_Names)),0))),Combo_Duel_Ability)))</f>
        <v>N/A</v>
      </c>
      <c r="I682" s="23" t="str">
        <f t="array" ref="I682">IF(OR(INDEX(Species_Availability,MATCH($N682,Species_Names,0))="No",INDEX(Species_Evo_Numbers,MATCH($N682,Species_Names,0))&lt;&gt;1),"N/A",RANK($S682,IF(NOT(ISNA(MATCH(Combo_Species_Names,IF(Species_Availability="Yes",IF(Species_Evo_Numbers=1,Species_Names)),0))),Combo_Gym_Offense),0))</f>
        <v>N/A</v>
      </c>
      <c r="J682" s="24" t="str">
        <f t="array" ref="J682">IF(OR(INDEX(Species_Availability,MATCH($N682,Species_Names,0))="No",INDEX(Species_Evo_Numbers,MATCH($N682,Species_Names,0))&lt;&gt;1),"N/A",$S682/MAX(IF(NOT(ISNA(MATCH(Combo_Species_Names,IF(Species_Availability="Yes",IF(Species_Evo_Numbers=1,Species_Names)),0))),Combo_Gym_Offense)))</f>
        <v>N/A</v>
      </c>
      <c r="K682" s="23" t="str">
        <f t="array" ref="K682">IF(OR(INDEX(Species_Availability,MATCH($N682,Species_Names,0))="No",INDEX(Species_Evo_Numbers,MATCH($N682,Species_Names,0))&lt;&gt;1),"N/A",RANK($Y682,IF(NOT(ISNA(MATCH(Combo_Species_Names,IF(Species_Availability="Yes",IF(Species_Evo_Numbers=1,Species_Names)),0))),Combo_Gym_Defense),0))</f>
        <v>N/A</v>
      </c>
      <c r="L682" s="24" t="str">
        <f t="array" ref="L682">IF(OR(INDEX(Species_Availability,MATCH($N682,Species_Names,0))="No",INDEX(Species_Evo_Numbers,MATCH($N682,Species_Names,0))&lt;&gt;1),"N/A",$Y682/MAX(IF(NOT(ISNA(MATCH(Combo_Species_Names,IF(Species_Availability="Yes",IF(Species_Evo_Numbers=1,Species_Names)),0))),Combo_Gym_Defense)))</f>
        <v>N/A</v>
      </c>
      <c r="M682" s="28">
        <f t="array" ref="M682">INDEX(Species_Pdex_Numbers,MATCH($N682,Species_Names,0))</f>
        <v>48</v>
      </c>
      <c r="N682" s="30" t="s">
        <v>187</v>
      </c>
      <c r="O682" s="31" t="s">
        <v>108</v>
      </c>
      <c r="P682" s="31" t="s">
        <v>283</v>
      </c>
      <c r="Q682" s="17" t="e">
        <f t="shared" si="20"/>
        <v>#VALUE!</v>
      </c>
      <c r="R682" s="32" t="e">
        <f t="array" ref="R682">IF(OR(AND(COUNTBLANK(Combo_Opponent_Type_1)=1,COUNTBLANK(Combo_Opponent_Type_2)=0),AND(AND(COUNTBLANK(Combo_Opponent_Type_1)=0,COUNTBLANK(Combo_Opponent_Type_2)=0),Combo_Opponent_Type_1=Combo_Opponent_Type_2)),
"Check Types",($S682*INDEX(Species_Tankiness,MATCH($N682,Species_Names,0)))/225)</f>
        <v>#VALUE!</v>
      </c>
      <c r="S682" s="32" t="e">
        <f t="array" ref="S682">IF(OR(AND(COUNTBLANK(Combo_Opponent_Type_1)=1,COUNTBLANK(Combo_Opponent_Type_2)=0),AND(AND(COUNTBLANK(Combo_Opponent_Type_1)=0,COUNTBLANK(Combo_Opponent_Type_2)=0),Combo_Opponent_Type_1=Combo_Opponent_Type_2)),
"Check Types",(
IF($W682&gt;=((1-Game_Weave_Human_Error)*$X682),$W682,$X682)*INDEX(Species_Attack,MATCH($N682,Species_Names,0)))/11)</f>
        <v>#VALUE!</v>
      </c>
      <c r="T682" s="33" t="e">
        <f t="shared" si="21"/>
        <v>#VALUE!</v>
      </c>
      <c r="U682" s="33">
        <f t="array" ref="U6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682,Quick_Names,0))),Type_Species)),0),1)*IF(COUNTBLANK(Combo_Opponent_Type_2)=0,INDEX(Type_Damage_Multipliers,MATCH(Combo_Opponent_Type_2,IF(Type_Move=(INDEX(Quick_Type,MATCH($O682,Quick_Names,0))),Type_Species)),0),1)*(IF(OR(INDEX(Quick_Type,MATCH($O682,Quick_Names,0))=INDEX(Species_Type_1,MATCH($N682,Species_Names,0)),INDEX(Quick_Type,MATCH($O682,Quick_Names,0))=INDEX(Species_Type_2,MATCH($N682,Species_Names,0))),Game_STAB_Multiplier,1)))</f>
        <v>1</v>
      </c>
      <c r="V682" s="33">
        <f t="array" ref="V6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682,Charge_Names,0))),Type_Species)),0),1)*IF(COUNTBLANK(Combo_Opponent_Type_2)=0,INDEX(Type_Damage_Multipliers,MATCH(Combo_Opponent_Type_2,IF(Type_Move=(INDEX(Charge_Type,MATCH($P682,Charge_Names,0))),Type_Species)),0),1)*
IF(OR(INDEX(Charge_Type,MATCH($P682,Charge_Names,0))=INDEX(Species_Type_1,MATCH($N682,Species_Names,0)),INDEX(Charge_Type,MATCH($P682,Charge_Names,0))=INDEX(Species_Type_2,MATCH($N682,Species_Names,0))),Game_STAB_Multiplier,1))</f>
        <v>1</v>
      </c>
      <c r="W682" s="33" t="s">
        <v>631</v>
      </c>
      <c r="X682" s="33" t="s">
        <v>1048</v>
      </c>
      <c r="Y682" s="32" t="e">
        <f t="array" ref="Y682">((($Z682)*
INDEX(Species_Attack,MATCH($N682,Species_Names,0))*
INDEX(Species_Tankiness,MATCH($N682,Species_Names,0)))/1000)</f>
        <v>#VALUE!</v>
      </c>
      <c r="Z682" s="33" t="s">
        <v>1049</v>
      </c>
    </row>
    <row r="683" spans="1:26" ht="14.25" customHeight="1" x14ac:dyDescent="0.2">
      <c r="A683" s="86"/>
      <c r="B683" s="22" t="str">
        <f t="array" ref="B683">CONCATENATE(TEXT($M683,"000"),".",TEXT(INDEX(Quick_Number,MATCH($O683,Quick_Names,0)),"000"),".",TEXT(INDEX(Charge_Number,MATCH($P683,Charge_Names,0)),"000"))</f>
        <v>140.220.062</v>
      </c>
      <c r="C683" s="23" t="e">
        <f t="array" ref="C683">RANK($S683,IF(Combo_Species_Names=$N683,Combo_Gym_Offense),0)</f>
        <v>#VALUE!</v>
      </c>
      <c r="D683" s="24" t="e">
        <f t="array" ref="D683">$S683/MAX(IF(Combo_Species_Names=$N683,Combo_Gym_Offense))</f>
        <v>#VALUE!</v>
      </c>
      <c r="E683" s="23" t="e">
        <f t="array" ref="E683">RANK($Y683,IF(Combo_Species_Names=$N683,Combo_Gym_Defense),0)</f>
        <v>#VALUE!</v>
      </c>
      <c r="F683" s="25" t="e">
        <f t="array" ref="F683">$Y683/MAX(IF(Combo_Species_Names=$N683,Combo_Gym_Defense))</f>
        <v>#VALUE!</v>
      </c>
      <c r="G683" s="23" t="str">
        <f t="array" ref="G683">IF(OR(INDEX(Species_Availability,MATCH($N683,Species_Names,0))="No",INDEX(Species_Evo_Numbers,MATCH($N683,Species_Names,0))&lt;&gt;1),"N/A",RANK($R683,IF(NOT(ISNA(MATCH(Combo_Species_Names,IF(Species_Availability="Yes",IF(Species_Evo_Numbers=1,Species_Names)),0))),Combo_Duel_Ability),0))</f>
        <v>N/A</v>
      </c>
      <c r="H683" s="24" t="str">
        <f t="array" ref="H683">IF(OR(INDEX(Species_Availability,MATCH($N683,Species_Names,0))="No",INDEX(Species_Evo_Numbers,MATCH($N683,Species_Names,0))&lt;&gt;1),"N/A",$R683/MAX(IF(NOT(ISNA(MATCH(Combo_Species_Names,IF(Species_Availability="Yes",IF(Species_Evo_Numbers=1,Species_Names)),0))),Combo_Duel_Ability)))</f>
        <v>N/A</v>
      </c>
      <c r="I683" s="23" t="str">
        <f t="array" ref="I683">IF(OR(INDEX(Species_Availability,MATCH($N683,Species_Names,0))="No",INDEX(Species_Evo_Numbers,MATCH($N683,Species_Names,0))&lt;&gt;1),"N/A",RANK($S683,IF(NOT(ISNA(MATCH(Combo_Species_Names,IF(Species_Availability="Yes",IF(Species_Evo_Numbers=1,Species_Names)),0))),Combo_Gym_Offense),0))</f>
        <v>N/A</v>
      </c>
      <c r="J683" s="24" t="str">
        <f t="array" ref="J683">IF(OR(INDEX(Species_Availability,MATCH($N683,Species_Names,0))="No",INDEX(Species_Evo_Numbers,MATCH($N683,Species_Names,0))&lt;&gt;1),"N/A",$S683/MAX(IF(NOT(ISNA(MATCH(Combo_Species_Names,IF(Species_Availability="Yes",IF(Species_Evo_Numbers=1,Species_Names)),0))),Combo_Gym_Offense)))</f>
        <v>N/A</v>
      </c>
      <c r="K683" s="23" t="str">
        <f t="array" ref="K683">IF(OR(INDEX(Species_Availability,MATCH($N683,Species_Names,0))="No",INDEX(Species_Evo_Numbers,MATCH($N683,Species_Names,0))&lt;&gt;1),"N/A",RANK($Y683,IF(NOT(ISNA(MATCH(Combo_Species_Names,IF(Species_Availability="Yes",IF(Species_Evo_Numbers=1,Species_Names)),0))),Combo_Gym_Defense),0))</f>
        <v>N/A</v>
      </c>
      <c r="L683" s="24" t="str">
        <f t="array" ref="L683">IF(OR(INDEX(Species_Availability,MATCH($N683,Species_Names,0))="No",INDEX(Species_Evo_Numbers,MATCH($N683,Species_Names,0))&lt;&gt;1),"N/A",$Y683/MAX(IF(NOT(ISNA(MATCH(Combo_Species_Names,IF(Species_Availability="Yes",IF(Species_Evo_Numbers=1,Species_Names)),0))),Combo_Gym_Defense)))</f>
        <v>N/A</v>
      </c>
      <c r="M683" s="28">
        <f t="array" ref="M683">INDEX(Species_Pdex_Numbers,MATCH($N683,Species_Names,0))</f>
        <v>140</v>
      </c>
      <c r="N683" s="30" t="s">
        <v>358</v>
      </c>
      <c r="O683" s="31" t="s">
        <v>64</v>
      </c>
      <c r="P683" s="31" t="s">
        <v>297</v>
      </c>
      <c r="Q683" s="17" t="e">
        <f t="shared" si="20"/>
        <v>#VALUE!</v>
      </c>
      <c r="R683" s="32" t="e">
        <f t="array" ref="R683">IF(OR(AND(COUNTBLANK(Combo_Opponent_Type_1)=1,COUNTBLANK(Combo_Opponent_Type_2)=0),AND(AND(COUNTBLANK(Combo_Opponent_Type_1)=0,COUNTBLANK(Combo_Opponent_Type_2)=0),Combo_Opponent_Type_1=Combo_Opponent_Type_2)),
"Check Types",($S683*INDEX(Species_Tankiness,MATCH($N683,Species_Names,0)))/225)</f>
        <v>#VALUE!</v>
      </c>
      <c r="S683" s="32" t="e">
        <f t="array" ref="S683">IF(OR(AND(COUNTBLANK(Combo_Opponent_Type_1)=1,COUNTBLANK(Combo_Opponent_Type_2)=0),AND(AND(COUNTBLANK(Combo_Opponent_Type_1)=0,COUNTBLANK(Combo_Opponent_Type_2)=0),Combo_Opponent_Type_1=Combo_Opponent_Type_2)),
"Check Types",(
IF($W683&gt;=((1-Game_Weave_Human_Error)*$X683),$W683,$X683)*INDEX(Species_Attack,MATCH($N683,Species_Names,0)))/11)</f>
        <v>#VALUE!</v>
      </c>
      <c r="T683" s="33" t="e">
        <f t="shared" si="21"/>
        <v>#VALUE!</v>
      </c>
      <c r="U683" s="33">
        <f t="array" ref="U6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683,Quick_Names,0))),Type_Species)),0),1)*IF(COUNTBLANK(Combo_Opponent_Type_2)=0,INDEX(Type_Damage_Multipliers,MATCH(Combo_Opponent_Type_2,IF(Type_Move=(INDEX(Quick_Type,MATCH($O683,Quick_Names,0))),Type_Species)),0),1)*(IF(OR(INDEX(Quick_Type,MATCH($O683,Quick_Names,0))=INDEX(Species_Type_1,MATCH($N683,Species_Names,0)),INDEX(Quick_Type,MATCH($O683,Quick_Names,0))=INDEX(Species_Type_2,MATCH($N683,Species_Names,0))),Game_STAB_Multiplier,1)))</f>
        <v>1</v>
      </c>
      <c r="V683" s="33">
        <f t="array" ref="V6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683,Charge_Names,0))),Type_Species)),0),1)*IF(COUNTBLANK(Combo_Opponent_Type_2)=0,INDEX(Type_Damage_Multipliers,MATCH(Combo_Opponent_Type_2,IF(Type_Move=(INDEX(Charge_Type,MATCH($P683,Charge_Names,0))),Type_Species)),0),1)*
IF(OR(INDEX(Charge_Type,MATCH($P683,Charge_Names,0))=INDEX(Species_Type_1,MATCH($N683,Species_Names,0)),INDEX(Charge_Type,MATCH($P683,Charge_Names,0))=INDEX(Species_Type_2,MATCH($N683,Species_Names,0))),Game_STAB_Multiplier,1))</f>
        <v>1.25</v>
      </c>
      <c r="W683" s="33" t="s">
        <v>453</v>
      </c>
      <c r="X683" s="33" t="s">
        <v>667</v>
      </c>
      <c r="Y683" s="32" t="e">
        <f t="array" ref="Y683">((($Z683)*
INDEX(Species_Attack,MATCH($N683,Species_Names,0))*
INDEX(Species_Tankiness,MATCH($N683,Species_Names,0)))/1000)</f>
        <v>#VALUE!</v>
      </c>
      <c r="Z683" s="33" t="s">
        <v>411</v>
      </c>
    </row>
    <row r="684" spans="1:26" ht="14.25" customHeight="1" x14ac:dyDescent="0.2">
      <c r="A684" s="86"/>
      <c r="B684" s="22" t="str">
        <f t="array" ref="B684">CONCATENATE(TEXT($M684,"000"),".",TEXT(INDEX(Quick_Number,MATCH($O684,Quick_Names,0)),"000"),".",TEXT(INDEX(Charge_Number,MATCH($P684,Charge_Names,0)),"000"))</f>
        <v>140.220.063</v>
      </c>
      <c r="C684" s="23" t="e">
        <f t="array" ref="C684">RANK($S684,IF(Combo_Species_Names=$N684,Combo_Gym_Offense),0)</f>
        <v>#VALUE!</v>
      </c>
      <c r="D684" s="24" t="e">
        <f t="array" ref="D684">$S684/MAX(IF(Combo_Species_Names=$N684,Combo_Gym_Offense))</f>
        <v>#VALUE!</v>
      </c>
      <c r="E684" s="23" t="e">
        <f t="array" ref="E684">RANK($Y684,IF(Combo_Species_Names=$N684,Combo_Gym_Defense),0)</f>
        <v>#VALUE!</v>
      </c>
      <c r="F684" s="25" t="e">
        <f t="array" ref="F684">$Y684/MAX(IF(Combo_Species_Names=$N684,Combo_Gym_Defense))</f>
        <v>#VALUE!</v>
      </c>
      <c r="G684" s="23" t="str">
        <f t="array" ref="G684">IF(OR(INDEX(Species_Availability,MATCH($N684,Species_Names,0))="No",INDEX(Species_Evo_Numbers,MATCH($N684,Species_Names,0))&lt;&gt;1),"N/A",RANK($R684,IF(NOT(ISNA(MATCH(Combo_Species_Names,IF(Species_Availability="Yes",IF(Species_Evo_Numbers=1,Species_Names)),0))),Combo_Duel_Ability),0))</f>
        <v>N/A</v>
      </c>
      <c r="H684" s="24" t="str">
        <f t="array" ref="H684">IF(OR(INDEX(Species_Availability,MATCH($N684,Species_Names,0))="No",INDEX(Species_Evo_Numbers,MATCH($N684,Species_Names,0))&lt;&gt;1),"N/A",$R684/MAX(IF(NOT(ISNA(MATCH(Combo_Species_Names,IF(Species_Availability="Yes",IF(Species_Evo_Numbers=1,Species_Names)),0))),Combo_Duel_Ability)))</f>
        <v>N/A</v>
      </c>
      <c r="I684" s="23" t="str">
        <f t="array" ref="I684">IF(OR(INDEX(Species_Availability,MATCH($N684,Species_Names,0))="No",INDEX(Species_Evo_Numbers,MATCH($N684,Species_Names,0))&lt;&gt;1),"N/A",RANK($S684,IF(NOT(ISNA(MATCH(Combo_Species_Names,IF(Species_Availability="Yes",IF(Species_Evo_Numbers=1,Species_Names)),0))),Combo_Gym_Offense),0))</f>
        <v>N/A</v>
      </c>
      <c r="J684" s="24" t="str">
        <f t="array" ref="J684">IF(OR(INDEX(Species_Availability,MATCH($N684,Species_Names,0))="No",INDEX(Species_Evo_Numbers,MATCH($N684,Species_Names,0))&lt;&gt;1),"N/A",$S684/MAX(IF(NOT(ISNA(MATCH(Combo_Species_Names,IF(Species_Availability="Yes",IF(Species_Evo_Numbers=1,Species_Names)),0))),Combo_Gym_Offense)))</f>
        <v>N/A</v>
      </c>
      <c r="K684" s="23" t="str">
        <f t="array" ref="K684">IF(OR(INDEX(Species_Availability,MATCH($N684,Species_Names,0))="No",INDEX(Species_Evo_Numbers,MATCH($N684,Species_Names,0))&lt;&gt;1),"N/A",RANK($Y684,IF(NOT(ISNA(MATCH(Combo_Species_Names,IF(Species_Availability="Yes",IF(Species_Evo_Numbers=1,Species_Names)),0))),Combo_Gym_Defense),0))</f>
        <v>N/A</v>
      </c>
      <c r="L684" s="24" t="str">
        <f t="array" ref="L684">IF(OR(INDEX(Species_Availability,MATCH($N684,Species_Names,0))="No",INDEX(Species_Evo_Numbers,MATCH($N684,Species_Names,0))&lt;&gt;1),"N/A",$Y684/MAX(IF(NOT(ISNA(MATCH(Combo_Species_Names,IF(Species_Availability="Yes",IF(Species_Evo_Numbers=1,Species_Names)),0))),Combo_Gym_Defense)))</f>
        <v>N/A</v>
      </c>
      <c r="M684" s="28">
        <f t="array" ref="M684">INDEX(Species_Pdex_Numbers,MATCH($N684,Species_Names,0))</f>
        <v>140</v>
      </c>
      <c r="N684" s="30" t="s">
        <v>358</v>
      </c>
      <c r="O684" s="31" t="s">
        <v>64</v>
      </c>
      <c r="P684" s="31" t="s">
        <v>299</v>
      </c>
      <c r="Q684" s="17" t="e">
        <f t="shared" si="20"/>
        <v>#VALUE!</v>
      </c>
      <c r="R684" s="32" t="e">
        <f t="array" ref="R684">IF(OR(AND(COUNTBLANK(Combo_Opponent_Type_1)=1,COUNTBLANK(Combo_Opponent_Type_2)=0),AND(AND(COUNTBLANK(Combo_Opponent_Type_1)=0,COUNTBLANK(Combo_Opponent_Type_2)=0),Combo_Opponent_Type_1=Combo_Opponent_Type_2)),
"Check Types",($S684*INDEX(Species_Tankiness,MATCH($N684,Species_Names,0)))/225)</f>
        <v>#VALUE!</v>
      </c>
      <c r="S684" s="32" t="e">
        <f t="array" ref="S684">IF(OR(AND(COUNTBLANK(Combo_Opponent_Type_1)=1,COUNTBLANK(Combo_Opponent_Type_2)=0),AND(AND(COUNTBLANK(Combo_Opponent_Type_1)=0,COUNTBLANK(Combo_Opponent_Type_2)=0),Combo_Opponent_Type_1=Combo_Opponent_Type_2)),
"Check Types",(
IF($W684&gt;=((1-Game_Weave_Human_Error)*$X684),$W684,$X684)*INDEX(Species_Attack,MATCH($N684,Species_Names,0)))/11)</f>
        <v>#VALUE!</v>
      </c>
      <c r="T684" s="33" t="e">
        <f t="shared" si="21"/>
        <v>#VALUE!</v>
      </c>
      <c r="U684" s="33">
        <f t="array" ref="U6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684,Quick_Names,0))),Type_Species)),0),1)*IF(COUNTBLANK(Combo_Opponent_Type_2)=0,INDEX(Type_Damage_Multipliers,MATCH(Combo_Opponent_Type_2,IF(Type_Move=(INDEX(Quick_Type,MATCH($O684,Quick_Names,0))),Type_Species)),0),1)*(IF(OR(INDEX(Quick_Type,MATCH($O684,Quick_Names,0))=INDEX(Species_Type_1,MATCH($N684,Species_Names,0)),INDEX(Quick_Type,MATCH($O684,Quick_Names,0))=INDEX(Species_Type_2,MATCH($N684,Species_Names,0))),Game_STAB_Multiplier,1)))</f>
        <v>1</v>
      </c>
      <c r="V684" s="33">
        <f t="array" ref="V6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684,Charge_Names,0))),Type_Species)),0),1)*IF(COUNTBLANK(Combo_Opponent_Type_2)=0,INDEX(Type_Damage_Multipliers,MATCH(Combo_Opponent_Type_2,IF(Type_Move=(INDEX(Charge_Type,MATCH($P684,Charge_Names,0))),Type_Species)),0),1)*
IF(OR(INDEX(Charge_Type,MATCH($P684,Charge_Names,0))=INDEX(Species_Type_1,MATCH($N684,Species_Names,0)),INDEX(Charge_Type,MATCH($P684,Charge_Names,0))=INDEX(Species_Type_2,MATCH($N684,Species_Names,0))),Game_STAB_Multiplier,1))</f>
        <v>1.25</v>
      </c>
      <c r="W684" s="33" t="s">
        <v>453</v>
      </c>
      <c r="X684" s="33" t="s">
        <v>441</v>
      </c>
      <c r="Y684" s="32" t="e">
        <f t="array" ref="Y684">((($Z684)*
INDEX(Species_Attack,MATCH($N684,Species_Names,0))*
INDEX(Species_Tankiness,MATCH($N684,Species_Names,0)))/1000)</f>
        <v>#VALUE!</v>
      </c>
      <c r="Z684" s="33" t="s">
        <v>635</v>
      </c>
    </row>
    <row r="685" spans="1:26" ht="14.25" customHeight="1" x14ac:dyDescent="0.2">
      <c r="A685" s="86"/>
      <c r="B685" s="22" t="str">
        <f t="array" ref="B685">CONCATENATE(TEXT($M685,"000"),".",TEXT(INDEX(Quick_Number,MATCH($O685,Quick_Names,0)),"000"),".",TEXT(INDEX(Charge_Number,MATCH($P685,Charge_Names,0)),"000"))</f>
        <v>140.220.057</v>
      </c>
      <c r="C685" s="23" t="e">
        <f t="array" ref="C685">RANK($S685,IF(Combo_Species_Names=$N685,Combo_Gym_Offense),0)</f>
        <v>#VALUE!</v>
      </c>
      <c r="D685" s="24" t="e">
        <f t="array" ref="D685">$S685/MAX(IF(Combo_Species_Names=$N685,Combo_Gym_Offense))</f>
        <v>#VALUE!</v>
      </c>
      <c r="E685" s="23" t="e">
        <f t="array" ref="E685">RANK($Y685,IF(Combo_Species_Names=$N685,Combo_Gym_Defense),0)</f>
        <v>#VALUE!</v>
      </c>
      <c r="F685" s="25" t="e">
        <f t="array" ref="F685">$Y685/MAX(IF(Combo_Species_Names=$N685,Combo_Gym_Defense))</f>
        <v>#VALUE!</v>
      </c>
      <c r="G685" s="23" t="str">
        <f t="array" ref="G685">IF(OR(INDEX(Species_Availability,MATCH($N685,Species_Names,0))="No",INDEX(Species_Evo_Numbers,MATCH($N685,Species_Names,0))&lt;&gt;1),"N/A",RANK($R685,IF(NOT(ISNA(MATCH(Combo_Species_Names,IF(Species_Availability="Yes",IF(Species_Evo_Numbers=1,Species_Names)),0))),Combo_Duel_Ability),0))</f>
        <v>N/A</v>
      </c>
      <c r="H685" s="24" t="str">
        <f t="array" ref="H685">IF(OR(INDEX(Species_Availability,MATCH($N685,Species_Names,0))="No",INDEX(Species_Evo_Numbers,MATCH($N685,Species_Names,0))&lt;&gt;1),"N/A",$R685/MAX(IF(NOT(ISNA(MATCH(Combo_Species_Names,IF(Species_Availability="Yes",IF(Species_Evo_Numbers=1,Species_Names)),0))),Combo_Duel_Ability)))</f>
        <v>N/A</v>
      </c>
      <c r="I685" s="23" t="str">
        <f t="array" ref="I685">IF(OR(INDEX(Species_Availability,MATCH($N685,Species_Names,0))="No",INDEX(Species_Evo_Numbers,MATCH($N685,Species_Names,0))&lt;&gt;1),"N/A",RANK($S685,IF(NOT(ISNA(MATCH(Combo_Species_Names,IF(Species_Availability="Yes",IF(Species_Evo_Numbers=1,Species_Names)),0))),Combo_Gym_Offense),0))</f>
        <v>N/A</v>
      </c>
      <c r="J685" s="24" t="str">
        <f t="array" ref="J685">IF(OR(INDEX(Species_Availability,MATCH($N685,Species_Names,0))="No",INDEX(Species_Evo_Numbers,MATCH($N685,Species_Names,0))&lt;&gt;1),"N/A",$S685/MAX(IF(NOT(ISNA(MATCH(Combo_Species_Names,IF(Species_Availability="Yes",IF(Species_Evo_Numbers=1,Species_Names)),0))),Combo_Gym_Offense)))</f>
        <v>N/A</v>
      </c>
      <c r="K685" s="23" t="str">
        <f t="array" ref="K685">IF(OR(INDEX(Species_Availability,MATCH($N685,Species_Names,0))="No",INDEX(Species_Evo_Numbers,MATCH($N685,Species_Names,0))&lt;&gt;1),"N/A",RANK($Y685,IF(NOT(ISNA(MATCH(Combo_Species_Names,IF(Species_Availability="Yes",IF(Species_Evo_Numbers=1,Species_Names)),0))),Combo_Gym_Defense),0))</f>
        <v>N/A</v>
      </c>
      <c r="L685" s="24" t="str">
        <f t="array" ref="L685">IF(OR(INDEX(Species_Availability,MATCH($N685,Species_Names,0))="No",INDEX(Species_Evo_Numbers,MATCH($N685,Species_Names,0))&lt;&gt;1),"N/A",$Y685/MAX(IF(NOT(ISNA(MATCH(Combo_Species_Names,IF(Species_Availability="Yes",IF(Species_Evo_Numbers=1,Species_Names)),0))),Combo_Gym_Defense)))</f>
        <v>N/A</v>
      </c>
      <c r="M685" s="28">
        <f t="array" ref="M685">INDEX(Species_Pdex_Numbers,MATCH($N685,Species_Names,0))</f>
        <v>140</v>
      </c>
      <c r="N685" s="30" t="s">
        <v>358</v>
      </c>
      <c r="O685" s="31" t="s">
        <v>64</v>
      </c>
      <c r="P685" s="31" t="s">
        <v>280</v>
      </c>
      <c r="Q685" s="17" t="e">
        <f t="shared" si="20"/>
        <v>#VALUE!</v>
      </c>
      <c r="R685" s="32" t="e">
        <f t="array" ref="R685">IF(OR(AND(COUNTBLANK(Combo_Opponent_Type_1)=1,COUNTBLANK(Combo_Opponent_Type_2)=0),AND(AND(COUNTBLANK(Combo_Opponent_Type_1)=0,COUNTBLANK(Combo_Opponent_Type_2)=0),Combo_Opponent_Type_1=Combo_Opponent_Type_2)),
"Check Types",($S685*INDEX(Species_Tankiness,MATCH($N685,Species_Names,0)))/225)</f>
        <v>#VALUE!</v>
      </c>
      <c r="S685" s="32" t="e">
        <f t="array" ref="S685">IF(OR(AND(COUNTBLANK(Combo_Opponent_Type_1)=1,COUNTBLANK(Combo_Opponent_Type_2)=0),AND(AND(COUNTBLANK(Combo_Opponent_Type_1)=0,COUNTBLANK(Combo_Opponent_Type_2)=0),Combo_Opponent_Type_1=Combo_Opponent_Type_2)),
"Check Types",(
IF($W685&gt;=((1-Game_Weave_Human_Error)*$X685),$W685,$X685)*INDEX(Species_Attack,MATCH($N685,Species_Names,0)))/11)</f>
        <v>#VALUE!</v>
      </c>
      <c r="T685" s="33" t="e">
        <f t="shared" si="21"/>
        <v>#VALUE!</v>
      </c>
      <c r="U685" s="33">
        <f t="array" ref="U6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685,Quick_Names,0))),Type_Species)),0),1)*IF(COUNTBLANK(Combo_Opponent_Type_2)=0,INDEX(Type_Damage_Multipliers,MATCH(Combo_Opponent_Type_2,IF(Type_Move=(INDEX(Quick_Type,MATCH($O685,Quick_Names,0))),Type_Species)),0),1)*(IF(OR(INDEX(Quick_Type,MATCH($O685,Quick_Names,0))=INDEX(Species_Type_1,MATCH($N685,Species_Names,0)),INDEX(Quick_Type,MATCH($O685,Quick_Names,0))=INDEX(Species_Type_2,MATCH($N685,Species_Names,0))),Game_STAB_Multiplier,1)))</f>
        <v>1</v>
      </c>
      <c r="V685" s="33">
        <f t="array" ref="V6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685,Charge_Names,0))),Type_Species)),0),1)*IF(COUNTBLANK(Combo_Opponent_Type_2)=0,INDEX(Type_Damage_Multipliers,MATCH(Combo_Opponent_Type_2,IF(Type_Move=(INDEX(Charge_Type,MATCH($P685,Charge_Names,0))),Type_Species)),0),1)*
IF(OR(INDEX(Charge_Type,MATCH($P685,Charge_Names,0))=INDEX(Species_Type_1,MATCH($N685,Species_Names,0)),INDEX(Charge_Type,MATCH($P685,Charge_Names,0))=INDEX(Species_Type_2,MATCH($N685,Species_Names,0))),Game_STAB_Multiplier,1))</f>
        <v>1.25</v>
      </c>
      <c r="W685" s="33" t="s">
        <v>453</v>
      </c>
      <c r="X685" s="33" t="s">
        <v>961</v>
      </c>
      <c r="Y685" s="32" t="e">
        <f t="array" ref="Y685">((($Z685)*
INDEX(Species_Attack,MATCH($N685,Species_Names,0))*
INDEX(Species_Tankiness,MATCH($N685,Species_Names,0)))/1000)</f>
        <v>#VALUE!</v>
      </c>
      <c r="Z685" s="33" t="s">
        <v>755</v>
      </c>
    </row>
    <row r="686" spans="1:26" ht="14.25" customHeight="1" x14ac:dyDescent="0.2">
      <c r="A686" s="86"/>
      <c r="B686" s="22" t="str">
        <f t="array" ref="B686">CONCATENATE(TEXT($M686,"000"),".",TEXT(INDEX(Quick_Number,MATCH($O686,Quick_Names,0)),"000"),".",TEXT(INDEX(Charge_Number,MATCH($P686,Charge_Names,0)),"000"))</f>
        <v>023.236.090</v>
      </c>
      <c r="C686" s="23" t="e">
        <f t="array" ref="C686">RANK($S686,IF(Combo_Species_Names=$N686,Combo_Gym_Offense),0)</f>
        <v>#VALUE!</v>
      </c>
      <c r="D686" s="24" t="e">
        <f t="array" ref="D686">$S686/MAX(IF(Combo_Species_Names=$N686,Combo_Gym_Offense))</f>
        <v>#VALUE!</v>
      </c>
      <c r="E686" s="23" t="e">
        <f t="array" ref="E686">RANK($Y686,IF(Combo_Species_Names=$N686,Combo_Gym_Defense),0)</f>
        <v>#VALUE!</v>
      </c>
      <c r="F686" s="25" t="e">
        <f t="array" ref="F686">$Y686/MAX(IF(Combo_Species_Names=$N686,Combo_Gym_Defense))</f>
        <v>#VALUE!</v>
      </c>
      <c r="G686" s="23" t="str">
        <f t="array" ref="G686">IF(OR(INDEX(Species_Availability,MATCH($N686,Species_Names,0))="No",INDEX(Species_Evo_Numbers,MATCH($N686,Species_Names,0))&lt;&gt;1),"N/A",RANK($R686,IF(NOT(ISNA(MATCH(Combo_Species_Names,IF(Species_Availability="Yes",IF(Species_Evo_Numbers=1,Species_Names)),0))),Combo_Duel_Ability),0))</f>
        <v>N/A</v>
      </c>
      <c r="H686" s="24" t="str">
        <f t="array" ref="H686">IF(OR(INDEX(Species_Availability,MATCH($N686,Species_Names,0))="No",INDEX(Species_Evo_Numbers,MATCH($N686,Species_Names,0))&lt;&gt;1),"N/A",$R686/MAX(IF(NOT(ISNA(MATCH(Combo_Species_Names,IF(Species_Availability="Yes",IF(Species_Evo_Numbers=1,Species_Names)),0))),Combo_Duel_Ability)))</f>
        <v>N/A</v>
      </c>
      <c r="I686" s="23" t="str">
        <f t="array" ref="I686">IF(OR(INDEX(Species_Availability,MATCH($N686,Species_Names,0))="No",INDEX(Species_Evo_Numbers,MATCH($N686,Species_Names,0))&lt;&gt;1),"N/A",RANK($S686,IF(NOT(ISNA(MATCH(Combo_Species_Names,IF(Species_Availability="Yes",IF(Species_Evo_Numbers=1,Species_Names)),0))),Combo_Gym_Offense),0))</f>
        <v>N/A</v>
      </c>
      <c r="J686" s="24" t="str">
        <f t="array" ref="J686">IF(OR(INDEX(Species_Availability,MATCH($N686,Species_Names,0))="No",INDEX(Species_Evo_Numbers,MATCH($N686,Species_Names,0))&lt;&gt;1),"N/A",$S686/MAX(IF(NOT(ISNA(MATCH(Combo_Species_Names,IF(Species_Availability="Yes",IF(Species_Evo_Numbers=1,Species_Names)),0))),Combo_Gym_Offense)))</f>
        <v>N/A</v>
      </c>
      <c r="K686" s="23" t="str">
        <f t="array" ref="K686">IF(OR(INDEX(Species_Availability,MATCH($N686,Species_Names,0))="No",INDEX(Species_Evo_Numbers,MATCH($N686,Species_Names,0))&lt;&gt;1),"N/A",RANK($Y686,IF(NOT(ISNA(MATCH(Combo_Species_Names,IF(Species_Availability="Yes",IF(Species_Evo_Numbers=1,Species_Names)),0))),Combo_Gym_Defense),0))</f>
        <v>N/A</v>
      </c>
      <c r="L686" s="24" t="str">
        <f t="array" ref="L686">IF(OR(INDEX(Species_Availability,MATCH($N686,Species_Names,0))="No",INDEX(Species_Evo_Numbers,MATCH($N686,Species_Names,0))&lt;&gt;1),"N/A",$Y686/MAX(IF(NOT(ISNA(MATCH(Combo_Species_Names,IF(Species_Availability="Yes",IF(Species_Evo_Numbers=1,Species_Names)),0))),Combo_Gym_Defense)))</f>
        <v>N/A</v>
      </c>
      <c r="M686" s="28">
        <f t="array" ref="M686">INDEX(Species_Pdex_Numbers,MATCH($N686,Species_Names,0))</f>
        <v>23</v>
      </c>
      <c r="N686" s="30" t="s">
        <v>133</v>
      </c>
      <c r="O686" s="31" t="s">
        <v>101</v>
      </c>
      <c r="P686" s="31" t="s">
        <v>180</v>
      </c>
      <c r="Q686" s="17" t="e">
        <f t="shared" si="20"/>
        <v>#VALUE!</v>
      </c>
      <c r="R686" s="32" t="e">
        <f t="array" ref="R686">IF(OR(AND(COUNTBLANK(Combo_Opponent_Type_1)=1,COUNTBLANK(Combo_Opponent_Type_2)=0),AND(AND(COUNTBLANK(Combo_Opponent_Type_1)=0,COUNTBLANK(Combo_Opponent_Type_2)=0),Combo_Opponent_Type_1=Combo_Opponent_Type_2)),
"Check Types",($S686*INDEX(Species_Tankiness,MATCH($N686,Species_Names,0)))/225)</f>
        <v>#VALUE!</v>
      </c>
      <c r="S686" s="32" t="e">
        <f t="array" ref="S686">IF(OR(AND(COUNTBLANK(Combo_Opponent_Type_1)=1,COUNTBLANK(Combo_Opponent_Type_2)=0),AND(AND(COUNTBLANK(Combo_Opponent_Type_1)=0,COUNTBLANK(Combo_Opponent_Type_2)=0),Combo_Opponent_Type_1=Combo_Opponent_Type_2)),
"Check Types",(
IF($W686&gt;=((1-Game_Weave_Human_Error)*$X686),$W686,$X686)*INDEX(Species_Attack,MATCH($N686,Species_Names,0)))/11)</f>
        <v>#VALUE!</v>
      </c>
      <c r="T686" s="33" t="e">
        <f t="shared" si="21"/>
        <v>#VALUE!</v>
      </c>
      <c r="U686" s="33">
        <f t="array" ref="U6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686,Quick_Names,0))),Type_Species)),0),1)*IF(COUNTBLANK(Combo_Opponent_Type_2)=0,INDEX(Type_Damage_Multipliers,MATCH(Combo_Opponent_Type_2,IF(Type_Move=(INDEX(Quick_Type,MATCH($O686,Quick_Names,0))),Type_Species)),0),1)*(IF(OR(INDEX(Quick_Type,MATCH($O686,Quick_Names,0))=INDEX(Species_Type_1,MATCH($N686,Species_Names,0)),INDEX(Quick_Type,MATCH($O686,Quick_Names,0))=INDEX(Species_Type_2,MATCH($N686,Species_Names,0))),Game_STAB_Multiplier,1)))</f>
        <v>1.25</v>
      </c>
      <c r="V686" s="33">
        <f t="array" ref="V6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686,Charge_Names,0))),Type_Species)),0),1)*IF(COUNTBLANK(Combo_Opponent_Type_2)=0,INDEX(Type_Damage_Multipliers,MATCH(Combo_Opponent_Type_2,IF(Type_Move=(INDEX(Charge_Type,MATCH($P686,Charge_Names,0))),Type_Species)),0),1)*
IF(OR(INDEX(Charge_Type,MATCH($P686,Charge_Names,0))=INDEX(Species_Type_1,MATCH($N686,Species_Names,0)),INDEX(Charge_Type,MATCH($P686,Charge_Names,0))=INDEX(Species_Type_2,MATCH($N686,Species_Names,0))),Game_STAB_Multiplier,1))</f>
        <v>1.25</v>
      </c>
      <c r="W686" s="33" t="s">
        <v>738</v>
      </c>
      <c r="X686" s="33" t="s">
        <v>952</v>
      </c>
      <c r="Y686" s="32" t="e">
        <f t="array" ref="Y686">((($Z686)*
INDEX(Species_Attack,MATCH($N686,Species_Names,0))*
INDEX(Species_Tankiness,MATCH($N686,Species_Names,0)))/1000)</f>
        <v>#VALUE!</v>
      </c>
      <c r="Z686" s="33" t="s">
        <v>953</v>
      </c>
    </row>
    <row r="687" spans="1:26" ht="14.25" customHeight="1" x14ac:dyDescent="0.2">
      <c r="A687" s="86"/>
      <c r="B687" s="22" t="str">
        <f t="array" ref="B687">CONCATENATE(TEXT($M687,"000"),".",TEXT(INDEX(Quick_Number,MATCH($O687,Quick_Names,0)),"000"),".",TEXT(INDEX(Charge_Number,MATCH($P687,Charge_Names,0)),"000"))</f>
        <v>007.221.105</v>
      </c>
      <c r="C687" s="23" t="e">
        <f t="array" ref="C687">RANK($S687,IF(Combo_Species_Names=$N687,Combo_Gym_Offense),0)</f>
        <v>#VALUE!</v>
      </c>
      <c r="D687" s="24" t="e">
        <f t="array" ref="D687">$S687/MAX(IF(Combo_Species_Names=$N687,Combo_Gym_Offense))</f>
        <v>#VALUE!</v>
      </c>
      <c r="E687" s="23" t="e">
        <f t="array" ref="E687">RANK($Y687,IF(Combo_Species_Names=$N687,Combo_Gym_Defense),0)</f>
        <v>#VALUE!</v>
      </c>
      <c r="F687" s="25" t="e">
        <f t="array" ref="F687">$Y687/MAX(IF(Combo_Species_Names=$N687,Combo_Gym_Defense))</f>
        <v>#VALUE!</v>
      </c>
      <c r="G687" s="23" t="str">
        <f t="array" ref="G687">IF(OR(INDEX(Species_Availability,MATCH($N687,Species_Names,0))="No",INDEX(Species_Evo_Numbers,MATCH($N687,Species_Names,0))&lt;&gt;1),"N/A",RANK($R687,IF(NOT(ISNA(MATCH(Combo_Species_Names,IF(Species_Availability="Yes",IF(Species_Evo_Numbers=1,Species_Names)),0))),Combo_Duel_Ability),0))</f>
        <v>N/A</v>
      </c>
      <c r="H687" s="24" t="str">
        <f t="array" ref="H687">IF(OR(INDEX(Species_Availability,MATCH($N687,Species_Names,0))="No",INDEX(Species_Evo_Numbers,MATCH($N687,Species_Names,0))&lt;&gt;1),"N/A",$R687/MAX(IF(NOT(ISNA(MATCH(Combo_Species_Names,IF(Species_Availability="Yes",IF(Species_Evo_Numbers=1,Species_Names)),0))),Combo_Duel_Ability)))</f>
        <v>N/A</v>
      </c>
      <c r="I687" s="23" t="str">
        <f t="array" ref="I687">IF(OR(INDEX(Species_Availability,MATCH($N687,Species_Names,0))="No",INDEX(Species_Evo_Numbers,MATCH($N687,Species_Names,0))&lt;&gt;1),"N/A",RANK($S687,IF(NOT(ISNA(MATCH(Combo_Species_Names,IF(Species_Availability="Yes",IF(Species_Evo_Numbers=1,Species_Names)),0))),Combo_Gym_Offense),0))</f>
        <v>N/A</v>
      </c>
      <c r="J687" s="24" t="str">
        <f t="array" ref="J687">IF(OR(INDEX(Species_Availability,MATCH($N687,Species_Names,0))="No",INDEX(Species_Evo_Numbers,MATCH($N687,Species_Names,0))&lt;&gt;1),"N/A",$S687/MAX(IF(NOT(ISNA(MATCH(Combo_Species_Names,IF(Species_Availability="Yes",IF(Species_Evo_Numbers=1,Species_Names)),0))),Combo_Gym_Offense)))</f>
        <v>N/A</v>
      </c>
      <c r="K687" s="23" t="str">
        <f t="array" ref="K687">IF(OR(INDEX(Species_Availability,MATCH($N687,Species_Names,0))="No",INDEX(Species_Evo_Numbers,MATCH($N687,Species_Names,0))&lt;&gt;1),"N/A",RANK($Y687,IF(NOT(ISNA(MATCH(Combo_Species_Names,IF(Species_Availability="Yes",IF(Species_Evo_Numbers=1,Species_Names)),0))),Combo_Gym_Defense),0))</f>
        <v>N/A</v>
      </c>
      <c r="L687" s="24" t="str">
        <f t="array" ref="L687">IF(OR(INDEX(Species_Availability,MATCH($N687,Species_Names,0))="No",INDEX(Species_Evo_Numbers,MATCH($N687,Species_Names,0))&lt;&gt;1),"N/A",$Y687/MAX(IF(NOT(ISNA(MATCH(Combo_Species_Names,IF(Species_Availability="Yes",IF(Species_Evo_Numbers=1,Species_Names)),0))),Combo_Gym_Defense)))</f>
        <v>N/A</v>
      </c>
      <c r="M687" s="28">
        <f t="array" ref="M687">INDEX(Species_Pdex_Numbers,MATCH($N687,Species_Names,0))</f>
        <v>7</v>
      </c>
      <c r="N687" s="30" t="s">
        <v>86</v>
      </c>
      <c r="O687" s="31" t="s">
        <v>91</v>
      </c>
      <c r="P687" s="31" t="s">
        <v>281</v>
      </c>
      <c r="Q687" s="17" t="e">
        <f t="shared" si="20"/>
        <v>#VALUE!</v>
      </c>
      <c r="R687" s="32" t="e">
        <f t="array" ref="R687">IF(OR(AND(COUNTBLANK(Combo_Opponent_Type_1)=1,COUNTBLANK(Combo_Opponent_Type_2)=0),AND(AND(COUNTBLANK(Combo_Opponent_Type_1)=0,COUNTBLANK(Combo_Opponent_Type_2)=0),Combo_Opponent_Type_1=Combo_Opponent_Type_2)),
"Check Types",($S687*INDEX(Species_Tankiness,MATCH($N687,Species_Names,0)))/225)</f>
        <v>#VALUE!</v>
      </c>
      <c r="S687" s="32" t="e">
        <f t="array" ref="S687">IF(OR(AND(COUNTBLANK(Combo_Opponent_Type_1)=1,COUNTBLANK(Combo_Opponent_Type_2)=0),AND(AND(COUNTBLANK(Combo_Opponent_Type_1)=0,COUNTBLANK(Combo_Opponent_Type_2)=0),Combo_Opponent_Type_1=Combo_Opponent_Type_2)),
"Check Types",(
IF($W687&gt;=((1-Game_Weave_Human_Error)*$X687),$W687,$X687)*INDEX(Species_Attack,MATCH($N687,Species_Names,0)))/11)</f>
        <v>#VALUE!</v>
      </c>
      <c r="T687" s="33" t="e">
        <f t="shared" si="21"/>
        <v>#VALUE!</v>
      </c>
      <c r="U687" s="33">
        <f t="array" ref="U6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687,Quick_Names,0))),Type_Species)),0),1)*IF(COUNTBLANK(Combo_Opponent_Type_2)=0,INDEX(Type_Damage_Multipliers,MATCH(Combo_Opponent_Type_2,IF(Type_Move=(INDEX(Quick_Type,MATCH($O687,Quick_Names,0))),Type_Species)),0),1)*(IF(OR(INDEX(Quick_Type,MATCH($O687,Quick_Names,0))=INDEX(Species_Type_1,MATCH($N687,Species_Names,0)),INDEX(Quick_Type,MATCH($O687,Quick_Names,0))=INDEX(Species_Type_2,MATCH($N687,Species_Names,0))),Game_STAB_Multiplier,1)))</f>
        <v>1</v>
      </c>
      <c r="V687" s="33">
        <f t="array" ref="V6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687,Charge_Names,0))),Type_Species)),0),1)*IF(COUNTBLANK(Combo_Opponent_Type_2)=0,INDEX(Type_Damage_Multipliers,MATCH(Combo_Opponent_Type_2,IF(Type_Move=(INDEX(Charge_Type,MATCH($P687,Charge_Names,0))),Type_Species)),0),1)*
IF(OR(INDEX(Charge_Type,MATCH($P687,Charge_Names,0))=INDEX(Species_Type_1,MATCH($N687,Species_Names,0)),INDEX(Charge_Type,MATCH($P687,Charge_Names,0))=INDEX(Species_Type_2,MATCH($N687,Species_Names,0))),Game_STAB_Multiplier,1))</f>
        <v>1.25</v>
      </c>
      <c r="W687" s="33" t="s">
        <v>658</v>
      </c>
      <c r="X687" s="33" t="s">
        <v>1050</v>
      </c>
      <c r="Y687" s="32" t="e">
        <f t="array" ref="Y687">((($Z687)*
INDEX(Species_Attack,MATCH($N687,Species_Names,0))*
INDEX(Species_Tankiness,MATCH($N687,Species_Names,0)))/1000)</f>
        <v>#VALUE!</v>
      </c>
      <c r="Z687" s="33" t="s">
        <v>699</v>
      </c>
    </row>
    <row r="688" spans="1:26" ht="14.25" customHeight="1" x14ac:dyDescent="0.2">
      <c r="A688" s="86"/>
      <c r="B688" s="22" t="str">
        <f t="array" ref="B688">CONCATENATE(TEXT($M688,"000"),".",TEXT(INDEX(Quick_Number,MATCH($O688,Quick_Names,0)),"000"),".",TEXT(INDEX(Charge_Number,MATCH($P688,Charge_Names,0)),"000"))</f>
        <v>007.221.057</v>
      </c>
      <c r="C688" s="23" t="e">
        <f t="array" ref="C688">RANK($S688,IF(Combo_Species_Names=$N688,Combo_Gym_Offense),0)</f>
        <v>#VALUE!</v>
      </c>
      <c r="D688" s="24" t="e">
        <f t="array" ref="D688">$S688/MAX(IF(Combo_Species_Names=$N688,Combo_Gym_Offense))</f>
        <v>#VALUE!</v>
      </c>
      <c r="E688" s="23" t="e">
        <f t="array" ref="E688">RANK($Y688,IF(Combo_Species_Names=$N688,Combo_Gym_Defense),0)</f>
        <v>#VALUE!</v>
      </c>
      <c r="F688" s="25" t="e">
        <f t="array" ref="F688">$Y688/MAX(IF(Combo_Species_Names=$N688,Combo_Gym_Defense))</f>
        <v>#VALUE!</v>
      </c>
      <c r="G688" s="23" t="str">
        <f t="array" ref="G688">IF(OR(INDEX(Species_Availability,MATCH($N688,Species_Names,0))="No",INDEX(Species_Evo_Numbers,MATCH($N688,Species_Names,0))&lt;&gt;1),"N/A",RANK($R688,IF(NOT(ISNA(MATCH(Combo_Species_Names,IF(Species_Availability="Yes",IF(Species_Evo_Numbers=1,Species_Names)),0))),Combo_Duel_Ability),0))</f>
        <v>N/A</v>
      </c>
      <c r="H688" s="24" t="str">
        <f t="array" ref="H688">IF(OR(INDEX(Species_Availability,MATCH($N688,Species_Names,0))="No",INDEX(Species_Evo_Numbers,MATCH($N688,Species_Names,0))&lt;&gt;1),"N/A",$R688/MAX(IF(NOT(ISNA(MATCH(Combo_Species_Names,IF(Species_Availability="Yes",IF(Species_Evo_Numbers=1,Species_Names)),0))),Combo_Duel_Ability)))</f>
        <v>N/A</v>
      </c>
      <c r="I688" s="23" t="str">
        <f t="array" ref="I688">IF(OR(INDEX(Species_Availability,MATCH($N688,Species_Names,0))="No",INDEX(Species_Evo_Numbers,MATCH($N688,Species_Names,0))&lt;&gt;1),"N/A",RANK($S688,IF(NOT(ISNA(MATCH(Combo_Species_Names,IF(Species_Availability="Yes",IF(Species_Evo_Numbers=1,Species_Names)),0))),Combo_Gym_Offense),0))</f>
        <v>N/A</v>
      </c>
      <c r="J688" s="24" t="str">
        <f t="array" ref="J688">IF(OR(INDEX(Species_Availability,MATCH($N688,Species_Names,0))="No",INDEX(Species_Evo_Numbers,MATCH($N688,Species_Names,0))&lt;&gt;1),"N/A",$S688/MAX(IF(NOT(ISNA(MATCH(Combo_Species_Names,IF(Species_Availability="Yes",IF(Species_Evo_Numbers=1,Species_Names)),0))),Combo_Gym_Offense)))</f>
        <v>N/A</v>
      </c>
      <c r="K688" s="23" t="str">
        <f t="array" ref="K688">IF(OR(INDEX(Species_Availability,MATCH($N688,Species_Names,0))="No",INDEX(Species_Evo_Numbers,MATCH($N688,Species_Names,0))&lt;&gt;1),"N/A",RANK($Y688,IF(NOT(ISNA(MATCH(Combo_Species_Names,IF(Species_Availability="Yes",IF(Species_Evo_Numbers=1,Species_Names)),0))),Combo_Gym_Defense),0))</f>
        <v>N/A</v>
      </c>
      <c r="L688" s="24" t="str">
        <f t="array" ref="L688">IF(OR(INDEX(Species_Availability,MATCH($N688,Species_Names,0))="No",INDEX(Species_Evo_Numbers,MATCH($N688,Species_Names,0))&lt;&gt;1),"N/A",$Y688/MAX(IF(NOT(ISNA(MATCH(Combo_Species_Names,IF(Species_Availability="Yes",IF(Species_Evo_Numbers=1,Species_Names)),0))),Combo_Gym_Defense)))</f>
        <v>N/A</v>
      </c>
      <c r="M688" s="28">
        <f t="array" ref="M688">INDEX(Species_Pdex_Numbers,MATCH($N688,Species_Names,0))</f>
        <v>7</v>
      </c>
      <c r="N688" s="30" t="s">
        <v>86</v>
      </c>
      <c r="O688" s="31" t="s">
        <v>91</v>
      </c>
      <c r="P688" s="31" t="s">
        <v>280</v>
      </c>
      <c r="Q688" s="17" t="e">
        <f t="shared" si="20"/>
        <v>#VALUE!</v>
      </c>
      <c r="R688" s="32" t="e">
        <f t="array" ref="R688">IF(OR(AND(COUNTBLANK(Combo_Opponent_Type_1)=1,COUNTBLANK(Combo_Opponent_Type_2)=0),AND(AND(COUNTBLANK(Combo_Opponent_Type_1)=0,COUNTBLANK(Combo_Opponent_Type_2)=0),Combo_Opponent_Type_1=Combo_Opponent_Type_2)),
"Check Types",($S688*INDEX(Species_Tankiness,MATCH($N688,Species_Names,0)))/225)</f>
        <v>#VALUE!</v>
      </c>
      <c r="S688" s="32" t="e">
        <f t="array" ref="S688">IF(OR(AND(COUNTBLANK(Combo_Opponent_Type_1)=1,COUNTBLANK(Combo_Opponent_Type_2)=0),AND(AND(COUNTBLANK(Combo_Opponent_Type_1)=0,COUNTBLANK(Combo_Opponent_Type_2)=0),Combo_Opponent_Type_1=Combo_Opponent_Type_2)),
"Check Types",(
IF($W688&gt;=((1-Game_Weave_Human_Error)*$X688),$W688,$X688)*INDEX(Species_Attack,MATCH($N688,Species_Names,0)))/11)</f>
        <v>#VALUE!</v>
      </c>
      <c r="T688" s="33" t="e">
        <f t="shared" si="21"/>
        <v>#VALUE!</v>
      </c>
      <c r="U688" s="33">
        <f t="array" ref="U6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688,Quick_Names,0))),Type_Species)),0),1)*IF(COUNTBLANK(Combo_Opponent_Type_2)=0,INDEX(Type_Damage_Multipliers,MATCH(Combo_Opponent_Type_2,IF(Type_Move=(INDEX(Quick_Type,MATCH($O688,Quick_Names,0))),Type_Species)),0),1)*(IF(OR(INDEX(Quick_Type,MATCH($O688,Quick_Names,0))=INDEX(Species_Type_1,MATCH($N688,Species_Names,0)),INDEX(Quick_Type,MATCH($O688,Quick_Names,0))=INDEX(Species_Type_2,MATCH($N688,Species_Names,0))),Game_STAB_Multiplier,1)))</f>
        <v>1</v>
      </c>
      <c r="V688" s="33">
        <f t="array" ref="V6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688,Charge_Names,0))),Type_Species)),0),1)*IF(COUNTBLANK(Combo_Opponent_Type_2)=0,INDEX(Type_Damage_Multipliers,MATCH(Combo_Opponent_Type_2,IF(Type_Move=(INDEX(Charge_Type,MATCH($P688,Charge_Names,0))),Type_Species)),0),1)*
IF(OR(INDEX(Charge_Type,MATCH($P688,Charge_Names,0))=INDEX(Species_Type_1,MATCH($N688,Species_Names,0)),INDEX(Charge_Type,MATCH($P688,Charge_Names,0))=INDEX(Species_Type_2,MATCH($N688,Species_Names,0))),Game_STAB_Multiplier,1))</f>
        <v>1.25</v>
      </c>
      <c r="W688" s="33" t="s">
        <v>658</v>
      </c>
      <c r="X688" s="33" t="s">
        <v>899</v>
      </c>
      <c r="Y688" s="32" t="e">
        <f t="array" ref="Y688">((($Z688)*
INDEX(Species_Attack,MATCH($N688,Species_Names,0))*
INDEX(Species_Tankiness,MATCH($N688,Species_Names,0)))/1000)</f>
        <v>#VALUE!</v>
      </c>
      <c r="Z688" s="33" t="s">
        <v>433</v>
      </c>
    </row>
    <row r="689" spans="1:26" ht="14.25" customHeight="1" x14ac:dyDescent="0.2">
      <c r="A689" s="86"/>
      <c r="B689" s="22" t="str">
        <f t="array" ref="B689">CONCATENATE(TEXT($M689,"000"),".",TEXT(INDEX(Quick_Number,MATCH($O689,Quick_Names,0)),"000"),".",TEXT(INDEX(Charge_Number,MATCH($P689,Charge_Names,0)),"000"))</f>
        <v>120.230.053</v>
      </c>
      <c r="C689" s="23" t="e">
        <f t="array" ref="C689">RANK($S689,IF(Combo_Species_Names=$N689,Combo_Gym_Offense),0)</f>
        <v>#VALUE!</v>
      </c>
      <c r="D689" s="24" t="e">
        <f t="array" ref="D689">$S689/MAX(IF(Combo_Species_Names=$N689,Combo_Gym_Offense))</f>
        <v>#VALUE!</v>
      </c>
      <c r="E689" s="23" t="e">
        <f t="array" ref="E689">RANK($Y689,IF(Combo_Species_Names=$N689,Combo_Gym_Defense),0)</f>
        <v>#VALUE!</v>
      </c>
      <c r="F689" s="25" t="e">
        <f t="array" ref="F689">$Y689/MAX(IF(Combo_Species_Names=$N689,Combo_Gym_Defense))</f>
        <v>#VALUE!</v>
      </c>
      <c r="G689" s="23" t="str">
        <f t="array" ref="G689">IF(OR(INDEX(Species_Availability,MATCH($N689,Species_Names,0))="No",INDEX(Species_Evo_Numbers,MATCH($N689,Species_Names,0))&lt;&gt;1),"N/A",RANK($R689,IF(NOT(ISNA(MATCH(Combo_Species_Names,IF(Species_Availability="Yes",IF(Species_Evo_Numbers=1,Species_Names)),0))),Combo_Duel_Ability),0))</f>
        <v>N/A</v>
      </c>
      <c r="H689" s="24" t="str">
        <f t="array" ref="H689">IF(OR(INDEX(Species_Availability,MATCH($N689,Species_Names,0))="No",INDEX(Species_Evo_Numbers,MATCH($N689,Species_Names,0))&lt;&gt;1),"N/A",$R689/MAX(IF(NOT(ISNA(MATCH(Combo_Species_Names,IF(Species_Availability="Yes",IF(Species_Evo_Numbers=1,Species_Names)),0))),Combo_Duel_Ability)))</f>
        <v>N/A</v>
      </c>
      <c r="I689" s="23" t="str">
        <f t="array" ref="I689">IF(OR(INDEX(Species_Availability,MATCH($N689,Species_Names,0))="No",INDEX(Species_Evo_Numbers,MATCH($N689,Species_Names,0))&lt;&gt;1),"N/A",RANK($S689,IF(NOT(ISNA(MATCH(Combo_Species_Names,IF(Species_Availability="Yes",IF(Species_Evo_Numbers=1,Species_Names)),0))),Combo_Gym_Offense),0))</f>
        <v>N/A</v>
      </c>
      <c r="J689" s="24" t="str">
        <f t="array" ref="J689">IF(OR(INDEX(Species_Availability,MATCH($N689,Species_Names,0))="No",INDEX(Species_Evo_Numbers,MATCH($N689,Species_Names,0))&lt;&gt;1),"N/A",$S689/MAX(IF(NOT(ISNA(MATCH(Combo_Species_Names,IF(Species_Availability="Yes",IF(Species_Evo_Numbers=1,Species_Names)),0))),Combo_Gym_Offense)))</f>
        <v>N/A</v>
      </c>
      <c r="K689" s="23" t="str">
        <f t="array" ref="K689">IF(OR(INDEX(Species_Availability,MATCH($N689,Species_Names,0))="No",INDEX(Species_Evo_Numbers,MATCH($N689,Species_Names,0))&lt;&gt;1),"N/A",RANK($Y689,IF(NOT(ISNA(MATCH(Combo_Species_Names,IF(Species_Availability="Yes",IF(Species_Evo_Numbers=1,Species_Names)),0))),Combo_Gym_Defense),0))</f>
        <v>N/A</v>
      </c>
      <c r="L689" s="24" t="str">
        <f t="array" ref="L689">IF(OR(INDEX(Species_Availability,MATCH($N689,Species_Names,0))="No",INDEX(Species_Evo_Numbers,MATCH($N689,Species_Names,0))&lt;&gt;1),"N/A",$Y689/MAX(IF(NOT(ISNA(MATCH(Combo_Species_Names,IF(Species_Availability="Yes",IF(Species_Evo_Numbers=1,Species_Names)),0))),Combo_Gym_Defense)))</f>
        <v>N/A</v>
      </c>
      <c r="M689" s="28">
        <f t="array" ref="M689">INDEX(Species_Pdex_Numbers,MATCH($N689,Species_Names,0))</f>
        <v>120</v>
      </c>
      <c r="N689" s="30" t="s">
        <v>334</v>
      </c>
      <c r="O689" s="31" t="s">
        <v>65</v>
      </c>
      <c r="P689" s="31" t="s">
        <v>289</v>
      </c>
      <c r="Q689" s="17" t="e">
        <f t="shared" si="20"/>
        <v>#VALUE!</v>
      </c>
      <c r="R689" s="32" t="e">
        <f t="array" ref="R689">IF(OR(AND(COUNTBLANK(Combo_Opponent_Type_1)=1,COUNTBLANK(Combo_Opponent_Type_2)=0),AND(AND(COUNTBLANK(Combo_Opponent_Type_1)=0,COUNTBLANK(Combo_Opponent_Type_2)=0),Combo_Opponent_Type_1=Combo_Opponent_Type_2)),
"Check Types",($S689*INDEX(Species_Tankiness,MATCH($N689,Species_Names,0)))/225)</f>
        <v>#VALUE!</v>
      </c>
      <c r="S689" s="32" t="e">
        <f t="array" ref="S689">IF(OR(AND(COUNTBLANK(Combo_Opponent_Type_1)=1,COUNTBLANK(Combo_Opponent_Type_2)=0),AND(AND(COUNTBLANK(Combo_Opponent_Type_1)=0,COUNTBLANK(Combo_Opponent_Type_2)=0),Combo_Opponent_Type_1=Combo_Opponent_Type_2)),
"Check Types",(
IF($W689&gt;=((1-Game_Weave_Human_Error)*$X689),$W689,$X689)*INDEX(Species_Attack,MATCH($N689,Species_Names,0)))/11)</f>
        <v>#VALUE!</v>
      </c>
      <c r="T689" s="33" t="e">
        <f t="shared" si="21"/>
        <v>#VALUE!</v>
      </c>
      <c r="U689" s="33">
        <f t="array" ref="U6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689,Quick_Names,0))),Type_Species)),0),1)*IF(COUNTBLANK(Combo_Opponent_Type_2)=0,INDEX(Type_Damage_Multipliers,MATCH(Combo_Opponent_Type_2,IF(Type_Move=(INDEX(Quick_Type,MATCH($O689,Quick_Names,0))),Type_Species)),0),1)*(IF(OR(INDEX(Quick_Type,MATCH($O689,Quick_Names,0))=INDEX(Species_Type_1,MATCH($N689,Species_Names,0)),INDEX(Quick_Type,MATCH($O689,Quick_Names,0))=INDEX(Species_Type_2,MATCH($N689,Species_Names,0))),Game_STAB_Multiplier,1)))</f>
        <v>1.25</v>
      </c>
      <c r="V689" s="33">
        <f t="array" ref="V6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689,Charge_Names,0))),Type_Species)),0),1)*IF(COUNTBLANK(Combo_Opponent_Type_2)=0,INDEX(Type_Damage_Multipliers,MATCH(Combo_Opponent_Type_2,IF(Type_Move=(INDEX(Charge_Type,MATCH($P689,Charge_Names,0))),Type_Species)),0),1)*
IF(OR(INDEX(Charge_Type,MATCH($P689,Charge_Names,0))=INDEX(Species_Type_1,MATCH($N689,Species_Names,0)),INDEX(Charge_Type,MATCH($P689,Charge_Names,0))=INDEX(Species_Type_2,MATCH($N689,Species_Names,0))),Game_STAB_Multiplier,1))</f>
        <v>1.25</v>
      </c>
      <c r="W689" s="33" t="s">
        <v>412</v>
      </c>
      <c r="X689" s="33" t="s">
        <v>986</v>
      </c>
      <c r="Y689" s="32" t="e">
        <f t="array" ref="Y689">((($Z689)*
INDEX(Species_Attack,MATCH($N689,Species_Names,0))*
INDEX(Species_Tankiness,MATCH($N689,Species_Names,0)))/1000)</f>
        <v>#VALUE!</v>
      </c>
      <c r="Z689" s="33" t="s">
        <v>928</v>
      </c>
    </row>
    <row r="690" spans="1:26" ht="14.25" customHeight="1" x14ac:dyDescent="0.2">
      <c r="A690" s="86"/>
      <c r="B690" s="22" t="str">
        <f t="array" ref="B690">CONCATENATE(TEXT($M690,"000"),".",TEXT(INDEX(Quick_Number,MATCH($O690,Quick_Names,0)),"000"),".",TEXT(INDEX(Charge_Number,MATCH($P690,Charge_Names,0)),"000"))</f>
        <v>120.230.065</v>
      </c>
      <c r="C690" s="23" t="e">
        <f t="array" ref="C690">RANK($S690,IF(Combo_Species_Names=$N690,Combo_Gym_Offense),0)</f>
        <v>#VALUE!</v>
      </c>
      <c r="D690" s="24" t="e">
        <f t="array" ref="D690">$S690/MAX(IF(Combo_Species_Names=$N690,Combo_Gym_Offense))</f>
        <v>#VALUE!</v>
      </c>
      <c r="E690" s="23" t="e">
        <f t="array" ref="E690">RANK($Y690,IF(Combo_Species_Names=$N690,Combo_Gym_Defense),0)</f>
        <v>#VALUE!</v>
      </c>
      <c r="F690" s="25" t="e">
        <f t="array" ref="F690">$Y690/MAX(IF(Combo_Species_Names=$N690,Combo_Gym_Defense))</f>
        <v>#VALUE!</v>
      </c>
      <c r="G690" s="23" t="str">
        <f t="array" ref="G690">IF(OR(INDEX(Species_Availability,MATCH($N690,Species_Names,0))="No",INDEX(Species_Evo_Numbers,MATCH($N690,Species_Names,0))&lt;&gt;1),"N/A",RANK($R690,IF(NOT(ISNA(MATCH(Combo_Species_Names,IF(Species_Availability="Yes",IF(Species_Evo_Numbers=1,Species_Names)),0))),Combo_Duel_Ability),0))</f>
        <v>N/A</v>
      </c>
      <c r="H690" s="24" t="str">
        <f t="array" ref="H690">IF(OR(INDEX(Species_Availability,MATCH($N690,Species_Names,0))="No",INDEX(Species_Evo_Numbers,MATCH($N690,Species_Names,0))&lt;&gt;1),"N/A",$R690/MAX(IF(NOT(ISNA(MATCH(Combo_Species_Names,IF(Species_Availability="Yes",IF(Species_Evo_Numbers=1,Species_Names)),0))),Combo_Duel_Ability)))</f>
        <v>N/A</v>
      </c>
      <c r="I690" s="23" t="str">
        <f t="array" ref="I690">IF(OR(INDEX(Species_Availability,MATCH($N690,Species_Names,0))="No",INDEX(Species_Evo_Numbers,MATCH($N690,Species_Names,0))&lt;&gt;1),"N/A",RANK($S690,IF(NOT(ISNA(MATCH(Combo_Species_Names,IF(Species_Availability="Yes",IF(Species_Evo_Numbers=1,Species_Names)),0))),Combo_Gym_Offense),0))</f>
        <v>N/A</v>
      </c>
      <c r="J690" s="24" t="str">
        <f t="array" ref="J690">IF(OR(INDEX(Species_Availability,MATCH($N690,Species_Names,0))="No",INDEX(Species_Evo_Numbers,MATCH($N690,Species_Names,0))&lt;&gt;1),"N/A",$S690/MAX(IF(NOT(ISNA(MATCH(Combo_Species_Names,IF(Species_Availability="Yes",IF(Species_Evo_Numbers=1,Species_Names)),0))),Combo_Gym_Offense)))</f>
        <v>N/A</v>
      </c>
      <c r="K690" s="23" t="str">
        <f t="array" ref="K690">IF(OR(INDEX(Species_Availability,MATCH($N690,Species_Names,0))="No",INDEX(Species_Evo_Numbers,MATCH($N690,Species_Names,0))&lt;&gt;1),"N/A",RANK($Y690,IF(NOT(ISNA(MATCH(Combo_Species_Names,IF(Species_Availability="Yes",IF(Species_Evo_Numbers=1,Species_Names)),0))),Combo_Gym_Defense),0))</f>
        <v>N/A</v>
      </c>
      <c r="L690" s="24" t="str">
        <f t="array" ref="L690">IF(OR(INDEX(Species_Availability,MATCH($N690,Species_Names,0))="No",INDEX(Species_Evo_Numbers,MATCH($N690,Species_Names,0))&lt;&gt;1),"N/A",$Y690/MAX(IF(NOT(ISNA(MATCH(Combo_Species_Names,IF(Species_Availability="Yes",IF(Species_Evo_Numbers=1,Species_Names)),0))),Combo_Gym_Defense)))</f>
        <v>N/A</v>
      </c>
      <c r="M690" s="28">
        <f t="array" ref="M690">INDEX(Species_Pdex_Numbers,MATCH($N690,Species_Names,0))</f>
        <v>120</v>
      </c>
      <c r="N690" s="30" t="s">
        <v>334</v>
      </c>
      <c r="O690" s="31" t="s">
        <v>65</v>
      </c>
      <c r="P690" s="31" t="s">
        <v>249</v>
      </c>
      <c r="Q690" s="17" t="e">
        <f t="shared" si="20"/>
        <v>#VALUE!</v>
      </c>
      <c r="R690" s="32" t="e">
        <f t="array" ref="R690">IF(OR(AND(COUNTBLANK(Combo_Opponent_Type_1)=1,COUNTBLANK(Combo_Opponent_Type_2)=0),AND(AND(COUNTBLANK(Combo_Opponent_Type_1)=0,COUNTBLANK(Combo_Opponent_Type_2)=0),Combo_Opponent_Type_1=Combo_Opponent_Type_2)),
"Check Types",($S690*INDEX(Species_Tankiness,MATCH($N690,Species_Names,0)))/225)</f>
        <v>#VALUE!</v>
      </c>
      <c r="S690" s="32" t="e">
        <f t="array" ref="S690">IF(OR(AND(COUNTBLANK(Combo_Opponent_Type_1)=1,COUNTBLANK(Combo_Opponent_Type_2)=0),AND(AND(COUNTBLANK(Combo_Opponent_Type_1)=0,COUNTBLANK(Combo_Opponent_Type_2)=0),Combo_Opponent_Type_1=Combo_Opponent_Type_2)),
"Check Types",(
IF($W690&gt;=((1-Game_Weave_Human_Error)*$X690),$W690,$X690)*INDEX(Species_Attack,MATCH($N690,Species_Names,0)))/11)</f>
        <v>#VALUE!</v>
      </c>
      <c r="T690" s="33" t="e">
        <f t="shared" si="21"/>
        <v>#VALUE!</v>
      </c>
      <c r="U690" s="33">
        <f t="array" ref="U6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690,Quick_Names,0))),Type_Species)),0),1)*IF(COUNTBLANK(Combo_Opponent_Type_2)=0,INDEX(Type_Damage_Multipliers,MATCH(Combo_Opponent_Type_2,IF(Type_Move=(INDEX(Quick_Type,MATCH($O690,Quick_Names,0))),Type_Species)),0),1)*(IF(OR(INDEX(Quick_Type,MATCH($O690,Quick_Names,0))=INDEX(Species_Type_1,MATCH($N690,Species_Names,0)),INDEX(Quick_Type,MATCH($O690,Quick_Names,0))=INDEX(Species_Type_2,MATCH($N690,Species_Names,0))),Game_STAB_Multiplier,1)))</f>
        <v>1.25</v>
      </c>
      <c r="V690" s="33">
        <f t="array" ref="V6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690,Charge_Names,0))),Type_Species)),0),1)*IF(COUNTBLANK(Combo_Opponent_Type_2)=0,INDEX(Type_Damage_Multipliers,MATCH(Combo_Opponent_Type_2,IF(Type_Move=(INDEX(Charge_Type,MATCH($P690,Charge_Names,0))),Type_Species)),0),1)*
IF(OR(INDEX(Charge_Type,MATCH($P690,Charge_Names,0))=INDEX(Species_Type_1,MATCH($N690,Species_Names,0)),INDEX(Charge_Type,MATCH($P690,Charge_Names,0))=INDEX(Species_Type_2,MATCH($N690,Species_Names,0))),Game_STAB_Multiplier,1))</f>
        <v>1</v>
      </c>
      <c r="W690" s="33" t="s">
        <v>412</v>
      </c>
      <c r="X690" s="33" t="s">
        <v>476</v>
      </c>
      <c r="Y690" s="32" t="e">
        <f t="array" ref="Y690">((($Z690)*
INDEX(Species_Attack,MATCH($N690,Species_Names,0))*
INDEX(Species_Tankiness,MATCH($N690,Species_Names,0)))/1000)</f>
        <v>#VALUE!</v>
      </c>
      <c r="Z690" s="33" t="s">
        <v>686</v>
      </c>
    </row>
    <row r="691" spans="1:26" ht="14.25" customHeight="1" x14ac:dyDescent="0.2">
      <c r="A691" s="86"/>
      <c r="B691" s="22" t="str">
        <f t="array" ref="B691">CONCATENATE(TEXT($M691,"000"),".",TEXT(INDEX(Quick_Number,MATCH($O691,Quick_Names,0)),"000"),".",TEXT(INDEX(Charge_Number,MATCH($P691,Charge_Names,0)),"000"))</f>
        <v>120.230.125</v>
      </c>
      <c r="C691" s="23" t="e">
        <f t="array" ref="C691">RANK($S691,IF(Combo_Species_Names=$N691,Combo_Gym_Offense),0)</f>
        <v>#VALUE!</v>
      </c>
      <c r="D691" s="24" t="e">
        <f t="array" ref="D691">$S691/MAX(IF(Combo_Species_Names=$N691,Combo_Gym_Offense))</f>
        <v>#VALUE!</v>
      </c>
      <c r="E691" s="23" t="e">
        <f t="array" ref="E691">RANK($Y691,IF(Combo_Species_Names=$N691,Combo_Gym_Defense),0)</f>
        <v>#VALUE!</v>
      </c>
      <c r="F691" s="25" t="e">
        <f t="array" ref="F691">$Y691/MAX(IF(Combo_Species_Names=$N691,Combo_Gym_Defense))</f>
        <v>#VALUE!</v>
      </c>
      <c r="G691" s="23" t="str">
        <f t="array" ref="G691">IF(OR(INDEX(Species_Availability,MATCH($N691,Species_Names,0))="No",INDEX(Species_Evo_Numbers,MATCH($N691,Species_Names,0))&lt;&gt;1),"N/A",RANK($R691,IF(NOT(ISNA(MATCH(Combo_Species_Names,IF(Species_Availability="Yes",IF(Species_Evo_Numbers=1,Species_Names)),0))),Combo_Duel_Ability),0))</f>
        <v>N/A</v>
      </c>
      <c r="H691" s="24" t="str">
        <f t="array" ref="H691">IF(OR(INDEX(Species_Availability,MATCH($N691,Species_Names,0))="No",INDEX(Species_Evo_Numbers,MATCH($N691,Species_Names,0))&lt;&gt;1),"N/A",$R691/MAX(IF(NOT(ISNA(MATCH(Combo_Species_Names,IF(Species_Availability="Yes",IF(Species_Evo_Numbers=1,Species_Names)),0))),Combo_Duel_Ability)))</f>
        <v>N/A</v>
      </c>
      <c r="I691" s="23" t="str">
        <f t="array" ref="I691">IF(OR(INDEX(Species_Availability,MATCH($N691,Species_Names,0))="No",INDEX(Species_Evo_Numbers,MATCH($N691,Species_Names,0))&lt;&gt;1),"N/A",RANK($S691,IF(NOT(ISNA(MATCH(Combo_Species_Names,IF(Species_Availability="Yes",IF(Species_Evo_Numbers=1,Species_Names)),0))),Combo_Gym_Offense),0))</f>
        <v>N/A</v>
      </c>
      <c r="J691" s="24" t="str">
        <f t="array" ref="J691">IF(OR(INDEX(Species_Availability,MATCH($N691,Species_Names,0))="No",INDEX(Species_Evo_Numbers,MATCH($N691,Species_Names,0))&lt;&gt;1),"N/A",$S691/MAX(IF(NOT(ISNA(MATCH(Combo_Species_Names,IF(Species_Availability="Yes",IF(Species_Evo_Numbers=1,Species_Names)),0))),Combo_Gym_Offense)))</f>
        <v>N/A</v>
      </c>
      <c r="K691" s="23" t="str">
        <f t="array" ref="K691">IF(OR(INDEX(Species_Availability,MATCH($N691,Species_Names,0))="No",INDEX(Species_Evo_Numbers,MATCH($N691,Species_Names,0))&lt;&gt;1),"N/A",RANK($Y691,IF(NOT(ISNA(MATCH(Combo_Species_Names,IF(Species_Availability="Yes",IF(Species_Evo_Numbers=1,Species_Names)),0))),Combo_Gym_Defense),0))</f>
        <v>N/A</v>
      </c>
      <c r="L691" s="24" t="str">
        <f t="array" ref="L691">IF(OR(INDEX(Species_Availability,MATCH($N691,Species_Names,0))="No",INDEX(Species_Evo_Numbers,MATCH($N691,Species_Names,0))&lt;&gt;1),"N/A",$Y691/MAX(IF(NOT(ISNA(MATCH(Combo_Species_Names,IF(Species_Availability="Yes",IF(Species_Evo_Numbers=1,Species_Names)),0))),Combo_Gym_Defense)))</f>
        <v>N/A</v>
      </c>
      <c r="M691" s="28">
        <f t="array" ref="M691">INDEX(Species_Pdex_Numbers,MATCH($N691,Species_Names,0))</f>
        <v>120</v>
      </c>
      <c r="N691" s="30" t="s">
        <v>334</v>
      </c>
      <c r="O691" s="31" t="s">
        <v>65</v>
      </c>
      <c r="P691" s="31" t="s">
        <v>292</v>
      </c>
      <c r="Q691" s="17" t="e">
        <f t="shared" si="20"/>
        <v>#VALUE!</v>
      </c>
      <c r="R691" s="32" t="e">
        <f t="array" ref="R691">IF(OR(AND(COUNTBLANK(Combo_Opponent_Type_1)=1,COUNTBLANK(Combo_Opponent_Type_2)=0),AND(AND(COUNTBLANK(Combo_Opponent_Type_1)=0,COUNTBLANK(Combo_Opponent_Type_2)=0),Combo_Opponent_Type_1=Combo_Opponent_Type_2)),
"Check Types",($S691*INDEX(Species_Tankiness,MATCH($N691,Species_Names,0)))/225)</f>
        <v>#VALUE!</v>
      </c>
      <c r="S691" s="32" t="e">
        <f t="array" ref="S691">IF(OR(AND(COUNTBLANK(Combo_Opponent_Type_1)=1,COUNTBLANK(Combo_Opponent_Type_2)=0),AND(AND(COUNTBLANK(Combo_Opponent_Type_1)=0,COUNTBLANK(Combo_Opponent_Type_2)=0),Combo_Opponent_Type_1=Combo_Opponent_Type_2)),
"Check Types",(
IF($W691&gt;=((1-Game_Weave_Human_Error)*$X691),$W691,$X691)*INDEX(Species_Attack,MATCH($N691,Species_Names,0)))/11)</f>
        <v>#VALUE!</v>
      </c>
      <c r="T691" s="33" t="e">
        <f t="shared" si="21"/>
        <v>#VALUE!</v>
      </c>
      <c r="U691" s="33">
        <f t="array" ref="U6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691,Quick_Names,0))),Type_Species)),0),1)*IF(COUNTBLANK(Combo_Opponent_Type_2)=0,INDEX(Type_Damage_Multipliers,MATCH(Combo_Opponent_Type_2,IF(Type_Move=(INDEX(Quick_Type,MATCH($O691,Quick_Names,0))),Type_Species)),0),1)*(IF(OR(INDEX(Quick_Type,MATCH($O691,Quick_Names,0))=INDEX(Species_Type_1,MATCH($N691,Species_Names,0)),INDEX(Quick_Type,MATCH($O691,Quick_Names,0))=INDEX(Species_Type_2,MATCH($N691,Species_Names,0))),Game_STAB_Multiplier,1)))</f>
        <v>1.25</v>
      </c>
      <c r="V691" s="33">
        <f t="array" ref="V6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691,Charge_Names,0))),Type_Species)),0),1)*IF(COUNTBLANK(Combo_Opponent_Type_2)=0,INDEX(Type_Damage_Multipliers,MATCH(Combo_Opponent_Type_2,IF(Type_Move=(INDEX(Charge_Type,MATCH($P691,Charge_Names,0))),Type_Species)),0),1)*
IF(OR(INDEX(Charge_Type,MATCH($P691,Charge_Names,0))=INDEX(Species_Type_1,MATCH($N691,Species_Names,0)),INDEX(Charge_Type,MATCH($P691,Charge_Names,0))=INDEX(Species_Type_2,MATCH($N691,Species_Names,0))),Game_STAB_Multiplier,1))</f>
        <v>1</v>
      </c>
      <c r="W691" s="33" t="s">
        <v>412</v>
      </c>
      <c r="X691" s="33" t="s">
        <v>795</v>
      </c>
      <c r="Y691" s="32" t="e">
        <f t="array" ref="Y691">((($Z691)*
INDEX(Species_Attack,MATCH($N691,Species_Names,0))*
INDEX(Species_Tankiness,MATCH($N691,Species_Names,0)))/1000)</f>
        <v>#VALUE!</v>
      </c>
      <c r="Z691" s="33" t="s">
        <v>566</v>
      </c>
    </row>
    <row r="692" spans="1:26" ht="14.25" customHeight="1" x14ac:dyDescent="0.2">
      <c r="A692" s="86"/>
      <c r="B692" s="22" t="str">
        <f t="array" ref="B692">CONCATENATE(TEXT($M692,"000"),".",TEXT(INDEX(Quick_Number,MATCH($O692,Quick_Names,0)),"000"),".",TEXT(INDEX(Charge_Number,MATCH($P692,Charge_Names,0)),"000"))</f>
        <v>072.236.105</v>
      </c>
      <c r="C692" s="23" t="e">
        <f t="array" ref="C692">RANK($S692,IF(Combo_Species_Names=$N692,Combo_Gym_Offense),0)</f>
        <v>#VALUE!</v>
      </c>
      <c r="D692" s="24" t="e">
        <f t="array" ref="D692">$S692/MAX(IF(Combo_Species_Names=$N692,Combo_Gym_Offense))</f>
        <v>#VALUE!</v>
      </c>
      <c r="E692" s="23" t="e">
        <f t="array" ref="E692">RANK($Y692,IF(Combo_Species_Names=$N692,Combo_Gym_Defense),0)</f>
        <v>#VALUE!</v>
      </c>
      <c r="F692" s="25" t="e">
        <f t="array" ref="F692">$Y692/MAX(IF(Combo_Species_Names=$N692,Combo_Gym_Defense))</f>
        <v>#VALUE!</v>
      </c>
      <c r="G692" s="23" t="str">
        <f t="array" ref="G692">IF(OR(INDEX(Species_Availability,MATCH($N692,Species_Names,0))="No",INDEX(Species_Evo_Numbers,MATCH($N692,Species_Names,0))&lt;&gt;1),"N/A",RANK($R692,IF(NOT(ISNA(MATCH(Combo_Species_Names,IF(Species_Availability="Yes",IF(Species_Evo_Numbers=1,Species_Names)),0))),Combo_Duel_Ability),0))</f>
        <v>N/A</v>
      </c>
      <c r="H692" s="24" t="str">
        <f t="array" ref="H692">IF(OR(INDEX(Species_Availability,MATCH($N692,Species_Names,0))="No",INDEX(Species_Evo_Numbers,MATCH($N692,Species_Names,0))&lt;&gt;1),"N/A",$R692/MAX(IF(NOT(ISNA(MATCH(Combo_Species_Names,IF(Species_Availability="Yes",IF(Species_Evo_Numbers=1,Species_Names)),0))),Combo_Duel_Ability)))</f>
        <v>N/A</v>
      </c>
      <c r="I692" s="23" t="str">
        <f t="array" ref="I692">IF(OR(INDEX(Species_Availability,MATCH($N692,Species_Names,0))="No",INDEX(Species_Evo_Numbers,MATCH($N692,Species_Names,0))&lt;&gt;1),"N/A",RANK($S692,IF(NOT(ISNA(MATCH(Combo_Species_Names,IF(Species_Availability="Yes",IF(Species_Evo_Numbers=1,Species_Names)),0))),Combo_Gym_Offense),0))</f>
        <v>N/A</v>
      </c>
      <c r="J692" s="24" t="str">
        <f t="array" ref="J692">IF(OR(INDEX(Species_Availability,MATCH($N692,Species_Names,0))="No",INDEX(Species_Evo_Numbers,MATCH($N692,Species_Names,0))&lt;&gt;1),"N/A",$S692/MAX(IF(NOT(ISNA(MATCH(Combo_Species_Names,IF(Species_Availability="Yes",IF(Species_Evo_Numbers=1,Species_Names)),0))),Combo_Gym_Offense)))</f>
        <v>N/A</v>
      </c>
      <c r="K692" s="23" t="str">
        <f t="array" ref="K692">IF(OR(INDEX(Species_Availability,MATCH($N692,Species_Names,0))="No",INDEX(Species_Evo_Numbers,MATCH($N692,Species_Names,0))&lt;&gt;1),"N/A",RANK($Y692,IF(NOT(ISNA(MATCH(Combo_Species_Names,IF(Species_Availability="Yes",IF(Species_Evo_Numbers=1,Species_Names)),0))),Combo_Gym_Defense),0))</f>
        <v>N/A</v>
      </c>
      <c r="L692" s="24" t="str">
        <f t="array" ref="L692">IF(OR(INDEX(Species_Availability,MATCH($N692,Species_Names,0))="No",INDEX(Species_Evo_Numbers,MATCH($N692,Species_Names,0))&lt;&gt;1),"N/A",$Y692/MAX(IF(NOT(ISNA(MATCH(Combo_Species_Names,IF(Species_Availability="Yes",IF(Species_Evo_Numbers=1,Species_Names)),0))),Combo_Gym_Defense)))</f>
        <v>N/A</v>
      </c>
      <c r="M692" s="28">
        <f t="array" ref="M692">INDEX(Species_Pdex_Numbers,MATCH($N692,Species_Names,0))</f>
        <v>72</v>
      </c>
      <c r="N692" s="30" t="s">
        <v>235</v>
      </c>
      <c r="O692" s="31" t="s">
        <v>101</v>
      </c>
      <c r="P692" s="31" t="s">
        <v>281</v>
      </c>
      <c r="Q692" s="17" t="e">
        <f t="shared" si="20"/>
        <v>#VALUE!</v>
      </c>
      <c r="R692" s="32" t="e">
        <f t="array" ref="R692">IF(OR(AND(COUNTBLANK(Combo_Opponent_Type_1)=1,COUNTBLANK(Combo_Opponent_Type_2)=0),AND(AND(COUNTBLANK(Combo_Opponent_Type_1)=0,COUNTBLANK(Combo_Opponent_Type_2)=0),Combo_Opponent_Type_1=Combo_Opponent_Type_2)),
"Check Types",($S692*INDEX(Species_Tankiness,MATCH($N692,Species_Names,0)))/225)</f>
        <v>#VALUE!</v>
      </c>
      <c r="S692" s="32" t="e">
        <f t="array" ref="S692">IF(OR(AND(COUNTBLANK(Combo_Opponent_Type_1)=1,COUNTBLANK(Combo_Opponent_Type_2)=0),AND(AND(COUNTBLANK(Combo_Opponent_Type_1)=0,COUNTBLANK(Combo_Opponent_Type_2)=0),Combo_Opponent_Type_1=Combo_Opponent_Type_2)),
"Check Types",(
IF($W692&gt;=((1-Game_Weave_Human_Error)*$X692),$W692,$X692)*INDEX(Species_Attack,MATCH($N692,Species_Names,0)))/11)</f>
        <v>#VALUE!</v>
      </c>
      <c r="T692" s="33" t="e">
        <f t="shared" si="21"/>
        <v>#VALUE!</v>
      </c>
      <c r="U692" s="33">
        <f t="array" ref="U6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692,Quick_Names,0))),Type_Species)),0),1)*IF(COUNTBLANK(Combo_Opponent_Type_2)=0,INDEX(Type_Damage_Multipliers,MATCH(Combo_Opponent_Type_2,IF(Type_Move=(INDEX(Quick_Type,MATCH($O692,Quick_Names,0))),Type_Species)),0),1)*(IF(OR(INDEX(Quick_Type,MATCH($O692,Quick_Names,0))=INDEX(Species_Type_1,MATCH($N692,Species_Names,0)),INDEX(Quick_Type,MATCH($O692,Quick_Names,0))=INDEX(Species_Type_2,MATCH($N692,Species_Names,0))),Game_STAB_Multiplier,1)))</f>
        <v>1.25</v>
      </c>
      <c r="V692" s="33">
        <f t="array" ref="V6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692,Charge_Names,0))),Type_Species)),0),1)*IF(COUNTBLANK(Combo_Opponent_Type_2)=0,INDEX(Type_Damage_Multipliers,MATCH(Combo_Opponent_Type_2,IF(Type_Move=(INDEX(Charge_Type,MATCH($P692,Charge_Names,0))),Type_Species)),0),1)*
IF(OR(INDEX(Charge_Type,MATCH($P692,Charge_Names,0))=INDEX(Species_Type_1,MATCH($N692,Species_Names,0)),INDEX(Charge_Type,MATCH($P692,Charge_Names,0))=INDEX(Species_Type_2,MATCH($N692,Species_Names,0))),Game_STAB_Multiplier,1))</f>
        <v>1.25</v>
      </c>
      <c r="W692" s="33" t="s">
        <v>738</v>
      </c>
      <c r="X692" s="33" t="s">
        <v>640</v>
      </c>
      <c r="Y692" s="32" t="e">
        <f t="array" ref="Y692">((($Z692)*
INDEX(Species_Attack,MATCH($N692,Species_Names,0))*
INDEX(Species_Tankiness,MATCH($N692,Species_Names,0)))/1000)</f>
        <v>#VALUE!</v>
      </c>
      <c r="Z692" s="33" t="s">
        <v>641</v>
      </c>
    </row>
    <row r="693" spans="1:26" ht="14.25" customHeight="1" x14ac:dyDescent="0.2">
      <c r="A693" s="86"/>
      <c r="B693" s="22" t="str">
        <f t="array" ref="B693">CONCATENATE(TEXT($M693,"000"),".",TEXT(INDEX(Quick_Number,MATCH($O693,Quick_Names,0)),"000"),".",TEXT(INDEX(Charge_Number,MATCH($P693,Charge_Names,0)),"000"))</f>
        <v>072.236.053</v>
      </c>
      <c r="C693" s="23" t="e">
        <f t="array" ref="C693">RANK($S693,IF(Combo_Species_Names=$N693,Combo_Gym_Offense),0)</f>
        <v>#VALUE!</v>
      </c>
      <c r="D693" s="24" t="e">
        <f t="array" ref="D693">$S693/MAX(IF(Combo_Species_Names=$N693,Combo_Gym_Offense))</f>
        <v>#VALUE!</v>
      </c>
      <c r="E693" s="23" t="e">
        <f t="array" ref="E693">RANK($Y693,IF(Combo_Species_Names=$N693,Combo_Gym_Defense),0)</f>
        <v>#VALUE!</v>
      </c>
      <c r="F693" s="25" t="e">
        <f t="array" ref="F693">$Y693/MAX(IF(Combo_Species_Names=$N693,Combo_Gym_Defense))</f>
        <v>#VALUE!</v>
      </c>
      <c r="G693" s="23" t="str">
        <f t="array" ref="G693">IF(OR(INDEX(Species_Availability,MATCH($N693,Species_Names,0))="No",INDEX(Species_Evo_Numbers,MATCH($N693,Species_Names,0))&lt;&gt;1),"N/A",RANK($R693,IF(NOT(ISNA(MATCH(Combo_Species_Names,IF(Species_Availability="Yes",IF(Species_Evo_Numbers=1,Species_Names)),0))),Combo_Duel_Ability),0))</f>
        <v>N/A</v>
      </c>
      <c r="H693" s="24" t="str">
        <f t="array" ref="H693">IF(OR(INDEX(Species_Availability,MATCH($N693,Species_Names,0))="No",INDEX(Species_Evo_Numbers,MATCH($N693,Species_Names,0))&lt;&gt;1),"N/A",$R693/MAX(IF(NOT(ISNA(MATCH(Combo_Species_Names,IF(Species_Availability="Yes",IF(Species_Evo_Numbers=1,Species_Names)),0))),Combo_Duel_Ability)))</f>
        <v>N/A</v>
      </c>
      <c r="I693" s="23" t="str">
        <f t="array" ref="I693">IF(OR(INDEX(Species_Availability,MATCH($N693,Species_Names,0))="No",INDEX(Species_Evo_Numbers,MATCH($N693,Species_Names,0))&lt;&gt;1),"N/A",RANK($S693,IF(NOT(ISNA(MATCH(Combo_Species_Names,IF(Species_Availability="Yes",IF(Species_Evo_Numbers=1,Species_Names)),0))),Combo_Gym_Offense),0))</f>
        <v>N/A</v>
      </c>
      <c r="J693" s="24" t="str">
        <f t="array" ref="J693">IF(OR(INDEX(Species_Availability,MATCH($N693,Species_Names,0))="No",INDEX(Species_Evo_Numbers,MATCH($N693,Species_Names,0))&lt;&gt;1),"N/A",$S693/MAX(IF(NOT(ISNA(MATCH(Combo_Species_Names,IF(Species_Availability="Yes",IF(Species_Evo_Numbers=1,Species_Names)),0))),Combo_Gym_Offense)))</f>
        <v>N/A</v>
      </c>
      <c r="K693" s="23" t="str">
        <f t="array" ref="K693">IF(OR(INDEX(Species_Availability,MATCH($N693,Species_Names,0))="No",INDEX(Species_Evo_Numbers,MATCH($N693,Species_Names,0))&lt;&gt;1),"N/A",RANK($Y693,IF(NOT(ISNA(MATCH(Combo_Species_Names,IF(Species_Availability="Yes",IF(Species_Evo_Numbers=1,Species_Names)),0))),Combo_Gym_Defense),0))</f>
        <v>N/A</v>
      </c>
      <c r="L693" s="24" t="str">
        <f t="array" ref="L693">IF(OR(INDEX(Species_Availability,MATCH($N693,Species_Names,0))="No",INDEX(Species_Evo_Numbers,MATCH($N693,Species_Names,0))&lt;&gt;1),"N/A",$Y693/MAX(IF(NOT(ISNA(MATCH(Combo_Species_Names,IF(Species_Availability="Yes",IF(Species_Evo_Numbers=1,Species_Names)),0))),Combo_Gym_Defense)))</f>
        <v>N/A</v>
      </c>
      <c r="M693" s="28">
        <f t="array" ref="M693">INDEX(Species_Pdex_Numbers,MATCH($N693,Species_Names,0))</f>
        <v>72</v>
      </c>
      <c r="N693" s="30" t="s">
        <v>235</v>
      </c>
      <c r="O693" s="31" t="s">
        <v>101</v>
      </c>
      <c r="P693" s="31" t="s">
        <v>289</v>
      </c>
      <c r="Q693" s="17" t="e">
        <f t="shared" si="20"/>
        <v>#VALUE!</v>
      </c>
      <c r="R693" s="32" t="e">
        <f t="array" ref="R693">IF(OR(AND(COUNTBLANK(Combo_Opponent_Type_1)=1,COUNTBLANK(Combo_Opponent_Type_2)=0),AND(AND(COUNTBLANK(Combo_Opponent_Type_1)=0,COUNTBLANK(Combo_Opponent_Type_2)=0),Combo_Opponent_Type_1=Combo_Opponent_Type_2)),
"Check Types",($S693*INDEX(Species_Tankiness,MATCH($N693,Species_Names,0)))/225)</f>
        <v>#VALUE!</v>
      </c>
      <c r="S693" s="32" t="e">
        <f t="array" ref="S693">IF(OR(AND(COUNTBLANK(Combo_Opponent_Type_1)=1,COUNTBLANK(Combo_Opponent_Type_2)=0),AND(AND(COUNTBLANK(Combo_Opponent_Type_1)=0,COUNTBLANK(Combo_Opponent_Type_2)=0),Combo_Opponent_Type_1=Combo_Opponent_Type_2)),
"Check Types",(
IF($W693&gt;=((1-Game_Weave_Human_Error)*$X693),$W693,$X693)*INDEX(Species_Attack,MATCH($N693,Species_Names,0)))/11)</f>
        <v>#VALUE!</v>
      </c>
      <c r="T693" s="33" t="e">
        <f t="shared" si="21"/>
        <v>#VALUE!</v>
      </c>
      <c r="U693" s="33">
        <f t="array" ref="U6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693,Quick_Names,0))),Type_Species)),0),1)*IF(COUNTBLANK(Combo_Opponent_Type_2)=0,INDEX(Type_Damage_Multipliers,MATCH(Combo_Opponent_Type_2,IF(Type_Move=(INDEX(Quick_Type,MATCH($O693,Quick_Names,0))),Type_Species)),0),1)*(IF(OR(INDEX(Quick_Type,MATCH($O693,Quick_Names,0))=INDEX(Species_Type_1,MATCH($N693,Species_Names,0)),INDEX(Quick_Type,MATCH($O693,Quick_Names,0))=INDEX(Species_Type_2,MATCH($N693,Species_Names,0))),Game_STAB_Multiplier,1)))</f>
        <v>1.25</v>
      </c>
      <c r="V693" s="33">
        <f t="array" ref="V6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693,Charge_Names,0))),Type_Species)),0),1)*IF(COUNTBLANK(Combo_Opponent_Type_2)=0,INDEX(Type_Damage_Multipliers,MATCH(Combo_Opponent_Type_2,IF(Type_Move=(INDEX(Charge_Type,MATCH($P693,Charge_Names,0))),Type_Species)),0),1)*
IF(OR(INDEX(Charge_Type,MATCH($P693,Charge_Names,0))=INDEX(Species_Type_1,MATCH($N693,Species_Names,0)),INDEX(Charge_Type,MATCH($P693,Charge_Names,0))=INDEX(Species_Type_2,MATCH($N693,Species_Names,0))),Game_STAB_Multiplier,1))</f>
        <v>1.25</v>
      </c>
      <c r="W693" s="33" t="s">
        <v>738</v>
      </c>
      <c r="X693" s="33" t="s">
        <v>856</v>
      </c>
      <c r="Y693" s="32" t="e">
        <f t="array" ref="Y693">((($Z693)*
INDEX(Species_Attack,MATCH($N693,Species_Names,0))*
INDEX(Species_Tankiness,MATCH($N693,Species_Names,0)))/1000)</f>
        <v>#VALUE!</v>
      </c>
      <c r="Z693" s="33" t="s">
        <v>697</v>
      </c>
    </row>
    <row r="694" spans="1:26" ht="14.25" customHeight="1" x14ac:dyDescent="0.2">
      <c r="A694" s="86"/>
      <c r="B694" s="22" t="str">
        <f t="array" ref="B694">CONCATENATE(TEXT($M694,"000"),".",TEXT(INDEX(Quick_Number,MATCH($O694,Quick_Names,0)),"000"),".",TEXT(INDEX(Charge_Number,MATCH($P694,Charge_Names,0)),"000"))</f>
        <v>072.236.013</v>
      </c>
      <c r="C694" s="23" t="e">
        <f t="array" ref="C694">RANK($S694,IF(Combo_Species_Names=$N694,Combo_Gym_Offense),0)</f>
        <v>#VALUE!</v>
      </c>
      <c r="D694" s="24" t="e">
        <f t="array" ref="D694">$S694/MAX(IF(Combo_Species_Names=$N694,Combo_Gym_Offense))</f>
        <v>#VALUE!</v>
      </c>
      <c r="E694" s="23" t="e">
        <f t="array" ref="E694">RANK($Y694,IF(Combo_Species_Names=$N694,Combo_Gym_Defense),0)</f>
        <v>#VALUE!</v>
      </c>
      <c r="F694" s="25" t="e">
        <f t="array" ref="F694">$Y694/MAX(IF(Combo_Species_Names=$N694,Combo_Gym_Defense))</f>
        <v>#VALUE!</v>
      </c>
      <c r="G694" s="23" t="str">
        <f t="array" ref="G694">IF(OR(INDEX(Species_Availability,MATCH($N694,Species_Names,0))="No",INDEX(Species_Evo_Numbers,MATCH($N694,Species_Names,0))&lt;&gt;1),"N/A",RANK($R694,IF(NOT(ISNA(MATCH(Combo_Species_Names,IF(Species_Availability="Yes",IF(Species_Evo_Numbers=1,Species_Names)),0))),Combo_Duel_Ability),0))</f>
        <v>N/A</v>
      </c>
      <c r="H694" s="24" t="str">
        <f t="array" ref="H694">IF(OR(INDEX(Species_Availability,MATCH($N694,Species_Names,0))="No",INDEX(Species_Evo_Numbers,MATCH($N694,Species_Names,0))&lt;&gt;1),"N/A",$R694/MAX(IF(NOT(ISNA(MATCH(Combo_Species_Names,IF(Species_Availability="Yes",IF(Species_Evo_Numbers=1,Species_Names)),0))),Combo_Duel_Ability)))</f>
        <v>N/A</v>
      </c>
      <c r="I694" s="23" t="str">
        <f t="array" ref="I694">IF(OR(INDEX(Species_Availability,MATCH($N694,Species_Names,0))="No",INDEX(Species_Evo_Numbers,MATCH($N694,Species_Names,0))&lt;&gt;1),"N/A",RANK($S694,IF(NOT(ISNA(MATCH(Combo_Species_Names,IF(Species_Availability="Yes",IF(Species_Evo_Numbers=1,Species_Names)),0))),Combo_Gym_Offense),0))</f>
        <v>N/A</v>
      </c>
      <c r="J694" s="24" t="str">
        <f t="array" ref="J694">IF(OR(INDEX(Species_Availability,MATCH($N694,Species_Names,0))="No",INDEX(Species_Evo_Numbers,MATCH($N694,Species_Names,0))&lt;&gt;1),"N/A",$S694/MAX(IF(NOT(ISNA(MATCH(Combo_Species_Names,IF(Species_Availability="Yes",IF(Species_Evo_Numbers=1,Species_Names)),0))),Combo_Gym_Offense)))</f>
        <v>N/A</v>
      </c>
      <c r="K694" s="23" t="str">
        <f t="array" ref="K694">IF(OR(INDEX(Species_Availability,MATCH($N694,Species_Names,0))="No",INDEX(Species_Evo_Numbers,MATCH($N694,Species_Names,0))&lt;&gt;1),"N/A",RANK($Y694,IF(NOT(ISNA(MATCH(Combo_Species_Names,IF(Species_Availability="Yes",IF(Species_Evo_Numbers=1,Species_Names)),0))),Combo_Gym_Defense),0))</f>
        <v>N/A</v>
      </c>
      <c r="L694" s="24" t="str">
        <f t="array" ref="L694">IF(OR(INDEX(Species_Availability,MATCH($N694,Species_Names,0))="No",INDEX(Species_Evo_Numbers,MATCH($N694,Species_Names,0))&lt;&gt;1),"N/A",$Y694/MAX(IF(NOT(ISNA(MATCH(Combo_Species_Names,IF(Species_Availability="Yes",IF(Species_Evo_Numbers=1,Species_Names)),0))),Combo_Gym_Defense)))</f>
        <v>N/A</v>
      </c>
      <c r="M694" s="28">
        <f t="array" ref="M694">INDEX(Species_Pdex_Numbers,MATCH($N694,Species_Names,0))</f>
        <v>72</v>
      </c>
      <c r="N694" s="30" t="s">
        <v>235</v>
      </c>
      <c r="O694" s="31" t="s">
        <v>101</v>
      </c>
      <c r="P694" s="31" t="s">
        <v>321</v>
      </c>
      <c r="Q694" s="17" t="e">
        <f t="shared" si="20"/>
        <v>#VALUE!</v>
      </c>
      <c r="R694" s="32" t="e">
        <f t="array" ref="R694">IF(OR(AND(COUNTBLANK(Combo_Opponent_Type_1)=1,COUNTBLANK(Combo_Opponent_Type_2)=0),AND(AND(COUNTBLANK(Combo_Opponent_Type_1)=0,COUNTBLANK(Combo_Opponent_Type_2)=0),Combo_Opponent_Type_1=Combo_Opponent_Type_2)),
"Check Types",($S694*INDEX(Species_Tankiness,MATCH($N694,Species_Names,0)))/225)</f>
        <v>#VALUE!</v>
      </c>
      <c r="S694" s="32" t="e">
        <f t="array" ref="S694">IF(OR(AND(COUNTBLANK(Combo_Opponent_Type_1)=1,COUNTBLANK(Combo_Opponent_Type_2)=0),AND(AND(COUNTBLANK(Combo_Opponent_Type_1)=0,COUNTBLANK(Combo_Opponent_Type_2)=0),Combo_Opponent_Type_1=Combo_Opponent_Type_2)),
"Check Types",(
IF($W694&gt;=((1-Game_Weave_Human_Error)*$X694),$W694,$X694)*INDEX(Species_Attack,MATCH($N694,Species_Names,0)))/11)</f>
        <v>#VALUE!</v>
      </c>
      <c r="T694" s="33" t="e">
        <f t="shared" si="21"/>
        <v>#VALUE!</v>
      </c>
      <c r="U694" s="33">
        <f t="array" ref="U6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694,Quick_Names,0))),Type_Species)),0),1)*IF(COUNTBLANK(Combo_Opponent_Type_2)=0,INDEX(Type_Damage_Multipliers,MATCH(Combo_Opponent_Type_2,IF(Type_Move=(INDEX(Quick_Type,MATCH($O694,Quick_Names,0))),Type_Species)),0),1)*(IF(OR(INDEX(Quick_Type,MATCH($O694,Quick_Names,0))=INDEX(Species_Type_1,MATCH($N694,Species_Names,0)),INDEX(Quick_Type,MATCH($O694,Quick_Names,0))=INDEX(Species_Type_2,MATCH($N694,Species_Names,0))),Game_STAB_Multiplier,1)))</f>
        <v>1.25</v>
      </c>
      <c r="V694" s="33">
        <f t="array" ref="V6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694,Charge_Names,0))),Type_Species)),0),1)*IF(COUNTBLANK(Combo_Opponent_Type_2)=0,INDEX(Type_Damage_Multipliers,MATCH(Combo_Opponent_Type_2,IF(Type_Move=(INDEX(Charge_Type,MATCH($P694,Charge_Names,0))),Type_Species)),0),1)*
IF(OR(INDEX(Charge_Type,MATCH($P694,Charge_Names,0))=INDEX(Species_Type_1,MATCH($N694,Species_Names,0)),INDEX(Charge_Type,MATCH($P694,Charge_Names,0))=INDEX(Species_Type_2,MATCH($N694,Species_Names,0))),Game_STAB_Multiplier,1))</f>
        <v>1</v>
      </c>
      <c r="W694" s="33" t="s">
        <v>738</v>
      </c>
      <c r="X694" s="33" t="s">
        <v>1051</v>
      </c>
      <c r="Y694" s="32" t="e">
        <f t="array" ref="Y694">((($Z694)*
INDEX(Species_Attack,MATCH($N694,Species_Names,0))*
INDEX(Species_Tankiness,MATCH($N694,Species_Names,0)))/1000)</f>
        <v>#VALUE!</v>
      </c>
      <c r="Z694" s="33" t="s">
        <v>1052</v>
      </c>
    </row>
    <row r="695" spans="1:26" ht="14.25" customHeight="1" x14ac:dyDescent="0.2">
      <c r="A695" s="86"/>
      <c r="B695" s="22" t="str">
        <f t="array" ref="B695">CONCATENATE(TEXT($M695,"000"),".",TEXT(INDEX(Quick_Number,MATCH($O695,Quick_Names,0)),"000"),".",TEXT(INDEX(Charge_Number,MATCH($P695,Charge_Names,0)),"000"))</f>
        <v>046.220.100</v>
      </c>
      <c r="C695" s="23" t="e">
        <f t="array" ref="C695">RANK($S695,IF(Combo_Species_Names=$N695,Combo_Gym_Offense),0)</f>
        <v>#VALUE!</v>
      </c>
      <c r="D695" s="24" t="e">
        <f t="array" ref="D695">$S695/MAX(IF(Combo_Species_Names=$N695,Combo_Gym_Offense))</f>
        <v>#VALUE!</v>
      </c>
      <c r="E695" s="23" t="e">
        <f t="array" ref="E695">RANK($Y695,IF(Combo_Species_Names=$N695,Combo_Gym_Defense),0)</f>
        <v>#VALUE!</v>
      </c>
      <c r="F695" s="25" t="e">
        <f t="array" ref="F695">$Y695/MAX(IF(Combo_Species_Names=$N695,Combo_Gym_Defense))</f>
        <v>#VALUE!</v>
      </c>
      <c r="G695" s="23" t="str">
        <f t="array" ref="G695">IF(OR(INDEX(Species_Availability,MATCH($N695,Species_Names,0))="No",INDEX(Species_Evo_Numbers,MATCH($N695,Species_Names,0))&lt;&gt;1),"N/A",RANK($R695,IF(NOT(ISNA(MATCH(Combo_Species_Names,IF(Species_Availability="Yes",IF(Species_Evo_Numbers=1,Species_Names)),0))),Combo_Duel_Ability),0))</f>
        <v>N/A</v>
      </c>
      <c r="H695" s="24" t="str">
        <f t="array" ref="H695">IF(OR(INDEX(Species_Availability,MATCH($N695,Species_Names,0))="No",INDEX(Species_Evo_Numbers,MATCH($N695,Species_Names,0))&lt;&gt;1),"N/A",$R695/MAX(IF(NOT(ISNA(MATCH(Combo_Species_Names,IF(Species_Availability="Yes",IF(Species_Evo_Numbers=1,Species_Names)),0))),Combo_Duel_Ability)))</f>
        <v>N/A</v>
      </c>
      <c r="I695" s="23" t="str">
        <f t="array" ref="I695">IF(OR(INDEX(Species_Availability,MATCH($N695,Species_Names,0))="No",INDEX(Species_Evo_Numbers,MATCH($N695,Species_Names,0))&lt;&gt;1),"N/A",RANK($S695,IF(NOT(ISNA(MATCH(Combo_Species_Names,IF(Species_Availability="Yes",IF(Species_Evo_Numbers=1,Species_Names)),0))),Combo_Gym_Offense),0))</f>
        <v>N/A</v>
      </c>
      <c r="J695" s="24" t="str">
        <f t="array" ref="J695">IF(OR(INDEX(Species_Availability,MATCH($N695,Species_Names,0))="No",INDEX(Species_Evo_Numbers,MATCH($N695,Species_Names,0))&lt;&gt;1),"N/A",$S695/MAX(IF(NOT(ISNA(MATCH(Combo_Species_Names,IF(Species_Availability="Yes",IF(Species_Evo_Numbers=1,Species_Names)),0))),Combo_Gym_Offense)))</f>
        <v>N/A</v>
      </c>
      <c r="K695" s="23" t="str">
        <f t="array" ref="K695">IF(OR(INDEX(Species_Availability,MATCH($N695,Species_Names,0))="No",INDEX(Species_Evo_Numbers,MATCH($N695,Species_Names,0))&lt;&gt;1),"N/A",RANK($Y695,IF(NOT(ISNA(MATCH(Combo_Species_Names,IF(Species_Availability="Yes",IF(Species_Evo_Numbers=1,Species_Names)),0))),Combo_Gym_Defense),0))</f>
        <v>N/A</v>
      </c>
      <c r="L695" s="24" t="str">
        <f t="array" ref="L695">IF(OR(INDEX(Species_Availability,MATCH($N695,Species_Names,0))="No",INDEX(Species_Evo_Numbers,MATCH($N695,Species_Names,0))&lt;&gt;1),"N/A",$Y695/MAX(IF(NOT(ISNA(MATCH(Combo_Species_Names,IF(Species_Availability="Yes",IF(Species_Evo_Numbers=1,Species_Names)),0))),Combo_Gym_Defense)))</f>
        <v>N/A</v>
      </c>
      <c r="M695" s="28">
        <f t="array" ref="M695">INDEX(Species_Pdex_Numbers,MATCH($N695,Species_Names,0))</f>
        <v>46</v>
      </c>
      <c r="N695" s="30" t="s">
        <v>182</v>
      </c>
      <c r="O695" s="31" t="s">
        <v>64</v>
      </c>
      <c r="P695" s="31" t="s">
        <v>218</v>
      </c>
      <c r="Q695" s="17" t="e">
        <f t="shared" si="20"/>
        <v>#VALUE!</v>
      </c>
      <c r="R695" s="32" t="e">
        <f t="array" ref="R695">IF(OR(AND(COUNTBLANK(Combo_Opponent_Type_1)=1,COUNTBLANK(Combo_Opponent_Type_2)=0),AND(AND(COUNTBLANK(Combo_Opponent_Type_1)=0,COUNTBLANK(Combo_Opponent_Type_2)=0),Combo_Opponent_Type_1=Combo_Opponent_Type_2)),
"Check Types",($S695*INDEX(Species_Tankiness,MATCH($N695,Species_Names,0)))/225)</f>
        <v>#VALUE!</v>
      </c>
      <c r="S695" s="32" t="e">
        <f t="array" ref="S695">IF(OR(AND(COUNTBLANK(Combo_Opponent_Type_1)=1,COUNTBLANK(Combo_Opponent_Type_2)=0),AND(AND(COUNTBLANK(Combo_Opponent_Type_1)=0,COUNTBLANK(Combo_Opponent_Type_2)=0),Combo_Opponent_Type_1=Combo_Opponent_Type_2)),
"Check Types",(
IF($W695&gt;=((1-Game_Weave_Human_Error)*$X695),$W695,$X695)*INDEX(Species_Attack,MATCH($N695,Species_Names,0)))/11)</f>
        <v>#VALUE!</v>
      </c>
      <c r="T695" s="33" t="e">
        <f t="shared" si="21"/>
        <v>#VALUE!</v>
      </c>
      <c r="U695" s="33">
        <f t="array" ref="U6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695,Quick_Names,0))),Type_Species)),0),1)*IF(COUNTBLANK(Combo_Opponent_Type_2)=0,INDEX(Type_Damage_Multipliers,MATCH(Combo_Opponent_Type_2,IF(Type_Move=(INDEX(Quick_Type,MATCH($O695,Quick_Names,0))),Type_Species)),0),1)*(IF(OR(INDEX(Quick_Type,MATCH($O695,Quick_Names,0))=INDEX(Species_Type_1,MATCH($N695,Species_Names,0)),INDEX(Quick_Type,MATCH($O695,Quick_Names,0))=INDEX(Species_Type_2,MATCH($N695,Species_Names,0))),Game_STAB_Multiplier,1)))</f>
        <v>1</v>
      </c>
      <c r="V695" s="33">
        <f t="array" ref="V6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695,Charge_Names,0))),Type_Species)),0),1)*IF(COUNTBLANK(Combo_Opponent_Type_2)=0,INDEX(Type_Damage_Multipliers,MATCH(Combo_Opponent_Type_2,IF(Type_Move=(INDEX(Charge_Type,MATCH($P695,Charge_Names,0))),Type_Species)),0),1)*
IF(OR(INDEX(Charge_Type,MATCH($P695,Charge_Names,0))=INDEX(Species_Type_1,MATCH($N695,Species_Names,0)),INDEX(Charge_Type,MATCH($P695,Charge_Names,0))=INDEX(Species_Type_2,MATCH($N695,Species_Names,0))),Game_STAB_Multiplier,1))</f>
        <v>1.25</v>
      </c>
      <c r="W695" s="33" t="s">
        <v>453</v>
      </c>
      <c r="X695" s="33" t="s">
        <v>824</v>
      </c>
      <c r="Y695" s="32" t="e">
        <f t="array" ref="Y695">((($Z695)*
INDEX(Species_Attack,MATCH($N695,Species_Names,0))*
INDEX(Species_Tankiness,MATCH($N695,Species_Names,0)))/1000)</f>
        <v>#VALUE!</v>
      </c>
      <c r="Z695" s="33" t="s">
        <v>867</v>
      </c>
    </row>
    <row r="696" spans="1:26" ht="14.25" customHeight="1" x14ac:dyDescent="0.2">
      <c r="A696" s="86"/>
      <c r="B696" s="22" t="str">
        <f t="array" ref="B696">CONCATENATE(TEXT($M696,"000"),".",TEXT(INDEX(Quick_Number,MATCH($O696,Quick_Names,0)),"000"),".",TEXT(INDEX(Charge_Number,MATCH($P696,Charge_Names,0)),"000"))</f>
        <v>100.221.079</v>
      </c>
      <c r="C696" s="23" t="e">
        <f t="array" ref="C696">RANK($S696,IF(Combo_Species_Names=$N696,Combo_Gym_Offense),0)</f>
        <v>#VALUE!</v>
      </c>
      <c r="D696" s="24" t="e">
        <f t="array" ref="D696">$S696/MAX(IF(Combo_Species_Names=$N696,Combo_Gym_Offense))</f>
        <v>#VALUE!</v>
      </c>
      <c r="E696" s="23" t="e">
        <f t="array" ref="E696">RANK($Y696,IF(Combo_Species_Names=$N696,Combo_Gym_Defense),0)</f>
        <v>#VALUE!</v>
      </c>
      <c r="F696" s="25" t="e">
        <f t="array" ref="F696">$Y696/MAX(IF(Combo_Species_Names=$N696,Combo_Gym_Defense))</f>
        <v>#VALUE!</v>
      </c>
      <c r="G696" s="23" t="str">
        <f t="array" ref="G696">IF(OR(INDEX(Species_Availability,MATCH($N696,Species_Names,0))="No",INDEX(Species_Evo_Numbers,MATCH($N696,Species_Names,0))&lt;&gt;1),"N/A",RANK($R696,IF(NOT(ISNA(MATCH(Combo_Species_Names,IF(Species_Availability="Yes",IF(Species_Evo_Numbers=1,Species_Names)),0))),Combo_Duel_Ability),0))</f>
        <v>N/A</v>
      </c>
      <c r="H696" s="24" t="str">
        <f t="array" ref="H696">IF(OR(INDEX(Species_Availability,MATCH($N696,Species_Names,0))="No",INDEX(Species_Evo_Numbers,MATCH($N696,Species_Names,0))&lt;&gt;1),"N/A",$R696/MAX(IF(NOT(ISNA(MATCH(Combo_Species_Names,IF(Species_Availability="Yes",IF(Species_Evo_Numbers=1,Species_Names)),0))),Combo_Duel_Ability)))</f>
        <v>N/A</v>
      </c>
      <c r="I696" s="23" t="str">
        <f t="array" ref="I696">IF(OR(INDEX(Species_Availability,MATCH($N696,Species_Names,0))="No",INDEX(Species_Evo_Numbers,MATCH($N696,Species_Names,0))&lt;&gt;1),"N/A",RANK($S696,IF(NOT(ISNA(MATCH(Combo_Species_Names,IF(Species_Availability="Yes",IF(Species_Evo_Numbers=1,Species_Names)),0))),Combo_Gym_Offense),0))</f>
        <v>N/A</v>
      </c>
      <c r="J696" s="24" t="str">
        <f t="array" ref="J696">IF(OR(INDEX(Species_Availability,MATCH($N696,Species_Names,0))="No",INDEX(Species_Evo_Numbers,MATCH($N696,Species_Names,0))&lt;&gt;1),"N/A",$S696/MAX(IF(NOT(ISNA(MATCH(Combo_Species_Names,IF(Species_Availability="Yes",IF(Species_Evo_Numbers=1,Species_Names)),0))),Combo_Gym_Offense)))</f>
        <v>N/A</v>
      </c>
      <c r="K696" s="23" t="str">
        <f t="array" ref="K696">IF(OR(INDEX(Species_Availability,MATCH($N696,Species_Names,0))="No",INDEX(Species_Evo_Numbers,MATCH($N696,Species_Names,0))&lt;&gt;1),"N/A",RANK($Y696,IF(NOT(ISNA(MATCH(Combo_Species_Names,IF(Species_Availability="Yes",IF(Species_Evo_Numbers=1,Species_Names)),0))),Combo_Gym_Defense),0))</f>
        <v>N/A</v>
      </c>
      <c r="L696" s="24" t="str">
        <f t="array" ref="L696">IF(OR(INDEX(Species_Availability,MATCH($N696,Species_Names,0))="No",INDEX(Species_Evo_Numbers,MATCH($N696,Species_Names,0))&lt;&gt;1),"N/A",$Y696/MAX(IF(NOT(ISNA(MATCH(Combo_Species_Names,IF(Species_Availability="Yes",IF(Species_Evo_Numbers=1,Species_Names)),0))),Combo_Gym_Defense)))</f>
        <v>N/A</v>
      </c>
      <c r="M696" s="28">
        <f t="array" ref="M696">INDEX(Species_Pdex_Numbers,MATCH($N696,Species_Names,0))</f>
        <v>100</v>
      </c>
      <c r="N696" s="30" t="s">
        <v>301</v>
      </c>
      <c r="O696" s="31" t="s">
        <v>91</v>
      </c>
      <c r="P696" s="31" t="s">
        <v>190</v>
      </c>
      <c r="Q696" s="17" t="e">
        <f t="shared" si="20"/>
        <v>#VALUE!</v>
      </c>
      <c r="R696" s="32" t="e">
        <f t="array" ref="R696">IF(OR(AND(COUNTBLANK(Combo_Opponent_Type_1)=1,COUNTBLANK(Combo_Opponent_Type_2)=0),AND(AND(COUNTBLANK(Combo_Opponent_Type_1)=0,COUNTBLANK(Combo_Opponent_Type_2)=0),Combo_Opponent_Type_1=Combo_Opponent_Type_2)),
"Check Types",($S696*INDEX(Species_Tankiness,MATCH($N696,Species_Names,0)))/225)</f>
        <v>#VALUE!</v>
      </c>
      <c r="S696" s="32" t="e">
        <f t="array" ref="S696">IF(OR(AND(COUNTBLANK(Combo_Opponent_Type_1)=1,COUNTBLANK(Combo_Opponent_Type_2)=0),AND(AND(COUNTBLANK(Combo_Opponent_Type_1)=0,COUNTBLANK(Combo_Opponent_Type_2)=0),Combo_Opponent_Type_1=Combo_Opponent_Type_2)),
"Check Types",(
IF($W696&gt;=((1-Game_Weave_Human_Error)*$X696),$W696,$X696)*INDEX(Species_Attack,MATCH($N696,Species_Names,0)))/11)</f>
        <v>#VALUE!</v>
      </c>
      <c r="T696" s="33" t="e">
        <f t="shared" si="21"/>
        <v>#VALUE!</v>
      </c>
      <c r="U696" s="33">
        <f t="array" ref="U6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696,Quick_Names,0))),Type_Species)),0),1)*IF(COUNTBLANK(Combo_Opponent_Type_2)=0,INDEX(Type_Damage_Multipliers,MATCH(Combo_Opponent_Type_2,IF(Type_Move=(INDEX(Quick_Type,MATCH($O696,Quick_Names,0))),Type_Species)),0),1)*(IF(OR(INDEX(Quick_Type,MATCH($O696,Quick_Names,0))=INDEX(Species_Type_1,MATCH($N696,Species_Names,0)),INDEX(Quick_Type,MATCH($O696,Quick_Names,0))=INDEX(Species_Type_2,MATCH($N696,Species_Names,0))),Game_STAB_Multiplier,1)))</f>
        <v>1</v>
      </c>
      <c r="V696" s="33">
        <f t="array" ref="V6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696,Charge_Names,0))),Type_Species)),0),1)*IF(COUNTBLANK(Combo_Opponent_Type_2)=0,INDEX(Type_Damage_Multipliers,MATCH(Combo_Opponent_Type_2,IF(Type_Move=(INDEX(Charge_Type,MATCH($P696,Charge_Names,0))),Type_Species)),0),1)*
IF(OR(INDEX(Charge_Type,MATCH($P696,Charge_Names,0))=INDEX(Species_Type_1,MATCH($N696,Species_Names,0)),INDEX(Charge_Type,MATCH($P696,Charge_Names,0))=INDEX(Species_Type_2,MATCH($N696,Species_Names,0))),Game_STAB_Multiplier,1))</f>
        <v>1.25</v>
      </c>
      <c r="W696" s="33" t="s">
        <v>658</v>
      </c>
      <c r="X696" s="33" t="s">
        <v>821</v>
      </c>
      <c r="Y696" s="32" t="e">
        <f t="array" ref="Y696">((($Z696)*
INDEX(Species_Attack,MATCH($N696,Species_Names,0))*
INDEX(Species_Tankiness,MATCH($N696,Species_Names,0)))/1000)</f>
        <v>#VALUE!</v>
      </c>
      <c r="Z696" s="33" t="s">
        <v>643</v>
      </c>
    </row>
    <row r="697" spans="1:26" ht="14.25" customHeight="1" x14ac:dyDescent="0.2">
      <c r="A697" s="86"/>
      <c r="B697" s="22" t="str">
        <f t="array" ref="B697">CONCATENATE(TEXT($M697,"000"),".",TEXT(INDEX(Quick_Number,MATCH($O697,Quick_Names,0)),"000"),".",TEXT(INDEX(Charge_Number,MATCH($P697,Charge_Names,0)),"000"))</f>
        <v>025.205.078</v>
      </c>
      <c r="C697" s="23" t="e">
        <f t="array" ref="C697">RANK($S697,IF(Combo_Species_Names=$N697,Combo_Gym_Offense),0)</f>
        <v>#VALUE!</v>
      </c>
      <c r="D697" s="24" t="e">
        <f t="array" ref="D697">$S697/MAX(IF(Combo_Species_Names=$N697,Combo_Gym_Offense))</f>
        <v>#VALUE!</v>
      </c>
      <c r="E697" s="23" t="e">
        <f t="array" ref="E697">RANK($Y697,IF(Combo_Species_Names=$N697,Combo_Gym_Defense),0)</f>
        <v>#VALUE!</v>
      </c>
      <c r="F697" s="25" t="e">
        <f t="array" ref="F697">$Y697/MAX(IF(Combo_Species_Names=$N697,Combo_Gym_Defense))</f>
        <v>#VALUE!</v>
      </c>
      <c r="G697" s="23" t="str">
        <f t="array" ref="G697">IF(OR(INDEX(Species_Availability,MATCH($N697,Species_Names,0))="No",INDEX(Species_Evo_Numbers,MATCH($N697,Species_Names,0))&lt;&gt;1),"N/A",RANK($R697,IF(NOT(ISNA(MATCH(Combo_Species_Names,IF(Species_Availability="Yes",IF(Species_Evo_Numbers=1,Species_Names)),0))),Combo_Duel_Ability),0))</f>
        <v>N/A</v>
      </c>
      <c r="H697" s="24" t="str">
        <f t="array" ref="H697">IF(OR(INDEX(Species_Availability,MATCH($N697,Species_Names,0))="No",INDEX(Species_Evo_Numbers,MATCH($N697,Species_Names,0))&lt;&gt;1),"N/A",$R697/MAX(IF(NOT(ISNA(MATCH(Combo_Species_Names,IF(Species_Availability="Yes",IF(Species_Evo_Numbers=1,Species_Names)),0))),Combo_Duel_Ability)))</f>
        <v>N/A</v>
      </c>
      <c r="I697" s="23" t="str">
        <f t="array" ref="I697">IF(OR(INDEX(Species_Availability,MATCH($N697,Species_Names,0))="No",INDEX(Species_Evo_Numbers,MATCH($N697,Species_Names,0))&lt;&gt;1),"N/A",RANK($S697,IF(NOT(ISNA(MATCH(Combo_Species_Names,IF(Species_Availability="Yes",IF(Species_Evo_Numbers=1,Species_Names)),0))),Combo_Gym_Offense),0))</f>
        <v>N/A</v>
      </c>
      <c r="J697" s="24" t="str">
        <f t="array" ref="J697">IF(OR(INDEX(Species_Availability,MATCH($N697,Species_Names,0))="No",INDEX(Species_Evo_Numbers,MATCH($N697,Species_Names,0))&lt;&gt;1),"N/A",$S697/MAX(IF(NOT(ISNA(MATCH(Combo_Species_Names,IF(Species_Availability="Yes",IF(Species_Evo_Numbers=1,Species_Names)),0))),Combo_Gym_Offense)))</f>
        <v>N/A</v>
      </c>
      <c r="K697" s="23" t="str">
        <f t="array" ref="K697">IF(OR(INDEX(Species_Availability,MATCH($N697,Species_Names,0))="No",INDEX(Species_Evo_Numbers,MATCH($N697,Species_Names,0))&lt;&gt;1),"N/A",RANK($Y697,IF(NOT(ISNA(MATCH(Combo_Species_Names,IF(Species_Availability="Yes",IF(Species_Evo_Numbers=1,Species_Names)),0))),Combo_Gym_Defense),0))</f>
        <v>N/A</v>
      </c>
      <c r="L697" s="24" t="str">
        <f t="array" ref="L697">IF(OR(INDEX(Species_Availability,MATCH($N697,Species_Names,0))="No",INDEX(Species_Evo_Numbers,MATCH($N697,Species_Names,0))&lt;&gt;1),"N/A",$Y697/MAX(IF(NOT(ISNA(MATCH(Combo_Species_Names,IF(Species_Availability="Yes",IF(Species_Evo_Numbers=1,Species_Names)),0))),Combo_Gym_Defense)))</f>
        <v>N/A</v>
      </c>
      <c r="M697" s="28">
        <f t="array" ref="M697">INDEX(Species_Pdex_Numbers,MATCH($N697,Species_Names,0))</f>
        <v>25</v>
      </c>
      <c r="N697" s="30" t="s">
        <v>135</v>
      </c>
      <c r="O697" s="31" t="s">
        <v>115</v>
      </c>
      <c r="P697" s="31" t="s">
        <v>174</v>
      </c>
      <c r="Q697" s="17" t="e">
        <f t="shared" si="20"/>
        <v>#VALUE!</v>
      </c>
      <c r="R697" s="32" t="e">
        <f t="array" ref="R697">IF(OR(AND(COUNTBLANK(Combo_Opponent_Type_1)=1,COUNTBLANK(Combo_Opponent_Type_2)=0),AND(AND(COUNTBLANK(Combo_Opponent_Type_1)=0,COUNTBLANK(Combo_Opponent_Type_2)=0),Combo_Opponent_Type_1=Combo_Opponent_Type_2)),
"Check Types",($S697*INDEX(Species_Tankiness,MATCH($N697,Species_Names,0)))/225)</f>
        <v>#VALUE!</v>
      </c>
      <c r="S697" s="32" t="e">
        <f t="array" ref="S697">IF(OR(AND(COUNTBLANK(Combo_Opponent_Type_1)=1,COUNTBLANK(Combo_Opponent_Type_2)=0),AND(AND(COUNTBLANK(Combo_Opponent_Type_1)=0,COUNTBLANK(Combo_Opponent_Type_2)=0),Combo_Opponent_Type_1=Combo_Opponent_Type_2)),
"Check Types",(
IF($W697&gt;=((1-Game_Weave_Human_Error)*$X697),$W697,$X697)*INDEX(Species_Attack,MATCH($N697,Species_Names,0)))/11)</f>
        <v>#VALUE!</v>
      </c>
      <c r="T697" s="33" t="e">
        <f t="shared" si="21"/>
        <v>#VALUE!</v>
      </c>
      <c r="U697" s="33">
        <f t="array" ref="U6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697,Quick_Names,0))),Type_Species)),0),1)*IF(COUNTBLANK(Combo_Opponent_Type_2)=0,INDEX(Type_Damage_Multipliers,MATCH(Combo_Opponent_Type_2,IF(Type_Move=(INDEX(Quick_Type,MATCH($O697,Quick_Names,0))),Type_Species)),0),1)*(IF(OR(INDEX(Quick_Type,MATCH($O697,Quick_Names,0))=INDEX(Species_Type_1,MATCH($N697,Species_Names,0)),INDEX(Quick_Type,MATCH($O697,Quick_Names,0))=INDEX(Species_Type_2,MATCH($N697,Species_Names,0))),Game_STAB_Multiplier,1)))</f>
        <v>1.25</v>
      </c>
      <c r="V697" s="33">
        <f t="array" ref="V6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697,Charge_Names,0))),Type_Species)),0),1)*IF(COUNTBLANK(Combo_Opponent_Type_2)=0,INDEX(Type_Damage_Multipliers,MATCH(Combo_Opponent_Type_2,IF(Type_Move=(INDEX(Charge_Type,MATCH($P697,Charge_Names,0))),Type_Species)),0),1)*
IF(OR(INDEX(Charge_Type,MATCH($P697,Charge_Names,0))=INDEX(Species_Type_1,MATCH($N697,Species_Names,0)),INDEX(Charge_Type,MATCH($P697,Charge_Names,0))=INDEX(Species_Type_2,MATCH($N697,Species_Names,0))),Game_STAB_Multiplier,1))</f>
        <v>1.25</v>
      </c>
      <c r="W697" s="33" t="s">
        <v>678</v>
      </c>
      <c r="X697" s="33" t="s">
        <v>679</v>
      </c>
      <c r="Y697" s="32" t="e">
        <f t="array" ref="Y697">((($Z697)*
INDEX(Species_Attack,MATCH($N697,Species_Names,0))*
INDEX(Species_Tankiness,MATCH($N697,Species_Names,0)))/1000)</f>
        <v>#VALUE!</v>
      </c>
      <c r="Z697" s="33" t="s">
        <v>680</v>
      </c>
    </row>
    <row r="698" spans="1:26" ht="14.25" customHeight="1" x14ac:dyDescent="0.2">
      <c r="A698" s="86"/>
      <c r="B698" s="22" t="str">
        <f t="array" ref="B698">CONCATENATE(TEXT($M698,"000"),".",TEXT(INDEX(Quick_Number,MATCH($O698,Quick_Names,0)),"000"),".",TEXT(INDEX(Charge_Number,MATCH($P698,Charge_Names,0)),"000"))</f>
        <v>029.236.050</v>
      </c>
      <c r="C698" s="23" t="e">
        <f t="array" ref="C698">RANK($S698,IF(Combo_Species_Names=$N698,Combo_Gym_Offense),0)</f>
        <v>#VALUE!</v>
      </c>
      <c r="D698" s="24" t="e">
        <f t="array" ref="D698">$S698/MAX(IF(Combo_Species_Names=$N698,Combo_Gym_Offense))</f>
        <v>#VALUE!</v>
      </c>
      <c r="E698" s="23" t="e">
        <f t="array" ref="E698">RANK($Y698,IF(Combo_Species_Names=$N698,Combo_Gym_Defense),0)</f>
        <v>#VALUE!</v>
      </c>
      <c r="F698" s="25" t="e">
        <f t="array" ref="F698">$Y698/MAX(IF(Combo_Species_Names=$N698,Combo_Gym_Defense))</f>
        <v>#VALUE!</v>
      </c>
      <c r="G698" s="23" t="str">
        <f t="array" ref="G698">IF(OR(INDEX(Species_Availability,MATCH($N698,Species_Names,0))="No",INDEX(Species_Evo_Numbers,MATCH($N698,Species_Names,0))&lt;&gt;1),"N/A",RANK($R698,IF(NOT(ISNA(MATCH(Combo_Species_Names,IF(Species_Availability="Yes",IF(Species_Evo_Numbers=1,Species_Names)),0))),Combo_Duel_Ability),0))</f>
        <v>N/A</v>
      </c>
      <c r="H698" s="24" t="str">
        <f t="array" ref="H698">IF(OR(INDEX(Species_Availability,MATCH($N698,Species_Names,0))="No",INDEX(Species_Evo_Numbers,MATCH($N698,Species_Names,0))&lt;&gt;1),"N/A",$R698/MAX(IF(NOT(ISNA(MATCH(Combo_Species_Names,IF(Species_Availability="Yes",IF(Species_Evo_Numbers=1,Species_Names)),0))),Combo_Duel_Ability)))</f>
        <v>N/A</v>
      </c>
      <c r="I698" s="23" t="str">
        <f t="array" ref="I698">IF(OR(INDEX(Species_Availability,MATCH($N698,Species_Names,0))="No",INDEX(Species_Evo_Numbers,MATCH($N698,Species_Names,0))&lt;&gt;1),"N/A",RANK($S698,IF(NOT(ISNA(MATCH(Combo_Species_Names,IF(Species_Availability="Yes",IF(Species_Evo_Numbers=1,Species_Names)),0))),Combo_Gym_Offense),0))</f>
        <v>N/A</v>
      </c>
      <c r="J698" s="24" t="str">
        <f t="array" ref="J698">IF(OR(INDEX(Species_Availability,MATCH($N698,Species_Names,0))="No",INDEX(Species_Evo_Numbers,MATCH($N698,Species_Names,0))&lt;&gt;1),"N/A",$S698/MAX(IF(NOT(ISNA(MATCH(Combo_Species_Names,IF(Species_Availability="Yes",IF(Species_Evo_Numbers=1,Species_Names)),0))),Combo_Gym_Offense)))</f>
        <v>N/A</v>
      </c>
      <c r="K698" s="23" t="str">
        <f t="array" ref="K698">IF(OR(INDEX(Species_Availability,MATCH($N698,Species_Names,0))="No",INDEX(Species_Evo_Numbers,MATCH($N698,Species_Names,0))&lt;&gt;1),"N/A",RANK($Y698,IF(NOT(ISNA(MATCH(Combo_Species_Names,IF(Species_Availability="Yes",IF(Species_Evo_Numbers=1,Species_Names)),0))),Combo_Gym_Defense),0))</f>
        <v>N/A</v>
      </c>
      <c r="L698" s="24" t="str">
        <f t="array" ref="L698">IF(OR(INDEX(Species_Availability,MATCH($N698,Species_Names,0))="No",INDEX(Species_Evo_Numbers,MATCH($N698,Species_Names,0))&lt;&gt;1),"N/A",$Y698/MAX(IF(NOT(ISNA(MATCH(Combo_Species_Names,IF(Species_Availability="Yes",IF(Species_Evo_Numbers=1,Species_Names)),0))),Combo_Gym_Defense)))</f>
        <v>N/A</v>
      </c>
      <c r="M698" s="28">
        <f t="array" ref="M698">INDEX(Species_Pdex_Numbers,MATCH($N698,Species_Names,0))</f>
        <v>29</v>
      </c>
      <c r="N698" s="30" t="s">
        <v>148</v>
      </c>
      <c r="O698" s="31" t="s">
        <v>101</v>
      </c>
      <c r="P698" s="31" t="s">
        <v>285</v>
      </c>
      <c r="Q698" s="17" t="e">
        <f t="shared" si="20"/>
        <v>#VALUE!</v>
      </c>
      <c r="R698" s="32" t="e">
        <f t="array" ref="R698">IF(OR(AND(COUNTBLANK(Combo_Opponent_Type_1)=1,COUNTBLANK(Combo_Opponent_Type_2)=0),AND(AND(COUNTBLANK(Combo_Opponent_Type_1)=0,COUNTBLANK(Combo_Opponent_Type_2)=0),Combo_Opponent_Type_1=Combo_Opponent_Type_2)),
"Check Types",($S698*INDEX(Species_Tankiness,MATCH($N698,Species_Names,0)))/225)</f>
        <v>#VALUE!</v>
      </c>
      <c r="S698" s="32" t="e">
        <f t="array" ref="S698">IF(OR(AND(COUNTBLANK(Combo_Opponent_Type_1)=1,COUNTBLANK(Combo_Opponent_Type_2)=0),AND(AND(COUNTBLANK(Combo_Opponent_Type_1)=0,COUNTBLANK(Combo_Opponent_Type_2)=0),Combo_Opponent_Type_1=Combo_Opponent_Type_2)),
"Check Types",(
IF($W698&gt;=((1-Game_Weave_Human_Error)*$X698),$W698,$X698)*INDEX(Species_Attack,MATCH($N698,Species_Names,0)))/11)</f>
        <v>#VALUE!</v>
      </c>
      <c r="T698" s="33" t="e">
        <f t="shared" si="21"/>
        <v>#VALUE!</v>
      </c>
      <c r="U698" s="33">
        <f t="array" ref="U6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698,Quick_Names,0))),Type_Species)),0),1)*IF(COUNTBLANK(Combo_Opponent_Type_2)=0,INDEX(Type_Damage_Multipliers,MATCH(Combo_Opponent_Type_2,IF(Type_Move=(INDEX(Quick_Type,MATCH($O698,Quick_Names,0))),Type_Species)),0),1)*(IF(OR(INDEX(Quick_Type,MATCH($O698,Quick_Names,0))=INDEX(Species_Type_1,MATCH($N698,Species_Names,0)),INDEX(Quick_Type,MATCH($O698,Quick_Names,0))=INDEX(Species_Type_2,MATCH($N698,Species_Names,0))),Game_STAB_Multiplier,1)))</f>
        <v>1.25</v>
      </c>
      <c r="V698" s="33">
        <f t="array" ref="V6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698,Charge_Names,0))),Type_Species)),0),1)*IF(COUNTBLANK(Combo_Opponent_Type_2)=0,INDEX(Type_Damage_Multipliers,MATCH(Combo_Opponent_Type_2,IF(Type_Move=(INDEX(Charge_Type,MATCH($P698,Charge_Names,0))),Type_Species)),0),1)*
IF(OR(INDEX(Charge_Type,MATCH($P698,Charge_Names,0))=INDEX(Species_Type_1,MATCH($N698,Species_Names,0)),INDEX(Charge_Type,MATCH($P698,Charge_Names,0))=INDEX(Species_Type_2,MATCH($N698,Species_Names,0))),Game_STAB_Multiplier,1))</f>
        <v>1.25</v>
      </c>
      <c r="W698" s="33" t="s">
        <v>738</v>
      </c>
      <c r="X698" s="33" t="s">
        <v>966</v>
      </c>
      <c r="Y698" s="32" t="e">
        <f t="array" ref="Y698">((($Z698)*
INDEX(Species_Attack,MATCH($N698,Species_Names,0))*
INDEX(Species_Tankiness,MATCH($N698,Species_Names,0)))/1000)</f>
        <v>#VALUE!</v>
      </c>
      <c r="Z698" s="33" t="s">
        <v>914</v>
      </c>
    </row>
    <row r="699" spans="1:26" ht="14.25" customHeight="1" x14ac:dyDescent="0.2">
      <c r="A699" s="86"/>
      <c r="B699" s="22" t="str">
        <f t="array" ref="B699">CONCATENATE(TEXT($M699,"000"),".",TEXT(INDEX(Quick_Number,MATCH($O699,Quick_Names,0)),"000"),".",TEXT(INDEX(Charge_Number,MATCH($P699,Charge_Names,0)),"000"))</f>
        <v>069.225.013</v>
      </c>
      <c r="C699" s="23" t="e">
        <f t="array" ref="C699">RANK($S699,IF(Combo_Species_Names=$N699,Combo_Gym_Offense),0)</f>
        <v>#VALUE!</v>
      </c>
      <c r="D699" s="24" t="e">
        <f t="array" ref="D699">$S699/MAX(IF(Combo_Species_Names=$N699,Combo_Gym_Offense))</f>
        <v>#VALUE!</v>
      </c>
      <c r="E699" s="23" t="e">
        <f t="array" ref="E699">RANK($Y699,IF(Combo_Species_Names=$N699,Combo_Gym_Defense),0)</f>
        <v>#VALUE!</v>
      </c>
      <c r="F699" s="25" t="e">
        <f t="array" ref="F699">$Y699/MAX(IF(Combo_Species_Names=$N699,Combo_Gym_Defense))</f>
        <v>#VALUE!</v>
      </c>
      <c r="G699" s="23" t="str">
        <f t="array" ref="G699">IF(OR(INDEX(Species_Availability,MATCH($N699,Species_Names,0))="No",INDEX(Species_Evo_Numbers,MATCH($N699,Species_Names,0))&lt;&gt;1),"N/A",RANK($R699,IF(NOT(ISNA(MATCH(Combo_Species_Names,IF(Species_Availability="Yes",IF(Species_Evo_Numbers=1,Species_Names)),0))),Combo_Duel_Ability),0))</f>
        <v>N/A</v>
      </c>
      <c r="H699" s="24" t="str">
        <f t="array" ref="H699">IF(OR(INDEX(Species_Availability,MATCH($N699,Species_Names,0))="No",INDEX(Species_Evo_Numbers,MATCH($N699,Species_Names,0))&lt;&gt;1),"N/A",$R699/MAX(IF(NOT(ISNA(MATCH(Combo_Species_Names,IF(Species_Availability="Yes",IF(Species_Evo_Numbers=1,Species_Names)),0))),Combo_Duel_Ability)))</f>
        <v>N/A</v>
      </c>
      <c r="I699" s="23" t="str">
        <f t="array" ref="I699">IF(OR(INDEX(Species_Availability,MATCH($N699,Species_Names,0))="No",INDEX(Species_Evo_Numbers,MATCH($N699,Species_Names,0))&lt;&gt;1),"N/A",RANK($S699,IF(NOT(ISNA(MATCH(Combo_Species_Names,IF(Species_Availability="Yes",IF(Species_Evo_Numbers=1,Species_Names)),0))),Combo_Gym_Offense),0))</f>
        <v>N/A</v>
      </c>
      <c r="J699" s="24" t="str">
        <f t="array" ref="J699">IF(OR(INDEX(Species_Availability,MATCH($N699,Species_Names,0))="No",INDEX(Species_Evo_Numbers,MATCH($N699,Species_Names,0))&lt;&gt;1),"N/A",$S699/MAX(IF(NOT(ISNA(MATCH(Combo_Species_Names,IF(Species_Availability="Yes",IF(Species_Evo_Numbers=1,Species_Names)),0))),Combo_Gym_Offense)))</f>
        <v>N/A</v>
      </c>
      <c r="K699" s="23" t="str">
        <f t="array" ref="K699">IF(OR(INDEX(Species_Availability,MATCH($N699,Species_Names,0))="No",INDEX(Species_Evo_Numbers,MATCH($N699,Species_Names,0))&lt;&gt;1),"N/A",RANK($Y699,IF(NOT(ISNA(MATCH(Combo_Species_Names,IF(Species_Availability="Yes",IF(Species_Evo_Numbers=1,Species_Names)),0))),Combo_Gym_Defense),0))</f>
        <v>N/A</v>
      </c>
      <c r="L699" s="24" t="str">
        <f t="array" ref="L699">IF(OR(INDEX(Species_Availability,MATCH($N699,Species_Names,0))="No",INDEX(Species_Evo_Numbers,MATCH($N699,Species_Names,0))&lt;&gt;1),"N/A",$Y699/MAX(IF(NOT(ISNA(MATCH(Combo_Species_Names,IF(Species_Availability="Yes",IF(Species_Evo_Numbers=1,Species_Names)),0))),Combo_Gym_Defense)))</f>
        <v>N/A</v>
      </c>
      <c r="M699" s="28">
        <f t="array" ref="M699">INDEX(Species_Pdex_Numbers,MATCH($N699,Species_Names,0))</f>
        <v>69</v>
      </c>
      <c r="N699" s="30" t="s">
        <v>229</v>
      </c>
      <c r="O699" s="31" t="s">
        <v>110</v>
      </c>
      <c r="P699" s="31" t="s">
        <v>321</v>
      </c>
      <c r="Q699" s="17" t="e">
        <f t="shared" si="20"/>
        <v>#VALUE!</v>
      </c>
      <c r="R699" s="32" t="e">
        <f t="array" ref="R699">IF(OR(AND(COUNTBLANK(Combo_Opponent_Type_1)=1,COUNTBLANK(Combo_Opponent_Type_2)=0),AND(AND(COUNTBLANK(Combo_Opponent_Type_1)=0,COUNTBLANK(Combo_Opponent_Type_2)=0),Combo_Opponent_Type_1=Combo_Opponent_Type_2)),
"Check Types",($S699*INDEX(Species_Tankiness,MATCH($N699,Species_Names,0)))/225)</f>
        <v>#VALUE!</v>
      </c>
      <c r="S699" s="32" t="e">
        <f t="array" ref="S699">IF(OR(AND(COUNTBLANK(Combo_Opponent_Type_1)=1,COUNTBLANK(Combo_Opponent_Type_2)=0),AND(AND(COUNTBLANK(Combo_Opponent_Type_1)=0,COUNTBLANK(Combo_Opponent_Type_2)=0),Combo_Opponent_Type_1=Combo_Opponent_Type_2)),
"Check Types",(
IF($W699&gt;=((1-Game_Weave_Human_Error)*$X699),$W699,$X699)*INDEX(Species_Attack,MATCH($N699,Species_Names,0)))/11)</f>
        <v>#VALUE!</v>
      </c>
      <c r="T699" s="33" t="e">
        <f t="shared" si="21"/>
        <v>#VALUE!</v>
      </c>
      <c r="U699" s="33">
        <f t="array" ref="U6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699,Quick_Names,0))),Type_Species)),0),1)*IF(COUNTBLANK(Combo_Opponent_Type_2)=0,INDEX(Type_Damage_Multipliers,MATCH(Combo_Opponent_Type_2,IF(Type_Move=(INDEX(Quick_Type,MATCH($O699,Quick_Names,0))),Type_Species)),0),1)*(IF(OR(INDEX(Quick_Type,MATCH($O699,Quick_Names,0))=INDEX(Species_Type_1,MATCH($N699,Species_Names,0)),INDEX(Quick_Type,MATCH($O699,Quick_Names,0))=INDEX(Species_Type_2,MATCH($N699,Species_Names,0))),Game_STAB_Multiplier,1)))</f>
        <v>1.25</v>
      </c>
      <c r="V699" s="33">
        <f t="array" ref="V6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699,Charge_Names,0))),Type_Species)),0),1)*IF(COUNTBLANK(Combo_Opponent_Type_2)=0,INDEX(Type_Damage_Multipliers,MATCH(Combo_Opponent_Type_2,IF(Type_Move=(INDEX(Charge_Type,MATCH($P699,Charge_Names,0))),Type_Species)),0),1)*
IF(OR(INDEX(Charge_Type,MATCH($P699,Charge_Names,0))=INDEX(Species_Type_1,MATCH($N699,Species_Names,0)),INDEX(Charge_Type,MATCH($P699,Charge_Names,0))=INDEX(Species_Type_2,MATCH($N699,Species_Names,0))),Game_STAB_Multiplier,1))</f>
        <v>1</v>
      </c>
      <c r="W699" s="33" t="s">
        <v>511</v>
      </c>
      <c r="X699" s="33" t="s">
        <v>1053</v>
      </c>
      <c r="Y699" s="32" t="e">
        <f t="array" ref="Y699">((($Z699)*
INDEX(Species_Attack,MATCH($N699,Species_Names,0))*
INDEX(Species_Tankiness,MATCH($N699,Species_Names,0)))/1000)</f>
        <v>#VALUE!</v>
      </c>
      <c r="Z699" s="33" t="s">
        <v>1054</v>
      </c>
    </row>
    <row r="700" spans="1:26" ht="14.25" customHeight="1" x14ac:dyDescent="0.2">
      <c r="A700" s="86"/>
      <c r="B700" s="22" t="str">
        <f t="array" ref="B700">CONCATENATE(TEXT($M700,"000"),".",TEXT(INDEX(Quick_Number,MATCH($O700,Quick_Names,0)),"000"),".",TEXT(INDEX(Charge_Number,MATCH($P700,Charge_Names,0)),"000"))</f>
        <v>056.220.123</v>
      </c>
      <c r="C700" s="23" t="e">
        <f t="array" ref="C700">RANK($S700,IF(Combo_Species_Names=$N700,Combo_Gym_Offense),0)</f>
        <v>#VALUE!</v>
      </c>
      <c r="D700" s="24" t="e">
        <f t="array" ref="D700">$S700/MAX(IF(Combo_Species_Names=$N700,Combo_Gym_Offense))</f>
        <v>#VALUE!</v>
      </c>
      <c r="E700" s="23" t="e">
        <f t="array" ref="E700">RANK($Y700,IF(Combo_Species_Names=$N700,Combo_Gym_Defense),0)</f>
        <v>#VALUE!</v>
      </c>
      <c r="F700" s="25" t="e">
        <f t="array" ref="F700">$Y700/MAX(IF(Combo_Species_Names=$N700,Combo_Gym_Defense))</f>
        <v>#VALUE!</v>
      </c>
      <c r="G700" s="23" t="str">
        <f t="array" ref="G700">IF(OR(INDEX(Species_Availability,MATCH($N700,Species_Names,0))="No",INDEX(Species_Evo_Numbers,MATCH($N700,Species_Names,0))&lt;&gt;1),"N/A",RANK($R700,IF(NOT(ISNA(MATCH(Combo_Species_Names,IF(Species_Availability="Yes",IF(Species_Evo_Numbers=1,Species_Names)),0))),Combo_Duel_Ability),0))</f>
        <v>N/A</v>
      </c>
      <c r="H700" s="24" t="str">
        <f t="array" ref="H700">IF(OR(INDEX(Species_Availability,MATCH($N700,Species_Names,0))="No",INDEX(Species_Evo_Numbers,MATCH($N700,Species_Names,0))&lt;&gt;1),"N/A",$R700/MAX(IF(NOT(ISNA(MATCH(Combo_Species_Names,IF(Species_Availability="Yes",IF(Species_Evo_Numbers=1,Species_Names)),0))),Combo_Duel_Ability)))</f>
        <v>N/A</v>
      </c>
      <c r="I700" s="23" t="str">
        <f t="array" ref="I700">IF(OR(INDEX(Species_Availability,MATCH($N700,Species_Names,0))="No",INDEX(Species_Evo_Numbers,MATCH($N700,Species_Names,0))&lt;&gt;1),"N/A",RANK($S700,IF(NOT(ISNA(MATCH(Combo_Species_Names,IF(Species_Availability="Yes",IF(Species_Evo_Numbers=1,Species_Names)),0))),Combo_Gym_Offense),0))</f>
        <v>N/A</v>
      </c>
      <c r="J700" s="24" t="str">
        <f t="array" ref="J700">IF(OR(INDEX(Species_Availability,MATCH($N700,Species_Names,0))="No",INDEX(Species_Evo_Numbers,MATCH($N700,Species_Names,0))&lt;&gt;1),"N/A",$S700/MAX(IF(NOT(ISNA(MATCH(Combo_Species_Names,IF(Species_Availability="Yes",IF(Species_Evo_Numbers=1,Species_Names)),0))),Combo_Gym_Offense)))</f>
        <v>N/A</v>
      </c>
      <c r="K700" s="23" t="str">
        <f t="array" ref="K700">IF(OR(INDEX(Species_Availability,MATCH($N700,Species_Names,0))="No",INDEX(Species_Evo_Numbers,MATCH($N700,Species_Names,0))&lt;&gt;1),"N/A",RANK($Y700,IF(NOT(ISNA(MATCH(Combo_Species_Names,IF(Species_Availability="Yes",IF(Species_Evo_Numbers=1,Species_Names)),0))),Combo_Gym_Defense),0))</f>
        <v>N/A</v>
      </c>
      <c r="L700" s="24" t="str">
        <f t="array" ref="L700">IF(OR(INDEX(Species_Availability,MATCH($N700,Species_Names,0))="No",INDEX(Species_Evo_Numbers,MATCH($N700,Species_Names,0))&lt;&gt;1),"N/A",$Y700/MAX(IF(NOT(ISNA(MATCH(Combo_Species_Names,IF(Species_Availability="Yes",IF(Species_Evo_Numbers=1,Species_Names)),0))),Combo_Gym_Defense)))</f>
        <v>N/A</v>
      </c>
      <c r="M700" s="28">
        <f t="array" ref="M700">INDEX(Species_Pdex_Numbers,MATCH($N700,Species_Names,0))</f>
        <v>56</v>
      </c>
      <c r="N700" s="30" t="s">
        <v>201</v>
      </c>
      <c r="O700" s="31" t="s">
        <v>64</v>
      </c>
      <c r="P700" s="31" t="s">
        <v>188</v>
      </c>
      <c r="Q700" s="17" t="e">
        <f t="shared" si="20"/>
        <v>#VALUE!</v>
      </c>
      <c r="R700" s="32" t="e">
        <f t="array" ref="R700">IF(OR(AND(COUNTBLANK(Combo_Opponent_Type_1)=1,COUNTBLANK(Combo_Opponent_Type_2)=0),AND(AND(COUNTBLANK(Combo_Opponent_Type_1)=0,COUNTBLANK(Combo_Opponent_Type_2)=0),Combo_Opponent_Type_1=Combo_Opponent_Type_2)),
"Check Types",($S700*INDEX(Species_Tankiness,MATCH($N700,Species_Names,0)))/225)</f>
        <v>#VALUE!</v>
      </c>
      <c r="S700" s="32" t="e">
        <f t="array" ref="S700">IF(OR(AND(COUNTBLANK(Combo_Opponent_Type_1)=1,COUNTBLANK(Combo_Opponent_Type_2)=0),AND(AND(COUNTBLANK(Combo_Opponent_Type_1)=0,COUNTBLANK(Combo_Opponent_Type_2)=0),Combo_Opponent_Type_1=Combo_Opponent_Type_2)),
"Check Types",(
IF($W700&gt;=((1-Game_Weave_Human_Error)*$X700),$W700,$X700)*INDEX(Species_Attack,MATCH($N700,Species_Names,0)))/11)</f>
        <v>#VALUE!</v>
      </c>
      <c r="T700" s="33" t="e">
        <f t="shared" si="21"/>
        <v>#VALUE!</v>
      </c>
      <c r="U700" s="33">
        <f t="array" ref="U7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700,Quick_Names,0))),Type_Species)),0),1)*IF(COUNTBLANK(Combo_Opponent_Type_2)=0,INDEX(Type_Damage_Multipliers,MATCH(Combo_Opponent_Type_2,IF(Type_Move=(INDEX(Quick_Type,MATCH($O700,Quick_Names,0))),Type_Species)),0),1)*(IF(OR(INDEX(Quick_Type,MATCH($O700,Quick_Names,0))=INDEX(Species_Type_1,MATCH($N700,Species_Names,0)),INDEX(Quick_Type,MATCH($O700,Quick_Names,0))=INDEX(Species_Type_2,MATCH($N700,Species_Names,0))),Game_STAB_Multiplier,1)))</f>
        <v>1</v>
      </c>
      <c r="V700" s="33">
        <f t="array" ref="V7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700,Charge_Names,0))),Type_Species)),0),1)*IF(COUNTBLANK(Combo_Opponent_Type_2)=0,INDEX(Type_Damage_Multipliers,MATCH(Combo_Opponent_Type_2,IF(Type_Move=(INDEX(Charge_Type,MATCH($P700,Charge_Names,0))),Type_Species)),0),1)*
IF(OR(INDEX(Charge_Type,MATCH($P700,Charge_Names,0))=INDEX(Species_Type_1,MATCH($N700,Species_Names,0)),INDEX(Charge_Type,MATCH($P700,Charge_Names,0))=INDEX(Species_Type_2,MATCH($N700,Species_Names,0))),Game_STAB_Multiplier,1))</f>
        <v>1.25</v>
      </c>
      <c r="W700" s="33" t="s">
        <v>453</v>
      </c>
      <c r="X700" s="33" t="s">
        <v>1055</v>
      </c>
      <c r="Y700" s="32" t="e">
        <f t="array" ref="Y700">((($Z700)*
INDEX(Species_Attack,MATCH($N700,Species_Names,0))*
INDEX(Species_Tankiness,MATCH($N700,Species_Names,0)))/1000)</f>
        <v>#VALUE!</v>
      </c>
      <c r="Z700" s="33" t="s">
        <v>849</v>
      </c>
    </row>
    <row r="701" spans="1:26" ht="14.25" customHeight="1" x14ac:dyDescent="0.2">
      <c r="A701" s="86"/>
      <c r="B701" s="22" t="str">
        <f t="array" ref="B701">CONCATENATE(TEXT($M701,"000"),".",TEXT(INDEX(Quick_Number,MATCH($O701,Quick_Names,0)),"000"),".",TEXT(INDEX(Charge_Number,MATCH($P701,Charge_Names,0)),"000"))</f>
        <v>004.220.102</v>
      </c>
      <c r="C701" s="23" t="e">
        <f t="array" ref="C701">RANK($S701,IF(Combo_Species_Names=$N701,Combo_Gym_Offense),0)</f>
        <v>#VALUE!</v>
      </c>
      <c r="D701" s="24" t="e">
        <f t="array" ref="D701">$S701/MAX(IF(Combo_Species_Names=$N701,Combo_Gym_Offense))</f>
        <v>#VALUE!</v>
      </c>
      <c r="E701" s="23" t="e">
        <f t="array" ref="E701">RANK($Y701,IF(Combo_Species_Names=$N701,Combo_Gym_Defense),0)</f>
        <v>#VALUE!</v>
      </c>
      <c r="F701" s="25" t="e">
        <f t="array" ref="F701">$Y701/MAX(IF(Combo_Species_Names=$N701,Combo_Gym_Defense))</f>
        <v>#VALUE!</v>
      </c>
      <c r="G701" s="23" t="str">
        <f t="array" ref="G701">IF(OR(INDEX(Species_Availability,MATCH($N701,Species_Names,0))="No",INDEX(Species_Evo_Numbers,MATCH($N701,Species_Names,0))&lt;&gt;1),"N/A",RANK($R701,IF(NOT(ISNA(MATCH(Combo_Species_Names,IF(Species_Availability="Yes",IF(Species_Evo_Numbers=1,Species_Names)),0))),Combo_Duel_Ability),0))</f>
        <v>N/A</v>
      </c>
      <c r="H701" s="24" t="str">
        <f t="array" ref="H701">IF(OR(INDEX(Species_Availability,MATCH($N701,Species_Names,0))="No",INDEX(Species_Evo_Numbers,MATCH($N701,Species_Names,0))&lt;&gt;1),"N/A",$R701/MAX(IF(NOT(ISNA(MATCH(Combo_Species_Names,IF(Species_Availability="Yes",IF(Species_Evo_Numbers=1,Species_Names)),0))),Combo_Duel_Ability)))</f>
        <v>N/A</v>
      </c>
      <c r="I701" s="23" t="str">
        <f t="array" ref="I701">IF(OR(INDEX(Species_Availability,MATCH($N701,Species_Names,0))="No",INDEX(Species_Evo_Numbers,MATCH($N701,Species_Names,0))&lt;&gt;1),"N/A",RANK($S701,IF(NOT(ISNA(MATCH(Combo_Species_Names,IF(Species_Availability="Yes",IF(Species_Evo_Numbers=1,Species_Names)),0))),Combo_Gym_Offense),0))</f>
        <v>N/A</v>
      </c>
      <c r="J701" s="24" t="str">
        <f t="array" ref="J701">IF(OR(INDEX(Species_Availability,MATCH($N701,Species_Names,0))="No",INDEX(Species_Evo_Numbers,MATCH($N701,Species_Names,0))&lt;&gt;1),"N/A",$S701/MAX(IF(NOT(ISNA(MATCH(Combo_Species_Names,IF(Species_Availability="Yes",IF(Species_Evo_Numbers=1,Species_Names)),0))),Combo_Gym_Offense)))</f>
        <v>N/A</v>
      </c>
      <c r="K701" s="23" t="str">
        <f t="array" ref="K701">IF(OR(INDEX(Species_Availability,MATCH($N701,Species_Names,0))="No",INDEX(Species_Evo_Numbers,MATCH($N701,Species_Names,0))&lt;&gt;1),"N/A",RANK($Y701,IF(NOT(ISNA(MATCH(Combo_Species_Names,IF(Species_Availability="Yes",IF(Species_Evo_Numbers=1,Species_Names)),0))),Combo_Gym_Defense),0))</f>
        <v>N/A</v>
      </c>
      <c r="L701" s="24" t="str">
        <f t="array" ref="L701">IF(OR(INDEX(Species_Availability,MATCH($N701,Species_Names,0))="No",INDEX(Species_Evo_Numbers,MATCH($N701,Species_Names,0))&lt;&gt;1),"N/A",$Y701/MAX(IF(NOT(ISNA(MATCH(Combo_Species_Names,IF(Species_Availability="Yes",IF(Species_Evo_Numbers=1,Species_Names)),0))),Combo_Gym_Defense)))</f>
        <v>N/A</v>
      </c>
      <c r="M701" s="28">
        <f t="array" ref="M701">INDEX(Species_Pdex_Numbers,MATCH($N701,Species_Names,0))</f>
        <v>4</v>
      </c>
      <c r="N701" s="30" t="s">
        <v>73</v>
      </c>
      <c r="O701" s="31" t="s">
        <v>64</v>
      </c>
      <c r="P701" s="31" t="s">
        <v>239</v>
      </c>
      <c r="Q701" s="17" t="e">
        <f t="shared" si="20"/>
        <v>#VALUE!</v>
      </c>
      <c r="R701" s="32" t="e">
        <f t="array" ref="R701">IF(OR(AND(COUNTBLANK(Combo_Opponent_Type_1)=1,COUNTBLANK(Combo_Opponent_Type_2)=0),AND(AND(COUNTBLANK(Combo_Opponent_Type_1)=0,COUNTBLANK(Combo_Opponent_Type_2)=0),Combo_Opponent_Type_1=Combo_Opponent_Type_2)),
"Check Types",($S701*INDEX(Species_Tankiness,MATCH($N701,Species_Names,0)))/225)</f>
        <v>#VALUE!</v>
      </c>
      <c r="S701" s="32" t="e">
        <f t="array" ref="S701">IF(OR(AND(COUNTBLANK(Combo_Opponent_Type_1)=1,COUNTBLANK(Combo_Opponent_Type_2)=0),AND(AND(COUNTBLANK(Combo_Opponent_Type_1)=0,COUNTBLANK(Combo_Opponent_Type_2)=0),Combo_Opponent_Type_1=Combo_Opponent_Type_2)),
"Check Types",(
IF($W701&gt;=((1-Game_Weave_Human_Error)*$X701),$W701,$X701)*INDEX(Species_Attack,MATCH($N701,Species_Names,0)))/11)</f>
        <v>#VALUE!</v>
      </c>
      <c r="T701" s="33" t="e">
        <f t="shared" si="21"/>
        <v>#VALUE!</v>
      </c>
      <c r="U701" s="33">
        <f t="array" ref="U7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701,Quick_Names,0))),Type_Species)),0),1)*IF(COUNTBLANK(Combo_Opponent_Type_2)=0,INDEX(Type_Damage_Multipliers,MATCH(Combo_Opponent_Type_2,IF(Type_Move=(INDEX(Quick_Type,MATCH($O701,Quick_Names,0))),Type_Species)),0),1)*(IF(OR(INDEX(Quick_Type,MATCH($O701,Quick_Names,0))=INDEX(Species_Type_1,MATCH($N701,Species_Names,0)),INDEX(Quick_Type,MATCH($O701,Quick_Names,0))=INDEX(Species_Type_2,MATCH($N701,Species_Names,0))),Game_STAB_Multiplier,1)))</f>
        <v>1</v>
      </c>
      <c r="V701" s="33">
        <f t="array" ref="V7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701,Charge_Names,0))),Type_Species)),0),1)*IF(COUNTBLANK(Combo_Opponent_Type_2)=0,INDEX(Type_Damage_Multipliers,MATCH(Combo_Opponent_Type_2,IF(Type_Move=(INDEX(Charge_Type,MATCH($P701,Charge_Names,0))),Type_Species)),0),1)*
IF(OR(INDEX(Charge_Type,MATCH($P701,Charge_Names,0))=INDEX(Species_Type_1,MATCH($N701,Species_Names,0)),INDEX(Charge_Type,MATCH($P701,Charge_Names,0))=INDEX(Species_Type_2,MATCH($N701,Species_Names,0))),Game_STAB_Multiplier,1))</f>
        <v>1.25</v>
      </c>
      <c r="W701" s="33" t="s">
        <v>453</v>
      </c>
      <c r="X701" s="33" t="s">
        <v>722</v>
      </c>
      <c r="Y701" s="32" t="e">
        <f t="array" ref="Y701">((($Z701)*
INDEX(Species_Attack,MATCH($N701,Species_Names,0))*
INDEX(Species_Tankiness,MATCH($N701,Species_Names,0)))/1000)</f>
        <v>#VALUE!</v>
      </c>
      <c r="Z701" s="33" t="s">
        <v>958</v>
      </c>
    </row>
    <row r="702" spans="1:26" ht="14.25" customHeight="1" x14ac:dyDescent="0.2">
      <c r="A702" s="86"/>
      <c r="B702" s="22" t="str">
        <f t="array" ref="B702">CONCATENATE(TEXT($M702,"000"),".",TEXT(INDEX(Quick_Number,MATCH($O702,Quick_Names,0)),"000"),".",TEXT(INDEX(Charge_Number,MATCH($P702,Charge_Names,0)),"000"))</f>
        <v>118.216.105</v>
      </c>
      <c r="C702" s="23" t="e">
        <f t="array" ref="C702">RANK($S702,IF(Combo_Species_Names=$N702,Combo_Gym_Offense),0)</f>
        <v>#VALUE!</v>
      </c>
      <c r="D702" s="24" t="e">
        <f t="array" ref="D702">$S702/MAX(IF(Combo_Species_Names=$N702,Combo_Gym_Offense))</f>
        <v>#VALUE!</v>
      </c>
      <c r="E702" s="23" t="e">
        <f t="array" ref="E702">RANK($Y702,IF(Combo_Species_Names=$N702,Combo_Gym_Defense),0)</f>
        <v>#VALUE!</v>
      </c>
      <c r="F702" s="25" t="e">
        <f t="array" ref="F702">$Y702/MAX(IF(Combo_Species_Names=$N702,Combo_Gym_Defense))</f>
        <v>#VALUE!</v>
      </c>
      <c r="G702" s="23" t="str">
        <f t="array" ref="G702">IF(OR(INDEX(Species_Availability,MATCH($N702,Species_Names,0))="No",INDEX(Species_Evo_Numbers,MATCH($N702,Species_Names,0))&lt;&gt;1),"N/A",RANK($R702,IF(NOT(ISNA(MATCH(Combo_Species_Names,IF(Species_Availability="Yes",IF(Species_Evo_Numbers=1,Species_Names)),0))),Combo_Duel_Ability),0))</f>
        <v>N/A</v>
      </c>
      <c r="H702" s="24" t="str">
        <f t="array" ref="H702">IF(OR(INDEX(Species_Availability,MATCH($N702,Species_Names,0))="No",INDEX(Species_Evo_Numbers,MATCH($N702,Species_Names,0))&lt;&gt;1),"N/A",$R702/MAX(IF(NOT(ISNA(MATCH(Combo_Species_Names,IF(Species_Availability="Yes",IF(Species_Evo_Numbers=1,Species_Names)),0))),Combo_Duel_Ability)))</f>
        <v>N/A</v>
      </c>
      <c r="I702" s="23" t="str">
        <f t="array" ref="I702">IF(OR(INDEX(Species_Availability,MATCH($N702,Species_Names,0))="No",INDEX(Species_Evo_Numbers,MATCH($N702,Species_Names,0))&lt;&gt;1),"N/A",RANK($S702,IF(NOT(ISNA(MATCH(Combo_Species_Names,IF(Species_Availability="Yes",IF(Species_Evo_Numbers=1,Species_Names)),0))),Combo_Gym_Offense),0))</f>
        <v>N/A</v>
      </c>
      <c r="J702" s="24" t="str">
        <f t="array" ref="J702">IF(OR(INDEX(Species_Availability,MATCH($N702,Species_Names,0))="No",INDEX(Species_Evo_Numbers,MATCH($N702,Species_Names,0))&lt;&gt;1),"N/A",$S702/MAX(IF(NOT(ISNA(MATCH(Combo_Species_Names,IF(Species_Availability="Yes",IF(Species_Evo_Numbers=1,Species_Names)),0))),Combo_Gym_Offense)))</f>
        <v>N/A</v>
      </c>
      <c r="K702" s="23" t="str">
        <f t="array" ref="K702">IF(OR(INDEX(Species_Availability,MATCH($N702,Species_Names,0))="No",INDEX(Species_Evo_Numbers,MATCH($N702,Species_Names,0))&lt;&gt;1),"N/A",RANK($Y702,IF(NOT(ISNA(MATCH(Combo_Species_Names,IF(Species_Availability="Yes",IF(Species_Evo_Numbers=1,Species_Names)),0))),Combo_Gym_Defense),0))</f>
        <v>N/A</v>
      </c>
      <c r="L702" s="24" t="str">
        <f t="array" ref="L702">IF(OR(INDEX(Species_Availability,MATCH($N702,Species_Names,0))="No",INDEX(Species_Evo_Numbers,MATCH($N702,Species_Names,0))&lt;&gt;1),"N/A",$Y702/MAX(IF(NOT(ISNA(MATCH(Combo_Species_Names,IF(Species_Availability="Yes",IF(Species_Evo_Numbers=1,Species_Names)),0))),Combo_Gym_Defense)))</f>
        <v>N/A</v>
      </c>
      <c r="M702" s="28">
        <f t="array" ref="M702">INDEX(Species_Pdex_Numbers,MATCH($N702,Species_Names,0))</f>
        <v>118</v>
      </c>
      <c r="N702" s="30" t="s">
        <v>331</v>
      </c>
      <c r="O702" s="31" t="s">
        <v>89</v>
      </c>
      <c r="P702" s="31" t="s">
        <v>281</v>
      </c>
      <c r="Q702" s="17" t="e">
        <f t="shared" si="20"/>
        <v>#VALUE!</v>
      </c>
      <c r="R702" s="32" t="e">
        <f t="array" ref="R702">IF(OR(AND(COUNTBLANK(Combo_Opponent_Type_1)=1,COUNTBLANK(Combo_Opponent_Type_2)=0),AND(AND(COUNTBLANK(Combo_Opponent_Type_1)=0,COUNTBLANK(Combo_Opponent_Type_2)=0),Combo_Opponent_Type_1=Combo_Opponent_Type_2)),
"Check Types",($S702*INDEX(Species_Tankiness,MATCH($N702,Species_Names,0)))/225)</f>
        <v>#VALUE!</v>
      </c>
      <c r="S702" s="32" t="e">
        <f t="array" ref="S702">IF(OR(AND(COUNTBLANK(Combo_Opponent_Type_1)=1,COUNTBLANK(Combo_Opponent_Type_2)=0),AND(AND(COUNTBLANK(Combo_Opponent_Type_1)=0,COUNTBLANK(Combo_Opponent_Type_2)=0),Combo_Opponent_Type_1=Combo_Opponent_Type_2)),
"Check Types",(
IF($W702&gt;=((1-Game_Weave_Human_Error)*$X702),$W702,$X702)*INDEX(Species_Attack,MATCH($N702,Species_Names,0)))/11)</f>
        <v>#VALUE!</v>
      </c>
      <c r="T702" s="33" t="e">
        <f t="shared" si="21"/>
        <v>#VALUE!</v>
      </c>
      <c r="U702" s="33">
        <f t="array" ref="U7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702,Quick_Names,0))),Type_Species)),0),1)*IF(COUNTBLANK(Combo_Opponent_Type_2)=0,INDEX(Type_Damage_Multipliers,MATCH(Combo_Opponent_Type_2,IF(Type_Move=(INDEX(Quick_Type,MATCH($O702,Quick_Names,0))),Type_Species)),0),1)*(IF(OR(INDEX(Quick_Type,MATCH($O702,Quick_Names,0))=INDEX(Species_Type_1,MATCH($N702,Species_Names,0)),INDEX(Quick_Type,MATCH($O702,Quick_Names,0))=INDEX(Species_Type_2,MATCH($N702,Species_Names,0))),Game_STAB_Multiplier,1)))</f>
        <v>1</v>
      </c>
      <c r="V702" s="33">
        <f t="array" ref="V7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702,Charge_Names,0))),Type_Species)),0),1)*IF(COUNTBLANK(Combo_Opponent_Type_2)=0,INDEX(Type_Damage_Multipliers,MATCH(Combo_Opponent_Type_2,IF(Type_Move=(INDEX(Charge_Type,MATCH($P702,Charge_Names,0))),Type_Species)),0),1)*
IF(OR(INDEX(Charge_Type,MATCH($P702,Charge_Names,0))=INDEX(Species_Type_1,MATCH($N702,Species_Names,0)),INDEX(Charge_Type,MATCH($P702,Charge_Names,0))=INDEX(Species_Type_2,MATCH($N702,Species_Names,0))),Game_STAB_Multiplier,1))</f>
        <v>1.25</v>
      </c>
      <c r="W702" s="33" t="s">
        <v>518</v>
      </c>
      <c r="X702" s="33" t="s">
        <v>787</v>
      </c>
      <c r="Y702" s="32" t="e">
        <f t="array" ref="Y702">((($Z702)*
INDEX(Species_Attack,MATCH($N702,Species_Names,0))*
INDEX(Species_Tankiness,MATCH($N702,Species_Names,0)))/1000)</f>
        <v>#VALUE!</v>
      </c>
      <c r="Z702" s="33" t="s">
        <v>411</v>
      </c>
    </row>
    <row r="703" spans="1:26" ht="14.25" customHeight="1" x14ac:dyDescent="0.2">
      <c r="A703" s="86"/>
      <c r="B703" s="22" t="str">
        <f t="array" ref="B703">CONCATENATE(TEXT($M703,"000"),".",TEXT(INDEX(Quick_Number,MATCH($O703,Quick_Names,0)),"000"),".",TEXT(INDEX(Charge_Number,MATCH($P703,Charge_Names,0)),"000"))</f>
        <v>032.236.131</v>
      </c>
      <c r="C703" s="23" t="e">
        <f t="array" ref="C703">RANK($S703,IF(Combo_Species_Names=$N703,Combo_Gym_Offense),0)</f>
        <v>#VALUE!</v>
      </c>
      <c r="D703" s="24" t="e">
        <f t="array" ref="D703">$S703/MAX(IF(Combo_Species_Names=$N703,Combo_Gym_Offense))</f>
        <v>#VALUE!</v>
      </c>
      <c r="E703" s="23" t="e">
        <f t="array" ref="E703">RANK($Y703,IF(Combo_Species_Names=$N703,Combo_Gym_Defense),0)</f>
        <v>#VALUE!</v>
      </c>
      <c r="F703" s="25" t="e">
        <f t="array" ref="F703">$Y703/MAX(IF(Combo_Species_Names=$N703,Combo_Gym_Defense))</f>
        <v>#VALUE!</v>
      </c>
      <c r="G703" s="23" t="str">
        <f t="array" ref="G703">IF(OR(INDEX(Species_Availability,MATCH($N703,Species_Names,0))="No",INDEX(Species_Evo_Numbers,MATCH($N703,Species_Names,0))&lt;&gt;1),"N/A",RANK($R703,IF(NOT(ISNA(MATCH(Combo_Species_Names,IF(Species_Availability="Yes",IF(Species_Evo_Numbers=1,Species_Names)),0))),Combo_Duel_Ability),0))</f>
        <v>N/A</v>
      </c>
      <c r="H703" s="24" t="str">
        <f t="array" ref="H703">IF(OR(INDEX(Species_Availability,MATCH($N703,Species_Names,0))="No",INDEX(Species_Evo_Numbers,MATCH($N703,Species_Names,0))&lt;&gt;1),"N/A",$R703/MAX(IF(NOT(ISNA(MATCH(Combo_Species_Names,IF(Species_Availability="Yes",IF(Species_Evo_Numbers=1,Species_Names)),0))),Combo_Duel_Ability)))</f>
        <v>N/A</v>
      </c>
      <c r="I703" s="23" t="str">
        <f t="array" ref="I703">IF(OR(INDEX(Species_Availability,MATCH($N703,Species_Names,0))="No",INDEX(Species_Evo_Numbers,MATCH($N703,Species_Names,0))&lt;&gt;1),"N/A",RANK($S703,IF(NOT(ISNA(MATCH(Combo_Species_Names,IF(Species_Availability="Yes",IF(Species_Evo_Numbers=1,Species_Names)),0))),Combo_Gym_Offense),0))</f>
        <v>N/A</v>
      </c>
      <c r="J703" s="24" t="str">
        <f t="array" ref="J703">IF(OR(INDEX(Species_Availability,MATCH($N703,Species_Names,0))="No",INDEX(Species_Evo_Numbers,MATCH($N703,Species_Names,0))&lt;&gt;1),"N/A",$S703/MAX(IF(NOT(ISNA(MATCH(Combo_Species_Names,IF(Species_Availability="Yes",IF(Species_Evo_Numbers=1,Species_Names)),0))),Combo_Gym_Offense)))</f>
        <v>N/A</v>
      </c>
      <c r="K703" s="23" t="str">
        <f t="array" ref="K703">IF(OR(INDEX(Species_Availability,MATCH($N703,Species_Names,0))="No",INDEX(Species_Evo_Numbers,MATCH($N703,Species_Names,0))&lt;&gt;1),"N/A",RANK($Y703,IF(NOT(ISNA(MATCH(Combo_Species_Names,IF(Species_Availability="Yes",IF(Species_Evo_Numbers=1,Species_Names)),0))),Combo_Gym_Defense),0))</f>
        <v>N/A</v>
      </c>
      <c r="L703" s="24" t="str">
        <f t="array" ref="L703">IF(OR(INDEX(Species_Availability,MATCH($N703,Species_Names,0))="No",INDEX(Species_Evo_Numbers,MATCH($N703,Species_Names,0))&lt;&gt;1),"N/A",$Y703/MAX(IF(NOT(ISNA(MATCH(Combo_Species_Names,IF(Species_Availability="Yes",IF(Species_Evo_Numbers=1,Species_Names)),0))),Combo_Gym_Defense)))</f>
        <v>N/A</v>
      </c>
      <c r="M703" s="28">
        <f t="array" ref="M703">INDEX(Species_Pdex_Numbers,MATCH($N703,Species_Names,0))</f>
        <v>32</v>
      </c>
      <c r="N703" s="30" t="s">
        <v>154</v>
      </c>
      <c r="O703" s="31" t="s">
        <v>101</v>
      </c>
      <c r="P703" s="31" t="s">
        <v>151</v>
      </c>
      <c r="Q703" s="17" t="e">
        <f t="shared" si="20"/>
        <v>#VALUE!</v>
      </c>
      <c r="R703" s="32" t="e">
        <f t="array" ref="R703">IF(OR(AND(COUNTBLANK(Combo_Opponent_Type_1)=1,COUNTBLANK(Combo_Opponent_Type_2)=0),AND(AND(COUNTBLANK(Combo_Opponent_Type_1)=0,COUNTBLANK(Combo_Opponent_Type_2)=0),Combo_Opponent_Type_1=Combo_Opponent_Type_2)),
"Check Types",($S703*INDEX(Species_Tankiness,MATCH($N703,Species_Names,0)))/225)</f>
        <v>#VALUE!</v>
      </c>
      <c r="S703" s="32" t="e">
        <f t="array" ref="S703">IF(OR(AND(COUNTBLANK(Combo_Opponent_Type_1)=1,COUNTBLANK(Combo_Opponent_Type_2)=0),AND(AND(COUNTBLANK(Combo_Opponent_Type_1)=0,COUNTBLANK(Combo_Opponent_Type_2)=0),Combo_Opponent_Type_1=Combo_Opponent_Type_2)),
"Check Types",(
IF($W703&gt;=((1-Game_Weave_Human_Error)*$X703),$W703,$X703)*INDEX(Species_Attack,MATCH($N703,Species_Names,0)))/11)</f>
        <v>#VALUE!</v>
      </c>
      <c r="T703" s="33" t="e">
        <f t="shared" si="21"/>
        <v>#VALUE!</v>
      </c>
      <c r="U703" s="33">
        <f t="array" ref="U7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703,Quick_Names,0))),Type_Species)),0),1)*IF(COUNTBLANK(Combo_Opponent_Type_2)=0,INDEX(Type_Damage_Multipliers,MATCH(Combo_Opponent_Type_2,IF(Type_Move=(INDEX(Quick_Type,MATCH($O703,Quick_Names,0))),Type_Species)),0),1)*(IF(OR(INDEX(Quick_Type,MATCH($O703,Quick_Names,0))=INDEX(Species_Type_1,MATCH($N703,Species_Names,0)),INDEX(Quick_Type,MATCH($O703,Quick_Names,0))=INDEX(Species_Type_2,MATCH($N703,Species_Names,0))),Game_STAB_Multiplier,1)))</f>
        <v>1.25</v>
      </c>
      <c r="V703" s="33">
        <f t="array" ref="V7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703,Charge_Names,0))),Type_Species)),0),1)*IF(COUNTBLANK(Combo_Opponent_Type_2)=0,INDEX(Type_Damage_Multipliers,MATCH(Combo_Opponent_Type_2,IF(Type_Move=(INDEX(Charge_Type,MATCH($P703,Charge_Names,0))),Type_Species)),0),1)*
IF(OR(INDEX(Charge_Type,MATCH($P703,Charge_Names,0))=INDEX(Species_Type_1,MATCH($N703,Species_Names,0)),INDEX(Charge_Type,MATCH($P703,Charge_Names,0))=INDEX(Species_Type_2,MATCH($N703,Species_Names,0))),Game_STAB_Multiplier,1))</f>
        <v>1</v>
      </c>
      <c r="W703" s="33" t="s">
        <v>738</v>
      </c>
      <c r="X703" s="33" t="s">
        <v>1040</v>
      </c>
      <c r="Y703" s="32" t="e">
        <f t="array" ref="Y703">((($Z703)*
INDEX(Species_Attack,MATCH($N703,Species_Names,0))*
INDEX(Species_Tankiness,MATCH($N703,Species_Names,0)))/1000)</f>
        <v>#VALUE!</v>
      </c>
      <c r="Z703" s="33" t="s">
        <v>755</v>
      </c>
    </row>
    <row r="704" spans="1:26" ht="14.25" customHeight="1" x14ac:dyDescent="0.2">
      <c r="A704" s="86"/>
      <c r="B704" s="22" t="str">
        <f t="array" ref="B704">CONCATENATE(TEXT($M704,"000"),".",TEXT(INDEX(Quick_Number,MATCH($O704,Quick_Names,0)),"000"),".",TEXT(INDEX(Charge_Number,MATCH($P704,Charge_Names,0)),"000"))</f>
        <v>023.236.092</v>
      </c>
      <c r="C704" s="23" t="e">
        <f t="array" ref="C704">RANK($S704,IF(Combo_Species_Names=$N704,Combo_Gym_Offense),0)</f>
        <v>#VALUE!</v>
      </c>
      <c r="D704" s="24" t="e">
        <f t="array" ref="D704">$S704/MAX(IF(Combo_Species_Names=$N704,Combo_Gym_Offense))</f>
        <v>#VALUE!</v>
      </c>
      <c r="E704" s="23" t="e">
        <f t="array" ref="E704">RANK($Y704,IF(Combo_Species_Names=$N704,Combo_Gym_Defense),0)</f>
        <v>#VALUE!</v>
      </c>
      <c r="F704" s="25" t="e">
        <f t="array" ref="F704">$Y704/MAX(IF(Combo_Species_Names=$N704,Combo_Gym_Defense))</f>
        <v>#VALUE!</v>
      </c>
      <c r="G704" s="23" t="str">
        <f t="array" ref="G704">IF(OR(INDEX(Species_Availability,MATCH($N704,Species_Names,0))="No",INDEX(Species_Evo_Numbers,MATCH($N704,Species_Names,0))&lt;&gt;1),"N/A",RANK($R704,IF(NOT(ISNA(MATCH(Combo_Species_Names,IF(Species_Availability="Yes",IF(Species_Evo_Numbers=1,Species_Names)),0))),Combo_Duel_Ability),0))</f>
        <v>N/A</v>
      </c>
      <c r="H704" s="24" t="str">
        <f t="array" ref="H704">IF(OR(INDEX(Species_Availability,MATCH($N704,Species_Names,0))="No",INDEX(Species_Evo_Numbers,MATCH($N704,Species_Names,0))&lt;&gt;1),"N/A",$R704/MAX(IF(NOT(ISNA(MATCH(Combo_Species_Names,IF(Species_Availability="Yes",IF(Species_Evo_Numbers=1,Species_Names)),0))),Combo_Duel_Ability)))</f>
        <v>N/A</v>
      </c>
      <c r="I704" s="23" t="str">
        <f t="array" ref="I704">IF(OR(INDEX(Species_Availability,MATCH($N704,Species_Names,0))="No",INDEX(Species_Evo_Numbers,MATCH($N704,Species_Names,0))&lt;&gt;1),"N/A",RANK($S704,IF(NOT(ISNA(MATCH(Combo_Species_Names,IF(Species_Availability="Yes",IF(Species_Evo_Numbers=1,Species_Names)),0))),Combo_Gym_Offense),0))</f>
        <v>N/A</v>
      </c>
      <c r="J704" s="24" t="str">
        <f t="array" ref="J704">IF(OR(INDEX(Species_Availability,MATCH($N704,Species_Names,0))="No",INDEX(Species_Evo_Numbers,MATCH($N704,Species_Names,0))&lt;&gt;1),"N/A",$S704/MAX(IF(NOT(ISNA(MATCH(Combo_Species_Names,IF(Species_Availability="Yes",IF(Species_Evo_Numbers=1,Species_Names)),0))),Combo_Gym_Offense)))</f>
        <v>N/A</v>
      </c>
      <c r="K704" s="23" t="str">
        <f t="array" ref="K704">IF(OR(INDEX(Species_Availability,MATCH($N704,Species_Names,0))="No",INDEX(Species_Evo_Numbers,MATCH($N704,Species_Names,0))&lt;&gt;1),"N/A",RANK($Y704,IF(NOT(ISNA(MATCH(Combo_Species_Names,IF(Species_Availability="Yes",IF(Species_Evo_Numbers=1,Species_Names)),0))),Combo_Gym_Defense),0))</f>
        <v>N/A</v>
      </c>
      <c r="L704" s="24" t="str">
        <f t="array" ref="L704">IF(OR(INDEX(Species_Availability,MATCH($N704,Species_Names,0))="No",INDEX(Species_Evo_Numbers,MATCH($N704,Species_Names,0))&lt;&gt;1),"N/A",$Y704/MAX(IF(NOT(ISNA(MATCH(Combo_Species_Names,IF(Species_Availability="Yes",IF(Species_Evo_Numbers=1,Species_Names)),0))),Combo_Gym_Defense)))</f>
        <v>N/A</v>
      </c>
      <c r="M704" s="28">
        <f t="array" ref="M704">INDEX(Species_Pdex_Numbers,MATCH($N704,Species_Names,0))</f>
        <v>23</v>
      </c>
      <c r="N704" s="30" t="s">
        <v>133</v>
      </c>
      <c r="O704" s="31" t="s">
        <v>101</v>
      </c>
      <c r="P704" s="31" t="s">
        <v>176</v>
      </c>
      <c r="Q704" s="17" t="e">
        <f t="shared" si="20"/>
        <v>#VALUE!</v>
      </c>
      <c r="R704" s="32" t="e">
        <f t="array" ref="R704">IF(OR(AND(COUNTBLANK(Combo_Opponent_Type_1)=1,COUNTBLANK(Combo_Opponent_Type_2)=0),AND(AND(COUNTBLANK(Combo_Opponent_Type_1)=0,COUNTBLANK(Combo_Opponent_Type_2)=0),Combo_Opponent_Type_1=Combo_Opponent_Type_2)),
"Check Types",($S704*INDEX(Species_Tankiness,MATCH($N704,Species_Names,0)))/225)</f>
        <v>#VALUE!</v>
      </c>
      <c r="S704" s="32" t="e">
        <f t="array" ref="S704">IF(OR(AND(COUNTBLANK(Combo_Opponent_Type_1)=1,COUNTBLANK(Combo_Opponent_Type_2)=0),AND(AND(COUNTBLANK(Combo_Opponent_Type_1)=0,COUNTBLANK(Combo_Opponent_Type_2)=0),Combo_Opponent_Type_1=Combo_Opponent_Type_2)),
"Check Types",(
IF($W704&gt;=((1-Game_Weave_Human_Error)*$X704),$W704,$X704)*INDEX(Species_Attack,MATCH($N704,Species_Names,0)))/11)</f>
        <v>#VALUE!</v>
      </c>
      <c r="T704" s="33" t="e">
        <f t="shared" si="21"/>
        <v>#VALUE!</v>
      </c>
      <c r="U704" s="33">
        <f t="array" ref="U7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704,Quick_Names,0))),Type_Species)),0),1)*IF(COUNTBLANK(Combo_Opponent_Type_2)=0,INDEX(Type_Damage_Multipliers,MATCH(Combo_Opponent_Type_2,IF(Type_Move=(INDEX(Quick_Type,MATCH($O704,Quick_Names,0))),Type_Species)),0),1)*(IF(OR(INDEX(Quick_Type,MATCH($O704,Quick_Names,0))=INDEX(Species_Type_1,MATCH($N704,Species_Names,0)),INDEX(Quick_Type,MATCH($O704,Quick_Names,0))=INDEX(Species_Type_2,MATCH($N704,Species_Names,0))),Game_STAB_Multiplier,1)))</f>
        <v>1.25</v>
      </c>
      <c r="V704" s="33">
        <f t="array" ref="V7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704,Charge_Names,0))),Type_Species)),0),1)*IF(COUNTBLANK(Combo_Opponent_Type_2)=0,INDEX(Type_Damage_Multipliers,MATCH(Combo_Opponent_Type_2,IF(Type_Move=(INDEX(Charge_Type,MATCH($P704,Charge_Names,0))),Type_Species)),0),1)*
IF(OR(INDEX(Charge_Type,MATCH($P704,Charge_Names,0))=INDEX(Species_Type_1,MATCH($N704,Species_Names,0)),INDEX(Charge_Type,MATCH($P704,Charge_Names,0))=INDEX(Species_Type_2,MATCH($N704,Species_Names,0))),Game_STAB_Multiplier,1))</f>
        <v>1.25</v>
      </c>
      <c r="W704" s="33" t="s">
        <v>738</v>
      </c>
      <c r="X704" s="33" t="s">
        <v>1056</v>
      </c>
      <c r="Y704" s="32" t="e">
        <f t="array" ref="Y704">((($Z704)*
INDEX(Species_Attack,MATCH($N704,Species_Names,0))*
INDEX(Species_Tankiness,MATCH($N704,Species_Names,0)))/1000)</f>
        <v>#VALUE!</v>
      </c>
      <c r="Z704" s="33" t="s">
        <v>951</v>
      </c>
    </row>
    <row r="705" spans="1:26" ht="14.25" customHeight="1" x14ac:dyDescent="0.2">
      <c r="A705" s="86"/>
      <c r="B705" s="22" t="str">
        <f t="array" ref="B705">CONCATENATE(TEXT($M705,"000"),".",TEXT(INDEX(Quick_Number,MATCH($O705,Quick_Names,0)),"000"),".",TEXT(INDEX(Charge_Number,MATCH($P705,Charge_Names,0)),"000"))</f>
        <v>037.209.024</v>
      </c>
      <c r="C705" s="23" t="e">
        <f t="array" ref="C705">RANK($S705,IF(Combo_Species_Names=$N705,Combo_Gym_Offense),0)</f>
        <v>#VALUE!</v>
      </c>
      <c r="D705" s="24" t="e">
        <f t="array" ref="D705">$S705/MAX(IF(Combo_Species_Names=$N705,Combo_Gym_Offense))</f>
        <v>#VALUE!</v>
      </c>
      <c r="E705" s="23" t="e">
        <f t="array" ref="E705">RANK($Y705,IF(Combo_Species_Names=$N705,Combo_Gym_Defense),0)</f>
        <v>#VALUE!</v>
      </c>
      <c r="F705" s="25" t="e">
        <f t="array" ref="F705">$Y705/MAX(IF(Combo_Species_Names=$N705,Combo_Gym_Defense))</f>
        <v>#VALUE!</v>
      </c>
      <c r="G705" s="23" t="str">
        <f t="array" ref="G705">IF(OR(INDEX(Species_Availability,MATCH($N705,Species_Names,0))="No",INDEX(Species_Evo_Numbers,MATCH($N705,Species_Names,0))&lt;&gt;1),"N/A",RANK($R705,IF(NOT(ISNA(MATCH(Combo_Species_Names,IF(Species_Availability="Yes",IF(Species_Evo_Numbers=1,Species_Names)),0))),Combo_Duel_Ability),0))</f>
        <v>N/A</v>
      </c>
      <c r="H705" s="24" t="str">
        <f t="array" ref="H705">IF(OR(INDEX(Species_Availability,MATCH($N705,Species_Names,0))="No",INDEX(Species_Evo_Numbers,MATCH($N705,Species_Names,0))&lt;&gt;1),"N/A",$R705/MAX(IF(NOT(ISNA(MATCH(Combo_Species_Names,IF(Species_Availability="Yes",IF(Species_Evo_Numbers=1,Species_Names)),0))),Combo_Duel_Ability)))</f>
        <v>N/A</v>
      </c>
      <c r="I705" s="23" t="str">
        <f t="array" ref="I705">IF(OR(INDEX(Species_Availability,MATCH($N705,Species_Names,0))="No",INDEX(Species_Evo_Numbers,MATCH($N705,Species_Names,0))&lt;&gt;1),"N/A",RANK($S705,IF(NOT(ISNA(MATCH(Combo_Species_Names,IF(Species_Availability="Yes",IF(Species_Evo_Numbers=1,Species_Names)),0))),Combo_Gym_Offense),0))</f>
        <v>N/A</v>
      </c>
      <c r="J705" s="24" t="str">
        <f t="array" ref="J705">IF(OR(INDEX(Species_Availability,MATCH($N705,Species_Names,0))="No",INDEX(Species_Evo_Numbers,MATCH($N705,Species_Names,0))&lt;&gt;1),"N/A",$S705/MAX(IF(NOT(ISNA(MATCH(Combo_Species_Names,IF(Species_Availability="Yes",IF(Species_Evo_Numbers=1,Species_Names)),0))),Combo_Gym_Offense)))</f>
        <v>N/A</v>
      </c>
      <c r="K705" s="23" t="str">
        <f t="array" ref="K705">IF(OR(INDEX(Species_Availability,MATCH($N705,Species_Names,0))="No",INDEX(Species_Evo_Numbers,MATCH($N705,Species_Names,0))&lt;&gt;1),"N/A",RANK($Y705,IF(NOT(ISNA(MATCH(Combo_Species_Names,IF(Species_Availability="Yes",IF(Species_Evo_Numbers=1,Species_Names)),0))),Combo_Gym_Defense),0))</f>
        <v>N/A</v>
      </c>
      <c r="L705" s="24" t="str">
        <f t="array" ref="L705">IF(OR(INDEX(Species_Availability,MATCH($N705,Species_Names,0))="No",INDEX(Species_Evo_Numbers,MATCH($N705,Species_Names,0))&lt;&gt;1),"N/A",$Y705/MAX(IF(NOT(ISNA(MATCH(Combo_Species_Names,IF(Species_Availability="Yes",IF(Species_Evo_Numbers=1,Species_Names)),0))),Combo_Gym_Defense)))</f>
        <v>N/A</v>
      </c>
      <c r="M705" s="28">
        <f t="array" ref="M705">INDEX(Species_Pdex_Numbers,MATCH($N705,Species_Names,0))</f>
        <v>37</v>
      </c>
      <c r="N705" s="30" t="s">
        <v>166</v>
      </c>
      <c r="O705" s="31" t="s">
        <v>111</v>
      </c>
      <c r="P705" s="31" t="s">
        <v>200</v>
      </c>
      <c r="Q705" s="17" t="e">
        <f t="shared" si="20"/>
        <v>#VALUE!</v>
      </c>
      <c r="R705" s="32" t="e">
        <f t="array" ref="R705">IF(OR(AND(COUNTBLANK(Combo_Opponent_Type_1)=1,COUNTBLANK(Combo_Opponent_Type_2)=0),AND(AND(COUNTBLANK(Combo_Opponent_Type_1)=0,COUNTBLANK(Combo_Opponent_Type_2)=0),Combo_Opponent_Type_1=Combo_Opponent_Type_2)),
"Check Types",($S705*INDEX(Species_Tankiness,MATCH($N705,Species_Names,0)))/225)</f>
        <v>#VALUE!</v>
      </c>
      <c r="S705" s="32" t="e">
        <f t="array" ref="S705">IF(OR(AND(COUNTBLANK(Combo_Opponent_Type_1)=1,COUNTBLANK(Combo_Opponent_Type_2)=0),AND(AND(COUNTBLANK(Combo_Opponent_Type_1)=0,COUNTBLANK(Combo_Opponent_Type_2)=0),Combo_Opponent_Type_1=Combo_Opponent_Type_2)),
"Check Types",(
IF($W705&gt;=((1-Game_Weave_Human_Error)*$X705),$W705,$X705)*INDEX(Species_Attack,MATCH($N705,Species_Names,0)))/11)</f>
        <v>#VALUE!</v>
      </c>
      <c r="T705" s="33" t="e">
        <f t="shared" si="21"/>
        <v>#VALUE!</v>
      </c>
      <c r="U705" s="33">
        <f t="array" ref="U7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705,Quick_Names,0))),Type_Species)),0),1)*IF(COUNTBLANK(Combo_Opponent_Type_2)=0,INDEX(Type_Damage_Multipliers,MATCH(Combo_Opponent_Type_2,IF(Type_Move=(INDEX(Quick_Type,MATCH($O705,Quick_Names,0))),Type_Species)),0),1)*(IF(OR(INDEX(Quick_Type,MATCH($O705,Quick_Names,0))=INDEX(Species_Type_1,MATCH($N705,Species_Names,0)),INDEX(Quick_Type,MATCH($O705,Quick_Names,0))=INDEX(Species_Type_2,MATCH($N705,Species_Names,0))),Game_STAB_Multiplier,1)))</f>
        <v>1.25</v>
      </c>
      <c r="V705" s="33">
        <f t="array" ref="V7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705,Charge_Names,0))),Type_Species)),0),1)*IF(COUNTBLANK(Combo_Opponent_Type_2)=0,INDEX(Type_Damage_Multipliers,MATCH(Combo_Opponent_Type_2,IF(Type_Move=(INDEX(Charge_Type,MATCH($P705,Charge_Names,0))),Type_Species)),0),1)*
IF(OR(INDEX(Charge_Type,MATCH($P705,Charge_Names,0))=INDEX(Species_Type_1,MATCH($N705,Species_Names,0)),INDEX(Charge_Type,MATCH($P705,Charge_Names,0))=INDEX(Species_Type_2,MATCH($N705,Species_Names,0))),Game_STAB_Multiplier,1))</f>
        <v>1.25</v>
      </c>
      <c r="W705" s="33" t="s">
        <v>511</v>
      </c>
      <c r="X705" s="33" t="s">
        <v>560</v>
      </c>
      <c r="Y705" s="32" t="e">
        <f t="array" ref="Y705">((($Z705)*
INDEX(Species_Attack,MATCH($N705,Species_Names,0))*
INDEX(Species_Tankiness,MATCH($N705,Species_Names,0)))/1000)</f>
        <v>#VALUE!</v>
      </c>
      <c r="Z705" s="33" t="s">
        <v>561</v>
      </c>
    </row>
    <row r="706" spans="1:26" ht="14.25" customHeight="1" x14ac:dyDescent="0.2">
      <c r="A706" s="86"/>
      <c r="B706" s="22" t="str">
        <f t="array" ref="B706">CONCATENATE(TEXT($M706,"000"),".",TEXT(INDEX(Quick_Number,MATCH($O706,Quick_Names,0)),"000"),".",TEXT(INDEX(Charge_Number,MATCH($P706,Charge_Names,0)),"000"))</f>
        <v>052.220.131</v>
      </c>
      <c r="C706" s="23" t="e">
        <f t="array" ref="C706">RANK($S706,IF(Combo_Species_Names=$N706,Combo_Gym_Offense),0)</f>
        <v>#VALUE!</v>
      </c>
      <c r="D706" s="24" t="e">
        <f t="array" ref="D706">$S706/MAX(IF(Combo_Species_Names=$N706,Combo_Gym_Offense))</f>
        <v>#VALUE!</v>
      </c>
      <c r="E706" s="23" t="e">
        <f t="array" ref="E706">RANK($Y706,IF(Combo_Species_Names=$N706,Combo_Gym_Defense),0)</f>
        <v>#VALUE!</v>
      </c>
      <c r="F706" s="25" t="e">
        <f t="array" ref="F706">$Y706/MAX(IF(Combo_Species_Names=$N706,Combo_Gym_Defense))</f>
        <v>#VALUE!</v>
      </c>
      <c r="G706" s="23" t="str">
        <f t="array" ref="G706">IF(OR(INDEX(Species_Availability,MATCH($N706,Species_Names,0))="No",INDEX(Species_Evo_Numbers,MATCH($N706,Species_Names,0))&lt;&gt;1),"N/A",RANK($R706,IF(NOT(ISNA(MATCH(Combo_Species_Names,IF(Species_Availability="Yes",IF(Species_Evo_Numbers=1,Species_Names)),0))),Combo_Duel_Ability),0))</f>
        <v>N/A</v>
      </c>
      <c r="H706" s="24" t="str">
        <f t="array" ref="H706">IF(OR(INDEX(Species_Availability,MATCH($N706,Species_Names,0))="No",INDEX(Species_Evo_Numbers,MATCH($N706,Species_Names,0))&lt;&gt;1),"N/A",$R706/MAX(IF(NOT(ISNA(MATCH(Combo_Species_Names,IF(Species_Availability="Yes",IF(Species_Evo_Numbers=1,Species_Names)),0))),Combo_Duel_Ability)))</f>
        <v>N/A</v>
      </c>
      <c r="I706" s="23" t="str">
        <f t="array" ref="I706">IF(OR(INDEX(Species_Availability,MATCH($N706,Species_Names,0))="No",INDEX(Species_Evo_Numbers,MATCH($N706,Species_Names,0))&lt;&gt;1),"N/A",RANK($S706,IF(NOT(ISNA(MATCH(Combo_Species_Names,IF(Species_Availability="Yes",IF(Species_Evo_Numbers=1,Species_Names)),0))),Combo_Gym_Offense),0))</f>
        <v>N/A</v>
      </c>
      <c r="J706" s="24" t="str">
        <f t="array" ref="J706">IF(OR(INDEX(Species_Availability,MATCH($N706,Species_Names,0))="No",INDEX(Species_Evo_Numbers,MATCH($N706,Species_Names,0))&lt;&gt;1),"N/A",$S706/MAX(IF(NOT(ISNA(MATCH(Combo_Species_Names,IF(Species_Availability="Yes",IF(Species_Evo_Numbers=1,Species_Names)),0))),Combo_Gym_Offense)))</f>
        <v>N/A</v>
      </c>
      <c r="K706" s="23" t="str">
        <f t="array" ref="K706">IF(OR(INDEX(Species_Availability,MATCH($N706,Species_Names,0))="No",INDEX(Species_Evo_Numbers,MATCH($N706,Species_Names,0))&lt;&gt;1),"N/A",RANK($Y706,IF(NOT(ISNA(MATCH(Combo_Species_Names,IF(Species_Availability="Yes",IF(Species_Evo_Numbers=1,Species_Names)),0))),Combo_Gym_Defense),0))</f>
        <v>N/A</v>
      </c>
      <c r="L706" s="24" t="str">
        <f t="array" ref="L706">IF(OR(INDEX(Species_Availability,MATCH($N706,Species_Names,0))="No",INDEX(Species_Evo_Numbers,MATCH($N706,Species_Names,0))&lt;&gt;1),"N/A",$Y706/MAX(IF(NOT(ISNA(MATCH(Combo_Species_Names,IF(Species_Availability="Yes",IF(Species_Evo_Numbers=1,Species_Names)),0))),Combo_Gym_Defense)))</f>
        <v>N/A</v>
      </c>
      <c r="M706" s="28">
        <f t="array" ref="M706">INDEX(Species_Pdex_Numbers,MATCH($N706,Species_Names,0))</f>
        <v>52</v>
      </c>
      <c r="N706" s="30" t="s">
        <v>194</v>
      </c>
      <c r="O706" s="31" t="s">
        <v>64</v>
      </c>
      <c r="P706" s="31" t="s">
        <v>151</v>
      </c>
      <c r="Q706" s="17" t="e">
        <f t="shared" si="20"/>
        <v>#VALUE!</v>
      </c>
      <c r="R706" s="32" t="e">
        <f t="array" ref="R706">IF(OR(AND(COUNTBLANK(Combo_Opponent_Type_1)=1,COUNTBLANK(Combo_Opponent_Type_2)=0),AND(AND(COUNTBLANK(Combo_Opponent_Type_1)=0,COUNTBLANK(Combo_Opponent_Type_2)=0),Combo_Opponent_Type_1=Combo_Opponent_Type_2)),
"Check Types",($S706*INDEX(Species_Tankiness,MATCH($N706,Species_Names,0)))/225)</f>
        <v>#VALUE!</v>
      </c>
      <c r="S706" s="32" t="e">
        <f t="array" ref="S706">IF(OR(AND(COUNTBLANK(Combo_Opponent_Type_1)=1,COUNTBLANK(Combo_Opponent_Type_2)=0),AND(AND(COUNTBLANK(Combo_Opponent_Type_1)=0,COUNTBLANK(Combo_Opponent_Type_2)=0),Combo_Opponent_Type_1=Combo_Opponent_Type_2)),
"Check Types",(
IF($W706&gt;=((1-Game_Weave_Human_Error)*$X706),$W706,$X706)*INDEX(Species_Attack,MATCH($N706,Species_Names,0)))/11)</f>
        <v>#VALUE!</v>
      </c>
      <c r="T706" s="33" t="e">
        <f t="shared" si="21"/>
        <v>#VALUE!</v>
      </c>
      <c r="U706" s="33">
        <f t="array" ref="U7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706,Quick_Names,0))),Type_Species)),0),1)*IF(COUNTBLANK(Combo_Opponent_Type_2)=0,INDEX(Type_Damage_Multipliers,MATCH(Combo_Opponent_Type_2,IF(Type_Move=(INDEX(Quick_Type,MATCH($O706,Quick_Names,0))),Type_Species)),0),1)*(IF(OR(INDEX(Quick_Type,MATCH($O706,Quick_Names,0))=INDEX(Species_Type_1,MATCH($N706,Species_Names,0)),INDEX(Quick_Type,MATCH($O706,Quick_Names,0))=INDEX(Species_Type_2,MATCH($N706,Species_Names,0))),Game_STAB_Multiplier,1)))</f>
        <v>1.25</v>
      </c>
      <c r="V706" s="33">
        <f t="array" ref="V7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706,Charge_Names,0))),Type_Species)),0),1)*IF(COUNTBLANK(Combo_Opponent_Type_2)=0,INDEX(Type_Damage_Multipliers,MATCH(Combo_Opponent_Type_2,IF(Type_Move=(INDEX(Charge_Type,MATCH($P706,Charge_Names,0))),Type_Species)),0),1)*
IF(OR(INDEX(Charge_Type,MATCH($P706,Charge_Names,0))=INDEX(Species_Type_1,MATCH($N706,Species_Names,0)),INDEX(Charge_Type,MATCH($P706,Charge_Names,0))=INDEX(Species_Type_2,MATCH($N706,Species_Names,0))),Game_STAB_Multiplier,1))</f>
        <v>1.25</v>
      </c>
      <c r="W706" s="33" t="s">
        <v>412</v>
      </c>
      <c r="X706" s="33" t="s">
        <v>1057</v>
      </c>
      <c r="Y706" s="32" t="e">
        <f t="array" ref="Y706">((($Z706)*
INDEX(Species_Attack,MATCH($N706,Species_Names,0))*
INDEX(Species_Tankiness,MATCH($N706,Species_Names,0)))/1000)</f>
        <v>#VALUE!</v>
      </c>
      <c r="Z706" s="33" t="s">
        <v>774</v>
      </c>
    </row>
    <row r="707" spans="1:26" ht="14.25" customHeight="1" x14ac:dyDescent="0.2">
      <c r="A707" s="86"/>
      <c r="B707" s="22" t="str">
        <f t="array" ref="B707">CONCATENATE(TEXT($M707,"000"),".",TEXT(INDEX(Quick_Number,MATCH($O707,Quick_Names,0)),"000"),".",TEXT(INDEX(Charge_Number,MATCH($P707,Charge_Names,0)),"000"))</f>
        <v>025.205.079</v>
      </c>
      <c r="C707" s="23" t="e">
        <f t="array" ref="C707">RANK($S707,IF(Combo_Species_Names=$N707,Combo_Gym_Offense),0)</f>
        <v>#VALUE!</v>
      </c>
      <c r="D707" s="24" t="e">
        <f t="array" ref="D707">$S707/MAX(IF(Combo_Species_Names=$N707,Combo_Gym_Offense))</f>
        <v>#VALUE!</v>
      </c>
      <c r="E707" s="23" t="e">
        <f t="array" ref="E707">RANK($Y707,IF(Combo_Species_Names=$N707,Combo_Gym_Defense),0)</f>
        <v>#VALUE!</v>
      </c>
      <c r="F707" s="25" t="e">
        <f t="array" ref="F707">$Y707/MAX(IF(Combo_Species_Names=$N707,Combo_Gym_Defense))</f>
        <v>#VALUE!</v>
      </c>
      <c r="G707" s="23" t="str">
        <f t="array" ref="G707">IF(OR(INDEX(Species_Availability,MATCH($N707,Species_Names,0))="No",INDEX(Species_Evo_Numbers,MATCH($N707,Species_Names,0))&lt;&gt;1),"N/A",RANK($R707,IF(NOT(ISNA(MATCH(Combo_Species_Names,IF(Species_Availability="Yes",IF(Species_Evo_Numbers=1,Species_Names)),0))),Combo_Duel_Ability),0))</f>
        <v>N/A</v>
      </c>
      <c r="H707" s="24" t="str">
        <f t="array" ref="H707">IF(OR(INDEX(Species_Availability,MATCH($N707,Species_Names,0))="No",INDEX(Species_Evo_Numbers,MATCH($N707,Species_Names,0))&lt;&gt;1),"N/A",$R707/MAX(IF(NOT(ISNA(MATCH(Combo_Species_Names,IF(Species_Availability="Yes",IF(Species_Evo_Numbers=1,Species_Names)),0))),Combo_Duel_Ability)))</f>
        <v>N/A</v>
      </c>
      <c r="I707" s="23" t="str">
        <f t="array" ref="I707">IF(OR(INDEX(Species_Availability,MATCH($N707,Species_Names,0))="No",INDEX(Species_Evo_Numbers,MATCH($N707,Species_Names,0))&lt;&gt;1),"N/A",RANK($S707,IF(NOT(ISNA(MATCH(Combo_Species_Names,IF(Species_Availability="Yes",IF(Species_Evo_Numbers=1,Species_Names)),0))),Combo_Gym_Offense),0))</f>
        <v>N/A</v>
      </c>
      <c r="J707" s="24" t="str">
        <f t="array" ref="J707">IF(OR(INDEX(Species_Availability,MATCH($N707,Species_Names,0))="No",INDEX(Species_Evo_Numbers,MATCH($N707,Species_Names,0))&lt;&gt;1),"N/A",$S707/MAX(IF(NOT(ISNA(MATCH(Combo_Species_Names,IF(Species_Availability="Yes",IF(Species_Evo_Numbers=1,Species_Names)),0))),Combo_Gym_Offense)))</f>
        <v>N/A</v>
      </c>
      <c r="K707" s="23" t="str">
        <f t="array" ref="K707">IF(OR(INDEX(Species_Availability,MATCH($N707,Species_Names,0))="No",INDEX(Species_Evo_Numbers,MATCH($N707,Species_Names,0))&lt;&gt;1),"N/A",RANK($Y707,IF(NOT(ISNA(MATCH(Combo_Species_Names,IF(Species_Availability="Yes",IF(Species_Evo_Numbers=1,Species_Names)),0))),Combo_Gym_Defense),0))</f>
        <v>N/A</v>
      </c>
      <c r="L707" s="24" t="str">
        <f t="array" ref="L707">IF(OR(INDEX(Species_Availability,MATCH($N707,Species_Names,0))="No",INDEX(Species_Evo_Numbers,MATCH($N707,Species_Names,0))&lt;&gt;1),"N/A",$Y707/MAX(IF(NOT(ISNA(MATCH(Combo_Species_Names,IF(Species_Availability="Yes",IF(Species_Evo_Numbers=1,Species_Names)),0))),Combo_Gym_Defense)))</f>
        <v>N/A</v>
      </c>
      <c r="M707" s="28">
        <f t="array" ref="M707">INDEX(Species_Pdex_Numbers,MATCH($N707,Species_Names,0))</f>
        <v>25</v>
      </c>
      <c r="N707" s="30" t="s">
        <v>135</v>
      </c>
      <c r="O707" s="31" t="s">
        <v>115</v>
      </c>
      <c r="P707" s="31" t="s">
        <v>190</v>
      </c>
      <c r="Q707" s="17" t="e">
        <f t="shared" si="20"/>
        <v>#VALUE!</v>
      </c>
      <c r="R707" s="32" t="e">
        <f t="array" ref="R707">IF(OR(AND(COUNTBLANK(Combo_Opponent_Type_1)=1,COUNTBLANK(Combo_Opponent_Type_2)=0),AND(AND(COUNTBLANK(Combo_Opponent_Type_1)=0,COUNTBLANK(Combo_Opponent_Type_2)=0),Combo_Opponent_Type_1=Combo_Opponent_Type_2)),
"Check Types",($S707*INDEX(Species_Tankiness,MATCH($N707,Species_Names,0)))/225)</f>
        <v>#VALUE!</v>
      </c>
      <c r="S707" s="32" t="e">
        <f t="array" ref="S707">IF(OR(AND(COUNTBLANK(Combo_Opponent_Type_1)=1,COUNTBLANK(Combo_Opponent_Type_2)=0),AND(AND(COUNTBLANK(Combo_Opponent_Type_1)=0,COUNTBLANK(Combo_Opponent_Type_2)=0),Combo_Opponent_Type_1=Combo_Opponent_Type_2)),
"Check Types",(
IF($W707&gt;=((1-Game_Weave_Human_Error)*$X707),$W707,$X707)*INDEX(Species_Attack,MATCH($N707,Species_Names,0)))/11)</f>
        <v>#VALUE!</v>
      </c>
      <c r="T707" s="33" t="e">
        <f t="shared" si="21"/>
        <v>#VALUE!</v>
      </c>
      <c r="U707" s="33">
        <f t="array" ref="U7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707,Quick_Names,0))),Type_Species)),0),1)*IF(COUNTBLANK(Combo_Opponent_Type_2)=0,INDEX(Type_Damage_Multipliers,MATCH(Combo_Opponent_Type_2,IF(Type_Move=(INDEX(Quick_Type,MATCH($O707,Quick_Names,0))),Type_Species)),0),1)*(IF(OR(INDEX(Quick_Type,MATCH($O707,Quick_Names,0))=INDEX(Species_Type_1,MATCH($N707,Species_Names,0)),INDEX(Quick_Type,MATCH($O707,Quick_Names,0))=INDEX(Species_Type_2,MATCH($N707,Species_Names,0))),Game_STAB_Multiplier,1)))</f>
        <v>1.25</v>
      </c>
      <c r="V707" s="33">
        <f t="array" ref="V7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707,Charge_Names,0))),Type_Species)),0),1)*IF(COUNTBLANK(Combo_Opponent_Type_2)=0,INDEX(Type_Damage_Multipliers,MATCH(Combo_Opponent_Type_2,IF(Type_Move=(INDEX(Charge_Type,MATCH($P707,Charge_Names,0))),Type_Species)),0),1)*
IF(OR(INDEX(Charge_Type,MATCH($P707,Charge_Names,0))=INDEX(Species_Type_1,MATCH($N707,Species_Names,0)),INDEX(Charge_Type,MATCH($P707,Charge_Names,0))=INDEX(Species_Type_2,MATCH($N707,Species_Names,0))),Game_STAB_Multiplier,1))</f>
        <v>1.25</v>
      </c>
      <c r="W707" s="33" t="s">
        <v>678</v>
      </c>
      <c r="X707" s="33" t="s">
        <v>696</v>
      </c>
      <c r="Y707" s="32" t="e">
        <f t="array" ref="Y707">((($Z707)*
INDEX(Species_Attack,MATCH($N707,Species_Names,0))*
INDEX(Species_Tankiness,MATCH($N707,Species_Names,0)))/1000)</f>
        <v>#VALUE!</v>
      </c>
      <c r="Z707" s="33" t="s">
        <v>697</v>
      </c>
    </row>
    <row r="708" spans="1:26" ht="14.25" customHeight="1" x14ac:dyDescent="0.2">
      <c r="A708" s="86"/>
      <c r="B708" s="22" t="str">
        <f t="array" ref="B708">CONCATENATE(TEXT($M708,"000"),".",TEXT(INDEX(Quick_Number,MATCH($O708,Quick_Names,0)),"000"),".",TEXT(INDEX(Charge_Number,MATCH($P708,Charge_Names,0)),"000"))</f>
        <v>081.206.079</v>
      </c>
      <c r="C708" s="23" t="e">
        <f t="array" ref="C708">RANK($S708,IF(Combo_Species_Names=$N708,Combo_Gym_Offense),0)</f>
        <v>#VALUE!</v>
      </c>
      <c r="D708" s="24" t="e">
        <f t="array" ref="D708">$S708/MAX(IF(Combo_Species_Names=$N708,Combo_Gym_Offense))</f>
        <v>#VALUE!</v>
      </c>
      <c r="E708" s="23" t="e">
        <f t="array" ref="E708">RANK($Y708,IF(Combo_Species_Names=$N708,Combo_Gym_Defense),0)</f>
        <v>#VALUE!</v>
      </c>
      <c r="F708" s="25" t="e">
        <f t="array" ref="F708">$Y708/MAX(IF(Combo_Species_Names=$N708,Combo_Gym_Defense))</f>
        <v>#VALUE!</v>
      </c>
      <c r="G708" s="23" t="str">
        <f t="array" ref="G708">IF(OR(INDEX(Species_Availability,MATCH($N708,Species_Names,0))="No",INDEX(Species_Evo_Numbers,MATCH($N708,Species_Names,0))&lt;&gt;1),"N/A",RANK($R708,IF(NOT(ISNA(MATCH(Combo_Species_Names,IF(Species_Availability="Yes",IF(Species_Evo_Numbers=1,Species_Names)),0))),Combo_Duel_Ability),0))</f>
        <v>N/A</v>
      </c>
      <c r="H708" s="24" t="str">
        <f t="array" ref="H708">IF(OR(INDEX(Species_Availability,MATCH($N708,Species_Names,0))="No",INDEX(Species_Evo_Numbers,MATCH($N708,Species_Names,0))&lt;&gt;1),"N/A",$R708/MAX(IF(NOT(ISNA(MATCH(Combo_Species_Names,IF(Species_Availability="Yes",IF(Species_Evo_Numbers=1,Species_Names)),0))),Combo_Duel_Ability)))</f>
        <v>N/A</v>
      </c>
      <c r="I708" s="23" t="str">
        <f t="array" ref="I708">IF(OR(INDEX(Species_Availability,MATCH($N708,Species_Names,0))="No",INDEX(Species_Evo_Numbers,MATCH($N708,Species_Names,0))&lt;&gt;1),"N/A",RANK($S708,IF(NOT(ISNA(MATCH(Combo_Species_Names,IF(Species_Availability="Yes",IF(Species_Evo_Numbers=1,Species_Names)),0))),Combo_Gym_Offense),0))</f>
        <v>N/A</v>
      </c>
      <c r="J708" s="24" t="str">
        <f t="array" ref="J708">IF(OR(INDEX(Species_Availability,MATCH($N708,Species_Names,0))="No",INDEX(Species_Evo_Numbers,MATCH($N708,Species_Names,0))&lt;&gt;1),"N/A",$S708/MAX(IF(NOT(ISNA(MATCH(Combo_Species_Names,IF(Species_Availability="Yes",IF(Species_Evo_Numbers=1,Species_Names)),0))),Combo_Gym_Offense)))</f>
        <v>N/A</v>
      </c>
      <c r="K708" s="23" t="str">
        <f t="array" ref="K708">IF(OR(INDEX(Species_Availability,MATCH($N708,Species_Names,0))="No",INDEX(Species_Evo_Numbers,MATCH($N708,Species_Names,0))&lt;&gt;1),"N/A",RANK($Y708,IF(NOT(ISNA(MATCH(Combo_Species_Names,IF(Species_Availability="Yes",IF(Species_Evo_Numbers=1,Species_Names)),0))),Combo_Gym_Defense),0))</f>
        <v>N/A</v>
      </c>
      <c r="L708" s="24" t="str">
        <f t="array" ref="L708">IF(OR(INDEX(Species_Availability,MATCH($N708,Species_Names,0))="No",INDEX(Species_Evo_Numbers,MATCH($N708,Species_Names,0))&lt;&gt;1),"N/A",$Y708/MAX(IF(NOT(ISNA(MATCH(Combo_Species_Names,IF(Species_Availability="Yes",IF(Species_Evo_Numbers=1,Species_Names)),0))),Combo_Gym_Defense)))</f>
        <v>N/A</v>
      </c>
      <c r="M708" s="28">
        <f t="array" ref="M708">INDEX(Species_Pdex_Numbers,MATCH($N708,Species_Names,0))</f>
        <v>81</v>
      </c>
      <c r="N708" s="30" t="s">
        <v>254</v>
      </c>
      <c r="O708" s="31" t="s">
        <v>106</v>
      </c>
      <c r="P708" s="31" t="s">
        <v>190</v>
      </c>
      <c r="Q708" s="17" t="e">
        <f t="shared" si="20"/>
        <v>#VALUE!</v>
      </c>
      <c r="R708" s="32" t="e">
        <f t="array" ref="R708">IF(OR(AND(COUNTBLANK(Combo_Opponent_Type_1)=1,COUNTBLANK(Combo_Opponent_Type_2)=0),AND(AND(COUNTBLANK(Combo_Opponent_Type_1)=0,COUNTBLANK(Combo_Opponent_Type_2)=0),Combo_Opponent_Type_1=Combo_Opponent_Type_2)),
"Check Types",($S708*INDEX(Species_Tankiness,MATCH($N708,Species_Names,0)))/225)</f>
        <v>#VALUE!</v>
      </c>
      <c r="S708" s="32" t="e">
        <f t="array" ref="S708">IF(OR(AND(COUNTBLANK(Combo_Opponent_Type_1)=1,COUNTBLANK(Combo_Opponent_Type_2)=0),AND(AND(COUNTBLANK(Combo_Opponent_Type_1)=0,COUNTBLANK(Combo_Opponent_Type_2)=0),Combo_Opponent_Type_1=Combo_Opponent_Type_2)),
"Check Types",(
IF($W708&gt;=((1-Game_Weave_Human_Error)*$X708),$W708,$X708)*INDEX(Species_Attack,MATCH($N708,Species_Names,0)))/11)</f>
        <v>#VALUE!</v>
      </c>
      <c r="T708" s="33" t="e">
        <f t="shared" si="21"/>
        <v>#VALUE!</v>
      </c>
      <c r="U708" s="33">
        <f t="array" ref="U7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708,Quick_Names,0))),Type_Species)),0),1)*IF(COUNTBLANK(Combo_Opponent_Type_2)=0,INDEX(Type_Damage_Multipliers,MATCH(Combo_Opponent_Type_2,IF(Type_Move=(INDEX(Quick_Type,MATCH($O708,Quick_Names,0))),Type_Species)),0),1)*(IF(OR(INDEX(Quick_Type,MATCH($O708,Quick_Names,0))=INDEX(Species_Type_1,MATCH($N708,Species_Names,0)),INDEX(Quick_Type,MATCH($O708,Quick_Names,0))=INDEX(Species_Type_2,MATCH($N708,Species_Names,0))),Game_STAB_Multiplier,1)))</f>
        <v>1.25</v>
      </c>
      <c r="V708" s="33">
        <f t="array" ref="V7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708,Charge_Names,0))),Type_Species)),0),1)*IF(COUNTBLANK(Combo_Opponent_Type_2)=0,INDEX(Type_Damage_Multipliers,MATCH(Combo_Opponent_Type_2,IF(Type_Move=(INDEX(Charge_Type,MATCH($P708,Charge_Names,0))),Type_Species)),0),1)*
IF(OR(INDEX(Charge_Type,MATCH($P708,Charge_Names,0))=INDEX(Species_Type_1,MATCH($N708,Species_Names,0)),INDEX(Charge_Type,MATCH($P708,Charge_Names,0))=INDEX(Species_Type_2,MATCH($N708,Species_Names,0))),Game_STAB_Multiplier,1))</f>
        <v>1.25</v>
      </c>
      <c r="W708" s="33" t="s">
        <v>708</v>
      </c>
      <c r="X708" s="33" t="s">
        <v>434</v>
      </c>
      <c r="Y708" s="32" t="e">
        <f t="array" ref="Y708">((($Z708)*
INDEX(Species_Attack,MATCH($N708,Species_Names,0))*
INDEX(Species_Tankiness,MATCH($N708,Species_Names,0)))/1000)</f>
        <v>#VALUE!</v>
      </c>
      <c r="Z708" s="33" t="s">
        <v>507</v>
      </c>
    </row>
    <row r="709" spans="1:26" ht="14.25" customHeight="1" x14ac:dyDescent="0.2">
      <c r="A709" s="86"/>
      <c r="B709" s="22" t="str">
        <f t="array" ref="B709">CONCATENATE(TEXT($M709,"000"),".",TEXT(INDEX(Quick_Number,MATCH($O709,Quick_Names,0)),"000"),".",TEXT(INDEX(Charge_Number,MATCH($P709,Charge_Names,0)),"000"))</f>
        <v>046.201.089</v>
      </c>
      <c r="C709" s="23" t="e">
        <f t="array" ref="C709">RANK($S709,IF(Combo_Species_Names=$N709,Combo_Gym_Offense),0)</f>
        <v>#VALUE!</v>
      </c>
      <c r="D709" s="24" t="e">
        <f t="array" ref="D709">$S709/MAX(IF(Combo_Species_Names=$N709,Combo_Gym_Offense))</f>
        <v>#VALUE!</v>
      </c>
      <c r="E709" s="23" t="e">
        <f t="array" ref="E709">RANK($Y709,IF(Combo_Species_Names=$N709,Combo_Gym_Defense),0)</f>
        <v>#VALUE!</v>
      </c>
      <c r="F709" s="25" t="e">
        <f t="array" ref="F709">$Y709/MAX(IF(Combo_Species_Names=$N709,Combo_Gym_Defense))</f>
        <v>#VALUE!</v>
      </c>
      <c r="G709" s="23" t="str">
        <f t="array" ref="G709">IF(OR(INDEX(Species_Availability,MATCH($N709,Species_Names,0))="No",INDEX(Species_Evo_Numbers,MATCH($N709,Species_Names,0))&lt;&gt;1),"N/A",RANK($R709,IF(NOT(ISNA(MATCH(Combo_Species_Names,IF(Species_Availability="Yes",IF(Species_Evo_Numbers=1,Species_Names)),0))),Combo_Duel_Ability),0))</f>
        <v>N/A</v>
      </c>
      <c r="H709" s="24" t="str">
        <f t="array" ref="H709">IF(OR(INDEX(Species_Availability,MATCH($N709,Species_Names,0))="No",INDEX(Species_Evo_Numbers,MATCH($N709,Species_Names,0))&lt;&gt;1),"N/A",$R709/MAX(IF(NOT(ISNA(MATCH(Combo_Species_Names,IF(Species_Availability="Yes",IF(Species_Evo_Numbers=1,Species_Names)),0))),Combo_Duel_Ability)))</f>
        <v>N/A</v>
      </c>
      <c r="I709" s="23" t="str">
        <f t="array" ref="I709">IF(OR(INDEX(Species_Availability,MATCH($N709,Species_Names,0))="No",INDEX(Species_Evo_Numbers,MATCH($N709,Species_Names,0))&lt;&gt;1),"N/A",RANK($S709,IF(NOT(ISNA(MATCH(Combo_Species_Names,IF(Species_Availability="Yes",IF(Species_Evo_Numbers=1,Species_Names)),0))),Combo_Gym_Offense),0))</f>
        <v>N/A</v>
      </c>
      <c r="J709" s="24" t="str">
        <f t="array" ref="J709">IF(OR(INDEX(Species_Availability,MATCH($N709,Species_Names,0))="No",INDEX(Species_Evo_Numbers,MATCH($N709,Species_Names,0))&lt;&gt;1),"N/A",$S709/MAX(IF(NOT(ISNA(MATCH(Combo_Species_Names,IF(Species_Availability="Yes",IF(Species_Evo_Numbers=1,Species_Names)),0))),Combo_Gym_Offense)))</f>
        <v>N/A</v>
      </c>
      <c r="K709" s="23" t="str">
        <f t="array" ref="K709">IF(OR(INDEX(Species_Availability,MATCH($N709,Species_Names,0))="No",INDEX(Species_Evo_Numbers,MATCH($N709,Species_Names,0))&lt;&gt;1),"N/A",RANK($Y709,IF(NOT(ISNA(MATCH(Combo_Species_Names,IF(Species_Availability="Yes",IF(Species_Evo_Numbers=1,Species_Names)),0))),Combo_Gym_Defense),0))</f>
        <v>N/A</v>
      </c>
      <c r="L709" s="24" t="str">
        <f t="array" ref="L709">IF(OR(INDEX(Species_Availability,MATCH($N709,Species_Names,0))="No",INDEX(Species_Evo_Numbers,MATCH($N709,Species_Names,0))&lt;&gt;1),"N/A",$Y709/MAX(IF(NOT(ISNA(MATCH(Combo_Species_Names,IF(Species_Availability="Yes",IF(Species_Evo_Numbers=1,Species_Names)),0))),Combo_Gym_Defense)))</f>
        <v>N/A</v>
      </c>
      <c r="M709" s="28">
        <f t="array" ref="M709">INDEX(Species_Pdex_Numbers,MATCH($N709,Species_Names,0))</f>
        <v>46</v>
      </c>
      <c r="N709" s="30" t="s">
        <v>182</v>
      </c>
      <c r="O709" s="31" t="s">
        <v>82</v>
      </c>
      <c r="P709" s="31" t="s">
        <v>206</v>
      </c>
      <c r="Q709" s="17" t="e">
        <f t="shared" si="20"/>
        <v>#VALUE!</v>
      </c>
      <c r="R709" s="32" t="e">
        <f t="array" ref="R709">IF(OR(AND(COUNTBLANK(Combo_Opponent_Type_1)=1,COUNTBLANK(Combo_Opponent_Type_2)=0),AND(AND(COUNTBLANK(Combo_Opponent_Type_1)=0,COUNTBLANK(Combo_Opponent_Type_2)=0),Combo_Opponent_Type_1=Combo_Opponent_Type_2)),
"Check Types",($S709*INDEX(Species_Tankiness,MATCH($N709,Species_Names,0)))/225)</f>
        <v>#VALUE!</v>
      </c>
      <c r="S709" s="32" t="e">
        <f t="array" ref="S709">IF(OR(AND(COUNTBLANK(Combo_Opponent_Type_1)=1,COUNTBLANK(Combo_Opponent_Type_2)=0),AND(AND(COUNTBLANK(Combo_Opponent_Type_1)=0,COUNTBLANK(Combo_Opponent_Type_2)=0),Combo_Opponent_Type_1=Combo_Opponent_Type_2)),
"Check Types",(
IF($W709&gt;=((1-Game_Weave_Human_Error)*$X709),$W709,$X709)*INDEX(Species_Attack,MATCH($N709,Species_Names,0)))/11)</f>
        <v>#VALUE!</v>
      </c>
      <c r="T709" s="33" t="e">
        <f t="shared" si="21"/>
        <v>#VALUE!</v>
      </c>
      <c r="U709" s="33">
        <f t="array" ref="U7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709,Quick_Names,0))),Type_Species)),0),1)*IF(COUNTBLANK(Combo_Opponent_Type_2)=0,INDEX(Type_Damage_Multipliers,MATCH(Combo_Opponent_Type_2,IF(Type_Move=(INDEX(Quick_Type,MATCH($O709,Quick_Names,0))),Type_Species)),0),1)*(IF(OR(INDEX(Quick_Type,MATCH($O709,Quick_Names,0))=INDEX(Species_Type_1,MATCH($N709,Species_Names,0)),INDEX(Quick_Type,MATCH($O709,Quick_Names,0))=INDEX(Species_Type_2,MATCH($N709,Species_Names,0))),Game_STAB_Multiplier,1)))</f>
        <v>1.25</v>
      </c>
      <c r="V709" s="33">
        <f t="array" ref="V7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709,Charge_Names,0))),Type_Species)),0),1)*IF(COUNTBLANK(Combo_Opponent_Type_2)=0,INDEX(Type_Damage_Multipliers,MATCH(Combo_Opponent_Type_2,IF(Type_Move=(INDEX(Charge_Type,MATCH($P709,Charge_Names,0))),Type_Species)),0),1)*
IF(OR(INDEX(Charge_Type,MATCH($P709,Charge_Names,0))=INDEX(Species_Type_1,MATCH($N709,Species_Names,0)),INDEX(Charge_Type,MATCH($P709,Charge_Names,0))=INDEX(Species_Type_2,MATCH($N709,Species_Names,0))),Game_STAB_Multiplier,1))</f>
        <v>1</v>
      </c>
      <c r="W709" s="33" t="s">
        <v>436</v>
      </c>
      <c r="X709" s="33" t="s">
        <v>822</v>
      </c>
      <c r="Y709" s="32" t="e">
        <f t="array" ref="Y709">((($Z709)*
INDEX(Species_Attack,MATCH($N709,Species_Names,0))*
INDEX(Species_Tankiness,MATCH($N709,Species_Names,0)))/1000)</f>
        <v>#VALUE!</v>
      </c>
      <c r="Z709" s="33" t="s">
        <v>823</v>
      </c>
    </row>
    <row r="710" spans="1:26" ht="14.25" customHeight="1" x14ac:dyDescent="0.2">
      <c r="A710" s="86"/>
      <c r="B710" s="22" t="str">
        <f t="array" ref="B710">CONCATENATE(TEXT($M710,"000"),".",TEXT(INDEX(Quick_Number,MATCH($O710,Quick_Names,0)),"000"),".",TEXT(INDEX(Charge_Number,MATCH($P710,Charge_Names,0)),"000"))</f>
        <v>004.209.102</v>
      </c>
      <c r="C710" s="23" t="e">
        <f t="array" ref="C710">RANK($S710,IF(Combo_Species_Names=$N710,Combo_Gym_Offense),0)</f>
        <v>#VALUE!</v>
      </c>
      <c r="D710" s="24" t="e">
        <f t="array" ref="D710">$S710/MAX(IF(Combo_Species_Names=$N710,Combo_Gym_Offense))</f>
        <v>#VALUE!</v>
      </c>
      <c r="E710" s="23" t="e">
        <f t="array" ref="E710">RANK($Y710,IF(Combo_Species_Names=$N710,Combo_Gym_Defense),0)</f>
        <v>#VALUE!</v>
      </c>
      <c r="F710" s="25" t="e">
        <f t="array" ref="F710">$Y710/MAX(IF(Combo_Species_Names=$N710,Combo_Gym_Defense))</f>
        <v>#VALUE!</v>
      </c>
      <c r="G710" s="23" t="str">
        <f t="array" ref="G710">IF(OR(INDEX(Species_Availability,MATCH($N710,Species_Names,0))="No",INDEX(Species_Evo_Numbers,MATCH($N710,Species_Names,0))&lt;&gt;1),"N/A",RANK($R710,IF(NOT(ISNA(MATCH(Combo_Species_Names,IF(Species_Availability="Yes",IF(Species_Evo_Numbers=1,Species_Names)),0))),Combo_Duel_Ability),0))</f>
        <v>N/A</v>
      </c>
      <c r="H710" s="24" t="str">
        <f t="array" ref="H710">IF(OR(INDEX(Species_Availability,MATCH($N710,Species_Names,0))="No",INDEX(Species_Evo_Numbers,MATCH($N710,Species_Names,0))&lt;&gt;1),"N/A",$R710/MAX(IF(NOT(ISNA(MATCH(Combo_Species_Names,IF(Species_Availability="Yes",IF(Species_Evo_Numbers=1,Species_Names)),0))),Combo_Duel_Ability)))</f>
        <v>N/A</v>
      </c>
      <c r="I710" s="23" t="str">
        <f t="array" ref="I710">IF(OR(INDEX(Species_Availability,MATCH($N710,Species_Names,0))="No",INDEX(Species_Evo_Numbers,MATCH($N710,Species_Names,0))&lt;&gt;1),"N/A",RANK($S710,IF(NOT(ISNA(MATCH(Combo_Species_Names,IF(Species_Availability="Yes",IF(Species_Evo_Numbers=1,Species_Names)),0))),Combo_Gym_Offense),0))</f>
        <v>N/A</v>
      </c>
      <c r="J710" s="24" t="str">
        <f t="array" ref="J710">IF(OR(INDEX(Species_Availability,MATCH($N710,Species_Names,0))="No",INDEX(Species_Evo_Numbers,MATCH($N710,Species_Names,0))&lt;&gt;1),"N/A",$S710/MAX(IF(NOT(ISNA(MATCH(Combo_Species_Names,IF(Species_Availability="Yes",IF(Species_Evo_Numbers=1,Species_Names)),0))),Combo_Gym_Offense)))</f>
        <v>N/A</v>
      </c>
      <c r="K710" s="23" t="str">
        <f t="array" ref="K710">IF(OR(INDEX(Species_Availability,MATCH($N710,Species_Names,0))="No",INDEX(Species_Evo_Numbers,MATCH($N710,Species_Names,0))&lt;&gt;1),"N/A",RANK($Y710,IF(NOT(ISNA(MATCH(Combo_Species_Names,IF(Species_Availability="Yes",IF(Species_Evo_Numbers=1,Species_Names)),0))),Combo_Gym_Defense),0))</f>
        <v>N/A</v>
      </c>
      <c r="L710" s="24" t="str">
        <f t="array" ref="L710">IF(OR(INDEX(Species_Availability,MATCH($N710,Species_Names,0))="No",INDEX(Species_Evo_Numbers,MATCH($N710,Species_Names,0))&lt;&gt;1),"N/A",$Y710/MAX(IF(NOT(ISNA(MATCH(Combo_Species_Names,IF(Species_Availability="Yes",IF(Species_Evo_Numbers=1,Species_Names)),0))),Combo_Gym_Defense)))</f>
        <v>N/A</v>
      </c>
      <c r="M710" s="28">
        <f t="array" ref="M710">INDEX(Species_Pdex_Numbers,MATCH($N710,Species_Names,0))</f>
        <v>4</v>
      </c>
      <c r="N710" s="30" t="s">
        <v>73</v>
      </c>
      <c r="O710" s="31" t="s">
        <v>111</v>
      </c>
      <c r="P710" s="31" t="s">
        <v>239</v>
      </c>
      <c r="Q710" s="17" t="e">
        <f t="shared" ref="Q710:Q773" si="22">IF(OR(AND(COUNTBLANK(Combo_Opponent_Type_1)=1,COUNTBLANK(Combo_Opponent_Type_2)=0),AND(AND(COUNTBLANK(Combo_Opponent_Type_1)=0,COUNTBLANK(Combo_Opponent_Type_2)=0),Combo_Opponent_Type_1=Combo_Opponent_Type_2)),
"Check Types",IF($W710&gt;=((1-Game_Weave_Human_Error)*$X710),"Quick Only","Weave"))</f>
        <v>#VALUE!</v>
      </c>
      <c r="R710" s="32" t="e">
        <f t="array" ref="R710">IF(OR(AND(COUNTBLANK(Combo_Opponent_Type_1)=1,COUNTBLANK(Combo_Opponent_Type_2)=0),AND(AND(COUNTBLANK(Combo_Opponent_Type_1)=0,COUNTBLANK(Combo_Opponent_Type_2)=0),Combo_Opponent_Type_1=Combo_Opponent_Type_2)),
"Check Types",($S710*INDEX(Species_Tankiness,MATCH($N710,Species_Names,0)))/225)</f>
        <v>#VALUE!</v>
      </c>
      <c r="S710" s="32" t="e">
        <f t="array" ref="S710">IF(OR(AND(COUNTBLANK(Combo_Opponent_Type_1)=1,COUNTBLANK(Combo_Opponent_Type_2)=0),AND(AND(COUNTBLANK(Combo_Opponent_Type_1)=0,COUNTBLANK(Combo_Opponent_Type_2)=0),Combo_Opponent_Type_1=Combo_Opponent_Type_2)),
"Check Types",(
IF($W710&gt;=((1-Game_Weave_Human_Error)*$X710),$W710,$X710)*INDEX(Species_Attack,MATCH($N710,Species_Names,0)))/11)</f>
        <v>#VALUE!</v>
      </c>
      <c r="T710" s="33" t="e">
        <f t="shared" ref="T710:T773" si="23">IF(OR(AND(COUNTBLANK(Combo_Opponent_Type_1)=1,COUNTBLANK(Combo_Opponent_Type_2)=0),AND(AND(COUNTBLANK(Combo_Opponent_Type_1)=0,COUNTBLANK(Combo_Opponent_Type_2)=0),Combo_Opponent_Type_1=Combo_Opponent_Type_2)),
"Check Types",IF($W710&gt;=((1-Game_Weave_Human_Error)*$X710),$W710,$X710))</f>
        <v>#VALUE!</v>
      </c>
      <c r="U710" s="33">
        <f t="array" ref="U7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710,Quick_Names,0))),Type_Species)),0),1)*IF(COUNTBLANK(Combo_Opponent_Type_2)=0,INDEX(Type_Damage_Multipliers,MATCH(Combo_Opponent_Type_2,IF(Type_Move=(INDEX(Quick_Type,MATCH($O710,Quick_Names,0))),Type_Species)),0),1)*(IF(OR(INDEX(Quick_Type,MATCH($O710,Quick_Names,0))=INDEX(Species_Type_1,MATCH($N710,Species_Names,0)),INDEX(Quick_Type,MATCH($O710,Quick_Names,0))=INDEX(Species_Type_2,MATCH($N710,Species_Names,0))),Game_STAB_Multiplier,1)))</f>
        <v>1.25</v>
      </c>
      <c r="V710" s="33">
        <f t="array" ref="V7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710,Charge_Names,0))),Type_Species)),0),1)*IF(COUNTBLANK(Combo_Opponent_Type_2)=0,INDEX(Type_Damage_Multipliers,MATCH(Combo_Opponent_Type_2,IF(Type_Move=(INDEX(Charge_Type,MATCH($P710,Charge_Names,0))),Type_Species)),0),1)*
IF(OR(INDEX(Charge_Type,MATCH($P710,Charge_Names,0))=INDEX(Species_Type_1,MATCH($N710,Species_Names,0)),INDEX(Charge_Type,MATCH($P710,Charge_Names,0))=INDEX(Species_Type_2,MATCH($N710,Species_Names,0))),Game_STAB_Multiplier,1))</f>
        <v>1.25</v>
      </c>
      <c r="W710" s="33" t="s">
        <v>511</v>
      </c>
      <c r="X710" s="33" t="s">
        <v>749</v>
      </c>
      <c r="Y710" s="32" t="e">
        <f t="array" ref="Y710">((($Z710)*
INDEX(Species_Attack,MATCH($N710,Species_Names,0))*
INDEX(Species_Tankiness,MATCH($N710,Species_Names,0)))/1000)</f>
        <v>#VALUE!</v>
      </c>
      <c r="Z710" s="33" t="s">
        <v>728</v>
      </c>
    </row>
    <row r="711" spans="1:26" ht="14.25" customHeight="1" x14ac:dyDescent="0.2">
      <c r="A711" s="86"/>
      <c r="B711" s="22" t="str">
        <f t="array" ref="B711">CONCATENATE(TEXT($M711,"000"),".",TEXT(INDEX(Quick_Number,MATCH($O711,Quick_Names,0)),"000"),".",TEXT(INDEX(Charge_Number,MATCH($P711,Charge_Names,0)),"000"))</f>
        <v>039.238.084</v>
      </c>
      <c r="C711" s="23" t="e">
        <f t="array" ref="C711">RANK($S711,IF(Combo_Species_Names=$N711,Combo_Gym_Offense),0)</f>
        <v>#VALUE!</v>
      </c>
      <c r="D711" s="24" t="e">
        <f t="array" ref="D711">$S711/MAX(IF(Combo_Species_Names=$N711,Combo_Gym_Offense))</f>
        <v>#VALUE!</v>
      </c>
      <c r="E711" s="23" t="e">
        <f t="array" ref="E711">RANK($Y711,IF(Combo_Species_Names=$N711,Combo_Gym_Defense),0)</f>
        <v>#VALUE!</v>
      </c>
      <c r="F711" s="25" t="e">
        <f t="array" ref="F711">$Y711/MAX(IF(Combo_Species_Names=$N711,Combo_Gym_Defense))</f>
        <v>#VALUE!</v>
      </c>
      <c r="G711" s="23" t="str">
        <f t="array" ref="G711">IF(OR(INDEX(Species_Availability,MATCH($N711,Species_Names,0))="No",INDEX(Species_Evo_Numbers,MATCH($N711,Species_Names,0))&lt;&gt;1),"N/A",RANK($R711,IF(NOT(ISNA(MATCH(Combo_Species_Names,IF(Species_Availability="Yes",IF(Species_Evo_Numbers=1,Species_Names)),0))),Combo_Duel_Ability),0))</f>
        <v>N/A</v>
      </c>
      <c r="H711" s="24" t="str">
        <f t="array" ref="H711">IF(OR(INDEX(Species_Availability,MATCH($N711,Species_Names,0))="No",INDEX(Species_Evo_Numbers,MATCH($N711,Species_Names,0))&lt;&gt;1),"N/A",$R711/MAX(IF(NOT(ISNA(MATCH(Combo_Species_Names,IF(Species_Availability="Yes",IF(Species_Evo_Numbers=1,Species_Names)),0))),Combo_Duel_Ability)))</f>
        <v>N/A</v>
      </c>
      <c r="I711" s="23" t="str">
        <f t="array" ref="I711">IF(OR(INDEX(Species_Availability,MATCH($N711,Species_Names,0))="No",INDEX(Species_Evo_Numbers,MATCH($N711,Species_Names,0))&lt;&gt;1),"N/A",RANK($S711,IF(NOT(ISNA(MATCH(Combo_Species_Names,IF(Species_Availability="Yes",IF(Species_Evo_Numbers=1,Species_Names)),0))),Combo_Gym_Offense),0))</f>
        <v>N/A</v>
      </c>
      <c r="J711" s="24" t="str">
        <f t="array" ref="J711">IF(OR(INDEX(Species_Availability,MATCH($N711,Species_Names,0))="No",INDEX(Species_Evo_Numbers,MATCH($N711,Species_Names,0))&lt;&gt;1),"N/A",$S711/MAX(IF(NOT(ISNA(MATCH(Combo_Species_Names,IF(Species_Availability="Yes",IF(Species_Evo_Numbers=1,Species_Names)),0))),Combo_Gym_Offense)))</f>
        <v>N/A</v>
      </c>
      <c r="K711" s="23" t="str">
        <f t="array" ref="K711">IF(OR(INDEX(Species_Availability,MATCH($N711,Species_Names,0))="No",INDEX(Species_Evo_Numbers,MATCH($N711,Species_Names,0))&lt;&gt;1),"N/A",RANK($Y711,IF(NOT(ISNA(MATCH(Combo_Species_Names,IF(Species_Availability="Yes",IF(Species_Evo_Numbers=1,Species_Names)),0))),Combo_Gym_Defense),0))</f>
        <v>N/A</v>
      </c>
      <c r="L711" s="24" t="str">
        <f t="array" ref="L711">IF(OR(INDEX(Species_Availability,MATCH($N711,Species_Names,0))="No",INDEX(Species_Evo_Numbers,MATCH($N711,Species_Names,0))&lt;&gt;1),"N/A",$Y711/MAX(IF(NOT(ISNA(MATCH(Combo_Species_Names,IF(Species_Availability="Yes",IF(Species_Evo_Numbers=1,Species_Names)),0))),Combo_Gym_Defense)))</f>
        <v>N/A</v>
      </c>
      <c r="M711" s="28">
        <f t="array" ref="M711">INDEX(Species_Pdex_Numbers,MATCH($N711,Species_Names,0))</f>
        <v>39</v>
      </c>
      <c r="N711" s="30" t="s">
        <v>168</v>
      </c>
      <c r="O711" s="31" t="s">
        <v>76</v>
      </c>
      <c r="P711" s="31" t="s">
        <v>319</v>
      </c>
      <c r="Q711" s="17" t="e">
        <f t="shared" si="22"/>
        <v>#VALUE!</v>
      </c>
      <c r="R711" s="32" t="e">
        <f t="array" ref="R711">IF(OR(AND(COUNTBLANK(Combo_Opponent_Type_1)=1,COUNTBLANK(Combo_Opponent_Type_2)=0),AND(AND(COUNTBLANK(Combo_Opponent_Type_1)=0,COUNTBLANK(Combo_Opponent_Type_2)=0),Combo_Opponent_Type_1=Combo_Opponent_Type_2)),
"Check Types",($S711*INDEX(Species_Tankiness,MATCH($N711,Species_Names,0)))/225)</f>
        <v>#VALUE!</v>
      </c>
      <c r="S711" s="32" t="e">
        <f t="array" ref="S711">IF(OR(AND(COUNTBLANK(Combo_Opponent_Type_1)=1,COUNTBLANK(Combo_Opponent_Type_2)=0),AND(AND(COUNTBLANK(Combo_Opponent_Type_1)=0,COUNTBLANK(Combo_Opponent_Type_2)=0),Combo_Opponent_Type_1=Combo_Opponent_Type_2)),
"Check Types",(
IF($W711&gt;=((1-Game_Weave_Human_Error)*$X711),$W711,$X711)*INDEX(Species_Attack,MATCH($N711,Species_Names,0)))/11)</f>
        <v>#VALUE!</v>
      </c>
      <c r="T711" s="33" t="e">
        <f t="shared" si="23"/>
        <v>#VALUE!</v>
      </c>
      <c r="U711" s="33">
        <f t="array" ref="U7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711,Quick_Names,0))),Type_Species)),0),1)*IF(COUNTBLANK(Combo_Opponent_Type_2)=0,INDEX(Type_Damage_Multipliers,MATCH(Combo_Opponent_Type_2,IF(Type_Move=(INDEX(Quick_Type,MATCH($O711,Quick_Names,0))),Type_Species)),0),1)*(IF(OR(INDEX(Quick_Type,MATCH($O711,Quick_Names,0))=INDEX(Species_Type_1,MATCH($N711,Species_Names,0)),INDEX(Quick_Type,MATCH($O711,Quick_Names,0))=INDEX(Species_Type_2,MATCH($N711,Species_Names,0))),Game_STAB_Multiplier,1)))</f>
        <v>1</v>
      </c>
      <c r="V711" s="33">
        <f t="array" ref="V7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711,Charge_Names,0))),Type_Species)),0),1)*IF(COUNTBLANK(Combo_Opponent_Type_2)=0,INDEX(Type_Damage_Multipliers,MATCH(Combo_Opponent_Type_2,IF(Type_Move=(INDEX(Charge_Type,MATCH($P711,Charge_Names,0))),Type_Species)),0),1)*
IF(OR(INDEX(Charge_Type,MATCH($P711,Charge_Names,0))=INDEX(Species_Type_1,MATCH($N711,Species_Names,0)),INDEX(Charge_Type,MATCH($P711,Charge_Names,0))=INDEX(Species_Type_2,MATCH($N711,Species_Names,0))),Game_STAB_Multiplier,1))</f>
        <v>1.25</v>
      </c>
      <c r="W711" s="33" t="s">
        <v>589</v>
      </c>
      <c r="X711" s="33" t="s">
        <v>1058</v>
      </c>
      <c r="Y711" s="32" t="e">
        <f t="array" ref="Y711">((($Z711)*
INDEX(Species_Attack,MATCH($N711,Species_Names,0))*
INDEX(Species_Tankiness,MATCH($N711,Species_Names,0)))/1000)</f>
        <v>#VALUE!</v>
      </c>
      <c r="Z711" s="33" t="s">
        <v>498</v>
      </c>
    </row>
    <row r="712" spans="1:26" ht="14.25" customHeight="1" x14ac:dyDescent="0.2">
      <c r="A712" s="86"/>
      <c r="B712" s="22" t="str">
        <f t="array" ref="B712">CONCATENATE(TEXT($M712,"000"),".",TEXT(INDEX(Quick_Number,MATCH($O712,Quick_Names,0)),"000"),".",TEXT(INDEX(Charge_Number,MATCH($P712,Charge_Names,0)),"000"))</f>
        <v>027.216.026</v>
      </c>
      <c r="C712" s="23" t="e">
        <f t="array" ref="C712">RANK($S712,IF(Combo_Species_Names=$N712,Combo_Gym_Offense),0)</f>
        <v>#VALUE!</v>
      </c>
      <c r="D712" s="24" t="e">
        <f t="array" ref="D712">$S712/MAX(IF(Combo_Species_Names=$N712,Combo_Gym_Offense))</f>
        <v>#VALUE!</v>
      </c>
      <c r="E712" s="23" t="e">
        <f t="array" ref="E712">RANK($Y712,IF(Combo_Species_Names=$N712,Combo_Gym_Defense),0)</f>
        <v>#VALUE!</v>
      </c>
      <c r="F712" s="25" t="e">
        <f t="array" ref="F712">$Y712/MAX(IF(Combo_Species_Names=$N712,Combo_Gym_Defense))</f>
        <v>#VALUE!</v>
      </c>
      <c r="G712" s="23" t="str">
        <f t="array" ref="G712">IF(OR(INDEX(Species_Availability,MATCH($N712,Species_Names,0))="No",INDEX(Species_Evo_Numbers,MATCH($N712,Species_Names,0))&lt;&gt;1),"N/A",RANK($R712,IF(NOT(ISNA(MATCH(Combo_Species_Names,IF(Species_Availability="Yes",IF(Species_Evo_Numbers=1,Species_Names)),0))),Combo_Duel_Ability),0))</f>
        <v>N/A</v>
      </c>
      <c r="H712" s="24" t="str">
        <f t="array" ref="H712">IF(OR(INDEX(Species_Availability,MATCH($N712,Species_Names,0))="No",INDEX(Species_Evo_Numbers,MATCH($N712,Species_Names,0))&lt;&gt;1),"N/A",$R712/MAX(IF(NOT(ISNA(MATCH(Combo_Species_Names,IF(Species_Availability="Yes",IF(Species_Evo_Numbers=1,Species_Names)),0))),Combo_Duel_Ability)))</f>
        <v>N/A</v>
      </c>
      <c r="I712" s="23" t="str">
        <f t="array" ref="I712">IF(OR(INDEX(Species_Availability,MATCH($N712,Species_Names,0))="No",INDEX(Species_Evo_Numbers,MATCH($N712,Species_Names,0))&lt;&gt;1),"N/A",RANK($S712,IF(NOT(ISNA(MATCH(Combo_Species_Names,IF(Species_Availability="Yes",IF(Species_Evo_Numbers=1,Species_Names)),0))),Combo_Gym_Offense),0))</f>
        <v>N/A</v>
      </c>
      <c r="J712" s="24" t="str">
        <f t="array" ref="J712">IF(OR(INDEX(Species_Availability,MATCH($N712,Species_Names,0))="No",INDEX(Species_Evo_Numbers,MATCH($N712,Species_Names,0))&lt;&gt;1),"N/A",$S712/MAX(IF(NOT(ISNA(MATCH(Combo_Species_Names,IF(Species_Availability="Yes",IF(Species_Evo_Numbers=1,Species_Names)),0))),Combo_Gym_Offense)))</f>
        <v>N/A</v>
      </c>
      <c r="K712" s="23" t="str">
        <f t="array" ref="K712">IF(OR(INDEX(Species_Availability,MATCH($N712,Species_Names,0))="No",INDEX(Species_Evo_Numbers,MATCH($N712,Species_Names,0))&lt;&gt;1),"N/A",RANK($Y712,IF(NOT(ISNA(MATCH(Combo_Species_Names,IF(Species_Availability="Yes",IF(Species_Evo_Numbers=1,Species_Names)),0))),Combo_Gym_Defense),0))</f>
        <v>N/A</v>
      </c>
      <c r="L712" s="24" t="str">
        <f t="array" ref="L712">IF(OR(INDEX(Species_Availability,MATCH($N712,Species_Names,0))="No",INDEX(Species_Evo_Numbers,MATCH($N712,Species_Names,0))&lt;&gt;1),"N/A",$Y712/MAX(IF(NOT(ISNA(MATCH(Combo_Species_Names,IF(Species_Availability="Yes",IF(Species_Evo_Numbers=1,Species_Names)),0))),Combo_Gym_Defense)))</f>
        <v>N/A</v>
      </c>
      <c r="M712" s="28">
        <f t="array" ref="M712">INDEX(Species_Pdex_Numbers,MATCH($N712,Species_Names,0))</f>
        <v>27</v>
      </c>
      <c r="N712" s="30" t="s">
        <v>138</v>
      </c>
      <c r="O712" s="31" t="s">
        <v>89</v>
      </c>
      <c r="P712" s="31" t="s">
        <v>264</v>
      </c>
      <c r="Q712" s="17" t="e">
        <f t="shared" si="22"/>
        <v>#VALUE!</v>
      </c>
      <c r="R712" s="32" t="e">
        <f t="array" ref="R712">IF(OR(AND(COUNTBLANK(Combo_Opponent_Type_1)=1,COUNTBLANK(Combo_Opponent_Type_2)=0),AND(AND(COUNTBLANK(Combo_Opponent_Type_1)=0,COUNTBLANK(Combo_Opponent_Type_2)=0),Combo_Opponent_Type_1=Combo_Opponent_Type_2)),
"Check Types",($S712*INDEX(Species_Tankiness,MATCH($N712,Species_Names,0)))/225)</f>
        <v>#VALUE!</v>
      </c>
      <c r="S712" s="32" t="e">
        <f t="array" ref="S712">IF(OR(AND(COUNTBLANK(Combo_Opponent_Type_1)=1,COUNTBLANK(Combo_Opponent_Type_2)=0),AND(AND(COUNTBLANK(Combo_Opponent_Type_1)=0,COUNTBLANK(Combo_Opponent_Type_2)=0),Combo_Opponent_Type_1=Combo_Opponent_Type_2)),
"Check Types",(
IF($W712&gt;=((1-Game_Weave_Human_Error)*$X712),$W712,$X712)*INDEX(Species_Attack,MATCH($N712,Species_Names,0)))/11)</f>
        <v>#VALUE!</v>
      </c>
      <c r="T712" s="33" t="e">
        <f t="shared" si="23"/>
        <v>#VALUE!</v>
      </c>
      <c r="U712" s="33">
        <f t="array" ref="U7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712,Quick_Names,0))),Type_Species)),0),1)*IF(COUNTBLANK(Combo_Opponent_Type_2)=0,INDEX(Type_Damage_Multipliers,MATCH(Combo_Opponent_Type_2,IF(Type_Move=(INDEX(Quick_Type,MATCH($O712,Quick_Names,0))),Type_Species)),0),1)*(IF(OR(INDEX(Quick_Type,MATCH($O712,Quick_Names,0))=INDEX(Species_Type_1,MATCH($N712,Species_Names,0)),INDEX(Quick_Type,MATCH($O712,Quick_Names,0))=INDEX(Species_Type_2,MATCH($N712,Species_Names,0))),Game_STAB_Multiplier,1)))</f>
        <v>1.25</v>
      </c>
      <c r="V712" s="33">
        <f t="array" ref="V7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712,Charge_Names,0))),Type_Species)),0),1)*IF(COUNTBLANK(Combo_Opponent_Type_2)=0,INDEX(Type_Damage_Multipliers,MATCH(Combo_Opponent_Type_2,IF(Type_Move=(INDEX(Charge_Type,MATCH($P712,Charge_Names,0))),Type_Species)),0),1)*
IF(OR(INDEX(Charge_Type,MATCH($P712,Charge_Names,0))=INDEX(Species_Type_1,MATCH($N712,Species_Names,0)),INDEX(Charge_Type,MATCH($P712,Charge_Names,0))=INDEX(Species_Type_2,MATCH($N712,Species_Names,0))),Game_STAB_Multiplier,1))</f>
        <v>1.25</v>
      </c>
      <c r="W712" s="33" t="s">
        <v>496</v>
      </c>
      <c r="X712" s="33" t="s">
        <v>962</v>
      </c>
      <c r="Y712" s="32" t="e">
        <f t="array" ref="Y712">((($Z712)*
INDEX(Species_Attack,MATCH($N712,Species_Names,0))*
INDEX(Species_Tankiness,MATCH($N712,Species_Names,0)))/1000)</f>
        <v>#VALUE!</v>
      </c>
      <c r="Z712" s="33" t="s">
        <v>447</v>
      </c>
    </row>
    <row r="713" spans="1:26" ht="14.25" customHeight="1" x14ac:dyDescent="0.2">
      <c r="A713" s="86"/>
      <c r="B713" s="22" t="str">
        <f t="array" ref="B713">CONCATENATE(TEXT($M713,"000"),".",TEXT(INDEX(Quick_Number,MATCH($O713,Quick_Names,0)),"000"),".",TEXT(INDEX(Charge_Number,MATCH($P713,Charge_Names,0)),"000"))</f>
        <v>027.216.064</v>
      </c>
      <c r="C713" s="23" t="e">
        <f t="array" ref="C713">RANK($S713,IF(Combo_Species_Names=$N713,Combo_Gym_Offense),0)</f>
        <v>#VALUE!</v>
      </c>
      <c r="D713" s="24" t="e">
        <f t="array" ref="D713">$S713/MAX(IF(Combo_Species_Names=$N713,Combo_Gym_Offense))</f>
        <v>#VALUE!</v>
      </c>
      <c r="E713" s="23" t="e">
        <f t="array" ref="E713">RANK($Y713,IF(Combo_Species_Names=$N713,Combo_Gym_Defense),0)</f>
        <v>#VALUE!</v>
      </c>
      <c r="F713" s="25" t="e">
        <f t="array" ref="F713">$Y713/MAX(IF(Combo_Species_Names=$N713,Combo_Gym_Defense))</f>
        <v>#VALUE!</v>
      </c>
      <c r="G713" s="23" t="str">
        <f t="array" ref="G713">IF(OR(INDEX(Species_Availability,MATCH($N713,Species_Names,0))="No",INDEX(Species_Evo_Numbers,MATCH($N713,Species_Names,0))&lt;&gt;1),"N/A",RANK($R713,IF(NOT(ISNA(MATCH(Combo_Species_Names,IF(Species_Availability="Yes",IF(Species_Evo_Numbers=1,Species_Names)),0))),Combo_Duel_Ability),0))</f>
        <v>N/A</v>
      </c>
      <c r="H713" s="24" t="str">
        <f t="array" ref="H713">IF(OR(INDEX(Species_Availability,MATCH($N713,Species_Names,0))="No",INDEX(Species_Evo_Numbers,MATCH($N713,Species_Names,0))&lt;&gt;1),"N/A",$R713/MAX(IF(NOT(ISNA(MATCH(Combo_Species_Names,IF(Species_Availability="Yes",IF(Species_Evo_Numbers=1,Species_Names)),0))),Combo_Duel_Ability)))</f>
        <v>N/A</v>
      </c>
      <c r="I713" s="23" t="str">
        <f t="array" ref="I713">IF(OR(INDEX(Species_Availability,MATCH($N713,Species_Names,0))="No",INDEX(Species_Evo_Numbers,MATCH($N713,Species_Names,0))&lt;&gt;1),"N/A",RANK($S713,IF(NOT(ISNA(MATCH(Combo_Species_Names,IF(Species_Availability="Yes",IF(Species_Evo_Numbers=1,Species_Names)),0))),Combo_Gym_Offense),0))</f>
        <v>N/A</v>
      </c>
      <c r="J713" s="24" t="str">
        <f t="array" ref="J713">IF(OR(INDEX(Species_Availability,MATCH($N713,Species_Names,0))="No",INDEX(Species_Evo_Numbers,MATCH($N713,Species_Names,0))&lt;&gt;1),"N/A",$S713/MAX(IF(NOT(ISNA(MATCH(Combo_Species_Names,IF(Species_Availability="Yes",IF(Species_Evo_Numbers=1,Species_Names)),0))),Combo_Gym_Offense)))</f>
        <v>N/A</v>
      </c>
      <c r="K713" s="23" t="str">
        <f t="array" ref="K713">IF(OR(INDEX(Species_Availability,MATCH($N713,Species_Names,0))="No",INDEX(Species_Evo_Numbers,MATCH($N713,Species_Names,0))&lt;&gt;1),"N/A",RANK($Y713,IF(NOT(ISNA(MATCH(Combo_Species_Names,IF(Species_Availability="Yes",IF(Species_Evo_Numbers=1,Species_Names)),0))),Combo_Gym_Defense),0))</f>
        <v>N/A</v>
      </c>
      <c r="L713" s="24" t="str">
        <f t="array" ref="L713">IF(OR(INDEX(Species_Availability,MATCH($N713,Species_Names,0))="No",INDEX(Species_Evo_Numbers,MATCH($N713,Species_Names,0))&lt;&gt;1),"N/A",$Y713/MAX(IF(NOT(ISNA(MATCH(Combo_Species_Names,IF(Species_Availability="Yes",IF(Species_Evo_Numbers=1,Species_Names)),0))),Combo_Gym_Defense)))</f>
        <v>N/A</v>
      </c>
      <c r="M713" s="28">
        <f t="array" ref="M713">INDEX(Species_Pdex_Numbers,MATCH($N713,Species_Names,0))</f>
        <v>27</v>
      </c>
      <c r="N713" s="30" t="s">
        <v>138</v>
      </c>
      <c r="O713" s="31" t="s">
        <v>89</v>
      </c>
      <c r="P713" s="31" t="s">
        <v>222</v>
      </c>
      <c r="Q713" s="17" t="e">
        <f t="shared" si="22"/>
        <v>#VALUE!</v>
      </c>
      <c r="R713" s="32" t="e">
        <f t="array" ref="R713">IF(OR(AND(COUNTBLANK(Combo_Opponent_Type_1)=1,COUNTBLANK(Combo_Opponent_Type_2)=0),AND(AND(COUNTBLANK(Combo_Opponent_Type_1)=0,COUNTBLANK(Combo_Opponent_Type_2)=0),Combo_Opponent_Type_1=Combo_Opponent_Type_2)),
"Check Types",($S713*INDEX(Species_Tankiness,MATCH($N713,Species_Names,0)))/225)</f>
        <v>#VALUE!</v>
      </c>
      <c r="S713" s="32" t="e">
        <f t="array" ref="S713">IF(OR(AND(COUNTBLANK(Combo_Opponent_Type_1)=1,COUNTBLANK(Combo_Opponent_Type_2)=0),AND(AND(COUNTBLANK(Combo_Opponent_Type_1)=0,COUNTBLANK(Combo_Opponent_Type_2)=0),Combo_Opponent_Type_1=Combo_Opponent_Type_2)),
"Check Types",(
IF($W713&gt;=((1-Game_Weave_Human_Error)*$X713),$W713,$X713)*INDEX(Species_Attack,MATCH($N713,Species_Names,0)))/11)</f>
        <v>#VALUE!</v>
      </c>
      <c r="T713" s="33" t="e">
        <f t="shared" si="23"/>
        <v>#VALUE!</v>
      </c>
      <c r="U713" s="33">
        <f t="array" ref="U7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713,Quick_Names,0))),Type_Species)),0),1)*IF(COUNTBLANK(Combo_Opponent_Type_2)=0,INDEX(Type_Damage_Multipliers,MATCH(Combo_Opponent_Type_2,IF(Type_Move=(INDEX(Quick_Type,MATCH($O713,Quick_Names,0))),Type_Species)),0),1)*(IF(OR(INDEX(Quick_Type,MATCH($O713,Quick_Names,0))=INDEX(Species_Type_1,MATCH($N713,Species_Names,0)),INDEX(Quick_Type,MATCH($O713,Quick_Names,0))=INDEX(Species_Type_2,MATCH($N713,Species_Names,0))),Game_STAB_Multiplier,1)))</f>
        <v>1.25</v>
      </c>
      <c r="V713" s="33">
        <f t="array" ref="V7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713,Charge_Names,0))),Type_Species)),0),1)*IF(COUNTBLANK(Combo_Opponent_Type_2)=0,INDEX(Type_Damage_Multipliers,MATCH(Combo_Opponent_Type_2,IF(Type_Move=(INDEX(Charge_Type,MATCH($P713,Charge_Names,0))),Type_Species)),0),1)*
IF(OR(INDEX(Charge_Type,MATCH($P713,Charge_Names,0))=INDEX(Species_Type_1,MATCH($N713,Species_Names,0)),INDEX(Charge_Type,MATCH($P713,Charge_Names,0))=INDEX(Species_Type_2,MATCH($N713,Species_Names,0))),Game_STAB_Multiplier,1))</f>
        <v>1</v>
      </c>
      <c r="W713" s="33" t="s">
        <v>496</v>
      </c>
      <c r="X713" s="33" t="s">
        <v>674</v>
      </c>
      <c r="Y713" s="32" t="e">
        <f t="array" ref="Y713">((($Z713)*
INDEX(Species_Attack,MATCH($N713,Species_Names,0))*
INDEX(Species_Tankiness,MATCH($N713,Species_Names,0)))/1000)</f>
        <v>#VALUE!</v>
      </c>
      <c r="Z713" s="33" t="s">
        <v>547</v>
      </c>
    </row>
    <row r="714" spans="1:26" ht="14.25" customHeight="1" x14ac:dyDescent="0.2">
      <c r="A714" s="86"/>
      <c r="B714" s="22" t="str">
        <f t="array" ref="B714">CONCATENATE(TEXT($M714,"000"),".",TEXT(INDEX(Quick_Number,MATCH($O714,Quick_Names,0)),"000"),".",TEXT(INDEX(Charge_Number,MATCH($P714,Charge_Names,0)),"000"))</f>
        <v>027.216.063</v>
      </c>
      <c r="C714" s="23" t="e">
        <f t="array" ref="C714">RANK($S714,IF(Combo_Species_Names=$N714,Combo_Gym_Offense),0)</f>
        <v>#VALUE!</v>
      </c>
      <c r="D714" s="24" t="e">
        <f t="array" ref="D714">$S714/MAX(IF(Combo_Species_Names=$N714,Combo_Gym_Offense))</f>
        <v>#VALUE!</v>
      </c>
      <c r="E714" s="23" t="e">
        <f t="array" ref="E714">RANK($Y714,IF(Combo_Species_Names=$N714,Combo_Gym_Defense),0)</f>
        <v>#VALUE!</v>
      </c>
      <c r="F714" s="25" t="e">
        <f t="array" ref="F714">$Y714/MAX(IF(Combo_Species_Names=$N714,Combo_Gym_Defense))</f>
        <v>#VALUE!</v>
      </c>
      <c r="G714" s="23" t="str">
        <f t="array" ref="G714">IF(OR(INDEX(Species_Availability,MATCH($N714,Species_Names,0))="No",INDEX(Species_Evo_Numbers,MATCH($N714,Species_Names,0))&lt;&gt;1),"N/A",RANK($R714,IF(NOT(ISNA(MATCH(Combo_Species_Names,IF(Species_Availability="Yes",IF(Species_Evo_Numbers=1,Species_Names)),0))),Combo_Duel_Ability),0))</f>
        <v>N/A</v>
      </c>
      <c r="H714" s="24" t="str">
        <f t="array" ref="H714">IF(OR(INDEX(Species_Availability,MATCH($N714,Species_Names,0))="No",INDEX(Species_Evo_Numbers,MATCH($N714,Species_Names,0))&lt;&gt;1),"N/A",$R714/MAX(IF(NOT(ISNA(MATCH(Combo_Species_Names,IF(Species_Availability="Yes",IF(Species_Evo_Numbers=1,Species_Names)),0))),Combo_Duel_Ability)))</f>
        <v>N/A</v>
      </c>
      <c r="I714" s="23" t="str">
        <f t="array" ref="I714">IF(OR(INDEX(Species_Availability,MATCH($N714,Species_Names,0))="No",INDEX(Species_Evo_Numbers,MATCH($N714,Species_Names,0))&lt;&gt;1),"N/A",RANK($S714,IF(NOT(ISNA(MATCH(Combo_Species_Names,IF(Species_Availability="Yes",IF(Species_Evo_Numbers=1,Species_Names)),0))),Combo_Gym_Offense),0))</f>
        <v>N/A</v>
      </c>
      <c r="J714" s="24" t="str">
        <f t="array" ref="J714">IF(OR(INDEX(Species_Availability,MATCH($N714,Species_Names,0))="No",INDEX(Species_Evo_Numbers,MATCH($N714,Species_Names,0))&lt;&gt;1),"N/A",$S714/MAX(IF(NOT(ISNA(MATCH(Combo_Species_Names,IF(Species_Availability="Yes",IF(Species_Evo_Numbers=1,Species_Names)),0))),Combo_Gym_Offense)))</f>
        <v>N/A</v>
      </c>
      <c r="K714" s="23" t="str">
        <f t="array" ref="K714">IF(OR(INDEX(Species_Availability,MATCH($N714,Species_Names,0))="No",INDEX(Species_Evo_Numbers,MATCH($N714,Species_Names,0))&lt;&gt;1),"N/A",RANK($Y714,IF(NOT(ISNA(MATCH(Combo_Species_Names,IF(Species_Availability="Yes",IF(Species_Evo_Numbers=1,Species_Names)),0))),Combo_Gym_Defense),0))</f>
        <v>N/A</v>
      </c>
      <c r="L714" s="24" t="str">
        <f t="array" ref="L714">IF(OR(INDEX(Species_Availability,MATCH($N714,Species_Names,0))="No",INDEX(Species_Evo_Numbers,MATCH($N714,Species_Names,0))&lt;&gt;1),"N/A",$Y714/MAX(IF(NOT(ISNA(MATCH(Combo_Species_Names,IF(Species_Availability="Yes",IF(Species_Evo_Numbers=1,Species_Names)),0))),Combo_Gym_Defense)))</f>
        <v>N/A</v>
      </c>
      <c r="M714" s="28">
        <f t="array" ref="M714">INDEX(Species_Pdex_Numbers,MATCH($N714,Species_Names,0))</f>
        <v>27</v>
      </c>
      <c r="N714" s="30" t="s">
        <v>138</v>
      </c>
      <c r="O714" s="31" t="s">
        <v>89</v>
      </c>
      <c r="P714" s="31" t="s">
        <v>299</v>
      </c>
      <c r="Q714" s="17" t="e">
        <f t="shared" si="22"/>
        <v>#VALUE!</v>
      </c>
      <c r="R714" s="32" t="e">
        <f t="array" ref="R714">IF(OR(AND(COUNTBLANK(Combo_Opponent_Type_1)=1,COUNTBLANK(Combo_Opponent_Type_2)=0),AND(AND(COUNTBLANK(Combo_Opponent_Type_1)=0,COUNTBLANK(Combo_Opponent_Type_2)=0),Combo_Opponent_Type_1=Combo_Opponent_Type_2)),
"Check Types",($S714*INDEX(Species_Tankiness,MATCH($N714,Species_Names,0)))/225)</f>
        <v>#VALUE!</v>
      </c>
      <c r="S714" s="32" t="e">
        <f t="array" ref="S714">IF(OR(AND(COUNTBLANK(Combo_Opponent_Type_1)=1,COUNTBLANK(Combo_Opponent_Type_2)=0),AND(AND(COUNTBLANK(Combo_Opponent_Type_1)=0,COUNTBLANK(Combo_Opponent_Type_2)=0),Combo_Opponent_Type_1=Combo_Opponent_Type_2)),
"Check Types",(
IF($W714&gt;=((1-Game_Weave_Human_Error)*$X714),$W714,$X714)*INDEX(Species_Attack,MATCH($N714,Species_Names,0)))/11)</f>
        <v>#VALUE!</v>
      </c>
      <c r="T714" s="33" t="e">
        <f t="shared" si="23"/>
        <v>#VALUE!</v>
      </c>
      <c r="U714" s="33">
        <f t="array" ref="U7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714,Quick_Names,0))),Type_Species)),0),1)*IF(COUNTBLANK(Combo_Opponent_Type_2)=0,INDEX(Type_Damage_Multipliers,MATCH(Combo_Opponent_Type_2,IF(Type_Move=(INDEX(Quick_Type,MATCH($O714,Quick_Names,0))),Type_Species)),0),1)*(IF(OR(INDEX(Quick_Type,MATCH($O714,Quick_Names,0))=INDEX(Species_Type_1,MATCH($N714,Species_Names,0)),INDEX(Quick_Type,MATCH($O714,Quick_Names,0))=INDEX(Species_Type_2,MATCH($N714,Species_Names,0))),Game_STAB_Multiplier,1)))</f>
        <v>1.25</v>
      </c>
      <c r="V714" s="33">
        <f t="array" ref="V7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714,Charge_Names,0))),Type_Species)),0),1)*IF(COUNTBLANK(Combo_Opponent_Type_2)=0,INDEX(Type_Damage_Multipliers,MATCH(Combo_Opponent_Type_2,IF(Type_Move=(INDEX(Charge_Type,MATCH($P714,Charge_Names,0))),Type_Species)),0),1)*
IF(OR(INDEX(Charge_Type,MATCH($P714,Charge_Names,0))=INDEX(Species_Type_1,MATCH($N714,Species_Names,0)),INDEX(Charge_Type,MATCH($P714,Charge_Names,0))=INDEX(Species_Type_2,MATCH($N714,Species_Names,0))),Game_STAB_Multiplier,1))</f>
        <v>1</v>
      </c>
      <c r="W714" s="33" t="s">
        <v>496</v>
      </c>
      <c r="X714" s="33" t="s">
        <v>577</v>
      </c>
      <c r="Y714" s="32" t="e">
        <f t="array" ref="Y714">((($Z714)*
INDEX(Species_Attack,MATCH($N714,Species_Names,0))*
INDEX(Species_Tankiness,MATCH($N714,Species_Names,0)))/1000)</f>
        <v>#VALUE!</v>
      </c>
      <c r="Z714" s="33" t="s">
        <v>735</v>
      </c>
    </row>
    <row r="715" spans="1:26" ht="14.25" customHeight="1" x14ac:dyDescent="0.2">
      <c r="A715" s="86"/>
      <c r="B715" s="22" t="str">
        <f t="array" ref="B715">CONCATENATE(TEXT($M715,"000"),".",TEXT(INDEX(Quick_Number,MATCH($O715,Quick_Names,0)),"000"),".",TEXT(INDEX(Charge_Number,MATCH($P715,Charge_Names,0)),"000"))</f>
        <v>027.220.026</v>
      </c>
      <c r="C715" s="23" t="e">
        <f t="array" ref="C715">RANK($S715,IF(Combo_Species_Names=$N715,Combo_Gym_Offense),0)</f>
        <v>#VALUE!</v>
      </c>
      <c r="D715" s="24" t="e">
        <f t="array" ref="D715">$S715/MAX(IF(Combo_Species_Names=$N715,Combo_Gym_Offense))</f>
        <v>#VALUE!</v>
      </c>
      <c r="E715" s="23" t="e">
        <f t="array" ref="E715">RANK($Y715,IF(Combo_Species_Names=$N715,Combo_Gym_Defense),0)</f>
        <v>#VALUE!</v>
      </c>
      <c r="F715" s="25" t="e">
        <f t="array" ref="F715">$Y715/MAX(IF(Combo_Species_Names=$N715,Combo_Gym_Defense))</f>
        <v>#VALUE!</v>
      </c>
      <c r="G715" s="23" t="str">
        <f t="array" ref="G715">IF(OR(INDEX(Species_Availability,MATCH($N715,Species_Names,0))="No",INDEX(Species_Evo_Numbers,MATCH($N715,Species_Names,0))&lt;&gt;1),"N/A",RANK($R715,IF(NOT(ISNA(MATCH(Combo_Species_Names,IF(Species_Availability="Yes",IF(Species_Evo_Numbers=1,Species_Names)),0))),Combo_Duel_Ability),0))</f>
        <v>N/A</v>
      </c>
      <c r="H715" s="24" t="str">
        <f t="array" ref="H715">IF(OR(INDEX(Species_Availability,MATCH($N715,Species_Names,0))="No",INDEX(Species_Evo_Numbers,MATCH($N715,Species_Names,0))&lt;&gt;1),"N/A",$R715/MAX(IF(NOT(ISNA(MATCH(Combo_Species_Names,IF(Species_Availability="Yes",IF(Species_Evo_Numbers=1,Species_Names)),0))),Combo_Duel_Ability)))</f>
        <v>N/A</v>
      </c>
      <c r="I715" s="23" t="str">
        <f t="array" ref="I715">IF(OR(INDEX(Species_Availability,MATCH($N715,Species_Names,0))="No",INDEX(Species_Evo_Numbers,MATCH($N715,Species_Names,0))&lt;&gt;1),"N/A",RANK($S715,IF(NOT(ISNA(MATCH(Combo_Species_Names,IF(Species_Availability="Yes",IF(Species_Evo_Numbers=1,Species_Names)),0))),Combo_Gym_Offense),0))</f>
        <v>N/A</v>
      </c>
      <c r="J715" s="24" t="str">
        <f t="array" ref="J715">IF(OR(INDEX(Species_Availability,MATCH($N715,Species_Names,0))="No",INDEX(Species_Evo_Numbers,MATCH($N715,Species_Names,0))&lt;&gt;1),"N/A",$S715/MAX(IF(NOT(ISNA(MATCH(Combo_Species_Names,IF(Species_Availability="Yes",IF(Species_Evo_Numbers=1,Species_Names)),0))),Combo_Gym_Offense)))</f>
        <v>N/A</v>
      </c>
      <c r="K715" s="23" t="str">
        <f t="array" ref="K715">IF(OR(INDEX(Species_Availability,MATCH($N715,Species_Names,0))="No",INDEX(Species_Evo_Numbers,MATCH($N715,Species_Names,0))&lt;&gt;1),"N/A",RANK($Y715,IF(NOT(ISNA(MATCH(Combo_Species_Names,IF(Species_Availability="Yes",IF(Species_Evo_Numbers=1,Species_Names)),0))),Combo_Gym_Defense),0))</f>
        <v>N/A</v>
      </c>
      <c r="L715" s="24" t="str">
        <f t="array" ref="L715">IF(OR(INDEX(Species_Availability,MATCH($N715,Species_Names,0))="No",INDEX(Species_Evo_Numbers,MATCH($N715,Species_Names,0))&lt;&gt;1),"N/A",$Y715/MAX(IF(NOT(ISNA(MATCH(Combo_Species_Names,IF(Species_Availability="Yes",IF(Species_Evo_Numbers=1,Species_Names)),0))),Combo_Gym_Defense)))</f>
        <v>N/A</v>
      </c>
      <c r="M715" s="28">
        <f t="array" ref="M715">INDEX(Species_Pdex_Numbers,MATCH($N715,Species_Names,0))</f>
        <v>27</v>
      </c>
      <c r="N715" s="30" t="s">
        <v>138</v>
      </c>
      <c r="O715" s="31" t="s">
        <v>64</v>
      </c>
      <c r="P715" s="31" t="s">
        <v>264</v>
      </c>
      <c r="Q715" s="17" t="e">
        <f t="shared" si="22"/>
        <v>#VALUE!</v>
      </c>
      <c r="R715" s="32" t="e">
        <f t="array" ref="R715">IF(OR(AND(COUNTBLANK(Combo_Opponent_Type_1)=1,COUNTBLANK(Combo_Opponent_Type_2)=0),AND(AND(COUNTBLANK(Combo_Opponent_Type_1)=0,COUNTBLANK(Combo_Opponent_Type_2)=0),Combo_Opponent_Type_1=Combo_Opponent_Type_2)),
"Check Types",($S715*INDEX(Species_Tankiness,MATCH($N715,Species_Names,0)))/225)</f>
        <v>#VALUE!</v>
      </c>
      <c r="S715" s="32" t="e">
        <f t="array" ref="S715">IF(OR(AND(COUNTBLANK(Combo_Opponent_Type_1)=1,COUNTBLANK(Combo_Opponent_Type_2)=0),AND(AND(COUNTBLANK(Combo_Opponent_Type_1)=0,COUNTBLANK(Combo_Opponent_Type_2)=0),Combo_Opponent_Type_1=Combo_Opponent_Type_2)),
"Check Types",(
IF($W715&gt;=((1-Game_Weave_Human_Error)*$X715),$W715,$X715)*INDEX(Species_Attack,MATCH($N715,Species_Names,0)))/11)</f>
        <v>#VALUE!</v>
      </c>
      <c r="T715" s="33" t="e">
        <f t="shared" si="23"/>
        <v>#VALUE!</v>
      </c>
      <c r="U715" s="33">
        <f t="array" ref="U7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715,Quick_Names,0))),Type_Species)),0),1)*IF(COUNTBLANK(Combo_Opponent_Type_2)=0,INDEX(Type_Damage_Multipliers,MATCH(Combo_Opponent_Type_2,IF(Type_Move=(INDEX(Quick_Type,MATCH($O715,Quick_Names,0))),Type_Species)),0),1)*(IF(OR(INDEX(Quick_Type,MATCH($O715,Quick_Names,0))=INDEX(Species_Type_1,MATCH($N715,Species_Names,0)),INDEX(Quick_Type,MATCH($O715,Quick_Names,0))=INDEX(Species_Type_2,MATCH($N715,Species_Names,0))),Game_STAB_Multiplier,1)))</f>
        <v>1</v>
      </c>
      <c r="V715" s="33">
        <f t="array" ref="V7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715,Charge_Names,0))),Type_Species)),0),1)*IF(COUNTBLANK(Combo_Opponent_Type_2)=0,INDEX(Type_Damage_Multipliers,MATCH(Combo_Opponent_Type_2,IF(Type_Move=(INDEX(Charge_Type,MATCH($P715,Charge_Names,0))),Type_Species)),0),1)*
IF(OR(INDEX(Charge_Type,MATCH($P715,Charge_Names,0))=INDEX(Species_Type_1,MATCH($N715,Species_Names,0)),INDEX(Charge_Type,MATCH($P715,Charge_Names,0))=INDEX(Species_Type_2,MATCH($N715,Species_Names,0))),Game_STAB_Multiplier,1))</f>
        <v>1.25</v>
      </c>
      <c r="W715" s="33" t="s">
        <v>453</v>
      </c>
      <c r="X715" s="33" t="s">
        <v>661</v>
      </c>
      <c r="Y715" s="32" t="e">
        <f t="array" ref="Y715">((($Z715)*
INDEX(Species_Attack,MATCH($N715,Species_Names,0))*
INDEX(Species_Tankiness,MATCH($N715,Species_Names,0)))/1000)</f>
        <v>#VALUE!</v>
      </c>
      <c r="Z715" s="33" t="s">
        <v>433</v>
      </c>
    </row>
    <row r="716" spans="1:26" ht="14.25" customHeight="1" x14ac:dyDescent="0.2">
      <c r="A716" s="86"/>
      <c r="B716" s="22" t="str">
        <f t="array" ref="B716">CONCATENATE(TEXT($M716,"000"),".",TEXT(INDEX(Quick_Number,MATCH($O716,Quick_Names,0)),"000"),".",TEXT(INDEX(Charge_Number,MATCH($P716,Charge_Names,0)),"000"))</f>
        <v>118.216.126</v>
      </c>
      <c r="C716" s="23" t="e">
        <f t="array" ref="C716">RANK($S716,IF(Combo_Species_Names=$N716,Combo_Gym_Offense),0)</f>
        <v>#VALUE!</v>
      </c>
      <c r="D716" s="24" t="e">
        <f t="array" ref="D716">$S716/MAX(IF(Combo_Species_Names=$N716,Combo_Gym_Offense))</f>
        <v>#VALUE!</v>
      </c>
      <c r="E716" s="23" t="e">
        <f t="array" ref="E716">RANK($Y716,IF(Combo_Species_Names=$N716,Combo_Gym_Defense),0)</f>
        <v>#VALUE!</v>
      </c>
      <c r="F716" s="25" t="e">
        <f t="array" ref="F716">$Y716/MAX(IF(Combo_Species_Names=$N716,Combo_Gym_Defense))</f>
        <v>#VALUE!</v>
      </c>
      <c r="G716" s="23" t="str">
        <f t="array" ref="G716">IF(OR(INDEX(Species_Availability,MATCH($N716,Species_Names,0))="No",INDEX(Species_Evo_Numbers,MATCH($N716,Species_Names,0))&lt;&gt;1),"N/A",RANK($R716,IF(NOT(ISNA(MATCH(Combo_Species_Names,IF(Species_Availability="Yes",IF(Species_Evo_Numbers=1,Species_Names)),0))),Combo_Duel_Ability),0))</f>
        <v>N/A</v>
      </c>
      <c r="H716" s="24" t="str">
        <f t="array" ref="H716">IF(OR(INDEX(Species_Availability,MATCH($N716,Species_Names,0))="No",INDEX(Species_Evo_Numbers,MATCH($N716,Species_Names,0))&lt;&gt;1),"N/A",$R716/MAX(IF(NOT(ISNA(MATCH(Combo_Species_Names,IF(Species_Availability="Yes",IF(Species_Evo_Numbers=1,Species_Names)),0))),Combo_Duel_Ability)))</f>
        <v>N/A</v>
      </c>
      <c r="I716" s="23" t="str">
        <f t="array" ref="I716">IF(OR(INDEX(Species_Availability,MATCH($N716,Species_Names,0))="No",INDEX(Species_Evo_Numbers,MATCH($N716,Species_Names,0))&lt;&gt;1),"N/A",RANK($S716,IF(NOT(ISNA(MATCH(Combo_Species_Names,IF(Species_Availability="Yes",IF(Species_Evo_Numbers=1,Species_Names)),0))),Combo_Gym_Offense),0))</f>
        <v>N/A</v>
      </c>
      <c r="J716" s="24" t="str">
        <f t="array" ref="J716">IF(OR(INDEX(Species_Availability,MATCH($N716,Species_Names,0))="No",INDEX(Species_Evo_Numbers,MATCH($N716,Species_Names,0))&lt;&gt;1),"N/A",$S716/MAX(IF(NOT(ISNA(MATCH(Combo_Species_Names,IF(Species_Availability="Yes",IF(Species_Evo_Numbers=1,Species_Names)),0))),Combo_Gym_Offense)))</f>
        <v>N/A</v>
      </c>
      <c r="K716" s="23" t="str">
        <f t="array" ref="K716">IF(OR(INDEX(Species_Availability,MATCH($N716,Species_Names,0))="No",INDEX(Species_Evo_Numbers,MATCH($N716,Species_Names,0))&lt;&gt;1),"N/A",RANK($Y716,IF(NOT(ISNA(MATCH(Combo_Species_Names,IF(Species_Availability="Yes",IF(Species_Evo_Numbers=1,Species_Names)),0))),Combo_Gym_Defense),0))</f>
        <v>N/A</v>
      </c>
      <c r="L716" s="24" t="str">
        <f t="array" ref="L716">IF(OR(INDEX(Species_Availability,MATCH($N716,Species_Names,0))="No",INDEX(Species_Evo_Numbers,MATCH($N716,Species_Names,0))&lt;&gt;1),"N/A",$Y716/MAX(IF(NOT(ISNA(MATCH(Combo_Species_Names,IF(Species_Availability="Yes",IF(Species_Evo_Numbers=1,Species_Names)),0))),Combo_Gym_Defense)))</f>
        <v>N/A</v>
      </c>
      <c r="M716" s="28">
        <f t="array" ref="M716">INDEX(Species_Pdex_Numbers,MATCH($N716,Species_Names,0))</f>
        <v>118</v>
      </c>
      <c r="N716" s="30" t="s">
        <v>331</v>
      </c>
      <c r="O716" s="31" t="s">
        <v>89</v>
      </c>
      <c r="P716" s="31" t="s">
        <v>275</v>
      </c>
      <c r="Q716" s="17" t="e">
        <f t="shared" si="22"/>
        <v>#VALUE!</v>
      </c>
      <c r="R716" s="32" t="e">
        <f t="array" ref="R716">IF(OR(AND(COUNTBLANK(Combo_Opponent_Type_1)=1,COUNTBLANK(Combo_Opponent_Type_2)=0),AND(AND(COUNTBLANK(Combo_Opponent_Type_1)=0,COUNTBLANK(Combo_Opponent_Type_2)=0),Combo_Opponent_Type_1=Combo_Opponent_Type_2)),
"Check Types",($S716*INDEX(Species_Tankiness,MATCH($N716,Species_Names,0)))/225)</f>
        <v>#VALUE!</v>
      </c>
      <c r="S716" s="32" t="e">
        <f t="array" ref="S716">IF(OR(AND(COUNTBLANK(Combo_Opponent_Type_1)=1,COUNTBLANK(Combo_Opponent_Type_2)=0),AND(AND(COUNTBLANK(Combo_Opponent_Type_1)=0,COUNTBLANK(Combo_Opponent_Type_2)=0),Combo_Opponent_Type_1=Combo_Opponent_Type_2)),
"Check Types",(
IF($W716&gt;=((1-Game_Weave_Human_Error)*$X716),$W716,$X716)*INDEX(Species_Attack,MATCH($N716,Species_Names,0)))/11)</f>
        <v>#VALUE!</v>
      </c>
      <c r="T716" s="33" t="e">
        <f t="shared" si="23"/>
        <v>#VALUE!</v>
      </c>
      <c r="U716" s="33">
        <f t="array" ref="U7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716,Quick_Names,0))),Type_Species)),0),1)*IF(COUNTBLANK(Combo_Opponent_Type_2)=0,INDEX(Type_Damage_Multipliers,MATCH(Combo_Opponent_Type_2,IF(Type_Move=(INDEX(Quick_Type,MATCH($O716,Quick_Names,0))),Type_Species)),0),1)*(IF(OR(INDEX(Quick_Type,MATCH($O716,Quick_Names,0))=INDEX(Species_Type_1,MATCH($N716,Species_Names,0)),INDEX(Quick_Type,MATCH($O716,Quick_Names,0))=INDEX(Species_Type_2,MATCH($N716,Species_Names,0))),Game_STAB_Multiplier,1)))</f>
        <v>1</v>
      </c>
      <c r="V716" s="33">
        <f t="array" ref="V7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716,Charge_Names,0))),Type_Species)),0),1)*IF(COUNTBLANK(Combo_Opponent_Type_2)=0,INDEX(Type_Damage_Multipliers,MATCH(Combo_Opponent_Type_2,IF(Type_Move=(INDEX(Charge_Type,MATCH($P716,Charge_Names,0))),Type_Species)),0),1)*
IF(OR(INDEX(Charge_Type,MATCH($P716,Charge_Names,0))=INDEX(Species_Type_1,MATCH($N716,Species_Names,0)),INDEX(Charge_Type,MATCH($P716,Charge_Names,0))=INDEX(Species_Type_2,MATCH($N716,Species_Names,0))),Game_STAB_Multiplier,1))</f>
        <v>1</v>
      </c>
      <c r="W716" s="33" t="s">
        <v>518</v>
      </c>
      <c r="X716" s="33" t="s">
        <v>1059</v>
      </c>
      <c r="Y716" s="32" t="e">
        <f t="array" ref="Y716">((($Z716)*
INDEX(Species_Attack,MATCH($N716,Species_Names,0))*
INDEX(Species_Tankiness,MATCH($N716,Species_Names,0)))/1000)</f>
        <v>#VALUE!</v>
      </c>
      <c r="Z716" s="33" t="s">
        <v>1060</v>
      </c>
    </row>
    <row r="717" spans="1:26" ht="14.25" customHeight="1" x14ac:dyDescent="0.2">
      <c r="A717" s="86"/>
      <c r="B717" s="22" t="str">
        <f t="array" ref="B717">CONCATENATE(TEXT($M717,"000"),".",TEXT(INDEX(Quick_Number,MATCH($O717,Quick_Names,0)),"000"),".",TEXT(INDEX(Charge_Number,MATCH($P717,Charge_Names,0)),"000"))</f>
        <v>029.202.050</v>
      </c>
      <c r="C717" s="23" t="e">
        <f t="array" ref="C717">RANK($S717,IF(Combo_Species_Names=$N717,Combo_Gym_Offense),0)</f>
        <v>#VALUE!</v>
      </c>
      <c r="D717" s="24" t="e">
        <f t="array" ref="D717">$S717/MAX(IF(Combo_Species_Names=$N717,Combo_Gym_Offense))</f>
        <v>#VALUE!</v>
      </c>
      <c r="E717" s="23" t="e">
        <f t="array" ref="E717">RANK($Y717,IF(Combo_Species_Names=$N717,Combo_Gym_Defense),0)</f>
        <v>#VALUE!</v>
      </c>
      <c r="F717" s="25" t="e">
        <f t="array" ref="F717">$Y717/MAX(IF(Combo_Species_Names=$N717,Combo_Gym_Defense))</f>
        <v>#VALUE!</v>
      </c>
      <c r="G717" s="23" t="str">
        <f t="array" ref="G717">IF(OR(INDEX(Species_Availability,MATCH($N717,Species_Names,0))="No",INDEX(Species_Evo_Numbers,MATCH($N717,Species_Names,0))&lt;&gt;1),"N/A",RANK($R717,IF(NOT(ISNA(MATCH(Combo_Species_Names,IF(Species_Availability="Yes",IF(Species_Evo_Numbers=1,Species_Names)),0))),Combo_Duel_Ability),0))</f>
        <v>N/A</v>
      </c>
      <c r="H717" s="24" t="str">
        <f t="array" ref="H717">IF(OR(INDEX(Species_Availability,MATCH($N717,Species_Names,0))="No",INDEX(Species_Evo_Numbers,MATCH($N717,Species_Names,0))&lt;&gt;1),"N/A",$R717/MAX(IF(NOT(ISNA(MATCH(Combo_Species_Names,IF(Species_Availability="Yes",IF(Species_Evo_Numbers=1,Species_Names)),0))),Combo_Duel_Ability)))</f>
        <v>N/A</v>
      </c>
      <c r="I717" s="23" t="str">
        <f t="array" ref="I717">IF(OR(INDEX(Species_Availability,MATCH($N717,Species_Names,0))="No",INDEX(Species_Evo_Numbers,MATCH($N717,Species_Names,0))&lt;&gt;1),"N/A",RANK($S717,IF(NOT(ISNA(MATCH(Combo_Species_Names,IF(Species_Availability="Yes",IF(Species_Evo_Numbers=1,Species_Names)),0))),Combo_Gym_Offense),0))</f>
        <v>N/A</v>
      </c>
      <c r="J717" s="24" t="str">
        <f t="array" ref="J717">IF(OR(INDEX(Species_Availability,MATCH($N717,Species_Names,0))="No",INDEX(Species_Evo_Numbers,MATCH($N717,Species_Names,0))&lt;&gt;1),"N/A",$S717/MAX(IF(NOT(ISNA(MATCH(Combo_Species_Names,IF(Species_Availability="Yes",IF(Species_Evo_Numbers=1,Species_Names)),0))),Combo_Gym_Offense)))</f>
        <v>N/A</v>
      </c>
      <c r="K717" s="23" t="str">
        <f t="array" ref="K717">IF(OR(INDEX(Species_Availability,MATCH($N717,Species_Names,0))="No",INDEX(Species_Evo_Numbers,MATCH($N717,Species_Names,0))&lt;&gt;1),"N/A",RANK($Y717,IF(NOT(ISNA(MATCH(Combo_Species_Names,IF(Species_Availability="Yes",IF(Species_Evo_Numbers=1,Species_Names)),0))),Combo_Gym_Defense),0))</f>
        <v>N/A</v>
      </c>
      <c r="L717" s="24" t="str">
        <f t="array" ref="L717">IF(OR(INDEX(Species_Availability,MATCH($N717,Species_Names,0))="No",INDEX(Species_Evo_Numbers,MATCH($N717,Species_Names,0))&lt;&gt;1),"N/A",$Y717/MAX(IF(NOT(ISNA(MATCH(Combo_Species_Names,IF(Species_Availability="Yes",IF(Species_Evo_Numbers=1,Species_Names)),0))),Combo_Gym_Defense)))</f>
        <v>N/A</v>
      </c>
      <c r="M717" s="28">
        <f t="array" ref="M717">INDEX(Species_Pdex_Numbers,MATCH($N717,Species_Names,0))</f>
        <v>29</v>
      </c>
      <c r="N717" s="30" t="s">
        <v>148</v>
      </c>
      <c r="O717" s="31" t="s">
        <v>59</v>
      </c>
      <c r="P717" s="31" t="s">
        <v>285</v>
      </c>
      <c r="Q717" s="17" t="e">
        <f t="shared" si="22"/>
        <v>#VALUE!</v>
      </c>
      <c r="R717" s="32" t="e">
        <f t="array" ref="R717">IF(OR(AND(COUNTBLANK(Combo_Opponent_Type_1)=1,COUNTBLANK(Combo_Opponent_Type_2)=0),AND(AND(COUNTBLANK(Combo_Opponent_Type_1)=0,COUNTBLANK(Combo_Opponent_Type_2)=0),Combo_Opponent_Type_1=Combo_Opponent_Type_2)),
"Check Types",($S717*INDEX(Species_Tankiness,MATCH($N717,Species_Names,0)))/225)</f>
        <v>#VALUE!</v>
      </c>
      <c r="S717" s="32" t="e">
        <f t="array" ref="S717">IF(OR(AND(COUNTBLANK(Combo_Opponent_Type_1)=1,COUNTBLANK(Combo_Opponent_Type_2)=0),AND(AND(COUNTBLANK(Combo_Opponent_Type_1)=0,COUNTBLANK(Combo_Opponent_Type_2)=0),Combo_Opponent_Type_1=Combo_Opponent_Type_2)),
"Check Types",(
IF($W717&gt;=((1-Game_Weave_Human_Error)*$X717),$W717,$X717)*INDEX(Species_Attack,MATCH($N717,Species_Names,0)))/11)</f>
        <v>#VALUE!</v>
      </c>
      <c r="T717" s="33" t="e">
        <f t="shared" si="23"/>
        <v>#VALUE!</v>
      </c>
      <c r="U717" s="33">
        <f t="array" ref="U7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717,Quick_Names,0))),Type_Species)),0),1)*IF(COUNTBLANK(Combo_Opponent_Type_2)=0,INDEX(Type_Damage_Multipliers,MATCH(Combo_Opponent_Type_2,IF(Type_Move=(INDEX(Quick_Type,MATCH($O717,Quick_Names,0))),Type_Species)),0),1)*(IF(OR(INDEX(Quick_Type,MATCH($O717,Quick_Names,0))=INDEX(Species_Type_1,MATCH($N717,Species_Names,0)),INDEX(Quick_Type,MATCH($O717,Quick_Names,0))=INDEX(Species_Type_2,MATCH($N717,Species_Names,0))),Game_STAB_Multiplier,1)))</f>
        <v>1</v>
      </c>
      <c r="V717" s="33">
        <f t="array" ref="V7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717,Charge_Names,0))),Type_Species)),0),1)*IF(COUNTBLANK(Combo_Opponent_Type_2)=0,INDEX(Type_Damage_Multipliers,MATCH(Combo_Opponent_Type_2,IF(Type_Move=(INDEX(Charge_Type,MATCH($P717,Charge_Names,0))),Type_Species)),0),1)*
IF(OR(INDEX(Charge_Type,MATCH($P717,Charge_Names,0))=INDEX(Species_Type_1,MATCH($N717,Species_Names,0)),INDEX(Charge_Type,MATCH($P717,Charge_Names,0))=INDEX(Species_Type_2,MATCH($N717,Species_Names,0))),Game_STAB_Multiplier,1))</f>
        <v>1.25</v>
      </c>
      <c r="W717" s="33" t="s">
        <v>453</v>
      </c>
      <c r="X717" s="33" t="s">
        <v>796</v>
      </c>
      <c r="Y717" s="32" t="e">
        <f t="array" ref="Y717">((($Z717)*
INDEX(Species_Attack,MATCH($N717,Species_Names,0))*
INDEX(Species_Tankiness,MATCH($N717,Species_Names,0)))/1000)</f>
        <v>#VALUE!</v>
      </c>
      <c r="Z717" s="33" t="s">
        <v>755</v>
      </c>
    </row>
    <row r="718" spans="1:26" ht="14.25" customHeight="1" x14ac:dyDescent="0.2">
      <c r="A718" s="86"/>
      <c r="B718" s="22" t="str">
        <f t="array" ref="B718">CONCATENATE(TEXT($M718,"000"),".",TEXT(INDEX(Quick_Number,MATCH($O718,Quick_Names,0)),"000"),".",TEXT(INDEX(Charge_Number,MATCH($P718,Charge_Names,0)),"000"))</f>
        <v>100.206.035</v>
      </c>
      <c r="C718" s="23" t="e">
        <f t="array" ref="C718">RANK($S718,IF(Combo_Species_Names=$N718,Combo_Gym_Offense),0)</f>
        <v>#VALUE!</v>
      </c>
      <c r="D718" s="24" t="e">
        <f t="array" ref="D718">$S718/MAX(IF(Combo_Species_Names=$N718,Combo_Gym_Offense))</f>
        <v>#VALUE!</v>
      </c>
      <c r="E718" s="23" t="e">
        <f t="array" ref="E718">RANK($Y718,IF(Combo_Species_Names=$N718,Combo_Gym_Defense),0)</f>
        <v>#VALUE!</v>
      </c>
      <c r="F718" s="25" t="e">
        <f t="array" ref="F718">$Y718/MAX(IF(Combo_Species_Names=$N718,Combo_Gym_Defense))</f>
        <v>#VALUE!</v>
      </c>
      <c r="G718" s="23" t="str">
        <f t="array" ref="G718">IF(OR(INDEX(Species_Availability,MATCH($N718,Species_Names,0))="No",INDEX(Species_Evo_Numbers,MATCH($N718,Species_Names,0))&lt;&gt;1),"N/A",RANK($R718,IF(NOT(ISNA(MATCH(Combo_Species_Names,IF(Species_Availability="Yes",IF(Species_Evo_Numbers=1,Species_Names)),0))),Combo_Duel_Ability),0))</f>
        <v>N/A</v>
      </c>
      <c r="H718" s="24" t="str">
        <f t="array" ref="H718">IF(OR(INDEX(Species_Availability,MATCH($N718,Species_Names,0))="No",INDEX(Species_Evo_Numbers,MATCH($N718,Species_Names,0))&lt;&gt;1),"N/A",$R718/MAX(IF(NOT(ISNA(MATCH(Combo_Species_Names,IF(Species_Availability="Yes",IF(Species_Evo_Numbers=1,Species_Names)),0))),Combo_Duel_Ability)))</f>
        <v>N/A</v>
      </c>
      <c r="I718" s="23" t="str">
        <f t="array" ref="I718">IF(OR(INDEX(Species_Availability,MATCH($N718,Species_Names,0))="No",INDEX(Species_Evo_Numbers,MATCH($N718,Species_Names,0))&lt;&gt;1),"N/A",RANK($S718,IF(NOT(ISNA(MATCH(Combo_Species_Names,IF(Species_Availability="Yes",IF(Species_Evo_Numbers=1,Species_Names)),0))),Combo_Gym_Offense),0))</f>
        <v>N/A</v>
      </c>
      <c r="J718" s="24" t="str">
        <f t="array" ref="J718">IF(OR(INDEX(Species_Availability,MATCH($N718,Species_Names,0))="No",INDEX(Species_Evo_Numbers,MATCH($N718,Species_Names,0))&lt;&gt;1),"N/A",$S718/MAX(IF(NOT(ISNA(MATCH(Combo_Species_Names,IF(Species_Availability="Yes",IF(Species_Evo_Numbers=1,Species_Names)),0))),Combo_Gym_Offense)))</f>
        <v>N/A</v>
      </c>
      <c r="K718" s="23" t="str">
        <f t="array" ref="K718">IF(OR(INDEX(Species_Availability,MATCH($N718,Species_Names,0))="No",INDEX(Species_Evo_Numbers,MATCH($N718,Species_Names,0))&lt;&gt;1),"N/A",RANK($Y718,IF(NOT(ISNA(MATCH(Combo_Species_Names,IF(Species_Availability="Yes",IF(Species_Evo_Numbers=1,Species_Names)),0))),Combo_Gym_Defense),0))</f>
        <v>N/A</v>
      </c>
      <c r="L718" s="24" t="str">
        <f t="array" ref="L718">IF(OR(INDEX(Species_Availability,MATCH($N718,Species_Names,0))="No",INDEX(Species_Evo_Numbers,MATCH($N718,Species_Names,0))&lt;&gt;1),"N/A",$Y718/MAX(IF(NOT(ISNA(MATCH(Combo_Species_Names,IF(Species_Availability="Yes",IF(Species_Evo_Numbers=1,Species_Names)),0))),Combo_Gym_Defense)))</f>
        <v>N/A</v>
      </c>
      <c r="M718" s="28">
        <f t="array" ref="M718">INDEX(Species_Pdex_Numbers,MATCH($N718,Species_Names,0))</f>
        <v>100</v>
      </c>
      <c r="N718" s="30" t="s">
        <v>301</v>
      </c>
      <c r="O718" s="31" t="s">
        <v>106</v>
      </c>
      <c r="P718" s="31" t="s">
        <v>245</v>
      </c>
      <c r="Q718" s="17" t="e">
        <f t="shared" si="22"/>
        <v>#VALUE!</v>
      </c>
      <c r="R718" s="32" t="e">
        <f t="array" ref="R718">IF(OR(AND(COUNTBLANK(Combo_Opponent_Type_1)=1,COUNTBLANK(Combo_Opponent_Type_2)=0),AND(AND(COUNTBLANK(Combo_Opponent_Type_1)=0,COUNTBLANK(Combo_Opponent_Type_2)=0),Combo_Opponent_Type_1=Combo_Opponent_Type_2)),
"Check Types",($S718*INDEX(Species_Tankiness,MATCH($N718,Species_Names,0)))/225)</f>
        <v>#VALUE!</v>
      </c>
      <c r="S718" s="32" t="e">
        <f t="array" ref="S718">IF(OR(AND(COUNTBLANK(Combo_Opponent_Type_1)=1,COUNTBLANK(Combo_Opponent_Type_2)=0),AND(AND(COUNTBLANK(Combo_Opponent_Type_1)=0,COUNTBLANK(Combo_Opponent_Type_2)=0),Combo_Opponent_Type_1=Combo_Opponent_Type_2)),
"Check Types",(
IF($W718&gt;=((1-Game_Weave_Human_Error)*$X718),$W718,$X718)*INDEX(Species_Attack,MATCH($N718,Species_Names,0)))/11)</f>
        <v>#VALUE!</v>
      </c>
      <c r="T718" s="33" t="e">
        <f t="shared" si="23"/>
        <v>#VALUE!</v>
      </c>
      <c r="U718" s="33">
        <f t="array" ref="U7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718,Quick_Names,0))),Type_Species)),0),1)*IF(COUNTBLANK(Combo_Opponent_Type_2)=0,INDEX(Type_Damage_Multipliers,MATCH(Combo_Opponent_Type_2,IF(Type_Move=(INDEX(Quick_Type,MATCH($O718,Quick_Names,0))),Type_Species)),0),1)*(IF(OR(INDEX(Quick_Type,MATCH($O718,Quick_Names,0))=INDEX(Species_Type_1,MATCH($N718,Species_Names,0)),INDEX(Quick_Type,MATCH($O718,Quick_Names,0))=INDEX(Species_Type_2,MATCH($N718,Species_Names,0))),Game_STAB_Multiplier,1)))</f>
        <v>1.25</v>
      </c>
      <c r="V718" s="33">
        <f t="array" ref="V7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718,Charge_Names,0))),Type_Species)),0),1)*IF(COUNTBLANK(Combo_Opponent_Type_2)=0,INDEX(Type_Damage_Multipliers,MATCH(Combo_Opponent_Type_2,IF(Type_Move=(INDEX(Charge_Type,MATCH($P718,Charge_Names,0))),Type_Species)),0),1)*
IF(OR(INDEX(Charge_Type,MATCH($P718,Charge_Names,0))=INDEX(Species_Type_1,MATCH($N718,Species_Names,0)),INDEX(Charge_Type,MATCH($P718,Charge_Names,0))=INDEX(Species_Type_2,MATCH($N718,Species_Names,0))),Game_STAB_Multiplier,1))</f>
        <v>1.25</v>
      </c>
      <c r="W718" s="33" t="s">
        <v>708</v>
      </c>
      <c r="X718" s="33" t="s">
        <v>825</v>
      </c>
      <c r="Y718" s="32" t="e">
        <f t="array" ref="Y718">((($Z718)*
INDEX(Species_Attack,MATCH($N718,Species_Names,0))*
INDEX(Species_Tankiness,MATCH($N718,Species_Names,0)))/1000)</f>
        <v>#VALUE!</v>
      </c>
      <c r="Z718" s="33" t="s">
        <v>547</v>
      </c>
    </row>
    <row r="719" spans="1:26" ht="14.25" customHeight="1" x14ac:dyDescent="0.2">
      <c r="A719" s="86"/>
      <c r="B719" s="22" t="str">
        <f t="array" ref="B719">CONCATENATE(TEXT($M719,"000"),".",TEXT(INDEX(Quick_Number,MATCH($O719,Quick_Names,0)),"000"),".",TEXT(INDEX(Charge_Number,MATCH($P719,Charge_Names,0)),"000"))</f>
        <v>074.227.064</v>
      </c>
      <c r="C719" s="23" t="e">
        <f t="array" ref="C719">RANK($S719,IF(Combo_Species_Names=$N719,Combo_Gym_Offense),0)</f>
        <v>#VALUE!</v>
      </c>
      <c r="D719" s="24" t="e">
        <f t="array" ref="D719">$S719/MAX(IF(Combo_Species_Names=$N719,Combo_Gym_Offense))</f>
        <v>#VALUE!</v>
      </c>
      <c r="E719" s="23" t="e">
        <f t="array" ref="E719">RANK($Y719,IF(Combo_Species_Names=$N719,Combo_Gym_Defense),0)</f>
        <v>#VALUE!</v>
      </c>
      <c r="F719" s="25" t="e">
        <f t="array" ref="F719">$Y719/MAX(IF(Combo_Species_Names=$N719,Combo_Gym_Defense))</f>
        <v>#VALUE!</v>
      </c>
      <c r="G719" s="23" t="str">
        <f t="array" ref="G719">IF(OR(INDEX(Species_Availability,MATCH($N719,Species_Names,0))="No",INDEX(Species_Evo_Numbers,MATCH($N719,Species_Names,0))&lt;&gt;1),"N/A",RANK($R719,IF(NOT(ISNA(MATCH(Combo_Species_Names,IF(Species_Availability="Yes",IF(Species_Evo_Numbers=1,Species_Names)),0))),Combo_Duel_Ability),0))</f>
        <v>N/A</v>
      </c>
      <c r="H719" s="24" t="str">
        <f t="array" ref="H719">IF(OR(INDEX(Species_Availability,MATCH($N719,Species_Names,0))="No",INDEX(Species_Evo_Numbers,MATCH($N719,Species_Names,0))&lt;&gt;1),"N/A",$R719/MAX(IF(NOT(ISNA(MATCH(Combo_Species_Names,IF(Species_Availability="Yes",IF(Species_Evo_Numbers=1,Species_Names)),0))),Combo_Duel_Ability)))</f>
        <v>N/A</v>
      </c>
      <c r="I719" s="23" t="str">
        <f t="array" ref="I719">IF(OR(INDEX(Species_Availability,MATCH($N719,Species_Names,0))="No",INDEX(Species_Evo_Numbers,MATCH($N719,Species_Names,0))&lt;&gt;1),"N/A",RANK($S719,IF(NOT(ISNA(MATCH(Combo_Species_Names,IF(Species_Availability="Yes",IF(Species_Evo_Numbers=1,Species_Names)),0))),Combo_Gym_Offense),0))</f>
        <v>N/A</v>
      </c>
      <c r="J719" s="24" t="str">
        <f t="array" ref="J719">IF(OR(INDEX(Species_Availability,MATCH($N719,Species_Names,0))="No",INDEX(Species_Evo_Numbers,MATCH($N719,Species_Names,0))&lt;&gt;1),"N/A",$S719/MAX(IF(NOT(ISNA(MATCH(Combo_Species_Names,IF(Species_Availability="Yes",IF(Species_Evo_Numbers=1,Species_Names)),0))),Combo_Gym_Offense)))</f>
        <v>N/A</v>
      </c>
      <c r="K719" s="23" t="str">
        <f t="array" ref="K719">IF(OR(INDEX(Species_Availability,MATCH($N719,Species_Names,0))="No",INDEX(Species_Evo_Numbers,MATCH($N719,Species_Names,0))&lt;&gt;1),"N/A",RANK($Y719,IF(NOT(ISNA(MATCH(Combo_Species_Names,IF(Species_Availability="Yes",IF(Species_Evo_Numbers=1,Species_Names)),0))),Combo_Gym_Defense),0))</f>
        <v>N/A</v>
      </c>
      <c r="L719" s="24" t="str">
        <f t="array" ref="L719">IF(OR(INDEX(Species_Availability,MATCH($N719,Species_Names,0))="No",INDEX(Species_Evo_Numbers,MATCH($N719,Species_Names,0))&lt;&gt;1),"N/A",$Y719/MAX(IF(NOT(ISNA(MATCH(Combo_Species_Names,IF(Species_Availability="Yes",IF(Species_Evo_Numbers=1,Species_Names)),0))),Combo_Gym_Defense)))</f>
        <v>N/A</v>
      </c>
      <c r="M719" s="28">
        <f t="array" ref="M719">INDEX(Species_Pdex_Numbers,MATCH($N719,Species_Names,0))</f>
        <v>74</v>
      </c>
      <c r="N719" s="30" t="s">
        <v>240</v>
      </c>
      <c r="O719" s="31" t="s">
        <v>112</v>
      </c>
      <c r="P719" s="31" t="s">
        <v>222</v>
      </c>
      <c r="Q719" s="17" t="e">
        <f t="shared" si="22"/>
        <v>#VALUE!</v>
      </c>
      <c r="R719" s="32" t="e">
        <f t="array" ref="R719">IF(OR(AND(COUNTBLANK(Combo_Opponent_Type_1)=1,COUNTBLANK(Combo_Opponent_Type_2)=0),AND(AND(COUNTBLANK(Combo_Opponent_Type_1)=0,COUNTBLANK(Combo_Opponent_Type_2)=0),Combo_Opponent_Type_1=Combo_Opponent_Type_2)),
"Check Types",($S719*INDEX(Species_Tankiness,MATCH($N719,Species_Names,0)))/225)</f>
        <v>#VALUE!</v>
      </c>
      <c r="S719" s="32" t="e">
        <f t="array" ref="S719">IF(OR(AND(COUNTBLANK(Combo_Opponent_Type_1)=1,COUNTBLANK(Combo_Opponent_Type_2)=0),AND(AND(COUNTBLANK(Combo_Opponent_Type_1)=0,COUNTBLANK(Combo_Opponent_Type_2)=0),Combo_Opponent_Type_1=Combo_Opponent_Type_2)),
"Check Types",(
IF($W719&gt;=((1-Game_Weave_Human_Error)*$X719),$W719,$X719)*INDEX(Species_Attack,MATCH($N719,Species_Names,0)))/11)</f>
        <v>#VALUE!</v>
      </c>
      <c r="T719" s="33" t="e">
        <f t="shared" si="23"/>
        <v>#VALUE!</v>
      </c>
      <c r="U719" s="33">
        <f t="array" ref="U7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719,Quick_Names,0))),Type_Species)),0),1)*IF(COUNTBLANK(Combo_Opponent_Type_2)=0,INDEX(Type_Damage_Multipliers,MATCH(Combo_Opponent_Type_2,IF(Type_Move=(INDEX(Quick_Type,MATCH($O719,Quick_Names,0))),Type_Species)),0),1)*(IF(OR(INDEX(Quick_Type,MATCH($O719,Quick_Names,0))=INDEX(Species_Type_1,MATCH($N719,Species_Names,0)),INDEX(Quick_Type,MATCH($O719,Quick_Names,0))=INDEX(Species_Type_2,MATCH($N719,Species_Names,0))),Game_STAB_Multiplier,1)))</f>
        <v>1.25</v>
      </c>
      <c r="V719" s="33">
        <f t="array" ref="V7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719,Charge_Names,0))),Type_Species)),0),1)*IF(COUNTBLANK(Combo_Opponent_Type_2)=0,INDEX(Type_Damage_Multipliers,MATCH(Combo_Opponent_Type_2,IF(Type_Move=(INDEX(Charge_Type,MATCH($P719,Charge_Names,0))),Type_Species)),0),1)*
IF(OR(INDEX(Charge_Type,MATCH($P719,Charge_Names,0))=INDEX(Species_Type_1,MATCH($N719,Species_Names,0)),INDEX(Charge_Type,MATCH($P719,Charge_Names,0))=INDEX(Species_Type_2,MATCH($N719,Species_Names,0))),Game_STAB_Multiplier,1))</f>
        <v>1.25</v>
      </c>
      <c r="W719" s="33" t="s">
        <v>548</v>
      </c>
      <c r="X719" s="33" t="s">
        <v>674</v>
      </c>
      <c r="Y719" s="32" t="e">
        <f t="array" ref="Y719">((($Z719)*
INDEX(Species_Attack,MATCH($N719,Species_Names,0))*
INDEX(Species_Tankiness,MATCH($N719,Species_Names,0)))/1000)</f>
        <v>#VALUE!</v>
      </c>
      <c r="Z719" s="33" t="s">
        <v>587</v>
      </c>
    </row>
    <row r="720" spans="1:26" ht="14.25" customHeight="1" x14ac:dyDescent="0.2">
      <c r="A720" s="86"/>
      <c r="B720" s="22" t="str">
        <f t="array" ref="B720">CONCATENATE(TEXT($M720,"000"),".",TEXT(INDEX(Quick_Number,MATCH($O720,Quick_Names,0)),"000"),".",TEXT(INDEX(Charge_Number,MATCH($P720,Charge_Names,0)),"000"))</f>
        <v>074.221.064</v>
      </c>
      <c r="C720" s="23" t="e">
        <f t="array" ref="C720">RANK($S720,IF(Combo_Species_Names=$N720,Combo_Gym_Offense),0)</f>
        <v>#VALUE!</v>
      </c>
      <c r="D720" s="24" t="e">
        <f t="array" ref="D720">$S720/MAX(IF(Combo_Species_Names=$N720,Combo_Gym_Offense))</f>
        <v>#VALUE!</v>
      </c>
      <c r="E720" s="23" t="e">
        <f t="array" ref="E720">RANK($Y720,IF(Combo_Species_Names=$N720,Combo_Gym_Defense),0)</f>
        <v>#VALUE!</v>
      </c>
      <c r="F720" s="25" t="e">
        <f t="array" ref="F720">$Y720/MAX(IF(Combo_Species_Names=$N720,Combo_Gym_Defense))</f>
        <v>#VALUE!</v>
      </c>
      <c r="G720" s="23" t="str">
        <f t="array" ref="G720">IF(OR(INDEX(Species_Availability,MATCH($N720,Species_Names,0))="No",INDEX(Species_Evo_Numbers,MATCH($N720,Species_Names,0))&lt;&gt;1),"N/A",RANK($R720,IF(NOT(ISNA(MATCH(Combo_Species_Names,IF(Species_Availability="Yes",IF(Species_Evo_Numbers=1,Species_Names)),0))),Combo_Duel_Ability),0))</f>
        <v>N/A</v>
      </c>
      <c r="H720" s="24" t="str">
        <f t="array" ref="H720">IF(OR(INDEX(Species_Availability,MATCH($N720,Species_Names,0))="No",INDEX(Species_Evo_Numbers,MATCH($N720,Species_Names,0))&lt;&gt;1),"N/A",$R720/MAX(IF(NOT(ISNA(MATCH(Combo_Species_Names,IF(Species_Availability="Yes",IF(Species_Evo_Numbers=1,Species_Names)),0))),Combo_Duel_Ability)))</f>
        <v>N/A</v>
      </c>
      <c r="I720" s="23" t="str">
        <f t="array" ref="I720">IF(OR(INDEX(Species_Availability,MATCH($N720,Species_Names,0))="No",INDEX(Species_Evo_Numbers,MATCH($N720,Species_Names,0))&lt;&gt;1),"N/A",RANK($S720,IF(NOT(ISNA(MATCH(Combo_Species_Names,IF(Species_Availability="Yes",IF(Species_Evo_Numbers=1,Species_Names)),0))),Combo_Gym_Offense),0))</f>
        <v>N/A</v>
      </c>
      <c r="J720" s="24" t="str">
        <f t="array" ref="J720">IF(OR(INDEX(Species_Availability,MATCH($N720,Species_Names,0))="No",INDEX(Species_Evo_Numbers,MATCH($N720,Species_Names,0))&lt;&gt;1),"N/A",$S720/MAX(IF(NOT(ISNA(MATCH(Combo_Species_Names,IF(Species_Availability="Yes",IF(Species_Evo_Numbers=1,Species_Names)),0))),Combo_Gym_Offense)))</f>
        <v>N/A</v>
      </c>
      <c r="K720" s="23" t="str">
        <f t="array" ref="K720">IF(OR(INDEX(Species_Availability,MATCH($N720,Species_Names,0))="No",INDEX(Species_Evo_Numbers,MATCH($N720,Species_Names,0))&lt;&gt;1),"N/A",RANK($Y720,IF(NOT(ISNA(MATCH(Combo_Species_Names,IF(Species_Availability="Yes",IF(Species_Evo_Numbers=1,Species_Names)),0))),Combo_Gym_Defense),0))</f>
        <v>N/A</v>
      </c>
      <c r="L720" s="24" t="str">
        <f t="array" ref="L720">IF(OR(INDEX(Species_Availability,MATCH($N720,Species_Names,0))="No",INDEX(Species_Evo_Numbers,MATCH($N720,Species_Names,0))&lt;&gt;1),"N/A",$Y720/MAX(IF(NOT(ISNA(MATCH(Combo_Species_Names,IF(Species_Availability="Yes",IF(Species_Evo_Numbers=1,Species_Names)),0))),Combo_Gym_Defense)))</f>
        <v>N/A</v>
      </c>
      <c r="M720" s="28">
        <f t="array" ref="M720">INDEX(Species_Pdex_Numbers,MATCH($N720,Species_Names,0))</f>
        <v>74</v>
      </c>
      <c r="N720" s="30" t="s">
        <v>240</v>
      </c>
      <c r="O720" s="31" t="s">
        <v>91</v>
      </c>
      <c r="P720" s="31" t="s">
        <v>222</v>
      </c>
      <c r="Q720" s="17" t="e">
        <f t="shared" si="22"/>
        <v>#VALUE!</v>
      </c>
      <c r="R720" s="32" t="e">
        <f t="array" ref="R720">IF(OR(AND(COUNTBLANK(Combo_Opponent_Type_1)=1,COUNTBLANK(Combo_Opponent_Type_2)=0),AND(AND(COUNTBLANK(Combo_Opponent_Type_1)=0,COUNTBLANK(Combo_Opponent_Type_2)=0),Combo_Opponent_Type_1=Combo_Opponent_Type_2)),
"Check Types",($S720*INDEX(Species_Tankiness,MATCH($N720,Species_Names,0)))/225)</f>
        <v>#VALUE!</v>
      </c>
      <c r="S720" s="32" t="e">
        <f t="array" ref="S720">IF(OR(AND(COUNTBLANK(Combo_Opponent_Type_1)=1,COUNTBLANK(Combo_Opponent_Type_2)=0),AND(AND(COUNTBLANK(Combo_Opponent_Type_1)=0,COUNTBLANK(Combo_Opponent_Type_2)=0),Combo_Opponent_Type_1=Combo_Opponent_Type_2)),
"Check Types",(
IF($W720&gt;=((1-Game_Weave_Human_Error)*$X720),$W720,$X720)*INDEX(Species_Attack,MATCH($N720,Species_Names,0)))/11)</f>
        <v>#VALUE!</v>
      </c>
      <c r="T720" s="33" t="e">
        <f t="shared" si="23"/>
        <v>#VALUE!</v>
      </c>
      <c r="U720" s="33">
        <f t="array" ref="U7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720,Quick_Names,0))),Type_Species)),0),1)*IF(COUNTBLANK(Combo_Opponent_Type_2)=0,INDEX(Type_Damage_Multipliers,MATCH(Combo_Opponent_Type_2,IF(Type_Move=(INDEX(Quick_Type,MATCH($O720,Quick_Names,0))),Type_Species)),0),1)*(IF(OR(INDEX(Quick_Type,MATCH($O720,Quick_Names,0))=INDEX(Species_Type_1,MATCH($N720,Species_Names,0)),INDEX(Quick_Type,MATCH($O720,Quick_Names,0))=INDEX(Species_Type_2,MATCH($N720,Species_Names,0))),Game_STAB_Multiplier,1)))</f>
        <v>1</v>
      </c>
      <c r="V720" s="33">
        <f t="array" ref="V7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720,Charge_Names,0))),Type_Species)),0),1)*IF(COUNTBLANK(Combo_Opponent_Type_2)=0,INDEX(Type_Damage_Multipliers,MATCH(Combo_Opponent_Type_2,IF(Type_Move=(INDEX(Charge_Type,MATCH($P720,Charge_Names,0))),Type_Species)),0),1)*
IF(OR(INDEX(Charge_Type,MATCH($P720,Charge_Names,0))=INDEX(Species_Type_1,MATCH($N720,Species_Names,0)),INDEX(Charge_Type,MATCH($P720,Charge_Names,0))=INDEX(Species_Type_2,MATCH($N720,Species_Names,0))),Game_STAB_Multiplier,1))</f>
        <v>1.25</v>
      </c>
      <c r="W720" s="33" t="s">
        <v>658</v>
      </c>
      <c r="X720" s="33" t="s">
        <v>674</v>
      </c>
      <c r="Y720" s="32" t="e">
        <f t="array" ref="Y720">((($Z720)*
INDEX(Species_Attack,MATCH($N720,Species_Names,0))*
INDEX(Species_Tankiness,MATCH($N720,Species_Names,0)))/1000)</f>
        <v>#VALUE!</v>
      </c>
      <c r="Z720" s="33" t="s">
        <v>882</v>
      </c>
    </row>
    <row r="721" spans="1:26" ht="14.25" customHeight="1" x14ac:dyDescent="0.2">
      <c r="A721" s="86"/>
      <c r="B721" s="22" t="str">
        <f t="array" ref="B721">CONCATENATE(TEXT($M721,"000"),".",TEXT(INDEX(Quick_Number,MATCH($O721,Quick_Names,0)),"000"),".",TEXT(INDEX(Charge_Number,MATCH($P721,Charge_Names,0)),"000"))</f>
        <v>140.216.057</v>
      </c>
      <c r="C721" s="23" t="e">
        <f t="array" ref="C721">RANK($S721,IF(Combo_Species_Names=$N721,Combo_Gym_Offense),0)</f>
        <v>#VALUE!</v>
      </c>
      <c r="D721" s="24" t="e">
        <f t="array" ref="D721">$S721/MAX(IF(Combo_Species_Names=$N721,Combo_Gym_Offense))</f>
        <v>#VALUE!</v>
      </c>
      <c r="E721" s="23" t="e">
        <f t="array" ref="E721">RANK($Y721,IF(Combo_Species_Names=$N721,Combo_Gym_Defense),0)</f>
        <v>#VALUE!</v>
      </c>
      <c r="F721" s="25" t="e">
        <f t="array" ref="F721">$Y721/MAX(IF(Combo_Species_Names=$N721,Combo_Gym_Defense))</f>
        <v>#VALUE!</v>
      </c>
      <c r="G721" s="23" t="str">
        <f t="array" ref="G721">IF(OR(INDEX(Species_Availability,MATCH($N721,Species_Names,0))="No",INDEX(Species_Evo_Numbers,MATCH($N721,Species_Names,0))&lt;&gt;1),"N/A",RANK($R721,IF(NOT(ISNA(MATCH(Combo_Species_Names,IF(Species_Availability="Yes",IF(Species_Evo_Numbers=1,Species_Names)),0))),Combo_Duel_Ability),0))</f>
        <v>N/A</v>
      </c>
      <c r="H721" s="24" t="str">
        <f t="array" ref="H721">IF(OR(INDEX(Species_Availability,MATCH($N721,Species_Names,0))="No",INDEX(Species_Evo_Numbers,MATCH($N721,Species_Names,0))&lt;&gt;1),"N/A",$R721/MAX(IF(NOT(ISNA(MATCH(Combo_Species_Names,IF(Species_Availability="Yes",IF(Species_Evo_Numbers=1,Species_Names)),0))),Combo_Duel_Ability)))</f>
        <v>N/A</v>
      </c>
      <c r="I721" s="23" t="str">
        <f t="array" ref="I721">IF(OR(INDEX(Species_Availability,MATCH($N721,Species_Names,0))="No",INDEX(Species_Evo_Numbers,MATCH($N721,Species_Names,0))&lt;&gt;1),"N/A",RANK($S721,IF(NOT(ISNA(MATCH(Combo_Species_Names,IF(Species_Availability="Yes",IF(Species_Evo_Numbers=1,Species_Names)),0))),Combo_Gym_Offense),0))</f>
        <v>N/A</v>
      </c>
      <c r="J721" s="24" t="str">
        <f t="array" ref="J721">IF(OR(INDEX(Species_Availability,MATCH($N721,Species_Names,0))="No",INDEX(Species_Evo_Numbers,MATCH($N721,Species_Names,0))&lt;&gt;1),"N/A",$S721/MAX(IF(NOT(ISNA(MATCH(Combo_Species_Names,IF(Species_Availability="Yes",IF(Species_Evo_Numbers=1,Species_Names)),0))),Combo_Gym_Offense)))</f>
        <v>N/A</v>
      </c>
      <c r="K721" s="23" t="str">
        <f t="array" ref="K721">IF(OR(INDEX(Species_Availability,MATCH($N721,Species_Names,0))="No",INDEX(Species_Evo_Numbers,MATCH($N721,Species_Names,0))&lt;&gt;1),"N/A",RANK($Y721,IF(NOT(ISNA(MATCH(Combo_Species_Names,IF(Species_Availability="Yes",IF(Species_Evo_Numbers=1,Species_Names)),0))),Combo_Gym_Defense),0))</f>
        <v>N/A</v>
      </c>
      <c r="L721" s="24" t="str">
        <f t="array" ref="L721">IF(OR(INDEX(Species_Availability,MATCH($N721,Species_Names,0))="No",INDEX(Species_Evo_Numbers,MATCH($N721,Species_Names,0))&lt;&gt;1),"N/A",$Y721/MAX(IF(NOT(ISNA(MATCH(Combo_Species_Names,IF(Species_Availability="Yes",IF(Species_Evo_Numbers=1,Species_Names)),0))),Combo_Gym_Defense)))</f>
        <v>N/A</v>
      </c>
      <c r="M721" s="28">
        <f t="array" ref="M721">INDEX(Species_Pdex_Numbers,MATCH($N721,Species_Names,0))</f>
        <v>140</v>
      </c>
      <c r="N721" s="30" t="s">
        <v>358</v>
      </c>
      <c r="O721" s="31" t="s">
        <v>89</v>
      </c>
      <c r="P721" s="31" t="s">
        <v>280</v>
      </c>
      <c r="Q721" s="17" t="e">
        <f t="shared" si="22"/>
        <v>#VALUE!</v>
      </c>
      <c r="R721" s="32" t="e">
        <f t="array" ref="R721">IF(OR(AND(COUNTBLANK(Combo_Opponent_Type_1)=1,COUNTBLANK(Combo_Opponent_Type_2)=0),AND(AND(COUNTBLANK(Combo_Opponent_Type_1)=0,COUNTBLANK(Combo_Opponent_Type_2)=0),Combo_Opponent_Type_1=Combo_Opponent_Type_2)),
"Check Types",($S721*INDEX(Species_Tankiness,MATCH($N721,Species_Names,0)))/225)</f>
        <v>#VALUE!</v>
      </c>
      <c r="S721" s="32" t="e">
        <f t="array" ref="S721">IF(OR(AND(COUNTBLANK(Combo_Opponent_Type_1)=1,COUNTBLANK(Combo_Opponent_Type_2)=0),AND(AND(COUNTBLANK(Combo_Opponent_Type_1)=0,COUNTBLANK(Combo_Opponent_Type_2)=0),Combo_Opponent_Type_1=Combo_Opponent_Type_2)),
"Check Types",(
IF($W721&gt;=((1-Game_Weave_Human_Error)*$X721),$W721,$X721)*INDEX(Species_Attack,MATCH($N721,Species_Names,0)))/11)</f>
        <v>#VALUE!</v>
      </c>
      <c r="T721" s="33" t="e">
        <f t="shared" si="23"/>
        <v>#VALUE!</v>
      </c>
      <c r="U721" s="33">
        <f t="array" ref="U7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721,Quick_Names,0))),Type_Species)),0),1)*IF(COUNTBLANK(Combo_Opponent_Type_2)=0,INDEX(Type_Damage_Multipliers,MATCH(Combo_Opponent_Type_2,IF(Type_Move=(INDEX(Quick_Type,MATCH($O721,Quick_Names,0))),Type_Species)),0),1)*(IF(OR(INDEX(Quick_Type,MATCH($O721,Quick_Names,0))=INDEX(Species_Type_1,MATCH($N721,Species_Names,0)),INDEX(Quick_Type,MATCH($O721,Quick_Names,0))=INDEX(Species_Type_2,MATCH($N721,Species_Names,0))),Game_STAB_Multiplier,1)))</f>
        <v>1</v>
      </c>
      <c r="V721" s="33">
        <f t="array" ref="V7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721,Charge_Names,0))),Type_Species)),0),1)*IF(COUNTBLANK(Combo_Opponent_Type_2)=0,INDEX(Type_Damage_Multipliers,MATCH(Combo_Opponent_Type_2,IF(Type_Move=(INDEX(Charge_Type,MATCH($P721,Charge_Names,0))),Type_Species)),0),1)*
IF(OR(INDEX(Charge_Type,MATCH($P721,Charge_Names,0))=INDEX(Species_Type_1,MATCH($N721,Species_Names,0)),INDEX(Charge_Type,MATCH($P721,Charge_Names,0))=INDEX(Species_Type_2,MATCH($N721,Species_Names,0))),Game_STAB_Multiplier,1))</f>
        <v>1.25</v>
      </c>
      <c r="W721" s="33" t="s">
        <v>518</v>
      </c>
      <c r="X721" s="33" t="s">
        <v>765</v>
      </c>
      <c r="Y721" s="32" t="e">
        <f t="array" ref="Y721">((($Z721)*
INDEX(Species_Attack,MATCH($N721,Species_Names,0))*
INDEX(Species_Tankiness,MATCH($N721,Species_Names,0)))/1000)</f>
        <v>#VALUE!</v>
      </c>
      <c r="Z721" s="33" t="s">
        <v>647</v>
      </c>
    </row>
    <row r="722" spans="1:26" ht="14.25" customHeight="1" x14ac:dyDescent="0.2">
      <c r="A722" s="86"/>
      <c r="B722" s="22" t="str">
        <f t="array" ref="B722">CONCATENATE(TEXT($M722,"000"),".",TEXT(INDEX(Quick_Number,MATCH($O722,Quick_Names,0)),"000"),".",TEXT(INDEX(Charge_Number,MATCH($P722,Charge_Names,0)),"000"))</f>
        <v>140.216.062</v>
      </c>
      <c r="C722" s="23" t="e">
        <f t="array" ref="C722">RANK($S722,IF(Combo_Species_Names=$N722,Combo_Gym_Offense),0)</f>
        <v>#VALUE!</v>
      </c>
      <c r="D722" s="24" t="e">
        <f t="array" ref="D722">$S722/MAX(IF(Combo_Species_Names=$N722,Combo_Gym_Offense))</f>
        <v>#VALUE!</v>
      </c>
      <c r="E722" s="23" t="e">
        <f t="array" ref="E722">RANK($Y722,IF(Combo_Species_Names=$N722,Combo_Gym_Defense),0)</f>
        <v>#VALUE!</v>
      </c>
      <c r="F722" s="25" t="e">
        <f t="array" ref="F722">$Y722/MAX(IF(Combo_Species_Names=$N722,Combo_Gym_Defense))</f>
        <v>#VALUE!</v>
      </c>
      <c r="G722" s="23" t="str">
        <f t="array" ref="G722">IF(OR(INDEX(Species_Availability,MATCH($N722,Species_Names,0))="No",INDEX(Species_Evo_Numbers,MATCH($N722,Species_Names,0))&lt;&gt;1),"N/A",RANK($R722,IF(NOT(ISNA(MATCH(Combo_Species_Names,IF(Species_Availability="Yes",IF(Species_Evo_Numbers=1,Species_Names)),0))),Combo_Duel_Ability),0))</f>
        <v>N/A</v>
      </c>
      <c r="H722" s="24" t="str">
        <f t="array" ref="H722">IF(OR(INDEX(Species_Availability,MATCH($N722,Species_Names,0))="No",INDEX(Species_Evo_Numbers,MATCH($N722,Species_Names,0))&lt;&gt;1),"N/A",$R722/MAX(IF(NOT(ISNA(MATCH(Combo_Species_Names,IF(Species_Availability="Yes",IF(Species_Evo_Numbers=1,Species_Names)),0))),Combo_Duel_Ability)))</f>
        <v>N/A</v>
      </c>
      <c r="I722" s="23" t="str">
        <f t="array" ref="I722">IF(OR(INDEX(Species_Availability,MATCH($N722,Species_Names,0))="No",INDEX(Species_Evo_Numbers,MATCH($N722,Species_Names,0))&lt;&gt;1),"N/A",RANK($S722,IF(NOT(ISNA(MATCH(Combo_Species_Names,IF(Species_Availability="Yes",IF(Species_Evo_Numbers=1,Species_Names)),0))),Combo_Gym_Offense),0))</f>
        <v>N/A</v>
      </c>
      <c r="J722" s="24" t="str">
        <f t="array" ref="J722">IF(OR(INDEX(Species_Availability,MATCH($N722,Species_Names,0))="No",INDEX(Species_Evo_Numbers,MATCH($N722,Species_Names,0))&lt;&gt;1),"N/A",$S722/MAX(IF(NOT(ISNA(MATCH(Combo_Species_Names,IF(Species_Availability="Yes",IF(Species_Evo_Numbers=1,Species_Names)),0))),Combo_Gym_Offense)))</f>
        <v>N/A</v>
      </c>
      <c r="K722" s="23" t="str">
        <f t="array" ref="K722">IF(OR(INDEX(Species_Availability,MATCH($N722,Species_Names,0))="No",INDEX(Species_Evo_Numbers,MATCH($N722,Species_Names,0))&lt;&gt;1),"N/A",RANK($Y722,IF(NOT(ISNA(MATCH(Combo_Species_Names,IF(Species_Availability="Yes",IF(Species_Evo_Numbers=1,Species_Names)),0))),Combo_Gym_Defense),0))</f>
        <v>N/A</v>
      </c>
      <c r="L722" s="24" t="str">
        <f t="array" ref="L722">IF(OR(INDEX(Species_Availability,MATCH($N722,Species_Names,0))="No",INDEX(Species_Evo_Numbers,MATCH($N722,Species_Names,0))&lt;&gt;1),"N/A",$Y722/MAX(IF(NOT(ISNA(MATCH(Combo_Species_Names,IF(Species_Availability="Yes",IF(Species_Evo_Numbers=1,Species_Names)),0))),Combo_Gym_Defense)))</f>
        <v>N/A</v>
      </c>
      <c r="M722" s="28">
        <f t="array" ref="M722">INDEX(Species_Pdex_Numbers,MATCH($N722,Species_Names,0))</f>
        <v>140</v>
      </c>
      <c r="N722" s="30" t="s">
        <v>358</v>
      </c>
      <c r="O722" s="31" t="s">
        <v>89</v>
      </c>
      <c r="P722" s="31" t="s">
        <v>297</v>
      </c>
      <c r="Q722" s="17" t="e">
        <f t="shared" si="22"/>
        <v>#VALUE!</v>
      </c>
      <c r="R722" s="32" t="e">
        <f t="array" ref="R722">IF(OR(AND(COUNTBLANK(Combo_Opponent_Type_1)=1,COUNTBLANK(Combo_Opponent_Type_2)=0),AND(AND(COUNTBLANK(Combo_Opponent_Type_1)=0,COUNTBLANK(Combo_Opponent_Type_2)=0),Combo_Opponent_Type_1=Combo_Opponent_Type_2)),
"Check Types",($S722*INDEX(Species_Tankiness,MATCH($N722,Species_Names,0)))/225)</f>
        <v>#VALUE!</v>
      </c>
      <c r="S722" s="32" t="e">
        <f t="array" ref="S722">IF(OR(AND(COUNTBLANK(Combo_Opponent_Type_1)=1,COUNTBLANK(Combo_Opponent_Type_2)=0),AND(AND(COUNTBLANK(Combo_Opponent_Type_1)=0,COUNTBLANK(Combo_Opponent_Type_2)=0),Combo_Opponent_Type_1=Combo_Opponent_Type_2)),
"Check Types",(
IF($W722&gt;=((1-Game_Weave_Human_Error)*$X722),$W722,$X722)*INDEX(Species_Attack,MATCH($N722,Species_Names,0)))/11)</f>
        <v>#VALUE!</v>
      </c>
      <c r="T722" s="33" t="e">
        <f t="shared" si="23"/>
        <v>#VALUE!</v>
      </c>
      <c r="U722" s="33">
        <f t="array" ref="U7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722,Quick_Names,0))),Type_Species)),0),1)*IF(COUNTBLANK(Combo_Opponent_Type_2)=0,INDEX(Type_Damage_Multipliers,MATCH(Combo_Opponent_Type_2,IF(Type_Move=(INDEX(Quick_Type,MATCH($O722,Quick_Names,0))),Type_Species)),0),1)*(IF(OR(INDEX(Quick_Type,MATCH($O722,Quick_Names,0))=INDEX(Species_Type_1,MATCH($N722,Species_Names,0)),INDEX(Quick_Type,MATCH($O722,Quick_Names,0))=INDEX(Species_Type_2,MATCH($N722,Species_Names,0))),Game_STAB_Multiplier,1)))</f>
        <v>1</v>
      </c>
      <c r="V722" s="33">
        <f t="array" ref="V7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722,Charge_Names,0))),Type_Species)),0),1)*IF(COUNTBLANK(Combo_Opponent_Type_2)=0,INDEX(Type_Damage_Multipliers,MATCH(Combo_Opponent_Type_2,IF(Type_Move=(INDEX(Charge_Type,MATCH($P722,Charge_Names,0))),Type_Species)),0),1)*
IF(OR(INDEX(Charge_Type,MATCH($P722,Charge_Names,0))=INDEX(Species_Type_1,MATCH($N722,Species_Names,0)),INDEX(Charge_Type,MATCH($P722,Charge_Names,0))=INDEX(Species_Type_2,MATCH($N722,Species_Names,0))),Game_STAB_Multiplier,1))</f>
        <v>1.25</v>
      </c>
      <c r="W722" s="33" t="s">
        <v>518</v>
      </c>
      <c r="X722" s="33" t="s">
        <v>715</v>
      </c>
      <c r="Y722" s="32" t="e">
        <f t="array" ref="Y722">((($Z722)*
INDEX(Species_Attack,MATCH($N722,Species_Names,0))*
INDEX(Species_Tankiness,MATCH($N722,Species_Names,0)))/1000)</f>
        <v>#VALUE!</v>
      </c>
      <c r="Z722" s="33" t="s">
        <v>810</v>
      </c>
    </row>
    <row r="723" spans="1:26" ht="14.25" customHeight="1" x14ac:dyDescent="0.2">
      <c r="A723" s="86"/>
      <c r="B723" s="22" t="str">
        <f t="array" ref="B723">CONCATENATE(TEXT($M723,"000"),".",TEXT(INDEX(Quick_Number,MATCH($O723,Quick_Names,0)),"000"),".",TEXT(INDEX(Charge_Number,MATCH($P723,Charge_Names,0)),"000"))</f>
        <v>140.216.063</v>
      </c>
      <c r="C723" s="23" t="e">
        <f t="array" ref="C723">RANK($S723,IF(Combo_Species_Names=$N723,Combo_Gym_Offense),0)</f>
        <v>#VALUE!</v>
      </c>
      <c r="D723" s="24" t="e">
        <f t="array" ref="D723">$S723/MAX(IF(Combo_Species_Names=$N723,Combo_Gym_Offense))</f>
        <v>#VALUE!</v>
      </c>
      <c r="E723" s="23" t="e">
        <f t="array" ref="E723">RANK($Y723,IF(Combo_Species_Names=$N723,Combo_Gym_Defense),0)</f>
        <v>#VALUE!</v>
      </c>
      <c r="F723" s="25" t="e">
        <f t="array" ref="F723">$Y723/MAX(IF(Combo_Species_Names=$N723,Combo_Gym_Defense))</f>
        <v>#VALUE!</v>
      </c>
      <c r="G723" s="23" t="str">
        <f t="array" ref="G723">IF(OR(INDEX(Species_Availability,MATCH($N723,Species_Names,0))="No",INDEX(Species_Evo_Numbers,MATCH($N723,Species_Names,0))&lt;&gt;1),"N/A",RANK($R723,IF(NOT(ISNA(MATCH(Combo_Species_Names,IF(Species_Availability="Yes",IF(Species_Evo_Numbers=1,Species_Names)),0))),Combo_Duel_Ability),0))</f>
        <v>N/A</v>
      </c>
      <c r="H723" s="24" t="str">
        <f t="array" ref="H723">IF(OR(INDEX(Species_Availability,MATCH($N723,Species_Names,0))="No",INDEX(Species_Evo_Numbers,MATCH($N723,Species_Names,0))&lt;&gt;1),"N/A",$R723/MAX(IF(NOT(ISNA(MATCH(Combo_Species_Names,IF(Species_Availability="Yes",IF(Species_Evo_Numbers=1,Species_Names)),0))),Combo_Duel_Ability)))</f>
        <v>N/A</v>
      </c>
      <c r="I723" s="23" t="str">
        <f t="array" ref="I723">IF(OR(INDEX(Species_Availability,MATCH($N723,Species_Names,0))="No",INDEX(Species_Evo_Numbers,MATCH($N723,Species_Names,0))&lt;&gt;1),"N/A",RANK($S723,IF(NOT(ISNA(MATCH(Combo_Species_Names,IF(Species_Availability="Yes",IF(Species_Evo_Numbers=1,Species_Names)),0))),Combo_Gym_Offense),0))</f>
        <v>N/A</v>
      </c>
      <c r="J723" s="24" t="str">
        <f t="array" ref="J723">IF(OR(INDEX(Species_Availability,MATCH($N723,Species_Names,0))="No",INDEX(Species_Evo_Numbers,MATCH($N723,Species_Names,0))&lt;&gt;1),"N/A",$S723/MAX(IF(NOT(ISNA(MATCH(Combo_Species_Names,IF(Species_Availability="Yes",IF(Species_Evo_Numbers=1,Species_Names)),0))),Combo_Gym_Offense)))</f>
        <v>N/A</v>
      </c>
      <c r="K723" s="23" t="str">
        <f t="array" ref="K723">IF(OR(INDEX(Species_Availability,MATCH($N723,Species_Names,0))="No",INDEX(Species_Evo_Numbers,MATCH($N723,Species_Names,0))&lt;&gt;1),"N/A",RANK($Y723,IF(NOT(ISNA(MATCH(Combo_Species_Names,IF(Species_Availability="Yes",IF(Species_Evo_Numbers=1,Species_Names)),0))),Combo_Gym_Defense),0))</f>
        <v>N/A</v>
      </c>
      <c r="L723" s="24" t="str">
        <f t="array" ref="L723">IF(OR(INDEX(Species_Availability,MATCH($N723,Species_Names,0))="No",INDEX(Species_Evo_Numbers,MATCH($N723,Species_Names,0))&lt;&gt;1),"N/A",$Y723/MAX(IF(NOT(ISNA(MATCH(Combo_Species_Names,IF(Species_Availability="Yes",IF(Species_Evo_Numbers=1,Species_Names)),0))),Combo_Gym_Defense)))</f>
        <v>N/A</v>
      </c>
      <c r="M723" s="28">
        <f t="array" ref="M723">INDEX(Species_Pdex_Numbers,MATCH($N723,Species_Names,0))</f>
        <v>140</v>
      </c>
      <c r="N723" s="30" t="s">
        <v>358</v>
      </c>
      <c r="O723" s="31" t="s">
        <v>89</v>
      </c>
      <c r="P723" s="31" t="s">
        <v>299</v>
      </c>
      <c r="Q723" s="17" t="e">
        <f t="shared" si="22"/>
        <v>#VALUE!</v>
      </c>
      <c r="R723" s="32" t="e">
        <f t="array" ref="R723">IF(OR(AND(COUNTBLANK(Combo_Opponent_Type_1)=1,COUNTBLANK(Combo_Opponent_Type_2)=0),AND(AND(COUNTBLANK(Combo_Opponent_Type_1)=0,COUNTBLANK(Combo_Opponent_Type_2)=0),Combo_Opponent_Type_1=Combo_Opponent_Type_2)),
"Check Types",($S723*INDEX(Species_Tankiness,MATCH($N723,Species_Names,0)))/225)</f>
        <v>#VALUE!</v>
      </c>
      <c r="S723" s="32" t="e">
        <f t="array" ref="S723">IF(OR(AND(COUNTBLANK(Combo_Opponent_Type_1)=1,COUNTBLANK(Combo_Opponent_Type_2)=0),AND(AND(COUNTBLANK(Combo_Opponent_Type_1)=0,COUNTBLANK(Combo_Opponent_Type_2)=0),Combo_Opponent_Type_1=Combo_Opponent_Type_2)),
"Check Types",(
IF($W723&gt;=((1-Game_Weave_Human_Error)*$X723),$W723,$X723)*INDEX(Species_Attack,MATCH($N723,Species_Names,0)))/11)</f>
        <v>#VALUE!</v>
      </c>
      <c r="T723" s="33" t="e">
        <f t="shared" si="23"/>
        <v>#VALUE!</v>
      </c>
      <c r="U723" s="33">
        <f t="array" ref="U7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723,Quick_Names,0))),Type_Species)),0),1)*IF(COUNTBLANK(Combo_Opponent_Type_2)=0,INDEX(Type_Damage_Multipliers,MATCH(Combo_Opponent_Type_2,IF(Type_Move=(INDEX(Quick_Type,MATCH($O723,Quick_Names,0))),Type_Species)),0),1)*(IF(OR(INDEX(Quick_Type,MATCH($O723,Quick_Names,0))=INDEX(Species_Type_1,MATCH($N723,Species_Names,0)),INDEX(Quick_Type,MATCH($O723,Quick_Names,0))=INDEX(Species_Type_2,MATCH($N723,Species_Names,0))),Game_STAB_Multiplier,1)))</f>
        <v>1</v>
      </c>
      <c r="V723" s="33">
        <f t="array" ref="V7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723,Charge_Names,0))),Type_Species)),0),1)*IF(COUNTBLANK(Combo_Opponent_Type_2)=0,INDEX(Type_Damage_Multipliers,MATCH(Combo_Opponent_Type_2,IF(Type_Move=(INDEX(Charge_Type,MATCH($P723,Charge_Names,0))),Type_Species)),0),1)*
IF(OR(INDEX(Charge_Type,MATCH($P723,Charge_Names,0))=INDEX(Species_Type_1,MATCH($N723,Species_Names,0)),INDEX(Charge_Type,MATCH($P723,Charge_Names,0))=INDEX(Species_Type_2,MATCH($N723,Species_Names,0))),Game_STAB_Multiplier,1))</f>
        <v>1.25</v>
      </c>
      <c r="W723" s="33" t="s">
        <v>518</v>
      </c>
      <c r="X723" s="33" t="s">
        <v>1044</v>
      </c>
      <c r="Y723" s="32" t="e">
        <f t="array" ref="Y723">((($Z723)*
INDEX(Species_Attack,MATCH($N723,Species_Names,0))*
INDEX(Species_Tankiness,MATCH($N723,Species_Names,0)))/1000)</f>
        <v>#VALUE!</v>
      </c>
      <c r="Z723" s="33" t="s">
        <v>635</v>
      </c>
    </row>
    <row r="724" spans="1:26" ht="14.25" customHeight="1" x14ac:dyDescent="0.2">
      <c r="A724" s="86"/>
      <c r="B724" s="22" t="str">
        <f t="array" ref="B724">CONCATENATE(TEXT($M724,"000"),".",TEXT(INDEX(Quick_Number,MATCH($O724,Quick_Names,0)),"000"),".",TEXT(INDEX(Charge_Number,MATCH($P724,Charge_Names,0)),"000"))</f>
        <v>023.225.090</v>
      </c>
      <c r="C724" s="23" t="e">
        <f t="array" ref="C724">RANK($S724,IF(Combo_Species_Names=$N724,Combo_Gym_Offense),0)</f>
        <v>#VALUE!</v>
      </c>
      <c r="D724" s="24" t="e">
        <f t="array" ref="D724">$S724/MAX(IF(Combo_Species_Names=$N724,Combo_Gym_Offense))</f>
        <v>#VALUE!</v>
      </c>
      <c r="E724" s="23" t="e">
        <f t="array" ref="E724">RANK($Y724,IF(Combo_Species_Names=$N724,Combo_Gym_Defense),0)</f>
        <v>#VALUE!</v>
      </c>
      <c r="F724" s="25" t="e">
        <f t="array" ref="F724">$Y724/MAX(IF(Combo_Species_Names=$N724,Combo_Gym_Defense))</f>
        <v>#VALUE!</v>
      </c>
      <c r="G724" s="23" t="str">
        <f t="array" ref="G724">IF(OR(INDEX(Species_Availability,MATCH($N724,Species_Names,0))="No",INDEX(Species_Evo_Numbers,MATCH($N724,Species_Names,0))&lt;&gt;1),"N/A",RANK($R724,IF(NOT(ISNA(MATCH(Combo_Species_Names,IF(Species_Availability="Yes",IF(Species_Evo_Numbers=1,Species_Names)),0))),Combo_Duel_Ability),0))</f>
        <v>N/A</v>
      </c>
      <c r="H724" s="24" t="str">
        <f t="array" ref="H724">IF(OR(INDEX(Species_Availability,MATCH($N724,Species_Names,0))="No",INDEX(Species_Evo_Numbers,MATCH($N724,Species_Names,0))&lt;&gt;1),"N/A",$R724/MAX(IF(NOT(ISNA(MATCH(Combo_Species_Names,IF(Species_Availability="Yes",IF(Species_Evo_Numbers=1,Species_Names)),0))),Combo_Duel_Ability)))</f>
        <v>N/A</v>
      </c>
      <c r="I724" s="23" t="str">
        <f t="array" ref="I724">IF(OR(INDEX(Species_Availability,MATCH($N724,Species_Names,0))="No",INDEX(Species_Evo_Numbers,MATCH($N724,Species_Names,0))&lt;&gt;1),"N/A",RANK($S724,IF(NOT(ISNA(MATCH(Combo_Species_Names,IF(Species_Availability="Yes",IF(Species_Evo_Numbers=1,Species_Names)),0))),Combo_Gym_Offense),0))</f>
        <v>N/A</v>
      </c>
      <c r="J724" s="24" t="str">
        <f t="array" ref="J724">IF(OR(INDEX(Species_Availability,MATCH($N724,Species_Names,0))="No",INDEX(Species_Evo_Numbers,MATCH($N724,Species_Names,0))&lt;&gt;1),"N/A",$S724/MAX(IF(NOT(ISNA(MATCH(Combo_Species_Names,IF(Species_Availability="Yes",IF(Species_Evo_Numbers=1,Species_Names)),0))),Combo_Gym_Offense)))</f>
        <v>N/A</v>
      </c>
      <c r="K724" s="23" t="str">
        <f t="array" ref="K724">IF(OR(INDEX(Species_Availability,MATCH($N724,Species_Names,0))="No",INDEX(Species_Evo_Numbers,MATCH($N724,Species_Names,0))&lt;&gt;1),"N/A",RANK($Y724,IF(NOT(ISNA(MATCH(Combo_Species_Names,IF(Species_Availability="Yes",IF(Species_Evo_Numbers=1,Species_Names)),0))),Combo_Gym_Defense),0))</f>
        <v>N/A</v>
      </c>
      <c r="L724" s="24" t="str">
        <f t="array" ref="L724">IF(OR(INDEX(Species_Availability,MATCH($N724,Species_Names,0))="No",INDEX(Species_Evo_Numbers,MATCH($N724,Species_Names,0))&lt;&gt;1),"N/A",$Y724/MAX(IF(NOT(ISNA(MATCH(Combo_Species_Names,IF(Species_Availability="Yes",IF(Species_Evo_Numbers=1,Species_Names)),0))),Combo_Gym_Defense)))</f>
        <v>N/A</v>
      </c>
      <c r="M724" s="28">
        <f t="array" ref="M724">INDEX(Species_Pdex_Numbers,MATCH($N724,Species_Names,0))</f>
        <v>23</v>
      </c>
      <c r="N724" s="30" t="s">
        <v>133</v>
      </c>
      <c r="O724" s="31" t="s">
        <v>110</v>
      </c>
      <c r="P724" s="31" t="s">
        <v>180</v>
      </c>
      <c r="Q724" s="17" t="e">
        <f t="shared" si="22"/>
        <v>#VALUE!</v>
      </c>
      <c r="R724" s="32" t="e">
        <f t="array" ref="R724">IF(OR(AND(COUNTBLANK(Combo_Opponent_Type_1)=1,COUNTBLANK(Combo_Opponent_Type_2)=0),AND(AND(COUNTBLANK(Combo_Opponent_Type_1)=0,COUNTBLANK(Combo_Opponent_Type_2)=0),Combo_Opponent_Type_1=Combo_Opponent_Type_2)),
"Check Types",($S724*INDEX(Species_Tankiness,MATCH($N724,Species_Names,0)))/225)</f>
        <v>#VALUE!</v>
      </c>
      <c r="S724" s="32" t="e">
        <f t="array" ref="S724">IF(OR(AND(COUNTBLANK(Combo_Opponent_Type_1)=1,COUNTBLANK(Combo_Opponent_Type_2)=0),AND(AND(COUNTBLANK(Combo_Opponent_Type_1)=0,COUNTBLANK(Combo_Opponent_Type_2)=0),Combo_Opponent_Type_1=Combo_Opponent_Type_2)),
"Check Types",(
IF($W724&gt;=((1-Game_Weave_Human_Error)*$X724),$W724,$X724)*INDEX(Species_Attack,MATCH($N724,Species_Names,0)))/11)</f>
        <v>#VALUE!</v>
      </c>
      <c r="T724" s="33" t="e">
        <f t="shared" si="23"/>
        <v>#VALUE!</v>
      </c>
      <c r="U724" s="33">
        <f t="array" ref="U7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724,Quick_Names,0))),Type_Species)),0),1)*IF(COUNTBLANK(Combo_Opponent_Type_2)=0,INDEX(Type_Damage_Multipliers,MATCH(Combo_Opponent_Type_2,IF(Type_Move=(INDEX(Quick_Type,MATCH($O724,Quick_Names,0))),Type_Species)),0),1)*(IF(OR(INDEX(Quick_Type,MATCH($O724,Quick_Names,0))=INDEX(Species_Type_1,MATCH($N724,Species_Names,0)),INDEX(Quick_Type,MATCH($O724,Quick_Names,0))=INDEX(Species_Type_2,MATCH($N724,Species_Names,0))),Game_STAB_Multiplier,1)))</f>
        <v>1.25</v>
      </c>
      <c r="V724" s="33">
        <f t="array" ref="V7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724,Charge_Names,0))),Type_Species)),0),1)*IF(COUNTBLANK(Combo_Opponent_Type_2)=0,INDEX(Type_Damage_Multipliers,MATCH(Combo_Opponent_Type_2,IF(Type_Move=(INDEX(Charge_Type,MATCH($P724,Charge_Names,0))),Type_Species)),0),1)*
IF(OR(INDEX(Charge_Type,MATCH($P724,Charge_Names,0))=INDEX(Species_Type_1,MATCH($N724,Species_Names,0)),INDEX(Charge_Type,MATCH($P724,Charge_Names,0))=INDEX(Species_Type_2,MATCH($N724,Species_Names,0))),Game_STAB_Multiplier,1))</f>
        <v>1.25</v>
      </c>
      <c r="W724" s="33" t="s">
        <v>511</v>
      </c>
      <c r="X724" s="33" t="s">
        <v>514</v>
      </c>
      <c r="Y724" s="32" t="e">
        <f t="array" ref="Y724">((($Z724)*
INDEX(Species_Attack,MATCH($N724,Species_Names,0))*
INDEX(Species_Tankiness,MATCH($N724,Species_Names,0)))/1000)</f>
        <v>#VALUE!</v>
      </c>
      <c r="Z724" s="33" t="s">
        <v>603</v>
      </c>
    </row>
    <row r="725" spans="1:26" ht="14.25" customHeight="1" x14ac:dyDescent="0.2">
      <c r="A725" s="86"/>
      <c r="B725" s="22" t="str">
        <f t="array" ref="B725">CONCATENATE(TEXT($M725,"000"),".",TEXT(INDEX(Quick_Number,MATCH($O725,Quick_Names,0)),"000"),".",TEXT(INDEX(Charge_Number,MATCH($P725,Charge_Names,0)),"000"))</f>
        <v>081.205.079</v>
      </c>
      <c r="C725" s="23" t="e">
        <f t="array" ref="C725">RANK($S725,IF(Combo_Species_Names=$N725,Combo_Gym_Offense),0)</f>
        <v>#VALUE!</v>
      </c>
      <c r="D725" s="24" t="e">
        <f t="array" ref="D725">$S725/MAX(IF(Combo_Species_Names=$N725,Combo_Gym_Offense))</f>
        <v>#VALUE!</v>
      </c>
      <c r="E725" s="23" t="e">
        <f t="array" ref="E725">RANK($Y725,IF(Combo_Species_Names=$N725,Combo_Gym_Defense),0)</f>
        <v>#VALUE!</v>
      </c>
      <c r="F725" s="25" t="e">
        <f t="array" ref="F725">$Y725/MAX(IF(Combo_Species_Names=$N725,Combo_Gym_Defense))</f>
        <v>#VALUE!</v>
      </c>
      <c r="G725" s="23" t="str">
        <f t="array" ref="G725">IF(OR(INDEX(Species_Availability,MATCH($N725,Species_Names,0))="No",INDEX(Species_Evo_Numbers,MATCH($N725,Species_Names,0))&lt;&gt;1),"N/A",RANK($R725,IF(NOT(ISNA(MATCH(Combo_Species_Names,IF(Species_Availability="Yes",IF(Species_Evo_Numbers=1,Species_Names)),0))),Combo_Duel_Ability),0))</f>
        <v>N/A</v>
      </c>
      <c r="H725" s="24" t="str">
        <f t="array" ref="H725">IF(OR(INDEX(Species_Availability,MATCH($N725,Species_Names,0))="No",INDEX(Species_Evo_Numbers,MATCH($N725,Species_Names,0))&lt;&gt;1),"N/A",$R725/MAX(IF(NOT(ISNA(MATCH(Combo_Species_Names,IF(Species_Availability="Yes",IF(Species_Evo_Numbers=1,Species_Names)),0))),Combo_Duel_Ability)))</f>
        <v>N/A</v>
      </c>
      <c r="I725" s="23" t="str">
        <f t="array" ref="I725">IF(OR(INDEX(Species_Availability,MATCH($N725,Species_Names,0))="No",INDEX(Species_Evo_Numbers,MATCH($N725,Species_Names,0))&lt;&gt;1),"N/A",RANK($S725,IF(NOT(ISNA(MATCH(Combo_Species_Names,IF(Species_Availability="Yes",IF(Species_Evo_Numbers=1,Species_Names)),0))),Combo_Gym_Offense),0))</f>
        <v>N/A</v>
      </c>
      <c r="J725" s="24" t="str">
        <f t="array" ref="J725">IF(OR(INDEX(Species_Availability,MATCH($N725,Species_Names,0))="No",INDEX(Species_Evo_Numbers,MATCH($N725,Species_Names,0))&lt;&gt;1),"N/A",$S725/MAX(IF(NOT(ISNA(MATCH(Combo_Species_Names,IF(Species_Availability="Yes",IF(Species_Evo_Numbers=1,Species_Names)),0))),Combo_Gym_Offense)))</f>
        <v>N/A</v>
      </c>
      <c r="K725" s="23" t="str">
        <f t="array" ref="K725">IF(OR(INDEX(Species_Availability,MATCH($N725,Species_Names,0))="No",INDEX(Species_Evo_Numbers,MATCH($N725,Species_Names,0))&lt;&gt;1),"N/A",RANK($Y725,IF(NOT(ISNA(MATCH(Combo_Species_Names,IF(Species_Availability="Yes",IF(Species_Evo_Numbers=1,Species_Names)),0))),Combo_Gym_Defense),0))</f>
        <v>N/A</v>
      </c>
      <c r="L725" s="24" t="str">
        <f t="array" ref="L725">IF(OR(INDEX(Species_Availability,MATCH($N725,Species_Names,0))="No",INDEX(Species_Evo_Numbers,MATCH($N725,Species_Names,0))&lt;&gt;1),"N/A",$Y725/MAX(IF(NOT(ISNA(MATCH(Combo_Species_Names,IF(Species_Availability="Yes",IF(Species_Evo_Numbers=1,Species_Names)),0))),Combo_Gym_Defense)))</f>
        <v>N/A</v>
      </c>
      <c r="M725" s="28">
        <f t="array" ref="M725">INDEX(Species_Pdex_Numbers,MATCH($N725,Species_Names,0))</f>
        <v>81</v>
      </c>
      <c r="N725" s="30" t="s">
        <v>254</v>
      </c>
      <c r="O725" s="31" t="s">
        <v>115</v>
      </c>
      <c r="P725" s="31" t="s">
        <v>190</v>
      </c>
      <c r="Q725" s="17" t="e">
        <f t="shared" si="22"/>
        <v>#VALUE!</v>
      </c>
      <c r="R725" s="32" t="e">
        <f t="array" ref="R725">IF(OR(AND(COUNTBLANK(Combo_Opponent_Type_1)=1,COUNTBLANK(Combo_Opponent_Type_2)=0),AND(AND(COUNTBLANK(Combo_Opponent_Type_1)=0,COUNTBLANK(Combo_Opponent_Type_2)=0),Combo_Opponent_Type_1=Combo_Opponent_Type_2)),
"Check Types",($S725*INDEX(Species_Tankiness,MATCH($N725,Species_Names,0)))/225)</f>
        <v>#VALUE!</v>
      </c>
      <c r="S725" s="32" t="e">
        <f t="array" ref="S725">IF(OR(AND(COUNTBLANK(Combo_Opponent_Type_1)=1,COUNTBLANK(Combo_Opponent_Type_2)=0),AND(AND(COUNTBLANK(Combo_Opponent_Type_1)=0,COUNTBLANK(Combo_Opponent_Type_2)=0),Combo_Opponent_Type_1=Combo_Opponent_Type_2)),
"Check Types",(
IF($W725&gt;=((1-Game_Weave_Human_Error)*$X725),$W725,$X725)*INDEX(Species_Attack,MATCH($N725,Species_Names,0)))/11)</f>
        <v>#VALUE!</v>
      </c>
      <c r="T725" s="33" t="e">
        <f t="shared" si="23"/>
        <v>#VALUE!</v>
      </c>
      <c r="U725" s="33">
        <f t="array" ref="U7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725,Quick_Names,0))),Type_Species)),0),1)*IF(COUNTBLANK(Combo_Opponent_Type_2)=0,INDEX(Type_Damage_Multipliers,MATCH(Combo_Opponent_Type_2,IF(Type_Move=(INDEX(Quick_Type,MATCH($O725,Quick_Names,0))),Type_Species)),0),1)*(IF(OR(INDEX(Quick_Type,MATCH($O725,Quick_Names,0))=INDEX(Species_Type_1,MATCH($N725,Species_Names,0)),INDEX(Quick_Type,MATCH($O725,Quick_Names,0))=INDEX(Species_Type_2,MATCH($N725,Species_Names,0))),Game_STAB_Multiplier,1)))</f>
        <v>1.25</v>
      </c>
      <c r="V725" s="33">
        <f t="array" ref="V7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725,Charge_Names,0))),Type_Species)),0),1)*IF(COUNTBLANK(Combo_Opponent_Type_2)=0,INDEX(Type_Damage_Multipliers,MATCH(Combo_Opponent_Type_2,IF(Type_Move=(INDEX(Charge_Type,MATCH($P725,Charge_Names,0))),Type_Species)),0),1)*
IF(OR(INDEX(Charge_Type,MATCH($P725,Charge_Names,0))=INDEX(Species_Type_1,MATCH($N725,Species_Names,0)),INDEX(Charge_Type,MATCH($P725,Charge_Names,0))=INDEX(Species_Type_2,MATCH($N725,Species_Names,0))),Game_STAB_Multiplier,1))</f>
        <v>1.25</v>
      </c>
      <c r="W725" s="33" t="s">
        <v>678</v>
      </c>
      <c r="X725" s="33" t="s">
        <v>696</v>
      </c>
      <c r="Y725" s="32" t="e">
        <f t="array" ref="Y725">((($Z725)*
INDEX(Species_Attack,MATCH($N725,Species_Names,0))*
INDEX(Species_Tankiness,MATCH($N725,Species_Names,0)))/1000)</f>
        <v>#VALUE!</v>
      </c>
      <c r="Z725" s="33" t="s">
        <v>697</v>
      </c>
    </row>
    <row r="726" spans="1:26" ht="14.25" customHeight="1" x14ac:dyDescent="0.2">
      <c r="A726" s="86"/>
      <c r="B726" s="22" t="str">
        <f t="array" ref="B726">CONCATENATE(TEXT($M726,"000"),".",TEXT(INDEX(Quick_Number,MATCH($O726,Quick_Names,0)),"000"),".",TEXT(INDEX(Charge_Number,MATCH($P726,Charge_Names,0)),"000"))</f>
        <v>027.220.064</v>
      </c>
      <c r="C726" s="23" t="e">
        <f t="array" ref="C726">RANK($S726,IF(Combo_Species_Names=$N726,Combo_Gym_Offense),0)</f>
        <v>#VALUE!</v>
      </c>
      <c r="D726" s="24" t="e">
        <f t="array" ref="D726">$S726/MAX(IF(Combo_Species_Names=$N726,Combo_Gym_Offense))</f>
        <v>#VALUE!</v>
      </c>
      <c r="E726" s="23" t="e">
        <f t="array" ref="E726">RANK($Y726,IF(Combo_Species_Names=$N726,Combo_Gym_Defense),0)</f>
        <v>#VALUE!</v>
      </c>
      <c r="F726" s="25" t="e">
        <f t="array" ref="F726">$Y726/MAX(IF(Combo_Species_Names=$N726,Combo_Gym_Defense))</f>
        <v>#VALUE!</v>
      </c>
      <c r="G726" s="23" t="str">
        <f t="array" ref="G726">IF(OR(INDEX(Species_Availability,MATCH($N726,Species_Names,0))="No",INDEX(Species_Evo_Numbers,MATCH($N726,Species_Names,0))&lt;&gt;1),"N/A",RANK($R726,IF(NOT(ISNA(MATCH(Combo_Species_Names,IF(Species_Availability="Yes",IF(Species_Evo_Numbers=1,Species_Names)),0))),Combo_Duel_Ability),0))</f>
        <v>N/A</v>
      </c>
      <c r="H726" s="24" t="str">
        <f t="array" ref="H726">IF(OR(INDEX(Species_Availability,MATCH($N726,Species_Names,0))="No",INDEX(Species_Evo_Numbers,MATCH($N726,Species_Names,0))&lt;&gt;1),"N/A",$R726/MAX(IF(NOT(ISNA(MATCH(Combo_Species_Names,IF(Species_Availability="Yes",IF(Species_Evo_Numbers=1,Species_Names)),0))),Combo_Duel_Ability)))</f>
        <v>N/A</v>
      </c>
      <c r="I726" s="23" t="str">
        <f t="array" ref="I726">IF(OR(INDEX(Species_Availability,MATCH($N726,Species_Names,0))="No",INDEX(Species_Evo_Numbers,MATCH($N726,Species_Names,0))&lt;&gt;1),"N/A",RANK($S726,IF(NOT(ISNA(MATCH(Combo_Species_Names,IF(Species_Availability="Yes",IF(Species_Evo_Numbers=1,Species_Names)),0))),Combo_Gym_Offense),0))</f>
        <v>N/A</v>
      </c>
      <c r="J726" s="24" t="str">
        <f t="array" ref="J726">IF(OR(INDEX(Species_Availability,MATCH($N726,Species_Names,0))="No",INDEX(Species_Evo_Numbers,MATCH($N726,Species_Names,0))&lt;&gt;1),"N/A",$S726/MAX(IF(NOT(ISNA(MATCH(Combo_Species_Names,IF(Species_Availability="Yes",IF(Species_Evo_Numbers=1,Species_Names)),0))),Combo_Gym_Offense)))</f>
        <v>N/A</v>
      </c>
      <c r="K726" s="23" t="str">
        <f t="array" ref="K726">IF(OR(INDEX(Species_Availability,MATCH($N726,Species_Names,0))="No",INDEX(Species_Evo_Numbers,MATCH($N726,Species_Names,0))&lt;&gt;1),"N/A",RANK($Y726,IF(NOT(ISNA(MATCH(Combo_Species_Names,IF(Species_Availability="Yes",IF(Species_Evo_Numbers=1,Species_Names)),0))),Combo_Gym_Defense),0))</f>
        <v>N/A</v>
      </c>
      <c r="L726" s="24" t="str">
        <f t="array" ref="L726">IF(OR(INDEX(Species_Availability,MATCH($N726,Species_Names,0))="No",INDEX(Species_Evo_Numbers,MATCH($N726,Species_Names,0))&lt;&gt;1),"N/A",$Y726/MAX(IF(NOT(ISNA(MATCH(Combo_Species_Names,IF(Species_Availability="Yes",IF(Species_Evo_Numbers=1,Species_Names)),0))),Combo_Gym_Defense)))</f>
        <v>N/A</v>
      </c>
      <c r="M726" s="28">
        <f t="array" ref="M726">INDEX(Species_Pdex_Numbers,MATCH($N726,Species_Names,0))</f>
        <v>27</v>
      </c>
      <c r="N726" s="30" t="s">
        <v>138</v>
      </c>
      <c r="O726" s="31" t="s">
        <v>64</v>
      </c>
      <c r="P726" s="31" t="s">
        <v>222</v>
      </c>
      <c r="Q726" s="17" t="e">
        <f t="shared" si="22"/>
        <v>#VALUE!</v>
      </c>
      <c r="R726" s="32" t="e">
        <f t="array" ref="R726">IF(OR(AND(COUNTBLANK(Combo_Opponent_Type_1)=1,COUNTBLANK(Combo_Opponent_Type_2)=0),AND(AND(COUNTBLANK(Combo_Opponent_Type_1)=0,COUNTBLANK(Combo_Opponent_Type_2)=0),Combo_Opponent_Type_1=Combo_Opponent_Type_2)),
"Check Types",($S726*INDEX(Species_Tankiness,MATCH($N726,Species_Names,0)))/225)</f>
        <v>#VALUE!</v>
      </c>
      <c r="S726" s="32" t="e">
        <f t="array" ref="S726">IF(OR(AND(COUNTBLANK(Combo_Opponent_Type_1)=1,COUNTBLANK(Combo_Opponent_Type_2)=0),AND(AND(COUNTBLANK(Combo_Opponent_Type_1)=0,COUNTBLANK(Combo_Opponent_Type_2)=0),Combo_Opponent_Type_1=Combo_Opponent_Type_2)),
"Check Types",(
IF($W726&gt;=((1-Game_Weave_Human_Error)*$X726),$W726,$X726)*INDEX(Species_Attack,MATCH($N726,Species_Names,0)))/11)</f>
        <v>#VALUE!</v>
      </c>
      <c r="T726" s="33" t="e">
        <f t="shared" si="23"/>
        <v>#VALUE!</v>
      </c>
      <c r="U726" s="33">
        <f t="array" ref="U7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726,Quick_Names,0))),Type_Species)),0),1)*IF(COUNTBLANK(Combo_Opponent_Type_2)=0,INDEX(Type_Damage_Multipliers,MATCH(Combo_Opponent_Type_2,IF(Type_Move=(INDEX(Quick_Type,MATCH($O726,Quick_Names,0))),Type_Species)),0),1)*(IF(OR(INDEX(Quick_Type,MATCH($O726,Quick_Names,0))=INDEX(Species_Type_1,MATCH($N726,Species_Names,0)),INDEX(Quick_Type,MATCH($O726,Quick_Names,0))=INDEX(Species_Type_2,MATCH($N726,Species_Names,0))),Game_STAB_Multiplier,1)))</f>
        <v>1</v>
      </c>
      <c r="V726" s="33">
        <f t="array" ref="V7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726,Charge_Names,0))),Type_Species)),0),1)*IF(COUNTBLANK(Combo_Opponent_Type_2)=0,INDEX(Type_Damage_Multipliers,MATCH(Combo_Opponent_Type_2,IF(Type_Move=(INDEX(Charge_Type,MATCH($P726,Charge_Names,0))),Type_Species)),0),1)*
IF(OR(INDEX(Charge_Type,MATCH($P726,Charge_Names,0))=INDEX(Species_Type_1,MATCH($N726,Species_Names,0)),INDEX(Charge_Type,MATCH($P726,Charge_Names,0))=INDEX(Species_Type_2,MATCH($N726,Species_Names,0))),Game_STAB_Multiplier,1))</f>
        <v>1</v>
      </c>
      <c r="W726" s="33" t="s">
        <v>453</v>
      </c>
      <c r="X726" s="33" t="s">
        <v>1061</v>
      </c>
      <c r="Y726" s="32" t="e">
        <f t="array" ref="Y726">((($Z726)*
INDEX(Species_Attack,MATCH($N726,Species_Names,0))*
INDEX(Species_Tankiness,MATCH($N726,Species_Names,0)))/1000)</f>
        <v>#VALUE!</v>
      </c>
      <c r="Z726" s="33" t="s">
        <v>697</v>
      </c>
    </row>
    <row r="727" spans="1:26" ht="14.25" customHeight="1" x14ac:dyDescent="0.2">
      <c r="A727" s="86"/>
      <c r="B727" s="22" t="str">
        <f t="array" ref="B727">CONCATENATE(TEXT($M727,"000"),".",TEXT(INDEX(Quick_Number,MATCH($O727,Quick_Names,0)),"000"),".",TEXT(INDEX(Charge_Number,MATCH($P727,Charge_Names,0)),"000"))</f>
        <v>046.220.089</v>
      </c>
      <c r="C727" s="23" t="e">
        <f t="array" ref="C727">RANK($S727,IF(Combo_Species_Names=$N727,Combo_Gym_Offense),0)</f>
        <v>#VALUE!</v>
      </c>
      <c r="D727" s="24" t="e">
        <f t="array" ref="D727">$S727/MAX(IF(Combo_Species_Names=$N727,Combo_Gym_Offense))</f>
        <v>#VALUE!</v>
      </c>
      <c r="E727" s="23" t="e">
        <f t="array" ref="E727">RANK($Y727,IF(Combo_Species_Names=$N727,Combo_Gym_Defense),0)</f>
        <v>#VALUE!</v>
      </c>
      <c r="F727" s="25" t="e">
        <f t="array" ref="F727">$Y727/MAX(IF(Combo_Species_Names=$N727,Combo_Gym_Defense))</f>
        <v>#VALUE!</v>
      </c>
      <c r="G727" s="23" t="str">
        <f t="array" ref="G727">IF(OR(INDEX(Species_Availability,MATCH($N727,Species_Names,0))="No",INDEX(Species_Evo_Numbers,MATCH($N727,Species_Names,0))&lt;&gt;1),"N/A",RANK($R727,IF(NOT(ISNA(MATCH(Combo_Species_Names,IF(Species_Availability="Yes",IF(Species_Evo_Numbers=1,Species_Names)),0))),Combo_Duel_Ability),0))</f>
        <v>N/A</v>
      </c>
      <c r="H727" s="24" t="str">
        <f t="array" ref="H727">IF(OR(INDEX(Species_Availability,MATCH($N727,Species_Names,0))="No",INDEX(Species_Evo_Numbers,MATCH($N727,Species_Names,0))&lt;&gt;1),"N/A",$R727/MAX(IF(NOT(ISNA(MATCH(Combo_Species_Names,IF(Species_Availability="Yes",IF(Species_Evo_Numbers=1,Species_Names)),0))),Combo_Duel_Ability)))</f>
        <v>N/A</v>
      </c>
      <c r="I727" s="23" t="str">
        <f t="array" ref="I727">IF(OR(INDEX(Species_Availability,MATCH($N727,Species_Names,0))="No",INDEX(Species_Evo_Numbers,MATCH($N727,Species_Names,0))&lt;&gt;1),"N/A",RANK($S727,IF(NOT(ISNA(MATCH(Combo_Species_Names,IF(Species_Availability="Yes",IF(Species_Evo_Numbers=1,Species_Names)),0))),Combo_Gym_Offense),0))</f>
        <v>N/A</v>
      </c>
      <c r="J727" s="24" t="str">
        <f t="array" ref="J727">IF(OR(INDEX(Species_Availability,MATCH($N727,Species_Names,0))="No",INDEX(Species_Evo_Numbers,MATCH($N727,Species_Names,0))&lt;&gt;1),"N/A",$S727/MAX(IF(NOT(ISNA(MATCH(Combo_Species_Names,IF(Species_Availability="Yes",IF(Species_Evo_Numbers=1,Species_Names)),0))),Combo_Gym_Offense)))</f>
        <v>N/A</v>
      </c>
      <c r="K727" s="23" t="str">
        <f t="array" ref="K727">IF(OR(INDEX(Species_Availability,MATCH($N727,Species_Names,0))="No",INDEX(Species_Evo_Numbers,MATCH($N727,Species_Names,0))&lt;&gt;1),"N/A",RANK($Y727,IF(NOT(ISNA(MATCH(Combo_Species_Names,IF(Species_Availability="Yes",IF(Species_Evo_Numbers=1,Species_Names)),0))),Combo_Gym_Defense),0))</f>
        <v>N/A</v>
      </c>
      <c r="L727" s="24" t="str">
        <f t="array" ref="L727">IF(OR(INDEX(Species_Availability,MATCH($N727,Species_Names,0))="No",INDEX(Species_Evo_Numbers,MATCH($N727,Species_Names,0))&lt;&gt;1),"N/A",$Y727/MAX(IF(NOT(ISNA(MATCH(Combo_Species_Names,IF(Species_Availability="Yes",IF(Species_Evo_Numbers=1,Species_Names)),0))),Combo_Gym_Defense)))</f>
        <v>N/A</v>
      </c>
      <c r="M727" s="28">
        <f t="array" ref="M727">INDEX(Species_Pdex_Numbers,MATCH($N727,Species_Names,0))</f>
        <v>46</v>
      </c>
      <c r="N727" s="30" t="s">
        <v>182</v>
      </c>
      <c r="O727" s="31" t="s">
        <v>64</v>
      </c>
      <c r="P727" s="31" t="s">
        <v>206</v>
      </c>
      <c r="Q727" s="17" t="e">
        <f t="shared" si="22"/>
        <v>#VALUE!</v>
      </c>
      <c r="R727" s="32" t="e">
        <f t="array" ref="R727">IF(OR(AND(COUNTBLANK(Combo_Opponent_Type_1)=1,COUNTBLANK(Combo_Opponent_Type_2)=0),AND(AND(COUNTBLANK(Combo_Opponent_Type_1)=0,COUNTBLANK(Combo_Opponent_Type_2)=0),Combo_Opponent_Type_1=Combo_Opponent_Type_2)),
"Check Types",($S727*INDEX(Species_Tankiness,MATCH($N727,Species_Names,0)))/225)</f>
        <v>#VALUE!</v>
      </c>
      <c r="S727" s="32" t="e">
        <f t="array" ref="S727">IF(OR(AND(COUNTBLANK(Combo_Opponent_Type_1)=1,COUNTBLANK(Combo_Opponent_Type_2)=0),AND(AND(COUNTBLANK(Combo_Opponent_Type_1)=0,COUNTBLANK(Combo_Opponent_Type_2)=0),Combo_Opponent_Type_1=Combo_Opponent_Type_2)),
"Check Types",(
IF($W727&gt;=((1-Game_Weave_Human_Error)*$X727),$W727,$X727)*INDEX(Species_Attack,MATCH($N727,Species_Names,0)))/11)</f>
        <v>#VALUE!</v>
      </c>
      <c r="T727" s="33" t="e">
        <f t="shared" si="23"/>
        <v>#VALUE!</v>
      </c>
      <c r="U727" s="33">
        <f t="array" ref="U7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727,Quick_Names,0))),Type_Species)),0),1)*IF(COUNTBLANK(Combo_Opponent_Type_2)=0,INDEX(Type_Damage_Multipliers,MATCH(Combo_Opponent_Type_2,IF(Type_Move=(INDEX(Quick_Type,MATCH($O727,Quick_Names,0))),Type_Species)),0),1)*(IF(OR(INDEX(Quick_Type,MATCH($O727,Quick_Names,0))=INDEX(Species_Type_1,MATCH($N727,Species_Names,0)),INDEX(Quick_Type,MATCH($O727,Quick_Names,0))=INDEX(Species_Type_2,MATCH($N727,Species_Names,0))),Game_STAB_Multiplier,1)))</f>
        <v>1</v>
      </c>
      <c r="V727" s="33">
        <f t="array" ref="V7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727,Charge_Names,0))),Type_Species)),0),1)*IF(COUNTBLANK(Combo_Opponent_Type_2)=0,INDEX(Type_Damage_Multipliers,MATCH(Combo_Opponent_Type_2,IF(Type_Move=(INDEX(Charge_Type,MATCH($P727,Charge_Names,0))),Type_Species)),0),1)*
IF(OR(INDEX(Charge_Type,MATCH($P727,Charge_Names,0))=INDEX(Species_Type_1,MATCH($N727,Species_Names,0)),INDEX(Charge_Type,MATCH($P727,Charge_Names,0))=INDEX(Species_Type_2,MATCH($N727,Species_Names,0))),Game_STAB_Multiplier,1))</f>
        <v>1</v>
      </c>
      <c r="W727" s="33" t="s">
        <v>453</v>
      </c>
      <c r="X727" s="33" t="s">
        <v>732</v>
      </c>
      <c r="Y727" s="32" t="e">
        <f t="array" ref="Y727">((($Z727)*
INDEX(Species_Attack,MATCH($N727,Species_Names,0))*
INDEX(Species_Tankiness,MATCH($N727,Species_Names,0)))/1000)</f>
        <v>#VALUE!</v>
      </c>
      <c r="Z727" s="33" t="s">
        <v>612</v>
      </c>
    </row>
    <row r="728" spans="1:26" ht="14.25" customHeight="1" x14ac:dyDescent="0.2">
      <c r="A728" s="86"/>
      <c r="B728" s="22" t="str">
        <f t="array" ref="B728">CONCATENATE(TEXT($M728,"000"),".",TEXT(INDEX(Quick_Number,MATCH($O728,Quick_Names,0)),"000"),".",TEXT(INDEX(Charge_Number,MATCH($P728,Charge_Names,0)),"000"))</f>
        <v>037.209.131</v>
      </c>
      <c r="C728" s="23" t="e">
        <f t="array" ref="C728">RANK($S728,IF(Combo_Species_Names=$N728,Combo_Gym_Offense),0)</f>
        <v>#VALUE!</v>
      </c>
      <c r="D728" s="24" t="e">
        <f t="array" ref="D728">$S728/MAX(IF(Combo_Species_Names=$N728,Combo_Gym_Offense))</f>
        <v>#VALUE!</v>
      </c>
      <c r="E728" s="23" t="e">
        <f t="array" ref="E728">RANK($Y728,IF(Combo_Species_Names=$N728,Combo_Gym_Defense),0)</f>
        <v>#VALUE!</v>
      </c>
      <c r="F728" s="25" t="e">
        <f t="array" ref="F728">$Y728/MAX(IF(Combo_Species_Names=$N728,Combo_Gym_Defense))</f>
        <v>#VALUE!</v>
      </c>
      <c r="G728" s="23" t="str">
        <f t="array" ref="G728">IF(OR(INDEX(Species_Availability,MATCH($N728,Species_Names,0))="No",INDEX(Species_Evo_Numbers,MATCH($N728,Species_Names,0))&lt;&gt;1),"N/A",RANK($R728,IF(NOT(ISNA(MATCH(Combo_Species_Names,IF(Species_Availability="Yes",IF(Species_Evo_Numbers=1,Species_Names)),0))),Combo_Duel_Ability),0))</f>
        <v>N/A</v>
      </c>
      <c r="H728" s="24" t="str">
        <f t="array" ref="H728">IF(OR(INDEX(Species_Availability,MATCH($N728,Species_Names,0))="No",INDEX(Species_Evo_Numbers,MATCH($N728,Species_Names,0))&lt;&gt;1),"N/A",$R728/MAX(IF(NOT(ISNA(MATCH(Combo_Species_Names,IF(Species_Availability="Yes",IF(Species_Evo_Numbers=1,Species_Names)),0))),Combo_Duel_Ability)))</f>
        <v>N/A</v>
      </c>
      <c r="I728" s="23" t="str">
        <f t="array" ref="I728">IF(OR(INDEX(Species_Availability,MATCH($N728,Species_Names,0))="No",INDEX(Species_Evo_Numbers,MATCH($N728,Species_Names,0))&lt;&gt;1),"N/A",RANK($S728,IF(NOT(ISNA(MATCH(Combo_Species_Names,IF(Species_Availability="Yes",IF(Species_Evo_Numbers=1,Species_Names)),0))),Combo_Gym_Offense),0))</f>
        <v>N/A</v>
      </c>
      <c r="J728" s="24" t="str">
        <f t="array" ref="J728">IF(OR(INDEX(Species_Availability,MATCH($N728,Species_Names,0))="No",INDEX(Species_Evo_Numbers,MATCH($N728,Species_Names,0))&lt;&gt;1),"N/A",$S728/MAX(IF(NOT(ISNA(MATCH(Combo_Species_Names,IF(Species_Availability="Yes",IF(Species_Evo_Numbers=1,Species_Names)),0))),Combo_Gym_Offense)))</f>
        <v>N/A</v>
      </c>
      <c r="K728" s="23" t="str">
        <f t="array" ref="K728">IF(OR(INDEX(Species_Availability,MATCH($N728,Species_Names,0))="No",INDEX(Species_Evo_Numbers,MATCH($N728,Species_Names,0))&lt;&gt;1),"N/A",RANK($Y728,IF(NOT(ISNA(MATCH(Combo_Species_Names,IF(Species_Availability="Yes",IF(Species_Evo_Numbers=1,Species_Names)),0))),Combo_Gym_Defense),0))</f>
        <v>N/A</v>
      </c>
      <c r="L728" s="24" t="str">
        <f t="array" ref="L728">IF(OR(INDEX(Species_Availability,MATCH($N728,Species_Names,0))="No",INDEX(Species_Evo_Numbers,MATCH($N728,Species_Names,0))&lt;&gt;1),"N/A",$Y728/MAX(IF(NOT(ISNA(MATCH(Combo_Species_Names,IF(Species_Availability="Yes",IF(Species_Evo_Numbers=1,Species_Names)),0))),Combo_Gym_Defense)))</f>
        <v>N/A</v>
      </c>
      <c r="M728" s="28">
        <f t="array" ref="M728">INDEX(Species_Pdex_Numbers,MATCH($N728,Species_Names,0))</f>
        <v>37</v>
      </c>
      <c r="N728" s="30" t="s">
        <v>166</v>
      </c>
      <c r="O728" s="31" t="s">
        <v>111</v>
      </c>
      <c r="P728" s="31" t="s">
        <v>151</v>
      </c>
      <c r="Q728" s="17" t="e">
        <f t="shared" si="22"/>
        <v>#VALUE!</v>
      </c>
      <c r="R728" s="32" t="e">
        <f t="array" ref="R728">IF(OR(AND(COUNTBLANK(Combo_Opponent_Type_1)=1,COUNTBLANK(Combo_Opponent_Type_2)=0),AND(AND(COUNTBLANK(Combo_Opponent_Type_1)=0,COUNTBLANK(Combo_Opponent_Type_2)=0),Combo_Opponent_Type_1=Combo_Opponent_Type_2)),
"Check Types",($S728*INDEX(Species_Tankiness,MATCH($N728,Species_Names,0)))/225)</f>
        <v>#VALUE!</v>
      </c>
      <c r="S728" s="32" t="e">
        <f t="array" ref="S728">IF(OR(AND(COUNTBLANK(Combo_Opponent_Type_1)=1,COUNTBLANK(Combo_Opponent_Type_2)=0),AND(AND(COUNTBLANK(Combo_Opponent_Type_1)=0,COUNTBLANK(Combo_Opponent_Type_2)=0),Combo_Opponent_Type_1=Combo_Opponent_Type_2)),
"Check Types",(
IF($W728&gt;=((1-Game_Weave_Human_Error)*$X728),$W728,$X728)*INDEX(Species_Attack,MATCH($N728,Species_Names,0)))/11)</f>
        <v>#VALUE!</v>
      </c>
      <c r="T728" s="33" t="e">
        <f t="shared" si="23"/>
        <v>#VALUE!</v>
      </c>
      <c r="U728" s="33">
        <f t="array" ref="U7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728,Quick_Names,0))),Type_Species)),0),1)*IF(COUNTBLANK(Combo_Opponent_Type_2)=0,INDEX(Type_Damage_Multipliers,MATCH(Combo_Opponent_Type_2,IF(Type_Move=(INDEX(Quick_Type,MATCH($O728,Quick_Names,0))),Type_Species)),0),1)*(IF(OR(INDEX(Quick_Type,MATCH($O728,Quick_Names,0))=INDEX(Species_Type_1,MATCH($N728,Species_Names,0)),INDEX(Quick_Type,MATCH($O728,Quick_Names,0))=INDEX(Species_Type_2,MATCH($N728,Species_Names,0))),Game_STAB_Multiplier,1)))</f>
        <v>1.25</v>
      </c>
      <c r="V728" s="33">
        <f t="array" ref="V7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728,Charge_Names,0))),Type_Species)),0),1)*IF(COUNTBLANK(Combo_Opponent_Type_2)=0,INDEX(Type_Damage_Multipliers,MATCH(Combo_Opponent_Type_2,IF(Type_Move=(INDEX(Charge_Type,MATCH($P728,Charge_Names,0))),Type_Species)),0),1)*
IF(OR(INDEX(Charge_Type,MATCH($P728,Charge_Names,0))=INDEX(Species_Type_1,MATCH($N728,Species_Names,0)),INDEX(Charge_Type,MATCH($P728,Charge_Names,0))=INDEX(Species_Type_2,MATCH($N728,Species_Names,0))),Game_STAB_Multiplier,1))</f>
        <v>1</v>
      </c>
      <c r="W728" s="33" t="s">
        <v>511</v>
      </c>
      <c r="X728" s="33" t="s">
        <v>1000</v>
      </c>
      <c r="Y728" s="32" t="e">
        <f t="array" ref="Y728">((($Z728)*
INDEX(Species_Attack,MATCH($N728,Species_Names,0))*
INDEX(Species_Tankiness,MATCH($N728,Species_Names,0)))/1000)</f>
        <v>#VALUE!</v>
      </c>
      <c r="Z728" s="33" t="s">
        <v>618</v>
      </c>
    </row>
    <row r="729" spans="1:26" ht="14.25" customHeight="1" x14ac:dyDescent="0.2">
      <c r="A729" s="86"/>
      <c r="B729" s="22" t="str">
        <f t="array" ref="B729">CONCATENATE(TEXT($M729,"000"),".",TEXT(INDEX(Quick_Number,MATCH($O729,Quick_Names,0)),"000"),".",TEXT(INDEX(Charge_Number,MATCH($P729,Charge_Names,0)),"000"))</f>
        <v>060.237.131</v>
      </c>
      <c r="C729" s="23" t="e">
        <f t="array" ref="C729">RANK($S729,IF(Combo_Species_Names=$N729,Combo_Gym_Offense),0)</f>
        <v>#VALUE!</v>
      </c>
      <c r="D729" s="24" t="e">
        <f t="array" ref="D729">$S729/MAX(IF(Combo_Species_Names=$N729,Combo_Gym_Offense))</f>
        <v>#VALUE!</v>
      </c>
      <c r="E729" s="23" t="e">
        <f t="array" ref="E729">RANK($Y729,IF(Combo_Species_Names=$N729,Combo_Gym_Defense),0)</f>
        <v>#VALUE!</v>
      </c>
      <c r="F729" s="25" t="e">
        <f t="array" ref="F729">$Y729/MAX(IF(Combo_Species_Names=$N729,Combo_Gym_Defense))</f>
        <v>#VALUE!</v>
      </c>
      <c r="G729" s="23" t="str">
        <f t="array" ref="G729">IF(OR(INDEX(Species_Availability,MATCH($N729,Species_Names,0))="No",INDEX(Species_Evo_Numbers,MATCH($N729,Species_Names,0))&lt;&gt;1),"N/A",RANK($R729,IF(NOT(ISNA(MATCH(Combo_Species_Names,IF(Species_Availability="Yes",IF(Species_Evo_Numbers=1,Species_Names)),0))),Combo_Duel_Ability),0))</f>
        <v>N/A</v>
      </c>
      <c r="H729" s="24" t="str">
        <f t="array" ref="H729">IF(OR(INDEX(Species_Availability,MATCH($N729,Species_Names,0))="No",INDEX(Species_Evo_Numbers,MATCH($N729,Species_Names,0))&lt;&gt;1),"N/A",$R729/MAX(IF(NOT(ISNA(MATCH(Combo_Species_Names,IF(Species_Availability="Yes",IF(Species_Evo_Numbers=1,Species_Names)),0))),Combo_Duel_Ability)))</f>
        <v>N/A</v>
      </c>
      <c r="I729" s="23" t="str">
        <f t="array" ref="I729">IF(OR(INDEX(Species_Availability,MATCH($N729,Species_Names,0))="No",INDEX(Species_Evo_Numbers,MATCH($N729,Species_Names,0))&lt;&gt;1),"N/A",RANK($S729,IF(NOT(ISNA(MATCH(Combo_Species_Names,IF(Species_Availability="Yes",IF(Species_Evo_Numbers=1,Species_Names)),0))),Combo_Gym_Offense),0))</f>
        <v>N/A</v>
      </c>
      <c r="J729" s="24" t="str">
        <f t="array" ref="J729">IF(OR(INDEX(Species_Availability,MATCH($N729,Species_Names,0))="No",INDEX(Species_Evo_Numbers,MATCH($N729,Species_Names,0))&lt;&gt;1),"N/A",$S729/MAX(IF(NOT(ISNA(MATCH(Combo_Species_Names,IF(Species_Availability="Yes",IF(Species_Evo_Numbers=1,Species_Names)),0))),Combo_Gym_Offense)))</f>
        <v>N/A</v>
      </c>
      <c r="K729" s="23" t="str">
        <f t="array" ref="K729">IF(OR(INDEX(Species_Availability,MATCH($N729,Species_Names,0))="No",INDEX(Species_Evo_Numbers,MATCH($N729,Species_Names,0))&lt;&gt;1),"N/A",RANK($Y729,IF(NOT(ISNA(MATCH(Combo_Species_Names,IF(Species_Availability="Yes",IF(Species_Evo_Numbers=1,Species_Names)),0))),Combo_Gym_Defense),0))</f>
        <v>N/A</v>
      </c>
      <c r="L729" s="24" t="str">
        <f t="array" ref="L729">IF(OR(INDEX(Species_Availability,MATCH($N729,Species_Names,0))="No",INDEX(Species_Evo_Numbers,MATCH($N729,Species_Names,0))&lt;&gt;1),"N/A",$Y729/MAX(IF(NOT(ISNA(MATCH(Combo_Species_Names,IF(Species_Availability="Yes",IF(Species_Evo_Numbers=1,Species_Names)),0))),Combo_Gym_Defense)))</f>
        <v>N/A</v>
      </c>
      <c r="M729" s="28">
        <f t="array" ref="M729">INDEX(Species_Pdex_Numbers,MATCH($N729,Species_Names,0))</f>
        <v>60</v>
      </c>
      <c r="N729" s="30" t="s">
        <v>210</v>
      </c>
      <c r="O729" s="31" t="s">
        <v>92</v>
      </c>
      <c r="P729" s="31" t="s">
        <v>151</v>
      </c>
      <c r="Q729" s="17" t="e">
        <f t="shared" si="22"/>
        <v>#VALUE!</v>
      </c>
      <c r="R729" s="32" t="e">
        <f t="array" ref="R729">IF(OR(AND(COUNTBLANK(Combo_Opponent_Type_1)=1,COUNTBLANK(Combo_Opponent_Type_2)=0),AND(AND(COUNTBLANK(Combo_Opponent_Type_1)=0,COUNTBLANK(Combo_Opponent_Type_2)=0),Combo_Opponent_Type_1=Combo_Opponent_Type_2)),
"Check Types",($S729*INDEX(Species_Tankiness,MATCH($N729,Species_Names,0)))/225)</f>
        <v>#VALUE!</v>
      </c>
      <c r="S729" s="32" t="e">
        <f t="array" ref="S729">IF(OR(AND(COUNTBLANK(Combo_Opponent_Type_1)=1,COUNTBLANK(Combo_Opponent_Type_2)=0),AND(AND(COUNTBLANK(Combo_Opponent_Type_1)=0,COUNTBLANK(Combo_Opponent_Type_2)=0),Combo_Opponent_Type_1=Combo_Opponent_Type_2)),
"Check Types",(
IF($W729&gt;=((1-Game_Weave_Human_Error)*$X729),$W729,$X729)*INDEX(Species_Attack,MATCH($N729,Species_Names,0)))/11)</f>
        <v>#VALUE!</v>
      </c>
      <c r="T729" s="33" t="e">
        <f t="shared" si="23"/>
        <v>#VALUE!</v>
      </c>
      <c r="U729" s="33">
        <f t="array" ref="U7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729,Quick_Names,0))),Type_Species)),0),1)*IF(COUNTBLANK(Combo_Opponent_Type_2)=0,INDEX(Type_Damage_Multipliers,MATCH(Combo_Opponent_Type_2,IF(Type_Move=(INDEX(Quick_Type,MATCH($O729,Quick_Names,0))),Type_Species)),0),1)*(IF(OR(INDEX(Quick_Type,MATCH($O729,Quick_Names,0))=INDEX(Species_Type_1,MATCH($N729,Species_Names,0)),INDEX(Quick_Type,MATCH($O729,Quick_Names,0))=INDEX(Species_Type_2,MATCH($N729,Species_Names,0))),Game_STAB_Multiplier,1)))</f>
        <v>1.25</v>
      </c>
      <c r="V729" s="33">
        <f t="array" ref="V7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729,Charge_Names,0))),Type_Species)),0),1)*IF(COUNTBLANK(Combo_Opponent_Type_2)=0,INDEX(Type_Damage_Multipliers,MATCH(Combo_Opponent_Type_2,IF(Type_Move=(INDEX(Charge_Type,MATCH($P729,Charge_Names,0))),Type_Species)),0),1)*
IF(OR(INDEX(Charge_Type,MATCH($P729,Charge_Names,0))=INDEX(Species_Type_1,MATCH($N729,Species_Names,0)),INDEX(Charge_Type,MATCH($P729,Charge_Names,0))=INDEX(Species_Type_2,MATCH($N729,Species_Names,0))),Game_STAB_Multiplier,1))</f>
        <v>1</v>
      </c>
      <c r="W729" s="33" t="s">
        <v>481</v>
      </c>
      <c r="X729" s="33" t="s">
        <v>539</v>
      </c>
      <c r="Y729" s="32" t="e">
        <f t="array" ref="Y729">((($Z729)*
INDEX(Species_Attack,MATCH($N729,Species_Names,0))*
INDEX(Species_Tankiness,MATCH($N729,Species_Names,0)))/1000)</f>
        <v>#VALUE!</v>
      </c>
      <c r="Z729" s="33" t="s">
        <v>1062</v>
      </c>
    </row>
    <row r="730" spans="1:26" ht="14.25" customHeight="1" x14ac:dyDescent="0.2">
      <c r="A730" s="86"/>
      <c r="B730" s="22" t="str">
        <f t="array" ref="B730">CONCATENATE(TEXT($M730,"000"),".",TEXT(INDEX(Quick_Number,MATCH($O730,Quick_Names,0)),"000"),".",TEXT(INDEX(Charge_Number,MATCH($P730,Charge_Names,0)),"000"))</f>
        <v>118.211.105</v>
      </c>
      <c r="C730" s="23" t="e">
        <f t="array" ref="C730">RANK($S730,IF(Combo_Species_Names=$N730,Combo_Gym_Offense),0)</f>
        <v>#VALUE!</v>
      </c>
      <c r="D730" s="24" t="e">
        <f t="array" ref="D730">$S730/MAX(IF(Combo_Species_Names=$N730,Combo_Gym_Offense))</f>
        <v>#VALUE!</v>
      </c>
      <c r="E730" s="23" t="e">
        <f t="array" ref="E730">RANK($Y730,IF(Combo_Species_Names=$N730,Combo_Gym_Defense),0)</f>
        <v>#VALUE!</v>
      </c>
      <c r="F730" s="25" t="e">
        <f t="array" ref="F730">$Y730/MAX(IF(Combo_Species_Names=$N730,Combo_Gym_Defense))</f>
        <v>#VALUE!</v>
      </c>
      <c r="G730" s="23" t="str">
        <f t="array" ref="G730">IF(OR(INDEX(Species_Availability,MATCH($N730,Species_Names,0))="No",INDEX(Species_Evo_Numbers,MATCH($N730,Species_Names,0))&lt;&gt;1),"N/A",RANK($R730,IF(NOT(ISNA(MATCH(Combo_Species_Names,IF(Species_Availability="Yes",IF(Species_Evo_Numbers=1,Species_Names)),0))),Combo_Duel_Ability),0))</f>
        <v>N/A</v>
      </c>
      <c r="H730" s="24" t="str">
        <f t="array" ref="H730">IF(OR(INDEX(Species_Availability,MATCH($N730,Species_Names,0))="No",INDEX(Species_Evo_Numbers,MATCH($N730,Species_Names,0))&lt;&gt;1),"N/A",$R730/MAX(IF(NOT(ISNA(MATCH(Combo_Species_Names,IF(Species_Availability="Yes",IF(Species_Evo_Numbers=1,Species_Names)),0))),Combo_Duel_Ability)))</f>
        <v>N/A</v>
      </c>
      <c r="I730" s="23" t="str">
        <f t="array" ref="I730">IF(OR(INDEX(Species_Availability,MATCH($N730,Species_Names,0))="No",INDEX(Species_Evo_Numbers,MATCH($N730,Species_Names,0))&lt;&gt;1),"N/A",RANK($S730,IF(NOT(ISNA(MATCH(Combo_Species_Names,IF(Species_Availability="Yes",IF(Species_Evo_Numbers=1,Species_Names)),0))),Combo_Gym_Offense),0))</f>
        <v>N/A</v>
      </c>
      <c r="J730" s="24" t="str">
        <f t="array" ref="J730">IF(OR(INDEX(Species_Availability,MATCH($N730,Species_Names,0))="No",INDEX(Species_Evo_Numbers,MATCH($N730,Species_Names,0))&lt;&gt;1),"N/A",$S730/MAX(IF(NOT(ISNA(MATCH(Combo_Species_Names,IF(Species_Availability="Yes",IF(Species_Evo_Numbers=1,Species_Names)),0))),Combo_Gym_Offense)))</f>
        <v>N/A</v>
      </c>
      <c r="K730" s="23" t="str">
        <f t="array" ref="K730">IF(OR(INDEX(Species_Availability,MATCH($N730,Species_Names,0))="No",INDEX(Species_Evo_Numbers,MATCH($N730,Species_Names,0))&lt;&gt;1),"N/A",RANK($Y730,IF(NOT(ISNA(MATCH(Combo_Species_Names,IF(Species_Availability="Yes",IF(Species_Evo_Numbers=1,Species_Names)),0))),Combo_Gym_Defense),0))</f>
        <v>N/A</v>
      </c>
      <c r="L730" s="24" t="str">
        <f t="array" ref="L730">IF(OR(INDEX(Species_Availability,MATCH($N730,Species_Names,0))="No",INDEX(Species_Evo_Numbers,MATCH($N730,Species_Names,0))&lt;&gt;1),"N/A",$Y730/MAX(IF(NOT(ISNA(MATCH(Combo_Species_Names,IF(Species_Availability="Yes",IF(Species_Evo_Numbers=1,Species_Names)),0))),Combo_Gym_Defense)))</f>
        <v>N/A</v>
      </c>
      <c r="M730" s="28">
        <f t="array" ref="M730">INDEX(Species_Pdex_Numbers,MATCH($N730,Species_Names,0))</f>
        <v>118</v>
      </c>
      <c r="N730" s="30" t="s">
        <v>331</v>
      </c>
      <c r="O730" s="31" t="s">
        <v>114</v>
      </c>
      <c r="P730" s="31" t="s">
        <v>281</v>
      </c>
      <c r="Q730" s="17" t="e">
        <f t="shared" si="22"/>
        <v>#VALUE!</v>
      </c>
      <c r="R730" s="32" t="e">
        <f t="array" ref="R730">IF(OR(AND(COUNTBLANK(Combo_Opponent_Type_1)=1,COUNTBLANK(Combo_Opponent_Type_2)=0),AND(AND(COUNTBLANK(Combo_Opponent_Type_1)=0,COUNTBLANK(Combo_Opponent_Type_2)=0),Combo_Opponent_Type_1=Combo_Opponent_Type_2)),
"Check Types",($S730*INDEX(Species_Tankiness,MATCH($N730,Species_Names,0)))/225)</f>
        <v>#VALUE!</v>
      </c>
      <c r="S730" s="32" t="e">
        <f t="array" ref="S730">IF(OR(AND(COUNTBLANK(Combo_Opponent_Type_1)=1,COUNTBLANK(Combo_Opponent_Type_2)=0),AND(AND(COUNTBLANK(Combo_Opponent_Type_1)=0,COUNTBLANK(Combo_Opponent_Type_2)=0),Combo_Opponent_Type_1=Combo_Opponent_Type_2)),
"Check Types",(
IF($W730&gt;=((1-Game_Weave_Human_Error)*$X730),$W730,$X730)*INDEX(Species_Attack,MATCH($N730,Species_Names,0)))/11)</f>
        <v>#VALUE!</v>
      </c>
      <c r="T730" s="33" t="e">
        <f t="shared" si="23"/>
        <v>#VALUE!</v>
      </c>
      <c r="U730" s="33">
        <f t="array" ref="U7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730,Quick_Names,0))),Type_Species)),0),1)*IF(COUNTBLANK(Combo_Opponent_Type_2)=0,INDEX(Type_Damage_Multipliers,MATCH(Combo_Opponent_Type_2,IF(Type_Move=(INDEX(Quick_Type,MATCH($O730,Quick_Names,0))),Type_Species)),0),1)*(IF(OR(INDEX(Quick_Type,MATCH($O730,Quick_Names,0))=INDEX(Species_Type_1,MATCH($N730,Species_Names,0)),INDEX(Quick_Type,MATCH($O730,Quick_Names,0))=INDEX(Species_Type_2,MATCH($N730,Species_Names,0))),Game_STAB_Multiplier,1)))</f>
        <v>1</v>
      </c>
      <c r="V730" s="33">
        <f t="array" ref="V7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730,Charge_Names,0))),Type_Species)),0),1)*IF(COUNTBLANK(Combo_Opponent_Type_2)=0,INDEX(Type_Damage_Multipliers,MATCH(Combo_Opponent_Type_2,IF(Type_Move=(INDEX(Charge_Type,MATCH($P730,Charge_Names,0))),Type_Species)),0),1)*
IF(OR(INDEX(Charge_Type,MATCH($P730,Charge_Names,0))=INDEX(Species_Type_1,MATCH($N730,Species_Names,0)),INDEX(Charge_Type,MATCH($P730,Charge_Names,0))=INDEX(Species_Type_2,MATCH($N730,Species_Names,0))),Game_STAB_Multiplier,1))</f>
        <v>1.25</v>
      </c>
      <c r="W730" s="33" t="s">
        <v>779</v>
      </c>
      <c r="X730" s="33" t="s">
        <v>1063</v>
      </c>
      <c r="Y730" s="32" t="e">
        <f t="array" ref="Y730">((($Z730)*
INDEX(Species_Attack,MATCH($N730,Species_Names,0))*
INDEX(Species_Tankiness,MATCH($N730,Species_Names,0)))/1000)</f>
        <v>#VALUE!</v>
      </c>
      <c r="Z730" s="33" t="s">
        <v>462</v>
      </c>
    </row>
    <row r="731" spans="1:26" ht="14.25" customHeight="1" x14ac:dyDescent="0.2">
      <c r="A731" s="86"/>
      <c r="B731" s="22" t="str">
        <f t="array" ref="B731">CONCATENATE(TEXT($M731,"000"),".",TEXT(INDEX(Quick_Number,MATCH($O731,Quick_Names,0)),"000"),".",TEXT(INDEX(Charge_Number,MATCH($P731,Charge_Names,0)),"000"))</f>
        <v>004.220.101</v>
      </c>
      <c r="C731" s="23" t="e">
        <f t="array" ref="C731">RANK($S731,IF(Combo_Species_Names=$N731,Combo_Gym_Offense),0)</f>
        <v>#VALUE!</v>
      </c>
      <c r="D731" s="24" t="e">
        <f t="array" ref="D731">$S731/MAX(IF(Combo_Species_Names=$N731,Combo_Gym_Offense))</f>
        <v>#VALUE!</v>
      </c>
      <c r="E731" s="23" t="e">
        <f t="array" ref="E731">RANK($Y731,IF(Combo_Species_Names=$N731,Combo_Gym_Defense),0)</f>
        <v>#VALUE!</v>
      </c>
      <c r="F731" s="25" t="e">
        <f t="array" ref="F731">$Y731/MAX(IF(Combo_Species_Names=$N731,Combo_Gym_Defense))</f>
        <v>#VALUE!</v>
      </c>
      <c r="G731" s="23" t="str">
        <f t="array" ref="G731">IF(OR(INDEX(Species_Availability,MATCH($N731,Species_Names,0))="No",INDEX(Species_Evo_Numbers,MATCH($N731,Species_Names,0))&lt;&gt;1),"N/A",RANK($R731,IF(NOT(ISNA(MATCH(Combo_Species_Names,IF(Species_Availability="Yes",IF(Species_Evo_Numbers=1,Species_Names)),0))),Combo_Duel_Ability),0))</f>
        <v>N/A</v>
      </c>
      <c r="H731" s="24" t="str">
        <f t="array" ref="H731">IF(OR(INDEX(Species_Availability,MATCH($N731,Species_Names,0))="No",INDEX(Species_Evo_Numbers,MATCH($N731,Species_Names,0))&lt;&gt;1),"N/A",$R731/MAX(IF(NOT(ISNA(MATCH(Combo_Species_Names,IF(Species_Availability="Yes",IF(Species_Evo_Numbers=1,Species_Names)),0))),Combo_Duel_Ability)))</f>
        <v>N/A</v>
      </c>
      <c r="I731" s="23" t="str">
        <f t="array" ref="I731">IF(OR(INDEX(Species_Availability,MATCH($N731,Species_Names,0))="No",INDEX(Species_Evo_Numbers,MATCH($N731,Species_Names,0))&lt;&gt;1),"N/A",RANK($S731,IF(NOT(ISNA(MATCH(Combo_Species_Names,IF(Species_Availability="Yes",IF(Species_Evo_Numbers=1,Species_Names)),0))),Combo_Gym_Offense),0))</f>
        <v>N/A</v>
      </c>
      <c r="J731" s="24" t="str">
        <f t="array" ref="J731">IF(OR(INDEX(Species_Availability,MATCH($N731,Species_Names,0))="No",INDEX(Species_Evo_Numbers,MATCH($N731,Species_Names,0))&lt;&gt;1),"N/A",$S731/MAX(IF(NOT(ISNA(MATCH(Combo_Species_Names,IF(Species_Availability="Yes",IF(Species_Evo_Numbers=1,Species_Names)),0))),Combo_Gym_Offense)))</f>
        <v>N/A</v>
      </c>
      <c r="K731" s="23" t="str">
        <f t="array" ref="K731">IF(OR(INDEX(Species_Availability,MATCH($N731,Species_Names,0))="No",INDEX(Species_Evo_Numbers,MATCH($N731,Species_Names,0))&lt;&gt;1),"N/A",RANK($Y731,IF(NOT(ISNA(MATCH(Combo_Species_Names,IF(Species_Availability="Yes",IF(Species_Evo_Numbers=1,Species_Names)),0))),Combo_Gym_Defense),0))</f>
        <v>N/A</v>
      </c>
      <c r="L731" s="24" t="str">
        <f t="array" ref="L731">IF(OR(INDEX(Species_Availability,MATCH($N731,Species_Names,0))="No",INDEX(Species_Evo_Numbers,MATCH($N731,Species_Names,0))&lt;&gt;1),"N/A",$Y731/MAX(IF(NOT(ISNA(MATCH(Combo_Species_Names,IF(Species_Availability="Yes",IF(Species_Evo_Numbers=1,Species_Names)),0))),Combo_Gym_Defense)))</f>
        <v>N/A</v>
      </c>
      <c r="M731" s="28">
        <f t="array" ref="M731">INDEX(Species_Pdex_Numbers,MATCH($N731,Species_Names,0))</f>
        <v>4</v>
      </c>
      <c r="N731" s="30" t="s">
        <v>73</v>
      </c>
      <c r="O731" s="31" t="s">
        <v>64</v>
      </c>
      <c r="P731" s="31" t="s">
        <v>308</v>
      </c>
      <c r="Q731" s="17" t="e">
        <f t="shared" si="22"/>
        <v>#VALUE!</v>
      </c>
      <c r="R731" s="32" t="e">
        <f t="array" ref="R731">IF(OR(AND(COUNTBLANK(Combo_Opponent_Type_1)=1,COUNTBLANK(Combo_Opponent_Type_2)=0),AND(AND(COUNTBLANK(Combo_Opponent_Type_1)=0,COUNTBLANK(Combo_Opponent_Type_2)=0),Combo_Opponent_Type_1=Combo_Opponent_Type_2)),
"Check Types",($S731*INDEX(Species_Tankiness,MATCH($N731,Species_Names,0)))/225)</f>
        <v>#VALUE!</v>
      </c>
      <c r="S731" s="32" t="e">
        <f t="array" ref="S731">IF(OR(AND(COUNTBLANK(Combo_Opponent_Type_1)=1,COUNTBLANK(Combo_Opponent_Type_2)=0),AND(AND(COUNTBLANK(Combo_Opponent_Type_1)=0,COUNTBLANK(Combo_Opponent_Type_2)=0),Combo_Opponent_Type_1=Combo_Opponent_Type_2)),
"Check Types",(
IF($W731&gt;=((1-Game_Weave_Human_Error)*$X731),$W731,$X731)*INDEX(Species_Attack,MATCH($N731,Species_Names,0)))/11)</f>
        <v>#VALUE!</v>
      </c>
      <c r="T731" s="33" t="e">
        <f t="shared" si="23"/>
        <v>#VALUE!</v>
      </c>
      <c r="U731" s="33">
        <f t="array" ref="U7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731,Quick_Names,0))),Type_Species)),0),1)*IF(COUNTBLANK(Combo_Opponent_Type_2)=0,INDEX(Type_Damage_Multipliers,MATCH(Combo_Opponent_Type_2,IF(Type_Move=(INDEX(Quick_Type,MATCH($O731,Quick_Names,0))),Type_Species)),0),1)*(IF(OR(INDEX(Quick_Type,MATCH($O731,Quick_Names,0))=INDEX(Species_Type_1,MATCH($N731,Species_Names,0)),INDEX(Quick_Type,MATCH($O731,Quick_Names,0))=INDEX(Species_Type_2,MATCH($N731,Species_Names,0))),Game_STAB_Multiplier,1)))</f>
        <v>1</v>
      </c>
      <c r="V731" s="33">
        <f t="array" ref="V7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731,Charge_Names,0))),Type_Species)),0),1)*IF(COUNTBLANK(Combo_Opponent_Type_2)=0,INDEX(Type_Damage_Multipliers,MATCH(Combo_Opponent_Type_2,IF(Type_Move=(INDEX(Charge_Type,MATCH($P731,Charge_Names,0))),Type_Species)),0),1)*
IF(OR(INDEX(Charge_Type,MATCH($P731,Charge_Names,0))=INDEX(Species_Type_1,MATCH($N731,Species_Names,0)),INDEX(Charge_Type,MATCH($P731,Charge_Names,0))=INDEX(Species_Type_2,MATCH($N731,Species_Names,0))),Game_STAB_Multiplier,1))</f>
        <v>1.25</v>
      </c>
      <c r="W731" s="33" t="s">
        <v>453</v>
      </c>
      <c r="X731" s="33" t="s">
        <v>1064</v>
      </c>
      <c r="Y731" s="32" t="e">
        <f t="array" ref="Y731">((($Z731)*
INDEX(Species_Attack,MATCH($N731,Species_Names,0))*
INDEX(Species_Tankiness,MATCH($N731,Species_Names,0)))/1000)</f>
        <v>#VALUE!</v>
      </c>
      <c r="Z731" s="33" t="s">
        <v>730</v>
      </c>
    </row>
    <row r="732" spans="1:26" ht="14.25" customHeight="1" x14ac:dyDescent="0.2">
      <c r="A732" s="86"/>
      <c r="B732" s="22" t="str">
        <f t="array" ref="B732">CONCATENATE(TEXT($M732,"000"),".",TEXT(INDEX(Quick_Number,MATCH($O732,Quick_Names,0)),"000"),".",TEXT(INDEX(Charge_Number,MATCH($P732,Charge_Names,0)),"000"))</f>
        <v>023.225.092</v>
      </c>
      <c r="C732" s="23" t="e">
        <f t="array" ref="C732">RANK($S732,IF(Combo_Species_Names=$N732,Combo_Gym_Offense),0)</f>
        <v>#VALUE!</v>
      </c>
      <c r="D732" s="24" t="e">
        <f t="array" ref="D732">$S732/MAX(IF(Combo_Species_Names=$N732,Combo_Gym_Offense))</f>
        <v>#VALUE!</v>
      </c>
      <c r="E732" s="23" t="e">
        <f t="array" ref="E732">RANK($Y732,IF(Combo_Species_Names=$N732,Combo_Gym_Defense),0)</f>
        <v>#VALUE!</v>
      </c>
      <c r="F732" s="25" t="e">
        <f t="array" ref="F732">$Y732/MAX(IF(Combo_Species_Names=$N732,Combo_Gym_Defense))</f>
        <v>#VALUE!</v>
      </c>
      <c r="G732" s="23" t="str">
        <f t="array" ref="G732">IF(OR(INDEX(Species_Availability,MATCH($N732,Species_Names,0))="No",INDEX(Species_Evo_Numbers,MATCH($N732,Species_Names,0))&lt;&gt;1),"N/A",RANK($R732,IF(NOT(ISNA(MATCH(Combo_Species_Names,IF(Species_Availability="Yes",IF(Species_Evo_Numbers=1,Species_Names)),0))),Combo_Duel_Ability),0))</f>
        <v>N/A</v>
      </c>
      <c r="H732" s="24" t="str">
        <f t="array" ref="H732">IF(OR(INDEX(Species_Availability,MATCH($N732,Species_Names,0))="No",INDEX(Species_Evo_Numbers,MATCH($N732,Species_Names,0))&lt;&gt;1),"N/A",$R732/MAX(IF(NOT(ISNA(MATCH(Combo_Species_Names,IF(Species_Availability="Yes",IF(Species_Evo_Numbers=1,Species_Names)),0))),Combo_Duel_Ability)))</f>
        <v>N/A</v>
      </c>
      <c r="I732" s="23" t="str">
        <f t="array" ref="I732">IF(OR(INDEX(Species_Availability,MATCH($N732,Species_Names,0))="No",INDEX(Species_Evo_Numbers,MATCH($N732,Species_Names,0))&lt;&gt;1),"N/A",RANK($S732,IF(NOT(ISNA(MATCH(Combo_Species_Names,IF(Species_Availability="Yes",IF(Species_Evo_Numbers=1,Species_Names)),0))),Combo_Gym_Offense),0))</f>
        <v>N/A</v>
      </c>
      <c r="J732" s="24" t="str">
        <f t="array" ref="J732">IF(OR(INDEX(Species_Availability,MATCH($N732,Species_Names,0))="No",INDEX(Species_Evo_Numbers,MATCH($N732,Species_Names,0))&lt;&gt;1),"N/A",$S732/MAX(IF(NOT(ISNA(MATCH(Combo_Species_Names,IF(Species_Availability="Yes",IF(Species_Evo_Numbers=1,Species_Names)),0))),Combo_Gym_Offense)))</f>
        <v>N/A</v>
      </c>
      <c r="K732" s="23" t="str">
        <f t="array" ref="K732">IF(OR(INDEX(Species_Availability,MATCH($N732,Species_Names,0))="No",INDEX(Species_Evo_Numbers,MATCH($N732,Species_Names,0))&lt;&gt;1),"N/A",RANK($Y732,IF(NOT(ISNA(MATCH(Combo_Species_Names,IF(Species_Availability="Yes",IF(Species_Evo_Numbers=1,Species_Names)),0))),Combo_Gym_Defense),0))</f>
        <v>N/A</v>
      </c>
      <c r="L732" s="24" t="str">
        <f t="array" ref="L732">IF(OR(INDEX(Species_Availability,MATCH($N732,Species_Names,0))="No",INDEX(Species_Evo_Numbers,MATCH($N732,Species_Names,0))&lt;&gt;1),"N/A",$Y732/MAX(IF(NOT(ISNA(MATCH(Combo_Species_Names,IF(Species_Availability="Yes",IF(Species_Evo_Numbers=1,Species_Names)),0))),Combo_Gym_Defense)))</f>
        <v>N/A</v>
      </c>
      <c r="M732" s="28">
        <f t="array" ref="M732">INDEX(Species_Pdex_Numbers,MATCH($N732,Species_Names,0))</f>
        <v>23</v>
      </c>
      <c r="N732" s="30" t="s">
        <v>133</v>
      </c>
      <c r="O732" s="31" t="s">
        <v>110</v>
      </c>
      <c r="P732" s="31" t="s">
        <v>176</v>
      </c>
      <c r="Q732" s="17" t="e">
        <f t="shared" si="22"/>
        <v>#VALUE!</v>
      </c>
      <c r="R732" s="32" t="e">
        <f t="array" ref="R732">IF(OR(AND(COUNTBLANK(Combo_Opponent_Type_1)=1,COUNTBLANK(Combo_Opponent_Type_2)=0),AND(AND(COUNTBLANK(Combo_Opponent_Type_1)=0,COUNTBLANK(Combo_Opponent_Type_2)=0),Combo_Opponent_Type_1=Combo_Opponent_Type_2)),
"Check Types",($S732*INDEX(Species_Tankiness,MATCH($N732,Species_Names,0)))/225)</f>
        <v>#VALUE!</v>
      </c>
      <c r="S732" s="32" t="e">
        <f t="array" ref="S732">IF(OR(AND(COUNTBLANK(Combo_Opponent_Type_1)=1,COUNTBLANK(Combo_Opponent_Type_2)=0),AND(AND(COUNTBLANK(Combo_Opponent_Type_1)=0,COUNTBLANK(Combo_Opponent_Type_2)=0),Combo_Opponent_Type_1=Combo_Opponent_Type_2)),
"Check Types",(
IF($W732&gt;=((1-Game_Weave_Human_Error)*$X732),$W732,$X732)*INDEX(Species_Attack,MATCH($N732,Species_Names,0)))/11)</f>
        <v>#VALUE!</v>
      </c>
      <c r="T732" s="33" t="e">
        <f t="shared" si="23"/>
        <v>#VALUE!</v>
      </c>
      <c r="U732" s="33">
        <f t="array" ref="U7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732,Quick_Names,0))),Type_Species)),0),1)*IF(COUNTBLANK(Combo_Opponent_Type_2)=0,INDEX(Type_Damage_Multipliers,MATCH(Combo_Opponent_Type_2,IF(Type_Move=(INDEX(Quick_Type,MATCH($O732,Quick_Names,0))),Type_Species)),0),1)*(IF(OR(INDEX(Quick_Type,MATCH($O732,Quick_Names,0))=INDEX(Species_Type_1,MATCH($N732,Species_Names,0)),INDEX(Quick_Type,MATCH($O732,Quick_Names,0))=INDEX(Species_Type_2,MATCH($N732,Species_Names,0))),Game_STAB_Multiplier,1)))</f>
        <v>1.25</v>
      </c>
      <c r="V732" s="33">
        <f t="array" ref="V7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732,Charge_Names,0))),Type_Species)),0),1)*IF(COUNTBLANK(Combo_Opponent_Type_2)=0,INDEX(Type_Damage_Multipliers,MATCH(Combo_Opponent_Type_2,IF(Type_Move=(INDEX(Charge_Type,MATCH($P732,Charge_Names,0))),Type_Species)),0),1)*
IF(OR(INDEX(Charge_Type,MATCH($P732,Charge_Names,0))=INDEX(Species_Type_1,MATCH($N732,Species_Names,0)),INDEX(Charge_Type,MATCH($P732,Charge_Names,0))=INDEX(Species_Type_2,MATCH($N732,Species_Names,0))),Game_STAB_Multiplier,1))</f>
        <v>1.25</v>
      </c>
      <c r="W732" s="33" t="s">
        <v>511</v>
      </c>
      <c r="X732" s="33" t="s">
        <v>512</v>
      </c>
      <c r="Y732" s="32" t="e">
        <f t="array" ref="Y732">((($Z732)*
INDEX(Species_Attack,MATCH($N732,Species_Names,0))*
INDEX(Species_Tankiness,MATCH($N732,Species_Names,0)))/1000)</f>
        <v>#VALUE!</v>
      </c>
      <c r="Z732" s="33" t="s">
        <v>513</v>
      </c>
    </row>
    <row r="733" spans="1:26" ht="14.25" customHeight="1" x14ac:dyDescent="0.2">
      <c r="A733" s="86"/>
      <c r="B733" s="22" t="str">
        <f t="array" ref="B733">CONCATENATE(TEXT($M733,"000"),".",TEXT(INDEX(Quick_Number,MATCH($O733,Quick_Names,0)),"000"),".",TEXT(INDEX(Charge_Number,MATCH($P733,Charge_Names,0)),"000"))</f>
        <v>004.209.101</v>
      </c>
      <c r="C733" s="23" t="e">
        <f t="array" ref="C733">RANK($S733,IF(Combo_Species_Names=$N733,Combo_Gym_Offense),0)</f>
        <v>#VALUE!</v>
      </c>
      <c r="D733" s="24" t="e">
        <f t="array" ref="D733">$S733/MAX(IF(Combo_Species_Names=$N733,Combo_Gym_Offense))</f>
        <v>#VALUE!</v>
      </c>
      <c r="E733" s="23" t="e">
        <f t="array" ref="E733">RANK($Y733,IF(Combo_Species_Names=$N733,Combo_Gym_Defense),0)</f>
        <v>#VALUE!</v>
      </c>
      <c r="F733" s="25" t="e">
        <f t="array" ref="F733">$Y733/MAX(IF(Combo_Species_Names=$N733,Combo_Gym_Defense))</f>
        <v>#VALUE!</v>
      </c>
      <c r="G733" s="23" t="str">
        <f t="array" ref="G733">IF(OR(INDEX(Species_Availability,MATCH($N733,Species_Names,0))="No",INDEX(Species_Evo_Numbers,MATCH($N733,Species_Names,0))&lt;&gt;1),"N/A",RANK($R733,IF(NOT(ISNA(MATCH(Combo_Species_Names,IF(Species_Availability="Yes",IF(Species_Evo_Numbers=1,Species_Names)),0))),Combo_Duel_Ability),0))</f>
        <v>N/A</v>
      </c>
      <c r="H733" s="24" t="str">
        <f t="array" ref="H733">IF(OR(INDEX(Species_Availability,MATCH($N733,Species_Names,0))="No",INDEX(Species_Evo_Numbers,MATCH($N733,Species_Names,0))&lt;&gt;1),"N/A",$R733/MAX(IF(NOT(ISNA(MATCH(Combo_Species_Names,IF(Species_Availability="Yes",IF(Species_Evo_Numbers=1,Species_Names)),0))),Combo_Duel_Ability)))</f>
        <v>N/A</v>
      </c>
      <c r="I733" s="23" t="str">
        <f t="array" ref="I733">IF(OR(INDEX(Species_Availability,MATCH($N733,Species_Names,0))="No",INDEX(Species_Evo_Numbers,MATCH($N733,Species_Names,0))&lt;&gt;1),"N/A",RANK($S733,IF(NOT(ISNA(MATCH(Combo_Species_Names,IF(Species_Availability="Yes",IF(Species_Evo_Numbers=1,Species_Names)),0))),Combo_Gym_Offense),0))</f>
        <v>N/A</v>
      </c>
      <c r="J733" s="24" t="str">
        <f t="array" ref="J733">IF(OR(INDEX(Species_Availability,MATCH($N733,Species_Names,0))="No",INDEX(Species_Evo_Numbers,MATCH($N733,Species_Names,0))&lt;&gt;1),"N/A",$S733/MAX(IF(NOT(ISNA(MATCH(Combo_Species_Names,IF(Species_Availability="Yes",IF(Species_Evo_Numbers=1,Species_Names)),0))),Combo_Gym_Offense)))</f>
        <v>N/A</v>
      </c>
      <c r="K733" s="23" t="str">
        <f t="array" ref="K733">IF(OR(INDEX(Species_Availability,MATCH($N733,Species_Names,0))="No",INDEX(Species_Evo_Numbers,MATCH($N733,Species_Names,0))&lt;&gt;1),"N/A",RANK($Y733,IF(NOT(ISNA(MATCH(Combo_Species_Names,IF(Species_Availability="Yes",IF(Species_Evo_Numbers=1,Species_Names)),0))),Combo_Gym_Defense),0))</f>
        <v>N/A</v>
      </c>
      <c r="L733" s="24" t="str">
        <f t="array" ref="L733">IF(OR(INDEX(Species_Availability,MATCH($N733,Species_Names,0))="No",INDEX(Species_Evo_Numbers,MATCH($N733,Species_Names,0))&lt;&gt;1),"N/A",$Y733/MAX(IF(NOT(ISNA(MATCH(Combo_Species_Names,IF(Species_Availability="Yes",IF(Species_Evo_Numbers=1,Species_Names)),0))),Combo_Gym_Defense)))</f>
        <v>N/A</v>
      </c>
      <c r="M733" s="28">
        <f t="array" ref="M733">INDEX(Species_Pdex_Numbers,MATCH($N733,Species_Names,0))</f>
        <v>4</v>
      </c>
      <c r="N733" s="30" t="s">
        <v>73</v>
      </c>
      <c r="O733" s="31" t="s">
        <v>111</v>
      </c>
      <c r="P733" s="31" t="s">
        <v>308</v>
      </c>
      <c r="Q733" s="17" t="e">
        <f t="shared" si="22"/>
        <v>#VALUE!</v>
      </c>
      <c r="R733" s="32" t="e">
        <f t="array" ref="R733">IF(OR(AND(COUNTBLANK(Combo_Opponent_Type_1)=1,COUNTBLANK(Combo_Opponent_Type_2)=0),AND(AND(COUNTBLANK(Combo_Opponent_Type_1)=0,COUNTBLANK(Combo_Opponent_Type_2)=0),Combo_Opponent_Type_1=Combo_Opponent_Type_2)),
"Check Types",($S733*INDEX(Species_Tankiness,MATCH($N733,Species_Names,0)))/225)</f>
        <v>#VALUE!</v>
      </c>
      <c r="S733" s="32" t="e">
        <f t="array" ref="S733">IF(OR(AND(COUNTBLANK(Combo_Opponent_Type_1)=1,COUNTBLANK(Combo_Opponent_Type_2)=0),AND(AND(COUNTBLANK(Combo_Opponent_Type_1)=0,COUNTBLANK(Combo_Opponent_Type_2)=0),Combo_Opponent_Type_1=Combo_Opponent_Type_2)),
"Check Types",(
IF($W733&gt;=((1-Game_Weave_Human_Error)*$X733),$W733,$X733)*INDEX(Species_Attack,MATCH($N733,Species_Names,0)))/11)</f>
        <v>#VALUE!</v>
      </c>
      <c r="T733" s="33" t="e">
        <f t="shared" si="23"/>
        <v>#VALUE!</v>
      </c>
      <c r="U733" s="33">
        <f t="array" ref="U7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733,Quick_Names,0))),Type_Species)),0),1)*IF(COUNTBLANK(Combo_Opponent_Type_2)=0,INDEX(Type_Damage_Multipliers,MATCH(Combo_Opponent_Type_2,IF(Type_Move=(INDEX(Quick_Type,MATCH($O733,Quick_Names,0))),Type_Species)),0),1)*(IF(OR(INDEX(Quick_Type,MATCH($O733,Quick_Names,0))=INDEX(Species_Type_1,MATCH($N733,Species_Names,0)),INDEX(Quick_Type,MATCH($O733,Quick_Names,0))=INDEX(Species_Type_2,MATCH($N733,Species_Names,0))),Game_STAB_Multiplier,1)))</f>
        <v>1.25</v>
      </c>
      <c r="V733" s="33">
        <f t="array" ref="V7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733,Charge_Names,0))),Type_Species)),0),1)*IF(COUNTBLANK(Combo_Opponent_Type_2)=0,INDEX(Type_Damage_Multipliers,MATCH(Combo_Opponent_Type_2,IF(Type_Move=(INDEX(Charge_Type,MATCH($P733,Charge_Names,0))),Type_Species)),0),1)*
IF(OR(INDEX(Charge_Type,MATCH($P733,Charge_Names,0))=INDEX(Species_Type_1,MATCH($N733,Species_Names,0)),INDEX(Charge_Type,MATCH($P733,Charge_Names,0))=INDEX(Species_Type_2,MATCH($N733,Species_Names,0))),Game_STAB_Multiplier,1))</f>
        <v>1.25</v>
      </c>
      <c r="W733" s="33" t="s">
        <v>511</v>
      </c>
      <c r="X733" s="33" t="s">
        <v>995</v>
      </c>
      <c r="Y733" s="32" t="e">
        <f t="array" ref="Y733">((($Z733)*
INDEX(Species_Attack,MATCH($N733,Species_Names,0))*
INDEX(Species_Tankiness,MATCH($N733,Species_Names,0)))/1000)</f>
        <v>#VALUE!</v>
      </c>
      <c r="Z733" s="33" t="s">
        <v>886</v>
      </c>
    </row>
    <row r="734" spans="1:26" ht="14.25" customHeight="1" x14ac:dyDescent="0.2">
      <c r="A734" s="86"/>
      <c r="B734" s="22" t="str">
        <f t="array" ref="B734">CONCATENATE(TEXT($M734,"000"),".",TEXT(INDEX(Quick_Number,MATCH($O734,Quick_Names,0)),"000"),".",TEXT(INDEX(Charge_Number,MATCH($P734,Charge_Names,0)),"000"))</f>
        <v>032.211.090</v>
      </c>
      <c r="C734" s="23" t="e">
        <f t="array" ref="C734">RANK($S734,IF(Combo_Species_Names=$N734,Combo_Gym_Offense),0)</f>
        <v>#VALUE!</v>
      </c>
      <c r="D734" s="24" t="e">
        <f t="array" ref="D734">$S734/MAX(IF(Combo_Species_Names=$N734,Combo_Gym_Offense))</f>
        <v>#VALUE!</v>
      </c>
      <c r="E734" s="23" t="e">
        <f t="array" ref="E734">RANK($Y734,IF(Combo_Species_Names=$N734,Combo_Gym_Defense),0)</f>
        <v>#VALUE!</v>
      </c>
      <c r="F734" s="25" t="e">
        <f t="array" ref="F734">$Y734/MAX(IF(Combo_Species_Names=$N734,Combo_Gym_Defense))</f>
        <v>#VALUE!</v>
      </c>
      <c r="G734" s="23" t="str">
        <f t="array" ref="G734">IF(OR(INDEX(Species_Availability,MATCH($N734,Species_Names,0))="No",INDEX(Species_Evo_Numbers,MATCH($N734,Species_Names,0))&lt;&gt;1),"N/A",RANK($R734,IF(NOT(ISNA(MATCH(Combo_Species_Names,IF(Species_Availability="Yes",IF(Species_Evo_Numbers=1,Species_Names)),0))),Combo_Duel_Ability),0))</f>
        <v>N/A</v>
      </c>
      <c r="H734" s="24" t="str">
        <f t="array" ref="H734">IF(OR(INDEX(Species_Availability,MATCH($N734,Species_Names,0))="No",INDEX(Species_Evo_Numbers,MATCH($N734,Species_Names,0))&lt;&gt;1),"N/A",$R734/MAX(IF(NOT(ISNA(MATCH(Combo_Species_Names,IF(Species_Availability="Yes",IF(Species_Evo_Numbers=1,Species_Names)),0))),Combo_Duel_Ability)))</f>
        <v>N/A</v>
      </c>
      <c r="I734" s="23" t="str">
        <f t="array" ref="I734">IF(OR(INDEX(Species_Availability,MATCH($N734,Species_Names,0))="No",INDEX(Species_Evo_Numbers,MATCH($N734,Species_Names,0))&lt;&gt;1),"N/A",RANK($S734,IF(NOT(ISNA(MATCH(Combo_Species_Names,IF(Species_Availability="Yes",IF(Species_Evo_Numbers=1,Species_Names)),0))),Combo_Gym_Offense),0))</f>
        <v>N/A</v>
      </c>
      <c r="J734" s="24" t="str">
        <f t="array" ref="J734">IF(OR(INDEX(Species_Availability,MATCH($N734,Species_Names,0))="No",INDEX(Species_Evo_Numbers,MATCH($N734,Species_Names,0))&lt;&gt;1),"N/A",$S734/MAX(IF(NOT(ISNA(MATCH(Combo_Species_Names,IF(Species_Availability="Yes",IF(Species_Evo_Numbers=1,Species_Names)),0))),Combo_Gym_Offense)))</f>
        <v>N/A</v>
      </c>
      <c r="K734" s="23" t="str">
        <f t="array" ref="K734">IF(OR(INDEX(Species_Availability,MATCH($N734,Species_Names,0))="No",INDEX(Species_Evo_Numbers,MATCH($N734,Species_Names,0))&lt;&gt;1),"N/A",RANK($Y734,IF(NOT(ISNA(MATCH(Combo_Species_Names,IF(Species_Availability="Yes",IF(Species_Evo_Numbers=1,Species_Names)),0))),Combo_Gym_Defense),0))</f>
        <v>N/A</v>
      </c>
      <c r="L734" s="24" t="str">
        <f t="array" ref="L734">IF(OR(INDEX(Species_Availability,MATCH($N734,Species_Names,0))="No",INDEX(Species_Evo_Numbers,MATCH($N734,Species_Names,0))&lt;&gt;1),"N/A",$Y734/MAX(IF(NOT(ISNA(MATCH(Combo_Species_Names,IF(Species_Availability="Yes",IF(Species_Evo_Numbers=1,Species_Names)),0))),Combo_Gym_Defense)))</f>
        <v>N/A</v>
      </c>
      <c r="M734" s="28">
        <f t="array" ref="M734">INDEX(Species_Pdex_Numbers,MATCH($N734,Species_Names,0))</f>
        <v>32</v>
      </c>
      <c r="N734" s="30" t="s">
        <v>154</v>
      </c>
      <c r="O734" s="31" t="s">
        <v>114</v>
      </c>
      <c r="P734" s="31" t="s">
        <v>180</v>
      </c>
      <c r="Q734" s="17" t="e">
        <f t="shared" si="22"/>
        <v>#VALUE!</v>
      </c>
      <c r="R734" s="32" t="e">
        <f t="array" ref="R734">IF(OR(AND(COUNTBLANK(Combo_Opponent_Type_1)=1,COUNTBLANK(Combo_Opponent_Type_2)=0),AND(AND(COUNTBLANK(Combo_Opponent_Type_1)=0,COUNTBLANK(Combo_Opponent_Type_2)=0),Combo_Opponent_Type_1=Combo_Opponent_Type_2)),
"Check Types",($S734*INDEX(Species_Tankiness,MATCH($N734,Species_Names,0)))/225)</f>
        <v>#VALUE!</v>
      </c>
      <c r="S734" s="32" t="e">
        <f t="array" ref="S734">IF(OR(AND(COUNTBLANK(Combo_Opponent_Type_1)=1,COUNTBLANK(Combo_Opponent_Type_2)=0),AND(AND(COUNTBLANK(Combo_Opponent_Type_1)=0,COUNTBLANK(Combo_Opponent_Type_2)=0),Combo_Opponent_Type_1=Combo_Opponent_Type_2)),
"Check Types",(
IF($W734&gt;=((1-Game_Weave_Human_Error)*$X734),$W734,$X734)*INDEX(Species_Attack,MATCH($N734,Species_Names,0)))/11)</f>
        <v>#VALUE!</v>
      </c>
      <c r="T734" s="33" t="e">
        <f t="shared" si="23"/>
        <v>#VALUE!</v>
      </c>
      <c r="U734" s="33">
        <f t="array" ref="U7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734,Quick_Names,0))),Type_Species)),0),1)*IF(COUNTBLANK(Combo_Opponent_Type_2)=0,INDEX(Type_Damage_Multipliers,MATCH(Combo_Opponent_Type_2,IF(Type_Move=(INDEX(Quick_Type,MATCH($O734,Quick_Names,0))),Type_Species)),0),1)*(IF(OR(INDEX(Quick_Type,MATCH($O734,Quick_Names,0))=INDEX(Species_Type_1,MATCH($N734,Species_Names,0)),INDEX(Quick_Type,MATCH($O734,Quick_Names,0))=INDEX(Species_Type_2,MATCH($N734,Species_Names,0))),Game_STAB_Multiplier,1)))</f>
        <v>1</v>
      </c>
      <c r="V734" s="33">
        <f t="array" ref="V7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734,Charge_Names,0))),Type_Species)),0),1)*IF(COUNTBLANK(Combo_Opponent_Type_2)=0,INDEX(Type_Damage_Multipliers,MATCH(Combo_Opponent_Type_2,IF(Type_Move=(INDEX(Charge_Type,MATCH($P734,Charge_Names,0))),Type_Species)),0),1)*
IF(OR(INDEX(Charge_Type,MATCH($P734,Charge_Names,0))=INDEX(Species_Type_1,MATCH($N734,Species_Names,0)),INDEX(Charge_Type,MATCH($P734,Charge_Names,0))=INDEX(Species_Type_2,MATCH($N734,Species_Names,0))),Game_STAB_Multiplier,1))</f>
        <v>1.25</v>
      </c>
      <c r="W734" s="33" t="s">
        <v>779</v>
      </c>
      <c r="X734" s="33" t="s">
        <v>1065</v>
      </c>
      <c r="Y734" s="32" t="e">
        <f t="array" ref="Y734">((($Z734)*
INDEX(Species_Attack,MATCH($N734,Species_Names,0))*
INDEX(Species_Tankiness,MATCH($N734,Species_Names,0)))/1000)</f>
        <v>#VALUE!</v>
      </c>
      <c r="Z734" s="33" t="s">
        <v>1066</v>
      </c>
    </row>
    <row r="735" spans="1:26" ht="14.25" customHeight="1" x14ac:dyDescent="0.2">
      <c r="A735" s="86"/>
      <c r="B735" s="22" t="str">
        <f t="array" ref="B735">CONCATENATE(TEXT($M735,"000"),".",TEXT(INDEX(Quick_Number,MATCH($O735,Quick_Names,0)),"000"),".",TEXT(INDEX(Charge_Number,MATCH($P735,Charge_Names,0)),"000"))</f>
        <v>056.208.028</v>
      </c>
      <c r="C735" s="23" t="e">
        <f t="array" ref="C735">RANK($S735,IF(Combo_Species_Names=$N735,Combo_Gym_Offense),0)</f>
        <v>#VALUE!</v>
      </c>
      <c r="D735" s="24" t="e">
        <f t="array" ref="D735">$S735/MAX(IF(Combo_Species_Names=$N735,Combo_Gym_Offense))</f>
        <v>#VALUE!</v>
      </c>
      <c r="E735" s="23" t="e">
        <f t="array" ref="E735">RANK($Y735,IF(Combo_Species_Names=$N735,Combo_Gym_Defense),0)</f>
        <v>#VALUE!</v>
      </c>
      <c r="F735" s="25" t="e">
        <f t="array" ref="F735">$Y735/MAX(IF(Combo_Species_Names=$N735,Combo_Gym_Defense))</f>
        <v>#VALUE!</v>
      </c>
      <c r="G735" s="23" t="str">
        <f t="array" ref="G735">IF(OR(INDEX(Species_Availability,MATCH($N735,Species_Names,0))="No",INDEX(Species_Evo_Numbers,MATCH($N735,Species_Names,0))&lt;&gt;1),"N/A",RANK($R735,IF(NOT(ISNA(MATCH(Combo_Species_Names,IF(Species_Availability="Yes",IF(Species_Evo_Numbers=1,Species_Names)),0))),Combo_Duel_Ability),0))</f>
        <v>N/A</v>
      </c>
      <c r="H735" s="24" t="str">
        <f t="array" ref="H735">IF(OR(INDEX(Species_Availability,MATCH($N735,Species_Names,0))="No",INDEX(Species_Evo_Numbers,MATCH($N735,Species_Names,0))&lt;&gt;1),"N/A",$R735/MAX(IF(NOT(ISNA(MATCH(Combo_Species_Names,IF(Species_Availability="Yes",IF(Species_Evo_Numbers=1,Species_Names)),0))),Combo_Duel_Ability)))</f>
        <v>N/A</v>
      </c>
      <c r="I735" s="23" t="str">
        <f t="array" ref="I735">IF(OR(INDEX(Species_Availability,MATCH($N735,Species_Names,0))="No",INDEX(Species_Evo_Numbers,MATCH($N735,Species_Names,0))&lt;&gt;1),"N/A",RANK($S735,IF(NOT(ISNA(MATCH(Combo_Species_Names,IF(Species_Availability="Yes",IF(Species_Evo_Numbers=1,Species_Names)),0))),Combo_Gym_Offense),0))</f>
        <v>N/A</v>
      </c>
      <c r="J735" s="24" t="str">
        <f t="array" ref="J735">IF(OR(INDEX(Species_Availability,MATCH($N735,Species_Names,0))="No",INDEX(Species_Evo_Numbers,MATCH($N735,Species_Names,0))&lt;&gt;1),"N/A",$S735/MAX(IF(NOT(ISNA(MATCH(Combo_Species_Names,IF(Species_Availability="Yes",IF(Species_Evo_Numbers=1,Species_Names)),0))),Combo_Gym_Offense)))</f>
        <v>N/A</v>
      </c>
      <c r="K735" s="23" t="str">
        <f t="array" ref="K735">IF(OR(INDEX(Species_Availability,MATCH($N735,Species_Names,0))="No",INDEX(Species_Evo_Numbers,MATCH($N735,Species_Names,0))&lt;&gt;1),"N/A",RANK($Y735,IF(NOT(ISNA(MATCH(Combo_Species_Names,IF(Species_Availability="Yes",IF(Species_Evo_Numbers=1,Species_Names)),0))),Combo_Gym_Defense),0))</f>
        <v>N/A</v>
      </c>
      <c r="L735" s="24" t="str">
        <f t="array" ref="L735">IF(OR(INDEX(Species_Availability,MATCH($N735,Species_Names,0))="No",INDEX(Species_Evo_Numbers,MATCH($N735,Species_Names,0))&lt;&gt;1),"N/A",$Y735/MAX(IF(NOT(ISNA(MATCH(Combo_Species_Names,IF(Species_Availability="Yes",IF(Species_Evo_Numbers=1,Species_Names)),0))),Combo_Gym_Defense)))</f>
        <v>N/A</v>
      </c>
      <c r="M735" s="28">
        <f t="array" ref="M735">INDEX(Species_Pdex_Numbers,MATCH($N735,Species_Names,0))</f>
        <v>56</v>
      </c>
      <c r="N735" s="30" t="s">
        <v>201</v>
      </c>
      <c r="O735" s="31" t="s">
        <v>122</v>
      </c>
      <c r="P735" s="31" t="s">
        <v>146</v>
      </c>
      <c r="Q735" s="17" t="e">
        <f t="shared" si="22"/>
        <v>#VALUE!</v>
      </c>
      <c r="R735" s="32" t="e">
        <f t="array" ref="R735">IF(OR(AND(COUNTBLANK(Combo_Opponent_Type_1)=1,COUNTBLANK(Combo_Opponent_Type_2)=0),AND(AND(COUNTBLANK(Combo_Opponent_Type_1)=0,COUNTBLANK(Combo_Opponent_Type_2)=0),Combo_Opponent_Type_1=Combo_Opponent_Type_2)),
"Check Types",($S735*INDEX(Species_Tankiness,MATCH($N735,Species_Names,0)))/225)</f>
        <v>#VALUE!</v>
      </c>
      <c r="S735" s="32" t="e">
        <f t="array" ref="S735">IF(OR(AND(COUNTBLANK(Combo_Opponent_Type_1)=1,COUNTBLANK(Combo_Opponent_Type_2)=0),AND(AND(COUNTBLANK(Combo_Opponent_Type_1)=0,COUNTBLANK(Combo_Opponent_Type_2)=0),Combo_Opponent_Type_1=Combo_Opponent_Type_2)),
"Check Types",(
IF($W735&gt;=((1-Game_Weave_Human_Error)*$X735),$W735,$X735)*INDEX(Species_Attack,MATCH($N735,Species_Names,0)))/11)</f>
        <v>#VALUE!</v>
      </c>
      <c r="T735" s="33" t="e">
        <f t="shared" si="23"/>
        <v>#VALUE!</v>
      </c>
      <c r="U735" s="33">
        <f t="array" ref="U7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735,Quick_Names,0))),Type_Species)),0),1)*IF(COUNTBLANK(Combo_Opponent_Type_2)=0,INDEX(Type_Damage_Multipliers,MATCH(Combo_Opponent_Type_2,IF(Type_Move=(INDEX(Quick_Type,MATCH($O735,Quick_Names,0))),Type_Species)),0),1)*(IF(OR(INDEX(Quick_Type,MATCH($O735,Quick_Names,0))=INDEX(Species_Type_1,MATCH($N735,Species_Names,0)),INDEX(Quick_Type,MATCH($O735,Quick_Names,0))=INDEX(Species_Type_2,MATCH($N735,Species_Names,0))),Game_STAB_Multiplier,1)))</f>
        <v>1.25</v>
      </c>
      <c r="V735" s="33">
        <f t="array" ref="V7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735,Charge_Names,0))),Type_Species)),0),1)*IF(COUNTBLANK(Combo_Opponent_Type_2)=0,INDEX(Type_Damage_Multipliers,MATCH(Combo_Opponent_Type_2,IF(Type_Move=(INDEX(Charge_Type,MATCH($P735,Charge_Names,0))),Type_Species)),0),1)*
IF(OR(INDEX(Charge_Type,MATCH($P735,Charge_Names,0))=INDEX(Species_Type_1,MATCH($N735,Species_Names,0)),INDEX(Charge_Type,MATCH($P735,Charge_Names,0))=INDEX(Species_Type_2,MATCH($N735,Species_Names,0))),Game_STAB_Multiplier,1))</f>
        <v>1.25</v>
      </c>
      <c r="W735" s="33" t="s">
        <v>564</v>
      </c>
      <c r="X735" s="33" t="s">
        <v>579</v>
      </c>
      <c r="Y735" s="32" t="e">
        <f t="array" ref="Y735">((($Z735)*
INDEX(Species_Attack,MATCH($N735,Species_Names,0))*
INDEX(Species_Tankiness,MATCH($N735,Species_Names,0)))/1000)</f>
        <v>#VALUE!</v>
      </c>
      <c r="Z735" s="33" t="s">
        <v>580</v>
      </c>
    </row>
    <row r="736" spans="1:26" ht="14.25" customHeight="1" x14ac:dyDescent="0.2">
      <c r="A736" s="86"/>
      <c r="B736" s="22" t="str">
        <f t="array" ref="B736">CONCATENATE(TEXT($M736,"000"),".",TEXT(INDEX(Quick_Number,MATCH($O736,Quick_Names,0)),"000"),".",TEXT(INDEX(Charge_Number,MATCH($P736,Charge_Names,0)),"000"))</f>
        <v>074.221.026</v>
      </c>
      <c r="C736" s="23" t="e">
        <f t="array" ref="C736">RANK($S736,IF(Combo_Species_Names=$N736,Combo_Gym_Offense),0)</f>
        <v>#VALUE!</v>
      </c>
      <c r="D736" s="24" t="e">
        <f t="array" ref="D736">$S736/MAX(IF(Combo_Species_Names=$N736,Combo_Gym_Offense))</f>
        <v>#VALUE!</v>
      </c>
      <c r="E736" s="23" t="e">
        <f t="array" ref="E736">RANK($Y736,IF(Combo_Species_Names=$N736,Combo_Gym_Defense),0)</f>
        <v>#VALUE!</v>
      </c>
      <c r="F736" s="25" t="e">
        <f t="array" ref="F736">$Y736/MAX(IF(Combo_Species_Names=$N736,Combo_Gym_Defense))</f>
        <v>#VALUE!</v>
      </c>
      <c r="G736" s="23" t="str">
        <f t="array" ref="G736">IF(OR(INDEX(Species_Availability,MATCH($N736,Species_Names,0))="No",INDEX(Species_Evo_Numbers,MATCH($N736,Species_Names,0))&lt;&gt;1),"N/A",RANK($R736,IF(NOT(ISNA(MATCH(Combo_Species_Names,IF(Species_Availability="Yes",IF(Species_Evo_Numbers=1,Species_Names)),0))),Combo_Duel_Ability),0))</f>
        <v>N/A</v>
      </c>
      <c r="H736" s="24" t="str">
        <f t="array" ref="H736">IF(OR(INDEX(Species_Availability,MATCH($N736,Species_Names,0))="No",INDEX(Species_Evo_Numbers,MATCH($N736,Species_Names,0))&lt;&gt;1),"N/A",$R736/MAX(IF(NOT(ISNA(MATCH(Combo_Species_Names,IF(Species_Availability="Yes",IF(Species_Evo_Numbers=1,Species_Names)),0))),Combo_Duel_Ability)))</f>
        <v>N/A</v>
      </c>
      <c r="I736" s="23" t="str">
        <f t="array" ref="I736">IF(OR(INDEX(Species_Availability,MATCH($N736,Species_Names,0))="No",INDEX(Species_Evo_Numbers,MATCH($N736,Species_Names,0))&lt;&gt;1),"N/A",RANK($S736,IF(NOT(ISNA(MATCH(Combo_Species_Names,IF(Species_Availability="Yes",IF(Species_Evo_Numbers=1,Species_Names)),0))),Combo_Gym_Offense),0))</f>
        <v>N/A</v>
      </c>
      <c r="J736" s="24" t="str">
        <f t="array" ref="J736">IF(OR(INDEX(Species_Availability,MATCH($N736,Species_Names,0))="No",INDEX(Species_Evo_Numbers,MATCH($N736,Species_Names,0))&lt;&gt;1),"N/A",$S736/MAX(IF(NOT(ISNA(MATCH(Combo_Species_Names,IF(Species_Availability="Yes",IF(Species_Evo_Numbers=1,Species_Names)),0))),Combo_Gym_Offense)))</f>
        <v>N/A</v>
      </c>
      <c r="K736" s="23" t="str">
        <f t="array" ref="K736">IF(OR(INDEX(Species_Availability,MATCH($N736,Species_Names,0))="No",INDEX(Species_Evo_Numbers,MATCH($N736,Species_Names,0))&lt;&gt;1),"N/A",RANK($Y736,IF(NOT(ISNA(MATCH(Combo_Species_Names,IF(Species_Availability="Yes",IF(Species_Evo_Numbers=1,Species_Names)),0))),Combo_Gym_Defense),0))</f>
        <v>N/A</v>
      </c>
      <c r="L736" s="24" t="str">
        <f t="array" ref="L736">IF(OR(INDEX(Species_Availability,MATCH($N736,Species_Names,0))="No",INDEX(Species_Evo_Numbers,MATCH($N736,Species_Names,0))&lt;&gt;1),"N/A",$Y736/MAX(IF(NOT(ISNA(MATCH(Combo_Species_Names,IF(Species_Availability="Yes",IF(Species_Evo_Numbers=1,Species_Names)),0))),Combo_Gym_Defense)))</f>
        <v>N/A</v>
      </c>
      <c r="M736" s="28">
        <f t="array" ref="M736">INDEX(Species_Pdex_Numbers,MATCH($N736,Species_Names,0))</f>
        <v>74</v>
      </c>
      <c r="N736" s="30" t="s">
        <v>240</v>
      </c>
      <c r="O736" s="31" t="s">
        <v>91</v>
      </c>
      <c r="P736" s="31" t="s">
        <v>264</v>
      </c>
      <c r="Q736" s="17" t="e">
        <f t="shared" si="22"/>
        <v>#VALUE!</v>
      </c>
      <c r="R736" s="32" t="e">
        <f t="array" ref="R736">IF(OR(AND(COUNTBLANK(Combo_Opponent_Type_1)=1,COUNTBLANK(Combo_Opponent_Type_2)=0),AND(AND(COUNTBLANK(Combo_Opponent_Type_1)=0,COUNTBLANK(Combo_Opponent_Type_2)=0),Combo_Opponent_Type_1=Combo_Opponent_Type_2)),
"Check Types",($S736*INDEX(Species_Tankiness,MATCH($N736,Species_Names,0)))/225)</f>
        <v>#VALUE!</v>
      </c>
      <c r="S736" s="32" t="e">
        <f t="array" ref="S736">IF(OR(AND(COUNTBLANK(Combo_Opponent_Type_1)=1,COUNTBLANK(Combo_Opponent_Type_2)=0),AND(AND(COUNTBLANK(Combo_Opponent_Type_1)=0,COUNTBLANK(Combo_Opponent_Type_2)=0),Combo_Opponent_Type_1=Combo_Opponent_Type_2)),
"Check Types",(
IF($W736&gt;=((1-Game_Weave_Human_Error)*$X736),$W736,$X736)*INDEX(Species_Attack,MATCH($N736,Species_Names,0)))/11)</f>
        <v>#VALUE!</v>
      </c>
      <c r="T736" s="33" t="e">
        <f t="shared" si="23"/>
        <v>#VALUE!</v>
      </c>
      <c r="U736" s="33">
        <f t="array" ref="U7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736,Quick_Names,0))),Type_Species)),0),1)*IF(COUNTBLANK(Combo_Opponent_Type_2)=0,INDEX(Type_Damage_Multipliers,MATCH(Combo_Opponent_Type_2,IF(Type_Move=(INDEX(Quick_Type,MATCH($O736,Quick_Names,0))),Type_Species)),0),1)*(IF(OR(INDEX(Quick_Type,MATCH($O736,Quick_Names,0))=INDEX(Species_Type_1,MATCH($N736,Species_Names,0)),INDEX(Quick_Type,MATCH($O736,Quick_Names,0))=INDEX(Species_Type_2,MATCH($N736,Species_Names,0))),Game_STAB_Multiplier,1)))</f>
        <v>1</v>
      </c>
      <c r="V736" s="33">
        <f t="array" ref="V7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736,Charge_Names,0))),Type_Species)),0),1)*IF(COUNTBLANK(Combo_Opponent_Type_2)=0,INDEX(Type_Damage_Multipliers,MATCH(Combo_Opponent_Type_2,IF(Type_Move=(INDEX(Charge_Type,MATCH($P736,Charge_Names,0))),Type_Species)),0),1)*
IF(OR(INDEX(Charge_Type,MATCH($P736,Charge_Names,0))=INDEX(Species_Type_1,MATCH($N736,Species_Names,0)),INDEX(Charge_Type,MATCH($P736,Charge_Names,0))=INDEX(Species_Type_2,MATCH($N736,Species_Names,0))),Game_STAB_Multiplier,1))</f>
        <v>1.25</v>
      </c>
      <c r="W736" s="33" t="s">
        <v>658</v>
      </c>
      <c r="X736" s="33" t="s">
        <v>501</v>
      </c>
      <c r="Y736" s="32" t="e">
        <f t="array" ref="Y736">((($Z736)*
INDEX(Species_Attack,MATCH($N736,Species_Names,0))*
INDEX(Species_Tankiness,MATCH($N736,Species_Names,0)))/1000)</f>
        <v>#VALUE!</v>
      </c>
      <c r="Z736" s="33" t="s">
        <v>1067</v>
      </c>
    </row>
    <row r="737" spans="1:26" ht="14.25" customHeight="1" x14ac:dyDescent="0.2">
      <c r="A737" s="86"/>
      <c r="B737" s="22" t="str">
        <f t="array" ref="B737">CONCATENATE(TEXT($M737,"000"),".",TEXT(INDEX(Quick_Number,MATCH($O737,Quick_Names,0)),"000"),".",TEXT(INDEX(Charge_Number,MATCH($P737,Charge_Names,0)),"000"))</f>
        <v>074.227.026</v>
      </c>
      <c r="C737" s="23" t="e">
        <f t="array" ref="C737">RANK($S737,IF(Combo_Species_Names=$N737,Combo_Gym_Offense),0)</f>
        <v>#VALUE!</v>
      </c>
      <c r="D737" s="24" t="e">
        <f t="array" ref="D737">$S737/MAX(IF(Combo_Species_Names=$N737,Combo_Gym_Offense))</f>
        <v>#VALUE!</v>
      </c>
      <c r="E737" s="23" t="e">
        <f t="array" ref="E737">RANK($Y737,IF(Combo_Species_Names=$N737,Combo_Gym_Defense),0)</f>
        <v>#VALUE!</v>
      </c>
      <c r="F737" s="25" t="e">
        <f t="array" ref="F737">$Y737/MAX(IF(Combo_Species_Names=$N737,Combo_Gym_Defense))</f>
        <v>#VALUE!</v>
      </c>
      <c r="G737" s="23" t="str">
        <f t="array" ref="G737">IF(OR(INDEX(Species_Availability,MATCH($N737,Species_Names,0))="No",INDEX(Species_Evo_Numbers,MATCH($N737,Species_Names,0))&lt;&gt;1),"N/A",RANK($R737,IF(NOT(ISNA(MATCH(Combo_Species_Names,IF(Species_Availability="Yes",IF(Species_Evo_Numbers=1,Species_Names)),0))),Combo_Duel_Ability),0))</f>
        <v>N/A</v>
      </c>
      <c r="H737" s="24" t="str">
        <f t="array" ref="H737">IF(OR(INDEX(Species_Availability,MATCH($N737,Species_Names,0))="No",INDEX(Species_Evo_Numbers,MATCH($N737,Species_Names,0))&lt;&gt;1),"N/A",$R737/MAX(IF(NOT(ISNA(MATCH(Combo_Species_Names,IF(Species_Availability="Yes",IF(Species_Evo_Numbers=1,Species_Names)),0))),Combo_Duel_Ability)))</f>
        <v>N/A</v>
      </c>
      <c r="I737" s="23" t="str">
        <f t="array" ref="I737">IF(OR(INDEX(Species_Availability,MATCH($N737,Species_Names,0))="No",INDEX(Species_Evo_Numbers,MATCH($N737,Species_Names,0))&lt;&gt;1),"N/A",RANK($S737,IF(NOT(ISNA(MATCH(Combo_Species_Names,IF(Species_Availability="Yes",IF(Species_Evo_Numbers=1,Species_Names)),0))),Combo_Gym_Offense),0))</f>
        <v>N/A</v>
      </c>
      <c r="J737" s="24" t="str">
        <f t="array" ref="J737">IF(OR(INDEX(Species_Availability,MATCH($N737,Species_Names,0))="No",INDEX(Species_Evo_Numbers,MATCH($N737,Species_Names,0))&lt;&gt;1),"N/A",$S737/MAX(IF(NOT(ISNA(MATCH(Combo_Species_Names,IF(Species_Availability="Yes",IF(Species_Evo_Numbers=1,Species_Names)),0))),Combo_Gym_Offense)))</f>
        <v>N/A</v>
      </c>
      <c r="K737" s="23" t="str">
        <f t="array" ref="K737">IF(OR(INDEX(Species_Availability,MATCH($N737,Species_Names,0))="No",INDEX(Species_Evo_Numbers,MATCH($N737,Species_Names,0))&lt;&gt;1),"N/A",RANK($Y737,IF(NOT(ISNA(MATCH(Combo_Species_Names,IF(Species_Availability="Yes",IF(Species_Evo_Numbers=1,Species_Names)),0))),Combo_Gym_Defense),0))</f>
        <v>N/A</v>
      </c>
      <c r="L737" s="24" t="str">
        <f t="array" ref="L737">IF(OR(INDEX(Species_Availability,MATCH($N737,Species_Names,0))="No",INDEX(Species_Evo_Numbers,MATCH($N737,Species_Names,0))&lt;&gt;1),"N/A",$Y737/MAX(IF(NOT(ISNA(MATCH(Combo_Species_Names,IF(Species_Availability="Yes",IF(Species_Evo_Numbers=1,Species_Names)),0))),Combo_Gym_Defense)))</f>
        <v>N/A</v>
      </c>
      <c r="M737" s="28">
        <f t="array" ref="M737">INDEX(Species_Pdex_Numbers,MATCH($N737,Species_Names,0))</f>
        <v>74</v>
      </c>
      <c r="N737" s="30" t="s">
        <v>240</v>
      </c>
      <c r="O737" s="31" t="s">
        <v>112</v>
      </c>
      <c r="P737" s="31" t="s">
        <v>264</v>
      </c>
      <c r="Q737" s="17" t="e">
        <f t="shared" si="22"/>
        <v>#VALUE!</v>
      </c>
      <c r="R737" s="32" t="e">
        <f t="array" ref="R737">IF(OR(AND(COUNTBLANK(Combo_Opponent_Type_1)=1,COUNTBLANK(Combo_Opponent_Type_2)=0),AND(AND(COUNTBLANK(Combo_Opponent_Type_1)=0,COUNTBLANK(Combo_Opponent_Type_2)=0),Combo_Opponent_Type_1=Combo_Opponent_Type_2)),
"Check Types",($S737*INDEX(Species_Tankiness,MATCH($N737,Species_Names,0)))/225)</f>
        <v>#VALUE!</v>
      </c>
      <c r="S737" s="32" t="e">
        <f t="array" ref="S737">IF(OR(AND(COUNTBLANK(Combo_Opponent_Type_1)=1,COUNTBLANK(Combo_Opponent_Type_2)=0),AND(AND(COUNTBLANK(Combo_Opponent_Type_1)=0,COUNTBLANK(Combo_Opponent_Type_2)=0),Combo_Opponent_Type_1=Combo_Opponent_Type_2)),
"Check Types",(
IF($W737&gt;=((1-Game_Weave_Human_Error)*$X737),$W737,$X737)*INDEX(Species_Attack,MATCH($N737,Species_Names,0)))/11)</f>
        <v>#VALUE!</v>
      </c>
      <c r="T737" s="33" t="e">
        <f t="shared" si="23"/>
        <v>#VALUE!</v>
      </c>
      <c r="U737" s="33">
        <f t="array" ref="U7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737,Quick_Names,0))),Type_Species)),0),1)*IF(COUNTBLANK(Combo_Opponent_Type_2)=0,INDEX(Type_Damage_Multipliers,MATCH(Combo_Opponent_Type_2,IF(Type_Move=(INDEX(Quick_Type,MATCH($O737,Quick_Names,0))),Type_Species)),0),1)*(IF(OR(INDEX(Quick_Type,MATCH($O737,Quick_Names,0))=INDEX(Species_Type_1,MATCH($N737,Species_Names,0)),INDEX(Quick_Type,MATCH($O737,Quick_Names,0))=INDEX(Species_Type_2,MATCH($N737,Species_Names,0))),Game_STAB_Multiplier,1)))</f>
        <v>1.25</v>
      </c>
      <c r="V737" s="33">
        <f t="array" ref="V7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737,Charge_Names,0))),Type_Species)),0),1)*IF(COUNTBLANK(Combo_Opponent_Type_2)=0,INDEX(Type_Damage_Multipliers,MATCH(Combo_Opponent_Type_2,IF(Type_Move=(INDEX(Charge_Type,MATCH($P737,Charge_Names,0))),Type_Species)),0),1)*
IF(OR(INDEX(Charge_Type,MATCH($P737,Charge_Names,0))=INDEX(Species_Type_1,MATCH($N737,Species_Names,0)),INDEX(Charge_Type,MATCH($P737,Charge_Names,0))=INDEX(Species_Type_2,MATCH($N737,Species_Names,0))),Game_STAB_Multiplier,1))</f>
        <v>1.25</v>
      </c>
      <c r="W737" s="33" t="s">
        <v>548</v>
      </c>
      <c r="X737" s="33" t="s">
        <v>719</v>
      </c>
      <c r="Y737" s="32" t="e">
        <f t="array" ref="Y737">((($Z737)*
INDEX(Species_Attack,MATCH($N737,Species_Names,0))*
INDEX(Species_Tankiness,MATCH($N737,Species_Names,0)))/1000)</f>
        <v>#VALUE!</v>
      </c>
      <c r="Z737" s="33" t="s">
        <v>972</v>
      </c>
    </row>
    <row r="738" spans="1:26" ht="14.25" customHeight="1" x14ac:dyDescent="0.2">
      <c r="A738" s="86"/>
      <c r="B738" s="22" t="str">
        <f t="array" ref="B738">CONCATENATE(TEXT($M738,"000"),".",TEXT(INDEX(Quick_Number,MATCH($O738,Quick_Names,0)),"000"),".",TEXT(INDEX(Charge_Number,MATCH($P738,Charge_Names,0)),"000"))</f>
        <v>052.202.131</v>
      </c>
      <c r="C738" s="23" t="e">
        <f t="array" ref="C738">RANK($S738,IF(Combo_Species_Names=$N738,Combo_Gym_Offense),0)</f>
        <v>#VALUE!</v>
      </c>
      <c r="D738" s="24" t="e">
        <f t="array" ref="D738">$S738/MAX(IF(Combo_Species_Names=$N738,Combo_Gym_Offense))</f>
        <v>#VALUE!</v>
      </c>
      <c r="E738" s="23" t="e">
        <f t="array" ref="E738">RANK($Y738,IF(Combo_Species_Names=$N738,Combo_Gym_Defense),0)</f>
        <v>#VALUE!</v>
      </c>
      <c r="F738" s="25" t="e">
        <f t="array" ref="F738">$Y738/MAX(IF(Combo_Species_Names=$N738,Combo_Gym_Defense))</f>
        <v>#VALUE!</v>
      </c>
      <c r="G738" s="23" t="str">
        <f t="array" ref="G738">IF(OR(INDEX(Species_Availability,MATCH($N738,Species_Names,0))="No",INDEX(Species_Evo_Numbers,MATCH($N738,Species_Names,0))&lt;&gt;1),"N/A",RANK($R738,IF(NOT(ISNA(MATCH(Combo_Species_Names,IF(Species_Availability="Yes",IF(Species_Evo_Numbers=1,Species_Names)),0))),Combo_Duel_Ability),0))</f>
        <v>N/A</v>
      </c>
      <c r="H738" s="24" t="str">
        <f t="array" ref="H738">IF(OR(INDEX(Species_Availability,MATCH($N738,Species_Names,0))="No",INDEX(Species_Evo_Numbers,MATCH($N738,Species_Names,0))&lt;&gt;1),"N/A",$R738/MAX(IF(NOT(ISNA(MATCH(Combo_Species_Names,IF(Species_Availability="Yes",IF(Species_Evo_Numbers=1,Species_Names)),0))),Combo_Duel_Ability)))</f>
        <v>N/A</v>
      </c>
      <c r="I738" s="23" t="str">
        <f t="array" ref="I738">IF(OR(INDEX(Species_Availability,MATCH($N738,Species_Names,0))="No",INDEX(Species_Evo_Numbers,MATCH($N738,Species_Names,0))&lt;&gt;1),"N/A",RANK($S738,IF(NOT(ISNA(MATCH(Combo_Species_Names,IF(Species_Availability="Yes",IF(Species_Evo_Numbers=1,Species_Names)),0))),Combo_Gym_Offense),0))</f>
        <v>N/A</v>
      </c>
      <c r="J738" s="24" t="str">
        <f t="array" ref="J738">IF(OR(INDEX(Species_Availability,MATCH($N738,Species_Names,0))="No",INDEX(Species_Evo_Numbers,MATCH($N738,Species_Names,0))&lt;&gt;1),"N/A",$S738/MAX(IF(NOT(ISNA(MATCH(Combo_Species_Names,IF(Species_Availability="Yes",IF(Species_Evo_Numbers=1,Species_Names)),0))),Combo_Gym_Offense)))</f>
        <v>N/A</v>
      </c>
      <c r="K738" s="23" t="str">
        <f t="array" ref="K738">IF(OR(INDEX(Species_Availability,MATCH($N738,Species_Names,0))="No",INDEX(Species_Evo_Numbers,MATCH($N738,Species_Names,0))&lt;&gt;1),"N/A",RANK($Y738,IF(NOT(ISNA(MATCH(Combo_Species_Names,IF(Species_Availability="Yes",IF(Species_Evo_Numbers=1,Species_Names)),0))),Combo_Gym_Defense),0))</f>
        <v>N/A</v>
      </c>
      <c r="L738" s="24" t="str">
        <f t="array" ref="L738">IF(OR(INDEX(Species_Availability,MATCH($N738,Species_Names,0))="No",INDEX(Species_Evo_Numbers,MATCH($N738,Species_Names,0))&lt;&gt;1),"N/A",$Y738/MAX(IF(NOT(ISNA(MATCH(Combo_Species_Names,IF(Species_Availability="Yes",IF(Species_Evo_Numbers=1,Species_Names)),0))),Combo_Gym_Defense)))</f>
        <v>N/A</v>
      </c>
      <c r="M738" s="28">
        <f t="array" ref="M738">INDEX(Species_Pdex_Numbers,MATCH($N738,Species_Names,0))</f>
        <v>52</v>
      </c>
      <c r="N738" s="30" t="s">
        <v>194</v>
      </c>
      <c r="O738" s="31" t="s">
        <v>59</v>
      </c>
      <c r="P738" s="31" t="s">
        <v>151</v>
      </c>
      <c r="Q738" s="17" t="e">
        <f t="shared" si="22"/>
        <v>#VALUE!</v>
      </c>
      <c r="R738" s="32" t="e">
        <f t="array" ref="R738">IF(OR(AND(COUNTBLANK(Combo_Opponent_Type_1)=1,COUNTBLANK(Combo_Opponent_Type_2)=0),AND(AND(COUNTBLANK(Combo_Opponent_Type_1)=0,COUNTBLANK(Combo_Opponent_Type_2)=0),Combo_Opponent_Type_1=Combo_Opponent_Type_2)),
"Check Types",($S738*INDEX(Species_Tankiness,MATCH($N738,Species_Names,0)))/225)</f>
        <v>#VALUE!</v>
      </c>
      <c r="S738" s="32" t="e">
        <f t="array" ref="S738">IF(OR(AND(COUNTBLANK(Combo_Opponent_Type_1)=1,COUNTBLANK(Combo_Opponent_Type_2)=0),AND(AND(COUNTBLANK(Combo_Opponent_Type_1)=0,COUNTBLANK(Combo_Opponent_Type_2)=0),Combo_Opponent_Type_1=Combo_Opponent_Type_2)),
"Check Types",(
IF($W738&gt;=((1-Game_Weave_Human_Error)*$X738),$W738,$X738)*INDEX(Species_Attack,MATCH($N738,Species_Names,0)))/11)</f>
        <v>#VALUE!</v>
      </c>
      <c r="T738" s="33" t="e">
        <f t="shared" si="23"/>
        <v>#VALUE!</v>
      </c>
      <c r="U738" s="33">
        <f t="array" ref="U7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738,Quick_Names,0))),Type_Species)),0),1)*IF(COUNTBLANK(Combo_Opponent_Type_2)=0,INDEX(Type_Damage_Multipliers,MATCH(Combo_Opponent_Type_2,IF(Type_Move=(INDEX(Quick_Type,MATCH($O738,Quick_Names,0))),Type_Species)),0),1)*(IF(OR(INDEX(Quick_Type,MATCH($O738,Quick_Names,0))=INDEX(Species_Type_1,MATCH($N738,Species_Names,0)),INDEX(Quick_Type,MATCH($O738,Quick_Names,0))=INDEX(Species_Type_2,MATCH($N738,Species_Names,0))),Game_STAB_Multiplier,1)))</f>
        <v>1</v>
      </c>
      <c r="V738" s="33">
        <f t="array" ref="V7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738,Charge_Names,0))),Type_Species)),0),1)*IF(COUNTBLANK(Combo_Opponent_Type_2)=0,INDEX(Type_Damage_Multipliers,MATCH(Combo_Opponent_Type_2,IF(Type_Move=(INDEX(Charge_Type,MATCH($P738,Charge_Names,0))),Type_Species)),0),1)*
IF(OR(INDEX(Charge_Type,MATCH($P738,Charge_Names,0))=INDEX(Species_Type_1,MATCH($N738,Species_Names,0)),INDEX(Charge_Type,MATCH($P738,Charge_Names,0))=INDEX(Species_Type_2,MATCH($N738,Species_Names,0))),Game_STAB_Multiplier,1))</f>
        <v>1.25</v>
      </c>
      <c r="W738" s="33" t="s">
        <v>453</v>
      </c>
      <c r="X738" s="33" t="s">
        <v>559</v>
      </c>
      <c r="Y738" s="32" t="e">
        <f t="array" ref="Y738">((($Z738)*
INDEX(Species_Attack,MATCH($N738,Species_Names,0))*
INDEX(Species_Tankiness,MATCH($N738,Species_Names,0)))/1000)</f>
        <v>#VALUE!</v>
      </c>
      <c r="Z738" s="33" t="s">
        <v>820</v>
      </c>
    </row>
    <row r="739" spans="1:26" ht="14.25" customHeight="1" x14ac:dyDescent="0.2">
      <c r="A739" s="86"/>
      <c r="B739" s="22" t="str">
        <f t="array" ref="B739">CONCATENATE(TEXT($M739,"000"),".",TEXT(INDEX(Quick_Number,MATCH($O739,Quick_Names,0)),"000"),".",TEXT(INDEX(Charge_Number,MATCH($P739,Charge_Names,0)),"000"))</f>
        <v>100.221.035</v>
      </c>
      <c r="C739" s="23" t="e">
        <f t="array" ref="C739">RANK($S739,IF(Combo_Species_Names=$N739,Combo_Gym_Offense),0)</f>
        <v>#VALUE!</v>
      </c>
      <c r="D739" s="24" t="e">
        <f t="array" ref="D739">$S739/MAX(IF(Combo_Species_Names=$N739,Combo_Gym_Offense))</f>
        <v>#VALUE!</v>
      </c>
      <c r="E739" s="23" t="e">
        <f t="array" ref="E739">RANK($Y739,IF(Combo_Species_Names=$N739,Combo_Gym_Defense),0)</f>
        <v>#VALUE!</v>
      </c>
      <c r="F739" s="25" t="e">
        <f t="array" ref="F739">$Y739/MAX(IF(Combo_Species_Names=$N739,Combo_Gym_Defense))</f>
        <v>#VALUE!</v>
      </c>
      <c r="G739" s="23" t="str">
        <f t="array" ref="G739">IF(OR(INDEX(Species_Availability,MATCH($N739,Species_Names,0))="No",INDEX(Species_Evo_Numbers,MATCH($N739,Species_Names,0))&lt;&gt;1),"N/A",RANK($R739,IF(NOT(ISNA(MATCH(Combo_Species_Names,IF(Species_Availability="Yes",IF(Species_Evo_Numbers=1,Species_Names)),0))),Combo_Duel_Ability),0))</f>
        <v>N/A</v>
      </c>
      <c r="H739" s="24" t="str">
        <f t="array" ref="H739">IF(OR(INDEX(Species_Availability,MATCH($N739,Species_Names,0))="No",INDEX(Species_Evo_Numbers,MATCH($N739,Species_Names,0))&lt;&gt;1),"N/A",$R739/MAX(IF(NOT(ISNA(MATCH(Combo_Species_Names,IF(Species_Availability="Yes",IF(Species_Evo_Numbers=1,Species_Names)),0))),Combo_Duel_Ability)))</f>
        <v>N/A</v>
      </c>
      <c r="I739" s="23" t="str">
        <f t="array" ref="I739">IF(OR(INDEX(Species_Availability,MATCH($N739,Species_Names,0))="No",INDEX(Species_Evo_Numbers,MATCH($N739,Species_Names,0))&lt;&gt;1),"N/A",RANK($S739,IF(NOT(ISNA(MATCH(Combo_Species_Names,IF(Species_Availability="Yes",IF(Species_Evo_Numbers=1,Species_Names)),0))),Combo_Gym_Offense),0))</f>
        <v>N/A</v>
      </c>
      <c r="J739" s="24" t="str">
        <f t="array" ref="J739">IF(OR(INDEX(Species_Availability,MATCH($N739,Species_Names,0))="No",INDEX(Species_Evo_Numbers,MATCH($N739,Species_Names,0))&lt;&gt;1),"N/A",$S739/MAX(IF(NOT(ISNA(MATCH(Combo_Species_Names,IF(Species_Availability="Yes",IF(Species_Evo_Numbers=1,Species_Names)),0))),Combo_Gym_Offense)))</f>
        <v>N/A</v>
      </c>
      <c r="K739" s="23" t="str">
        <f t="array" ref="K739">IF(OR(INDEX(Species_Availability,MATCH($N739,Species_Names,0))="No",INDEX(Species_Evo_Numbers,MATCH($N739,Species_Names,0))&lt;&gt;1),"N/A",RANK($Y739,IF(NOT(ISNA(MATCH(Combo_Species_Names,IF(Species_Availability="Yes",IF(Species_Evo_Numbers=1,Species_Names)),0))),Combo_Gym_Defense),0))</f>
        <v>N/A</v>
      </c>
      <c r="L739" s="24" t="str">
        <f t="array" ref="L739">IF(OR(INDEX(Species_Availability,MATCH($N739,Species_Names,0))="No",INDEX(Species_Evo_Numbers,MATCH($N739,Species_Names,0))&lt;&gt;1),"N/A",$Y739/MAX(IF(NOT(ISNA(MATCH(Combo_Species_Names,IF(Species_Availability="Yes",IF(Species_Evo_Numbers=1,Species_Names)),0))),Combo_Gym_Defense)))</f>
        <v>N/A</v>
      </c>
      <c r="M739" s="28">
        <f t="array" ref="M739">INDEX(Species_Pdex_Numbers,MATCH($N739,Species_Names,0))</f>
        <v>100</v>
      </c>
      <c r="N739" s="30" t="s">
        <v>301</v>
      </c>
      <c r="O739" s="31" t="s">
        <v>91</v>
      </c>
      <c r="P739" s="31" t="s">
        <v>245</v>
      </c>
      <c r="Q739" s="17" t="e">
        <f t="shared" si="22"/>
        <v>#VALUE!</v>
      </c>
      <c r="R739" s="32" t="e">
        <f t="array" ref="R739">IF(OR(AND(COUNTBLANK(Combo_Opponent_Type_1)=1,COUNTBLANK(Combo_Opponent_Type_2)=0),AND(AND(COUNTBLANK(Combo_Opponent_Type_1)=0,COUNTBLANK(Combo_Opponent_Type_2)=0),Combo_Opponent_Type_1=Combo_Opponent_Type_2)),
"Check Types",($S739*INDEX(Species_Tankiness,MATCH($N739,Species_Names,0)))/225)</f>
        <v>#VALUE!</v>
      </c>
      <c r="S739" s="32" t="e">
        <f t="array" ref="S739">IF(OR(AND(COUNTBLANK(Combo_Opponent_Type_1)=1,COUNTBLANK(Combo_Opponent_Type_2)=0),AND(AND(COUNTBLANK(Combo_Opponent_Type_1)=0,COUNTBLANK(Combo_Opponent_Type_2)=0),Combo_Opponent_Type_1=Combo_Opponent_Type_2)),
"Check Types",(
IF($W739&gt;=((1-Game_Weave_Human_Error)*$X739),$W739,$X739)*INDEX(Species_Attack,MATCH($N739,Species_Names,0)))/11)</f>
        <v>#VALUE!</v>
      </c>
      <c r="T739" s="33" t="e">
        <f t="shared" si="23"/>
        <v>#VALUE!</v>
      </c>
      <c r="U739" s="33">
        <f t="array" ref="U7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739,Quick_Names,0))),Type_Species)),0),1)*IF(COUNTBLANK(Combo_Opponent_Type_2)=0,INDEX(Type_Damage_Multipliers,MATCH(Combo_Opponent_Type_2,IF(Type_Move=(INDEX(Quick_Type,MATCH($O739,Quick_Names,0))),Type_Species)),0),1)*(IF(OR(INDEX(Quick_Type,MATCH($O739,Quick_Names,0))=INDEX(Species_Type_1,MATCH($N739,Species_Names,0)),INDEX(Quick_Type,MATCH($O739,Quick_Names,0))=INDEX(Species_Type_2,MATCH($N739,Species_Names,0))),Game_STAB_Multiplier,1)))</f>
        <v>1</v>
      </c>
      <c r="V739" s="33">
        <f t="array" ref="V7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739,Charge_Names,0))),Type_Species)),0),1)*IF(COUNTBLANK(Combo_Opponent_Type_2)=0,INDEX(Type_Damage_Multipliers,MATCH(Combo_Opponent_Type_2,IF(Type_Move=(INDEX(Charge_Type,MATCH($P739,Charge_Names,0))),Type_Species)),0),1)*
IF(OR(INDEX(Charge_Type,MATCH($P739,Charge_Names,0))=INDEX(Species_Type_1,MATCH($N739,Species_Names,0)),INDEX(Charge_Type,MATCH($P739,Charge_Names,0))=INDEX(Species_Type_2,MATCH($N739,Species_Names,0))),Game_STAB_Multiplier,1))</f>
        <v>1.25</v>
      </c>
      <c r="W739" s="33" t="s">
        <v>658</v>
      </c>
      <c r="X739" s="33" t="s">
        <v>708</v>
      </c>
      <c r="Y739" s="32" t="e">
        <f t="array" ref="Y739">((($Z739)*
INDEX(Species_Attack,MATCH($N739,Species_Names,0))*
INDEX(Species_Tankiness,MATCH($N739,Species_Names,0)))/1000)</f>
        <v>#VALUE!</v>
      </c>
      <c r="Z739" s="33" t="s">
        <v>878</v>
      </c>
    </row>
    <row r="740" spans="1:26" ht="14.25" customHeight="1" x14ac:dyDescent="0.2">
      <c r="A740" s="86"/>
      <c r="B740" s="22" t="str">
        <f t="array" ref="B740">CONCATENATE(TEXT($M740,"000"),".",TEXT(INDEX(Quick_Number,MATCH($O740,Quick_Names,0)),"000"),".",TEXT(INDEX(Charge_Number,MATCH($P740,Charge_Names,0)),"000"))</f>
        <v>100.206.099</v>
      </c>
      <c r="C740" s="23" t="e">
        <f t="array" ref="C740">RANK($S740,IF(Combo_Species_Names=$N740,Combo_Gym_Offense),0)</f>
        <v>#VALUE!</v>
      </c>
      <c r="D740" s="24" t="e">
        <f t="array" ref="D740">$S740/MAX(IF(Combo_Species_Names=$N740,Combo_Gym_Offense))</f>
        <v>#VALUE!</v>
      </c>
      <c r="E740" s="23" t="e">
        <f t="array" ref="E740">RANK($Y740,IF(Combo_Species_Names=$N740,Combo_Gym_Defense),0)</f>
        <v>#VALUE!</v>
      </c>
      <c r="F740" s="25" t="e">
        <f t="array" ref="F740">$Y740/MAX(IF(Combo_Species_Names=$N740,Combo_Gym_Defense))</f>
        <v>#VALUE!</v>
      </c>
      <c r="G740" s="23" t="str">
        <f t="array" ref="G740">IF(OR(INDEX(Species_Availability,MATCH($N740,Species_Names,0))="No",INDEX(Species_Evo_Numbers,MATCH($N740,Species_Names,0))&lt;&gt;1),"N/A",RANK($R740,IF(NOT(ISNA(MATCH(Combo_Species_Names,IF(Species_Availability="Yes",IF(Species_Evo_Numbers=1,Species_Names)),0))),Combo_Duel_Ability),0))</f>
        <v>N/A</v>
      </c>
      <c r="H740" s="24" t="str">
        <f t="array" ref="H740">IF(OR(INDEX(Species_Availability,MATCH($N740,Species_Names,0))="No",INDEX(Species_Evo_Numbers,MATCH($N740,Species_Names,0))&lt;&gt;1),"N/A",$R740/MAX(IF(NOT(ISNA(MATCH(Combo_Species_Names,IF(Species_Availability="Yes",IF(Species_Evo_Numbers=1,Species_Names)),0))),Combo_Duel_Ability)))</f>
        <v>N/A</v>
      </c>
      <c r="I740" s="23" t="str">
        <f t="array" ref="I740">IF(OR(INDEX(Species_Availability,MATCH($N740,Species_Names,0))="No",INDEX(Species_Evo_Numbers,MATCH($N740,Species_Names,0))&lt;&gt;1),"N/A",RANK($S740,IF(NOT(ISNA(MATCH(Combo_Species_Names,IF(Species_Availability="Yes",IF(Species_Evo_Numbers=1,Species_Names)),0))),Combo_Gym_Offense),0))</f>
        <v>N/A</v>
      </c>
      <c r="J740" s="24" t="str">
        <f t="array" ref="J740">IF(OR(INDEX(Species_Availability,MATCH($N740,Species_Names,0))="No",INDEX(Species_Evo_Numbers,MATCH($N740,Species_Names,0))&lt;&gt;1),"N/A",$S740/MAX(IF(NOT(ISNA(MATCH(Combo_Species_Names,IF(Species_Availability="Yes",IF(Species_Evo_Numbers=1,Species_Names)),0))),Combo_Gym_Offense)))</f>
        <v>N/A</v>
      </c>
      <c r="K740" s="23" t="str">
        <f t="array" ref="K740">IF(OR(INDEX(Species_Availability,MATCH($N740,Species_Names,0))="No",INDEX(Species_Evo_Numbers,MATCH($N740,Species_Names,0))&lt;&gt;1),"N/A",RANK($Y740,IF(NOT(ISNA(MATCH(Combo_Species_Names,IF(Species_Availability="Yes",IF(Species_Evo_Numbers=1,Species_Names)),0))),Combo_Gym_Defense),0))</f>
        <v>N/A</v>
      </c>
      <c r="L740" s="24" t="str">
        <f t="array" ref="L740">IF(OR(INDEX(Species_Availability,MATCH($N740,Species_Names,0))="No",INDEX(Species_Evo_Numbers,MATCH($N740,Species_Names,0))&lt;&gt;1),"N/A",$Y740/MAX(IF(NOT(ISNA(MATCH(Combo_Species_Names,IF(Species_Availability="Yes",IF(Species_Evo_Numbers=1,Species_Names)),0))),Combo_Gym_Defense)))</f>
        <v>N/A</v>
      </c>
      <c r="M740" s="28">
        <f t="array" ref="M740">INDEX(Species_Pdex_Numbers,MATCH($N740,Species_Names,0))</f>
        <v>100</v>
      </c>
      <c r="N740" s="30" t="s">
        <v>301</v>
      </c>
      <c r="O740" s="31" t="s">
        <v>106</v>
      </c>
      <c r="P740" s="31" t="s">
        <v>236</v>
      </c>
      <c r="Q740" s="17" t="e">
        <f t="shared" si="22"/>
        <v>#VALUE!</v>
      </c>
      <c r="R740" s="32" t="e">
        <f t="array" ref="R740">IF(OR(AND(COUNTBLANK(Combo_Opponent_Type_1)=1,COUNTBLANK(Combo_Opponent_Type_2)=0),AND(AND(COUNTBLANK(Combo_Opponent_Type_1)=0,COUNTBLANK(Combo_Opponent_Type_2)=0),Combo_Opponent_Type_1=Combo_Opponent_Type_2)),
"Check Types",($S740*INDEX(Species_Tankiness,MATCH($N740,Species_Names,0)))/225)</f>
        <v>#VALUE!</v>
      </c>
      <c r="S740" s="32" t="e">
        <f t="array" ref="S740">IF(OR(AND(COUNTBLANK(Combo_Opponent_Type_1)=1,COUNTBLANK(Combo_Opponent_Type_2)=0),AND(AND(COUNTBLANK(Combo_Opponent_Type_1)=0,COUNTBLANK(Combo_Opponent_Type_2)=0),Combo_Opponent_Type_1=Combo_Opponent_Type_2)),
"Check Types",(
IF($W740&gt;=((1-Game_Weave_Human_Error)*$X740),$W740,$X740)*INDEX(Species_Attack,MATCH($N740,Species_Names,0)))/11)</f>
        <v>#VALUE!</v>
      </c>
      <c r="T740" s="33" t="e">
        <f t="shared" si="23"/>
        <v>#VALUE!</v>
      </c>
      <c r="U740" s="33">
        <f t="array" ref="U7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740,Quick_Names,0))),Type_Species)),0),1)*IF(COUNTBLANK(Combo_Opponent_Type_2)=0,INDEX(Type_Damage_Multipliers,MATCH(Combo_Opponent_Type_2,IF(Type_Move=(INDEX(Quick_Type,MATCH($O740,Quick_Names,0))),Type_Species)),0),1)*(IF(OR(INDEX(Quick_Type,MATCH($O740,Quick_Names,0))=INDEX(Species_Type_1,MATCH($N740,Species_Names,0)),INDEX(Quick_Type,MATCH($O740,Quick_Names,0))=INDEX(Species_Type_2,MATCH($N740,Species_Names,0))),Game_STAB_Multiplier,1)))</f>
        <v>1.25</v>
      </c>
      <c r="V740" s="33">
        <f t="array" ref="V7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740,Charge_Names,0))),Type_Species)),0),1)*IF(COUNTBLANK(Combo_Opponent_Type_2)=0,INDEX(Type_Damage_Multipliers,MATCH(Combo_Opponent_Type_2,IF(Type_Move=(INDEX(Charge_Type,MATCH($P740,Charge_Names,0))),Type_Species)),0),1)*
IF(OR(INDEX(Charge_Type,MATCH($P740,Charge_Names,0))=INDEX(Species_Type_1,MATCH($N740,Species_Names,0)),INDEX(Charge_Type,MATCH($P740,Charge_Names,0))=INDEX(Species_Type_2,MATCH($N740,Species_Names,0))),Game_STAB_Multiplier,1))</f>
        <v>1</v>
      </c>
      <c r="W740" s="33" t="s">
        <v>708</v>
      </c>
      <c r="X740" s="33" t="s">
        <v>1068</v>
      </c>
      <c r="Y740" s="32" t="e">
        <f t="array" ref="Y740">((($Z740)*
INDEX(Species_Attack,MATCH($N740,Species_Names,0))*
INDEX(Species_Tankiness,MATCH($N740,Species_Names,0)))/1000)</f>
        <v>#VALUE!</v>
      </c>
      <c r="Z740" s="33" t="s">
        <v>928</v>
      </c>
    </row>
    <row r="741" spans="1:26" ht="14.25" customHeight="1" x14ac:dyDescent="0.2">
      <c r="A741" s="86"/>
      <c r="B741" s="22" t="str">
        <f t="array" ref="B741">CONCATENATE(TEXT($M741,"000"),".",TEXT(INDEX(Quick_Number,MATCH($O741,Quick_Names,0)),"000"),".",TEXT(INDEX(Charge_Number,MATCH($P741,Charge_Names,0)),"000"))</f>
        <v>032.236.126</v>
      </c>
      <c r="C741" s="23" t="e">
        <f t="array" ref="C741">RANK($S741,IF(Combo_Species_Names=$N741,Combo_Gym_Offense),0)</f>
        <v>#VALUE!</v>
      </c>
      <c r="D741" s="24" t="e">
        <f t="array" ref="D741">$S741/MAX(IF(Combo_Species_Names=$N741,Combo_Gym_Offense))</f>
        <v>#VALUE!</v>
      </c>
      <c r="E741" s="23" t="e">
        <f t="array" ref="E741">RANK($Y741,IF(Combo_Species_Names=$N741,Combo_Gym_Defense),0)</f>
        <v>#VALUE!</v>
      </c>
      <c r="F741" s="25" t="e">
        <f t="array" ref="F741">$Y741/MAX(IF(Combo_Species_Names=$N741,Combo_Gym_Defense))</f>
        <v>#VALUE!</v>
      </c>
      <c r="G741" s="23" t="str">
        <f t="array" ref="G741">IF(OR(INDEX(Species_Availability,MATCH($N741,Species_Names,0))="No",INDEX(Species_Evo_Numbers,MATCH($N741,Species_Names,0))&lt;&gt;1),"N/A",RANK($R741,IF(NOT(ISNA(MATCH(Combo_Species_Names,IF(Species_Availability="Yes",IF(Species_Evo_Numbers=1,Species_Names)),0))),Combo_Duel_Ability),0))</f>
        <v>N/A</v>
      </c>
      <c r="H741" s="24" t="str">
        <f t="array" ref="H741">IF(OR(INDEX(Species_Availability,MATCH($N741,Species_Names,0))="No",INDEX(Species_Evo_Numbers,MATCH($N741,Species_Names,0))&lt;&gt;1),"N/A",$R741/MAX(IF(NOT(ISNA(MATCH(Combo_Species_Names,IF(Species_Availability="Yes",IF(Species_Evo_Numbers=1,Species_Names)),0))),Combo_Duel_Ability)))</f>
        <v>N/A</v>
      </c>
      <c r="I741" s="23" t="str">
        <f t="array" ref="I741">IF(OR(INDEX(Species_Availability,MATCH($N741,Species_Names,0))="No",INDEX(Species_Evo_Numbers,MATCH($N741,Species_Names,0))&lt;&gt;1),"N/A",RANK($S741,IF(NOT(ISNA(MATCH(Combo_Species_Names,IF(Species_Availability="Yes",IF(Species_Evo_Numbers=1,Species_Names)),0))),Combo_Gym_Offense),0))</f>
        <v>N/A</v>
      </c>
      <c r="J741" s="24" t="str">
        <f t="array" ref="J741">IF(OR(INDEX(Species_Availability,MATCH($N741,Species_Names,0))="No",INDEX(Species_Evo_Numbers,MATCH($N741,Species_Names,0))&lt;&gt;1),"N/A",$S741/MAX(IF(NOT(ISNA(MATCH(Combo_Species_Names,IF(Species_Availability="Yes",IF(Species_Evo_Numbers=1,Species_Names)),0))),Combo_Gym_Offense)))</f>
        <v>N/A</v>
      </c>
      <c r="K741" s="23" t="str">
        <f t="array" ref="K741">IF(OR(INDEX(Species_Availability,MATCH($N741,Species_Names,0))="No",INDEX(Species_Evo_Numbers,MATCH($N741,Species_Names,0))&lt;&gt;1),"N/A",RANK($Y741,IF(NOT(ISNA(MATCH(Combo_Species_Names,IF(Species_Availability="Yes",IF(Species_Evo_Numbers=1,Species_Names)),0))),Combo_Gym_Defense),0))</f>
        <v>N/A</v>
      </c>
      <c r="L741" s="24" t="str">
        <f t="array" ref="L741">IF(OR(INDEX(Species_Availability,MATCH($N741,Species_Names,0))="No",INDEX(Species_Evo_Numbers,MATCH($N741,Species_Names,0))&lt;&gt;1),"N/A",$Y741/MAX(IF(NOT(ISNA(MATCH(Combo_Species_Names,IF(Species_Availability="Yes",IF(Species_Evo_Numbers=1,Species_Names)),0))),Combo_Gym_Defense)))</f>
        <v>N/A</v>
      </c>
      <c r="M741" s="28">
        <f t="array" ref="M741">INDEX(Species_Pdex_Numbers,MATCH($N741,Species_Names,0))</f>
        <v>32</v>
      </c>
      <c r="N741" s="30" t="s">
        <v>154</v>
      </c>
      <c r="O741" s="31" t="s">
        <v>101</v>
      </c>
      <c r="P741" s="31" t="s">
        <v>275</v>
      </c>
      <c r="Q741" s="17" t="e">
        <f t="shared" si="22"/>
        <v>#VALUE!</v>
      </c>
      <c r="R741" s="32" t="e">
        <f t="array" ref="R741">IF(OR(AND(COUNTBLANK(Combo_Opponent_Type_1)=1,COUNTBLANK(Combo_Opponent_Type_2)=0),AND(AND(COUNTBLANK(Combo_Opponent_Type_1)=0,COUNTBLANK(Combo_Opponent_Type_2)=0),Combo_Opponent_Type_1=Combo_Opponent_Type_2)),
"Check Types",($S741*INDEX(Species_Tankiness,MATCH($N741,Species_Names,0)))/225)</f>
        <v>#VALUE!</v>
      </c>
      <c r="S741" s="32" t="e">
        <f t="array" ref="S741">IF(OR(AND(COUNTBLANK(Combo_Opponent_Type_1)=1,COUNTBLANK(Combo_Opponent_Type_2)=0),AND(AND(COUNTBLANK(Combo_Opponent_Type_1)=0,COUNTBLANK(Combo_Opponent_Type_2)=0),Combo_Opponent_Type_1=Combo_Opponent_Type_2)),
"Check Types",(
IF($W741&gt;=((1-Game_Weave_Human_Error)*$X741),$W741,$X741)*INDEX(Species_Attack,MATCH($N741,Species_Names,0)))/11)</f>
        <v>#VALUE!</v>
      </c>
      <c r="T741" s="33" t="e">
        <f t="shared" si="23"/>
        <v>#VALUE!</v>
      </c>
      <c r="U741" s="33">
        <f t="array" ref="U7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741,Quick_Names,0))),Type_Species)),0),1)*IF(COUNTBLANK(Combo_Opponent_Type_2)=0,INDEX(Type_Damage_Multipliers,MATCH(Combo_Opponent_Type_2,IF(Type_Move=(INDEX(Quick_Type,MATCH($O741,Quick_Names,0))),Type_Species)),0),1)*(IF(OR(INDEX(Quick_Type,MATCH($O741,Quick_Names,0))=INDEX(Species_Type_1,MATCH($N741,Species_Names,0)),INDEX(Quick_Type,MATCH($O741,Quick_Names,0))=INDEX(Species_Type_2,MATCH($N741,Species_Names,0))),Game_STAB_Multiplier,1)))</f>
        <v>1.25</v>
      </c>
      <c r="V741" s="33">
        <f t="array" ref="V7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741,Charge_Names,0))),Type_Species)),0),1)*IF(COUNTBLANK(Combo_Opponent_Type_2)=0,INDEX(Type_Damage_Multipliers,MATCH(Combo_Opponent_Type_2,IF(Type_Move=(INDEX(Charge_Type,MATCH($P741,Charge_Names,0))),Type_Species)),0),1)*
IF(OR(INDEX(Charge_Type,MATCH($P741,Charge_Names,0))=INDEX(Species_Type_1,MATCH($N741,Species_Names,0)),INDEX(Charge_Type,MATCH($P741,Charge_Names,0))=INDEX(Species_Type_2,MATCH($N741,Species_Names,0))),Game_STAB_Multiplier,1))</f>
        <v>1</v>
      </c>
      <c r="W741" s="33" t="s">
        <v>738</v>
      </c>
      <c r="X741" s="33" t="s">
        <v>984</v>
      </c>
      <c r="Y741" s="32" t="e">
        <f t="array" ref="Y741">((($Z741)*
INDEX(Species_Attack,MATCH($N741,Species_Names,0))*
INDEX(Species_Tankiness,MATCH($N741,Species_Names,0)))/1000)</f>
        <v>#VALUE!</v>
      </c>
      <c r="Z741" s="33" t="s">
        <v>985</v>
      </c>
    </row>
    <row r="742" spans="1:26" ht="14.25" customHeight="1" x14ac:dyDescent="0.2">
      <c r="A742" s="86"/>
      <c r="B742" s="22" t="str">
        <f t="array" ref="B742">CONCATENATE(TEXT($M742,"000"),".",TEXT(INDEX(Quick_Number,MATCH($O742,Quick_Names,0)),"000"),".",TEXT(INDEX(Charge_Number,MATCH($P742,Charge_Names,0)),"000"))</f>
        <v>027.220.063</v>
      </c>
      <c r="C742" s="23" t="e">
        <f t="array" ref="C742">RANK($S742,IF(Combo_Species_Names=$N742,Combo_Gym_Offense),0)</f>
        <v>#VALUE!</v>
      </c>
      <c r="D742" s="24" t="e">
        <f t="array" ref="D742">$S742/MAX(IF(Combo_Species_Names=$N742,Combo_Gym_Offense))</f>
        <v>#VALUE!</v>
      </c>
      <c r="E742" s="23" t="e">
        <f t="array" ref="E742">RANK($Y742,IF(Combo_Species_Names=$N742,Combo_Gym_Defense),0)</f>
        <v>#VALUE!</v>
      </c>
      <c r="F742" s="25" t="e">
        <f t="array" ref="F742">$Y742/MAX(IF(Combo_Species_Names=$N742,Combo_Gym_Defense))</f>
        <v>#VALUE!</v>
      </c>
      <c r="G742" s="23" t="str">
        <f t="array" ref="G742">IF(OR(INDEX(Species_Availability,MATCH($N742,Species_Names,0))="No",INDEX(Species_Evo_Numbers,MATCH($N742,Species_Names,0))&lt;&gt;1),"N/A",RANK($R742,IF(NOT(ISNA(MATCH(Combo_Species_Names,IF(Species_Availability="Yes",IF(Species_Evo_Numbers=1,Species_Names)),0))),Combo_Duel_Ability),0))</f>
        <v>N/A</v>
      </c>
      <c r="H742" s="24" t="str">
        <f t="array" ref="H742">IF(OR(INDEX(Species_Availability,MATCH($N742,Species_Names,0))="No",INDEX(Species_Evo_Numbers,MATCH($N742,Species_Names,0))&lt;&gt;1),"N/A",$R742/MAX(IF(NOT(ISNA(MATCH(Combo_Species_Names,IF(Species_Availability="Yes",IF(Species_Evo_Numbers=1,Species_Names)),0))),Combo_Duel_Ability)))</f>
        <v>N/A</v>
      </c>
      <c r="I742" s="23" t="str">
        <f t="array" ref="I742">IF(OR(INDEX(Species_Availability,MATCH($N742,Species_Names,0))="No",INDEX(Species_Evo_Numbers,MATCH($N742,Species_Names,0))&lt;&gt;1),"N/A",RANK($S742,IF(NOT(ISNA(MATCH(Combo_Species_Names,IF(Species_Availability="Yes",IF(Species_Evo_Numbers=1,Species_Names)),0))),Combo_Gym_Offense),0))</f>
        <v>N/A</v>
      </c>
      <c r="J742" s="24" t="str">
        <f t="array" ref="J742">IF(OR(INDEX(Species_Availability,MATCH($N742,Species_Names,0))="No",INDEX(Species_Evo_Numbers,MATCH($N742,Species_Names,0))&lt;&gt;1),"N/A",$S742/MAX(IF(NOT(ISNA(MATCH(Combo_Species_Names,IF(Species_Availability="Yes",IF(Species_Evo_Numbers=1,Species_Names)),0))),Combo_Gym_Offense)))</f>
        <v>N/A</v>
      </c>
      <c r="K742" s="23" t="str">
        <f t="array" ref="K742">IF(OR(INDEX(Species_Availability,MATCH($N742,Species_Names,0))="No",INDEX(Species_Evo_Numbers,MATCH($N742,Species_Names,0))&lt;&gt;1),"N/A",RANK($Y742,IF(NOT(ISNA(MATCH(Combo_Species_Names,IF(Species_Availability="Yes",IF(Species_Evo_Numbers=1,Species_Names)),0))),Combo_Gym_Defense),0))</f>
        <v>N/A</v>
      </c>
      <c r="L742" s="24" t="str">
        <f t="array" ref="L742">IF(OR(INDEX(Species_Availability,MATCH($N742,Species_Names,0))="No",INDEX(Species_Evo_Numbers,MATCH($N742,Species_Names,0))&lt;&gt;1),"N/A",$Y742/MAX(IF(NOT(ISNA(MATCH(Combo_Species_Names,IF(Species_Availability="Yes",IF(Species_Evo_Numbers=1,Species_Names)),0))),Combo_Gym_Defense)))</f>
        <v>N/A</v>
      </c>
      <c r="M742" s="28">
        <f t="array" ref="M742">INDEX(Species_Pdex_Numbers,MATCH($N742,Species_Names,0))</f>
        <v>27</v>
      </c>
      <c r="N742" s="30" t="s">
        <v>138</v>
      </c>
      <c r="O742" s="31" t="s">
        <v>64</v>
      </c>
      <c r="P742" s="31" t="s">
        <v>299</v>
      </c>
      <c r="Q742" s="17" t="e">
        <f t="shared" si="22"/>
        <v>#VALUE!</v>
      </c>
      <c r="R742" s="32" t="e">
        <f t="array" ref="R742">IF(OR(AND(COUNTBLANK(Combo_Opponent_Type_1)=1,COUNTBLANK(Combo_Opponent_Type_2)=0),AND(AND(COUNTBLANK(Combo_Opponent_Type_1)=0,COUNTBLANK(Combo_Opponent_Type_2)=0),Combo_Opponent_Type_1=Combo_Opponent_Type_2)),
"Check Types",($S742*INDEX(Species_Tankiness,MATCH($N742,Species_Names,0)))/225)</f>
        <v>#VALUE!</v>
      </c>
      <c r="S742" s="32" t="e">
        <f t="array" ref="S742">IF(OR(AND(COUNTBLANK(Combo_Opponent_Type_1)=1,COUNTBLANK(Combo_Opponent_Type_2)=0),AND(AND(COUNTBLANK(Combo_Opponent_Type_1)=0,COUNTBLANK(Combo_Opponent_Type_2)=0),Combo_Opponent_Type_1=Combo_Opponent_Type_2)),
"Check Types",(
IF($W742&gt;=((1-Game_Weave_Human_Error)*$X742),$W742,$X742)*INDEX(Species_Attack,MATCH($N742,Species_Names,0)))/11)</f>
        <v>#VALUE!</v>
      </c>
      <c r="T742" s="33" t="e">
        <f t="shared" si="23"/>
        <v>#VALUE!</v>
      </c>
      <c r="U742" s="33">
        <f t="array" ref="U7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742,Quick_Names,0))),Type_Species)),0),1)*IF(COUNTBLANK(Combo_Opponent_Type_2)=0,INDEX(Type_Damage_Multipliers,MATCH(Combo_Opponent_Type_2,IF(Type_Move=(INDEX(Quick_Type,MATCH($O742,Quick_Names,0))),Type_Species)),0),1)*(IF(OR(INDEX(Quick_Type,MATCH($O742,Quick_Names,0))=INDEX(Species_Type_1,MATCH($N742,Species_Names,0)),INDEX(Quick_Type,MATCH($O742,Quick_Names,0))=INDEX(Species_Type_2,MATCH($N742,Species_Names,0))),Game_STAB_Multiplier,1)))</f>
        <v>1</v>
      </c>
      <c r="V742" s="33">
        <f t="array" ref="V7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742,Charge_Names,0))),Type_Species)),0),1)*IF(COUNTBLANK(Combo_Opponent_Type_2)=0,INDEX(Type_Damage_Multipliers,MATCH(Combo_Opponent_Type_2,IF(Type_Move=(INDEX(Charge_Type,MATCH($P742,Charge_Names,0))),Type_Species)),0),1)*
IF(OR(INDEX(Charge_Type,MATCH($P742,Charge_Names,0))=INDEX(Species_Type_1,MATCH($N742,Species_Names,0)),INDEX(Charge_Type,MATCH($P742,Charge_Names,0))=INDEX(Species_Type_2,MATCH($N742,Species_Names,0))),Game_STAB_Multiplier,1))</f>
        <v>1</v>
      </c>
      <c r="W742" s="33" t="s">
        <v>453</v>
      </c>
      <c r="X742" s="33" t="s">
        <v>631</v>
      </c>
      <c r="Y742" s="32" t="e">
        <f t="array" ref="Y742">((($Z742)*
INDEX(Species_Attack,MATCH($N742,Species_Names,0))*
INDEX(Species_Tankiness,MATCH($N742,Species_Names,0)))/1000)</f>
        <v>#VALUE!</v>
      </c>
      <c r="Z742" s="33" t="s">
        <v>1069</v>
      </c>
    </row>
    <row r="743" spans="1:26" ht="14.25" customHeight="1" x14ac:dyDescent="0.2">
      <c r="A743" s="86"/>
      <c r="B743" s="22" t="str">
        <f t="array" ref="B743">CONCATENATE(TEXT($M743,"000"),".",TEXT(INDEX(Quick_Number,MATCH($O743,Quick_Names,0)),"000"),".",TEXT(INDEX(Charge_Number,MATCH($P743,Charge_Names,0)),"000"))</f>
        <v>056.220.056</v>
      </c>
      <c r="C743" s="23" t="e">
        <f t="array" ref="C743">RANK($S743,IF(Combo_Species_Names=$N743,Combo_Gym_Offense),0)</f>
        <v>#VALUE!</v>
      </c>
      <c r="D743" s="24" t="e">
        <f t="array" ref="D743">$S743/MAX(IF(Combo_Species_Names=$N743,Combo_Gym_Offense))</f>
        <v>#VALUE!</v>
      </c>
      <c r="E743" s="23" t="e">
        <f t="array" ref="E743">RANK($Y743,IF(Combo_Species_Names=$N743,Combo_Gym_Defense),0)</f>
        <v>#VALUE!</v>
      </c>
      <c r="F743" s="25" t="e">
        <f t="array" ref="F743">$Y743/MAX(IF(Combo_Species_Names=$N743,Combo_Gym_Defense))</f>
        <v>#VALUE!</v>
      </c>
      <c r="G743" s="23" t="str">
        <f t="array" ref="G743">IF(OR(INDEX(Species_Availability,MATCH($N743,Species_Names,0))="No",INDEX(Species_Evo_Numbers,MATCH($N743,Species_Names,0))&lt;&gt;1),"N/A",RANK($R743,IF(NOT(ISNA(MATCH(Combo_Species_Names,IF(Species_Availability="Yes",IF(Species_Evo_Numbers=1,Species_Names)),0))),Combo_Duel_Ability),0))</f>
        <v>N/A</v>
      </c>
      <c r="H743" s="24" t="str">
        <f t="array" ref="H743">IF(OR(INDEX(Species_Availability,MATCH($N743,Species_Names,0))="No",INDEX(Species_Evo_Numbers,MATCH($N743,Species_Names,0))&lt;&gt;1),"N/A",$R743/MAX(IF(NOT(ISNA(MATCH(Combo_Species_Names,IF(Species_Availability="Yes",IF(Species_Evo_Numbers=1,Species_Names)),0))),Combo_Duel_Ability)))</f>
        <v>N/A</v>
      </c>
      <c r="I743" s="23" t="str">
        <f t="array" ref="I743">IF(OR(INDEX(Species_Availability,MATCH($N743,Species_Names,0))="No",INDEX(Species_Evo_Numbers,MATCH($N743,Species_Names,0))&lt;&gt;1),"N/A",RANK($S743,IF(NOT(ISNA(MATCH(Combo_Species_Names,IF(Species_Availability="Yes",IF(Species_Evo_Numbers=1,Species_Names)),0))),Combo_Gym_Offense),0))</f>
        <v>N/A</v>
      </c>
      <c r="J743" s="24" t="str">
        <f t="array" ref="J743">IF(OR(INDEX(Species_Availability,MATCH($N743,Species_Names,0))="No",INDEX(Species_Evo_Numbers,MATCH($N743,Species_Names,0))&lt;&gt;1),"N/A",$S743/MAX(IF(NOT(ISNA(MATCH(Combo_Species_Names,IF(Species_Availability="Yes",IF(Species_Evo_Numbers=1,Species_Names)),0))),Combo_Gym_Offense)))</f>
        <v>N/A</v>
      </c>
      <c r="K743" s="23" t="str">
        <f t="array" ref="K743">IF(OR(INDEX(Species_Availability,MATCH($N743,Species_Names,0))="No",INDEX(Species_Evo_Numbers,MATCH($N743,Species_Names,0))&lt;&gt;1),"N/A",RANK($Y743,IF(NOT(ISNA(MATCH(Combo_Species_Names,IF(Species_Availability="Yes",IF(Species_Evo_Numbers=1,Species_Names)),0))),Combo_Gym_Defense),0))</f>
        <v>N/A</v>
      </c>
      <c r="L743" s="24" t="str">
        <f t="array" ref="L743">IF(OR(INDEX(Species_Availability,MATCH($N743,Species_Names,0))="No",INDEX(Species_Evo_Numbers,MATCH($N743,Species_Names,0))&lt;&gt;1),"N/A",$Y743/MAX(IF(NOT(ISNA(MATCH(Combo_Species_Names,IF(Species_Availability="Yes",IF(Species_Evo_Numbers=1,Species_Names)),0))),Combo_Gym_Defense)))</f>
        <v>N/A</v>
      </c>
      <c r="M743" s="28">
        <f t="array" ref="M743">INDEX(Species_Pdex_Numbers,MATCH($N743,Species_Names,0))</f>
        <v>56</v>
      </c>
      <c r="N743" s="30" t="s">
        <v>201</v>
      </c>
      <c r="O743" s="31" t="s">
        <v>64</v>
      </c>
      <c r="P743" s="31" t="s">
        <v>255</v>
      </c>
      <c r="Q743" s="17" t="e">
        <f t="shared" si="22"/>
        <v>#VALUE!</v>
      </c>
      <c r="R743" s="32" t="e">
        <f t="array" ref="R743">IF(OR(AND(COUNTBLANK(Combo_Opponent_Type_1)=1,COUNTBLANK(Combo_Opponent_Type_2)=0),AND(AND(COUNTBLANK(Combo_Opponent_Type_1)=0,COUNTBLANK(Combo_Opponent_Type_2)=0),Combo_Opponent_Type_1=Combo_Opponent_Type_2)),
"Check Types",($S743*INDEX(Species_Tankiness,MATCH($N743,Species_Names,0)))/225)</f>
        <v>#VALUE!</v>
      </c>
      <c r="S743" s="32" t="e">
        <f t="array" ref="S743">IF(OR(AND(COUNTBLANK(Combo_Opponent_Type_1)=1,COUNTBLANK(Combo_Opponent_Type_2)=0),AND(AND(COUNTBLANK(Combo_Opponent_Type_1)=0,COUNTBLANK(Combo_Opponent_Type_2)=0),Combo_Opponent_Type_1=Combo_Opponent_Type_2)),
"Check Types",(
IF($W743&gt;=((1-Game_Weave_Human_Error)*$X743),$W743,$X743)*INDEX(Species_Attack,MATCH($N743,Species_Names,0)))/11)</f>
        <v>#VALUE!</v>
      </c>
      <c r="T743" s="33" t="e">
        <f t="shared" si="23"/>
        <v>#VALUE!</v>
      </c>
      <c r="U743" s="33">
        <f t="array" ref="U7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743,Quick_Names,0))),Type_Species)),0),1)*IF(COUNTBLANK(Combo_Opponent_Type_2)=0,INDEX(Type_Damage_Multipliers,MATCH(Combo_Opponent_Type_2,IF(Type_Move=(INDEX(Quick_Type,MATCH($O743,Quick_Names,0))),Type_Species)),0),1)*(IF(OR(INDEX(Quick_Type,MATCH($O743,Quick_Names,0))=INDEX(Species_Type_1,MATCH($N743,Species_Names,0)),INDEX(Quick_Type,MATCH($O743,Quick_Names,0))=INDEX(Species_Type_2,MATCH($N743,Species_Names,0))),Game_STAB_Multiplier,1)))</f>
        <v>1</v>
      </c>
      <c r="V743" s="33">
        <f t="array" ref="V7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743,Charge_Names,0))),Type_Species)),0),1)*IF(COUNTBLANK(Combo_Opponent_Type_2)=0,INDEX(Type_Damage_Multipliers,MATCH(Combo_Opponent_Type_2,IF(Type_Move=(INDEX(Charge_Type,MATCH($P743,Charge_Names,0))),Type_Species)),0),1)*
IF(OR(INDEX(Charge_Type,MATCH($P743,Charge_Names,0))=INDEX(Species_Type_1,MATCH($N743,Species_Names,0)),INDEX(Charge_Type,MATCH($P743,Charge_Names,0))=INDEX(Species_Type_2,MATCH($N743,Species_Names,0))),Game_STAB_Multiplier,1))</f>
        <v>1.25</v>
      </c>
      <c r="W743" s="33" t="s">
        <v>453</v>
      </c>
      <c r="X743" s="33" t="s">
        <v>846</v>
      </c>
      <c r="Y743" s="32" t="e">
        <f t="array" ref="Y743">((($Z743)*
INDEX(Species_Attack,MATCH($N743,Species_Names,0))*
INDEX(Species_Tankiness,MATCH($N743,Species_Names,0)))/1000)</f>
        <v>#VALUE!</v>
      </c>
      <c r="Z743" s="33" t="s">
        <v>958</v>
      </c>
    </row>
    <row r="744" spans="1:26" ht="14.25" customHeight="1" x14ac:dyDescent="0.2">
      <c r="A744" s="86"/>
      <c r="B744" s="22" t="str">
        <f t="array" ref="B744">CONCATENATE(TEXT($M744,"000"),".",TEXT(INDEX(Quick_Number,MATCH($O744,Quick_Names,0)),"000"),".",TEXT(INDEX(Charge_Number,MATCH($P744,Charge_Names,0)),"000"))</f>
        <v>056.208.123</v>
      </c>
      <c r="C744" s="23" t="e">
        <f t="array" ref="C744">RANK($S744,IF(Combo_Species_Names=$N744,Combo_Gym_Offense),0)</f>
        <v>#VALUE!</v>
      </c>
      <c r="D744" s="24" t="e">
        <f t="array" ref="D744">$S744/MAX(IF(Combo_Species_Names=$N744,Combo_Gym_Offense))</f>
        <v>#VALUE!</v>
      </c>
      <c r="E744" s="23" t="e">
        <f t="array" ref="E744">RANK($Y744,IF(Combo_Species_Names=$N744,Combo_Gym_Defense),0)</f>
        <v>#VALUE!</v>
      </c>
      <c r="F744" s="25" t="e">
        <f t="array" ref="F744">$Y744/MAX(IF(Combo_Species_Names=$N744,Combo_Gym_Defense))</f>
        <v>#VALUE!</v>
      </c>
      <c r="G744" s="23" t="str">
        <f t="array" ref="G744">IF(OR(INDEX(Species_Availability,MATCH($N744,Species_Names,0))="No",INDEX(Species_Evo_Numbers,MATCH($N744,Species_Names,0))&lt;&gt;1),"N/A",RANK($R744,IF(NOT(ISNA(MATCH(Combo_Species_Names,IF(Species_Availability="Yes",IF(Species_Evo_Numbers=1,Species_Names)),0))),Combo_Duel_Ability),0))</f>
        <v>N/A</v>
      </c>
      <c r="H744" s="24" t="str">
        <f t="array" ref="H744">IF(OR(INDEX(Species_Availability,MATCH($N744,Species_Names,0))="No",INDEX(Species_Evo_Numbers,MATCH($N744,Species_Names,0))&lt;&gt;1),"N/A",$R744/MAX(IF(NOT(ISNA(MATCH(Combo_Species_Names,IF(Species_Availability="Yes",IF(Species_Evo_Numbers=1,Species_Names)),0))),Combo_Duel_Ability)))</f>
        <v>N/A</v>
      </c>
      <c r="I744" s="23" t="str">
        <f t="array" ref="I744">IF(OR(INDEX(Species_Availability,MATCH($N744,Species_Names,0))="No",INDEX(Species_Evo_Numbers,MATCH($N744,Species_Names,0))&lt;&gt;1),"N/A",RANK($S744,IF(NOT(ISNA(MATCH(Combo_Species_Names,IF(Species_Availability="Yes",IF(Species_Evo_Numbers=1,Species_Names)),0))),Combo_Gym_Offense),0))</f>
        <v>N/A</v>
      </c>
      <c r="J744" s="24" t="str">
        <f t="array" ref="J744">IF(OR(INDEX(Species_Availability,MATCH($N744,Species_Names,0))="No",INDEX(Species_Evo_Numbers,MATCH($N744,Species_Names,0))&lt;&gt;1),"N/A",$S744/MAX(IF(NOT(ISNA(MATCH(Combo_Species_Names,IF(Species_Availability="Yes",IF(Species_Evo_Numbers=1,Species_Names)),0))),Combo_Gym_Offense)))</f>
        <v>N/A</v>
      </c>
      <c r="K744" s="23" t="str">
        <f t="array" ref="K744">IF(OR(INDEX(Species_Availability,MATCH($N744,Species_Names,0))="No",INDEX(Species_Evo_Numbers,MATCH($N744,Species_Names,0))&lt;&gt;1),"N/A",RANK($Y744,IF(NOT(ISNA(MATCH(Combo_Species_Names,IF(Species_Availability="Yes",IF(Species_Evo_Numbers=1,Species_Names)),0))),Combo_Gym_Defense),0))</f>
        <v>N/A</v>
      </c>
      <c r="L744" s="24" t="str">
        <f t="array" ref="L744">IF(OR(INDEX(Species_Availability,MATCH($N744,Species_Names,0))="No",INDEX(Species_Evo_Numbers,MATCH($N744,Species_Names,0))&lt;&gt;1),"N/A",$Y744/MAX(IF(NOT(ISNA(MATCH(Combo_Species_Names,IF(Species_Availability="Yes",IF(Species_Evo_Numbers=1,Species_Names)),0))),Combo_Gym_Defense)))</f>
        <v>N/A</v>
      </c>
      <c r="M744" s="28">
        <f t="array" ref="M744">INDEX(Species_Pdex_Numbers,MATCH($N744,Species_Names,0))</f>
        <v>56</v>
      </c>
      <c r="N744" s="30" t="s">
        <v>201</v>
      </c>
      <c r="O744" s="31" t="s">
        <v>122</v>
      </c>
      <c r="P744" s="31" t="s">
        <v>188</v>
      </c>
      <c r="Q744" s="17" t="e">
        <f t="shared" si="22"/>
        <v>#VALUE!</v>
      </c>
      <c r="R744" s="32" t="e">
        <f t="array" ref="R744">IF(OR(AND(COUNTBLANK(Combo_Opponent_Type_1)=1,COUNTBLANK(Combo_Opponent_Type_2)=0),AND(AND(COUNTBLANK(Combo_Opponent_Type_1)=0,COUNTBLANK(Combo_Opponent_Type_2)=0),Combo_Opponent_Type_1=Combo_Opponent_Type_2)),
"Check Types",($S744*INDEX(Species_Tankiness,MATCH($N744,Species_Names,0)))/225)</f>
        <v>#VALUE!</v>
      </c>
      <c r="S744" s="32" t="e">
        <f t="array" ref="S744">IF(OR(AND(COUNTBLANK(Combo_Opponent_Type_1)=1,COUNTBLANK(Combo_Opponent_Type_2)=0),AND(AND(COUNTBLANK(Combo_Opponent_Type_1)=0,COUNTBLANK(Combo_Opponent_Type_2)=0),Combo_Opponent_Type_1=Combo_Opponent_Type_2)),
"Check Types",(
IF($W744&gt;=((1-Game_Weave_Human_Error)*$X744),$W744,$X744)*INDEX(Species_Attack,MATCH($N744,Species_Names,0)))/11)</f>
        <v>#VALUE!</v>
      </c>
      <c r="T744" s="33" t="e">
        <f t="shared" si="23"/>
        <v>#VALUE!</v>
      </c>
      <c r="U744" s="33">
        <f t="array" ref="U7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744,Quick_Names,0))),Type_Species)),0),1)*IF(COUNTBLANK(Combo_Opponent_Type_2)=0,INDEX(Type_Damage_Multipliers,MATCH(Combo_Opponent_Type_2,IF(Type_Move=(INDEX(Quick_Type,MATCH($O744,Quick_Names,0))),Type_Species)),0),1)*(IF(OR(INDEX(Quick_Type,MATCH($O744,Quick_Names,0))=INDEX(Species_Type_1,MATCH($N744,Species_Names,0)),INDEX(Quick_Type,MATCH($O744,Quick_Names,0))=INDEX(Species_Type_2,MATCH($N744,Species_Names,0))),Game_STAB_Multiplier,1)))</f>
        <v>1.25</v>
      </c>
      <c r="V744" s="33">
        <f t="array" ref="V7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744,Charge_Names,0))),Type_Species)),0),1)*IF(COUNTBLANK(Combo_Opponent_Type_2)=0,INDEX(Type_Damage_Multipliers,MATCH(Combo_Opponent_Type_2,IF(Type_Move=(INDEX(Charge_Type,MATCH($P744,Charge_Names,0))),Type_Species)),0),1)*
IF(OR(INDEX(Charge_Type,MATCH($P744,Charge_Names,0))=INDEX(Species_Type_1,MATCH($N744,Species_Names,0)),INDEX(Charge_Type,MATCH($P744,Charge_Names,0))=INDEX(Species_Type_2,MATCH($N744,Species_Names,0))),Game_STAB_Multiplier,1))</f>
        <v>1.25</v>
      </c>
      <c r="W744" s="33" t="s">
        <v>564</v>
      </c>
      <c r="X744" s="33" t="s">
        <v>738</v>
      </c>
      <c r="Y744" s="32" t="e">
        <f t="array" ref="Y744">((($Z744)*
INDEX(Species_Attack,MATCH($N744,Species_Names,0))*
INDEX(Species_Tankiness,MATCH($N744,Species_Names,0)))/1000)</f>
        <v>#VALUE!</v>
      </c>
      <c r="Z744" s="33" t="s">
        <v>686</v>
      </c>
    </row>
    <row r="745" spans="1:26" ht="14.25" customHeight="1" x14ac:dyDescent="0.2">
      <c r="A745" s="86"/>
      <c r="B745" s="22" t="str">
        <f t="array" ref="B745">CONCATENATE(TEXT($M745,"000"),".",TEXT(INDEX(Quick_Number,MATCH($O745,Quick_Names,0)),"000"),".",TEXT(INDEX(Charge_Number,MATCH($P745,Charge_Names,0)),"000"))</f>
        <v>081.206.035</v>
      </c>
      <c r="C745" s="23" t="e">
        <f t="array" ref="C745">RANK($S745,IF(Combo_Species_Names=$N745,Combo_Gym_Offense),0)</f>
        <v>#VALUE!</v>
      </c>
      <c r="D745" s="24" t="e">
        <f t="array" ref="D745">$S745/MAX(IF(Combo_Species_Names=$N745,Combo_Gym_Offense))</f>
        <v>#VALUE!</v>
      </c>
      <c r="E745" s="23" t="e">
        <f t="array" ref="E745">RANK($Y745,IF(Combo_Species_Names=$N745,Combo_Gym_Defense),0)</f>
        <v>#VALUE!</v>
      </c>
      <c r="F745" s="25" t="e">
        <f t="array" ref="F745">$Y745/MAX(IF(Combo_Species_Names=$N745,Combo_Gym_Defense))</f>
        <v>#VALUE!</v>
      </c>
      <c r="G745" s="23" t="str">
        <f t="array" ref="G745">IF(OR(INDEX(Species_Availability,MATCH($N745,Species_Names,0))="No",INDEX(Species_Evo_Numbers,MATCH($N745,Species_Names,0))&lt;&gt;1),"N/A",RANK($R745,IF(NOT(ISNA(MATCH(Combo_Species_Names,IF(Species_Availability="Yes",IF(Species_Evo_Numbers=1,Species_Names)),0))),Combo_Duel_Ability),0))</f>
        <v>N/A</v>
      </c>
      <c r="H745" s="24" t="str">
        <f t="array" ref="H745">IF(OR(INDEX(Species_Availability,MATCH($N745,Species_Names,0))="No",INDEX(Species_Evo_Numbers,MATCH($N745,Species_Names,0))&lt;&gt;1),"N/A",$R745/MAX(IF(NOT(ISNA(MATCH(Combo_Species_Names,IF(Species_Availability="Yes",IF(Species_Evo_Numbers=1,Species_Names)),0))),Combo_Duel_Ability)))</f>
        <v>N/A</v>
      </c>
      <c r="I745" s="23" t="str">
        <f t="array" ref="I745">IF(OR(INDEX(Species_Availability,MATCH($N745,Species_Names,0))="No",INDEX(Species_Evo_Numbers,MATCH($N745,Species_Names,0))&lt;&gt;1),"N/A",RANK($S745,IF(NOT(ISNA(MATCH(Combo_Species_Names,IF(Species_Availability="Yes",IF(Species_Evo_Numbers=1,Species_Names)),0))),Combo_Gym_Offense),0))</f>
        <v>N/A</v>
      </c>
      <c r="J745" s="24" t="str">
        <f t="array" ref="J745">IF(OR(INDEX(Species_Availability,MATCH($N745,Species_Names,0))="No",INDEX(Species_Evo_Numbers,MATCH($N745,Species_Names,0))&lt;&gt;1),"N/A",$S745/MAX(IF(NOT(ISNA(MATCH(Combo_Species_Names,IF(Species_Availability="Yes",IF(Species_Evo_Numbers=1,Species_Names)),0))),Combo_Gym_Offense)))</f>
        <v>N/A</v>
      </c>
      <c r="K745" s="23" t="str">
        <f t="array" ref="K745">IF(OR(INDEX(Species_Availability,MATCH($N745,Species_Names,0))="No",INDEX(Species_Evo_Numbers,MATCH($N745,Species_Names,0))&lt;&gt;1),"N/A",RANK($Y745,IF(NOT(ISNA(MATCH(Combo_Species_Names,IF(Species_Availability="Yes",IF(Species_Evo_Numbers=1,Species_Names)),0))),Combo_Gym_Defense),0))</f>
        <v>N/A</v>
      </c>
      <c r="L745" s="24" t="str">
        <f t="array" ref="L745">IF(OR(INDEX(Species_Availability,MATCH($N745,Species_Names,0))="No",INDEX(Species_Evo_Numbers,MATCH($N745,Species_Names,0))&lt;&gt;1),"N/A",$Y745/MAX(IF(NOT(ISNA(MATCH(Combo_Species_Names,IF(Species_Availability="Yes",IF(Species_Evo_Numbers=1,Species_Names)),0))),Combo_Gym_Defense)))</f>
        <v>N/A</v>
      </c>
      <c r="M745" s="28">
        <f t="array" ref="M745">INDEX(Species_Pdex_Numbers,MATCH($N745,Species_Names,0))</f>
        <v>81</v>
      </c>
      <c r="N745" s="30" t="s">
        <v>254</v>
      </c>
      <c r="O745" s="31" t="s">
        <v>106</v>
      </c>
      <c r="P745" s="31" t="s">
        <v>245</v>
      </c>
      <c r="Q745" s="17" t="e">
        <f t="shared" si="22"/>
        <v>#VALUE!</v>
      </c>
      <c r="R745" s="32" t="e">
        <f t="array" ref="R745">IF(OR(AND(COUNTBLANK(Combo_Opponent_Type_1)=1,COUNTBLANK(Combo_Opponent_Type_2)=0),AND(AND(COUNTBLANK(Combo_Opponent_Type_1)=0,COUNTBLANK(Combo_Opponent_Type_2)=0),Combo_Opponent_Type_1=Combo_Opponent_Type_2)),
"Check Types",($S745*INDEX(Species_Tankiness,MATCH($N745,Species_Names,0)))/225)</f>
        <v>#VALUE!</v>
      </c>
      <c r="S745" s="32" t="e">
        <f t="array" ref="S745">IF(OR(AND(COUNTBLANK(Combo_Opponent_Type_1)=1,COUNTBLANK(Combo_Opponent_Type_2)=0),AND(AND(COUNTBLANK(Combo_Opponent_Type_1)=0,COUNTBLANK(Combo_Opponent_Type_2)=0),Combo_Opponent_Type_1=Combo_Opponent_Type_2)),
"Check Types",(
IF($W745&gt;=((1-Game_Weave_Human_Error)*$X745),$W745,$X745)*INDEX(Species_Attack,MATCH($N745,Species_Names,0)))/11)</f>
        <v>#VALUE!</v>
      </c>
      <c r="T745" s="33" t="e">
        <f t="shared" si="23"/>
        <v>#VALUE!</v>
      </c>
      <c r="U745" s="33">
        <f t="array" ref="U7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745,Quick_Names,0))),Type_Species)),0),1)*IF(COUNTBLANK(Combo_Opponent_Type_2)=0,INDEX(Type_Damage_Multipliers,MATCH(Combo_Opponent_Type_2,IF(Type_Move=(INDEX(Quick_Type,MATCH($O745,Quick_Names,0))),Type_Species)),0),1)*(IF(OR(INDEX(Quick_Type,MATCH($O745,Quick_Names,0))=INDEX(Species_Type_1,MATCH($N745,Species_Names,0)),INDEX(Quick_Type,MATCH($O745,Quick_Names,0))=INDEX(Species_Type_2,MATCH($N745,Species_Names,0))),Game_STAB_Multiplier,1)))</f>
        <v>1.25</v>
      </c>
      <c r="V745" s="33">
        <f t="array" ref="V7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745,Charge_Names,0))),Type_Species)),0),1)*IF(COUNTBLANK(Combo_Opponent_Type_2)=0,INDEX(Type_Damage_Multipliers,MATCH(Combo_Opponent_Type_2,IF(Type_Move=(INDEX(Charge_Type,MATCH($P745,Charge_Names,0))),Type_Species)),0),1)*
IF(OR(INDEX(Charge_Type,MATCH($P745,Charge_Names,0))=INDEX(Species_Type_1,MATCH($N745,Species_Names,0)),INDEX(Charge_Type,MATCH($P745,Charge_Names,0))=INDEX(Species_Type_2,MATCH($N745,Species_Names,0))),Game_STAB_Multiplier,1))</f>
        <v>1.25</v>
      </c>
      <c r="W745" s="33" t="s">
        <v>708</v>
      </c>
      <c r="X745" s="33" t="s">
        <v>825</v>
      </c>
      <c r="Y745" s="32" t="e">
        <f t="array" ref="Y745">((($Z745)*
INDEX(Species_Attack,MATCH($N745,Species_Names,0))*
INDEX(Species_Tankiness,MATCH($N745,Species_Names,0)))/1000)</f>
        <v>#VALUE!</v>
      </c>
      <c r="Z745" s="33" t="s">
        <v>547</v>
      </c>
    </row>
    <row r="746" spans="1:26" ht="14.25" customHeight="1" x14ac:dyDescent="0.2">
      <c r="A746" s="86"/>
      <c r="B746" s="22" t="str">
        <f t="array" ref="B746">CONCATENATE(TEXT($M746,"000"),".",TEXT(INDEX(Quick_Number,MATCH($O746,Quick_Names,0)),"000"),".",TEXT(INDEX(Charge_Number,MATCH($P746,Charge_Names,0)),"000"))</f>
        <v>100.221.099</v>
      </c>
      <c r="C746" s="23" t="e">
        <f t="array" ref="C746">RANK($S746,IF(Combo_Species_Names=$N746,Combo_Gym_Offense),0)</f>
        <v>#VALUE!</v>
      </c>
      <c r="D746" s="24" t="e">
        <f t="array" ref="D746">$S746/MAX(IF(Combo_Species_Names=$N746,Combo_Gym_Offense))</f>
        <v>#VALUE!</v>
      </c>
      <c r="E746" s="23" t="e">
        <f t="array" ref="E746">RANK($Y746,IF(Combo_Species_Names=$N746,Combo_Gym_Defense),0)</f>
        <v>#VALUE!</v>
      </c>
      <c r="F746" s="25" t="e">
        <f t="array" ref="F746">$Y746/MAX(IF(Combo_Species_Names=$N746,Combo_Gym_Defense))</f>
        <v>#VALUE!</v>
      </c>
      <c r="G746" s="23" t="str">
        <f t="array" ref="G746">IF(OR(INDEX(Species_Availability,MATCH($N746,Species_Names,0))="No",INDEX(Species_Evo_Numbers,MATCH($N746,Species_Names,0))&lt;&gt;1),"N/A",RANK($R746,IF(NOT(ISNA(MATCH(Combo_Species_Names,IF(Species_Availability="Yes",IF(Species_Evo_Numbers=1,Species_Names)),0))),Combo_Duel_Ability),0))</f>
        <v>N/A</v>
      </c>
      <c r="H746" s="24" t="str">
        <f t="array" ref="H746">IF(OR(INDEX(Species_Availability,MATCH($N746,Species_Names,0))="No",INDEX(Species_Evo_Numbers,MATCH($N746,Species_Names,0))&lt;&gt;1),"N/A",$R746/MAX(IF(NOT(ISNA(MATCH(Combo_Species_Names,IF(Species_Availability="Yes",IF(Species_Evo_Numbers=1,Species_Names)),0))),Combo_Duel_Ability)))</f>
        <v>N/A</v>
      </c>
      <c r="I746" s="23" t="str">
        <f t="array" ref="I746">IF(OR(INDEX(Species_Availability,MATCH($N746,Species_Names,0))="No",INDEX(Species_Evo_Numbers,MATCH($N746,Species_Names,0))&lt;&gt;1),"N/A",RANK($S746,IF(NOT(ISNA(MATCH(Combo_Species_Names,IF(Species_Availability="Yes",IF(Species_Evo_Numbers=1,Species_Names)),0))),Combo_Gym_Offense),0))</f>
        <v>N/A</v>
      </c>
      <c r="J746" s="24" t="str">
        <f t="array" ref="J746">IF(OR(INDEX(Species_Availability,MATCH($N746,Species_Names,0))="No",INDEX(Species_Evo_Numbers,MATCH($N746,Species_Names,0))&lt;&gt;1),"N/A",$S746/MAX(IF(NOT(ISNA(MATCH(Combo_Species_Names,IF(Species_Availability="Yes",IF(Species_Evo_Numbers=1,Species_Names)),0))),Combo_Gym_Offense)))</f>
        <v>N/A</v>
      </c>
      <c r="K746" s="23" t="str">
        <f t="array" ref="K746">IF(OR(INDEX(Species_Availability,MATCH($N746,Species_Names,0))="No",INDEX(Species_Evo_Numbers,MATCH($N746,Species_Names,0))&lt;&gt;1),"N/A",RANK($Y746,IF(NOT(ISNA(MATCH(Combo_Species_Names,IF(Species_Availability="Yes",IF(Species_Evo_Numbers=1,Species_Names)),0))),Combo_Gym_Defense),0))</f>
        <v>N/A</v>
      </c>
      <c r="L746" s="24" t="str">
        <f t="array" ref="L746">IF(OR(INDEX(Species_Availability,MATCH($N746,Species_Names,0))="No",INDEX(Species_Evo_Numbers,MATCH($N746,Species_Names,0))&lt;&gt;1),"N/A",$Y746/MAX(IF(NOT(ISNA(MATCH(Combo_Species_Names,IF(Species_Availability="Yes",IF(Species_Evo_Numbers=1,Species_Names)),0))),Combo_Gym_Defense)))</f>
        <v>N/A</v>
      </c>
      <c r="M746" s="28">
        <f t="array" ref="M746">INDEX(Species_Pdex_Numbers,MATCH($N746,Species_Names,0))</f>
        <v>100</v>
      </c>
      <c r="N746" s="30" t="s">
        <v>301</v>
      </c>
      <c r="O746" s="31" t="s">
        <v>91</v>
      </c>
      <c r="P746" s="31" t="s">
        <v>236</v>
      </c>
      <c r="Q746" s="17" t="e">
        <f t="shared" si="22"/>
        <v>#VALUE!</v>
      </c>
      <c r="R746" s="32" t="e">
        <f t="array" ref="R746">IF(OR(AND(COUNTBLANK(Combo_Opponent_Type_1)=1,COUNTBLANK(Combo_Opponent_Type_2)=0),AND(AND(COUNTBLANK(Combo_Opponent_Type_1)=0,COUNTBLANK(Combo_Opponent_Type_2)=0),Combo_Opponent_Type_1=Combo_Opponent_Type_2)),
"Check Types",($S746*INDEX(Species_Tankiness,MATCH($N746,Species_Names,0)))/225)</f>
        <v>#VALUE!</v>
      </c>
      <c r="S746" s="32" t="e">
        <f t="array" ref="S746">IF(OR(AND(COUNTBLANK(Combo_Opponent_Type_1)=1,COUNTBLANK(Combo_Opponent_Type_2)=0),AND(AND(COUNTBLANK(Combo_Opponent_Type_1)=0,COUNTBLANK(Combo_Opponent_Type_2)=0),Combo_Opponent_Type_1=Combo_Opponent_Type_2)),
"Check Types",(
IF($W746&gt;=((1-Game_Weave_Human_Error)*$X746),$W746,$X746)*INDEX(Species_Attack,MATCH($N746,Species_Names,0)))/11)</f>
        <v>#VALUE!</v>
      </c>
      <c r="T746" s="33" t="e">
        <f t="shared" si="23"/>
        <v>#VALUE!</v>
      </c>
      <c r="U746" s="33">
        <f t="array" ref="U7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746,Quick_Names,0))),Type_Species)),0),1)*IF(COUNTBLANK(Combo_Opponent_Type_2)=0,INDEX(Type_Damage_Multipliers,MATCH(Combo_Opponent_Type_2,IF(Type_Move=(INDEX(Quick_Type,MATCH($O746,Quick_Names,0))),Type_Species)),0),1)*(IF(OR(INDEX(Quick_Type,MATCH($O746,Quick_Names,0))=INDEX(Species_Type_1,MATCH($N746,Species_Names,0)),INDEX(Quick_Type,MATCH($O746,Quick_Names,0))=INDEX(Species_Type_2,MATCH($N746,Species_Names,0))),Game_STAB_Multiplier,1)))</f>
        <v>1</v>
      </c>
      <c r="V746" s="33">
        <f t="array" ref="V7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746,Charge_Names,0))),Type_Species)),0),1)*IF(COUNTBLANK(Combo_Opponent_Type_2)=0,INDEX(Type_Damage_Multipliers,MATCH(Combo_Opponent_Type_2,IF(Type_Move=(INDEX(Charge_Type,MATCH($P746,Charge_Names,0))),Type_Species)),0),1)*
IF(OR(INDEX(Charge_Type,MATCH($P746,Charge_Names,0))=INDEX(Species_Type_1,MATCH($N746,Species_Names,0)),INDEX(Charge_Type,MATCH($P746,Charge_Names,0))=INDEX(Species_Type_2,MATCH($N746,Species_Names,0))),Game_STAB_Multiplier,1))</f>
        <v>1</v>
      </c>
      <c r="W746" s="33" t="s">
        <v>658</v>
      </c>
      <c r="X746" s="33" t="s">
        <v>598</v>
      </c>
      <c r="Y746" s="32" t="e">
        <f t="array" ref="Y746">((($Z746)*
INDEX(Species_Attack,MATCH($N746,Species_Names,0))*
INDEX(Species_Tankiness,MATCH($N746,Species_Names,0)))/1000)</f>
        <v>#VALUE!</v>
      </c>
      <c r="Z746" s="33" t="s">
        <v>739</v>
      </c>
    </row>
    <row r="747" spans="1:26" ht="14.25" customHeight="1" x14ac:dyDescent="0.2">
      <c r="A747" s="86"/>
      <c r="B747" s="22" t="str">
        <f t="array" ref="B747">CONCATENATE(TEXT($M747,"000"),".",TEXT(INDEX(Quick_Number,MATCH($O747,Quick_Names,0)),"000"),".",TEXT(INDEX(Charge_Number,MATCH($P747,Charge_Names,0)),"000"))</f>
        <v>025.205.035</v>
      </c>
      <c r="C747" s="23" t="e">
        <f t="array" ref="C747">RANK($S747,IF(Combo_Species_Names=$N747,Combo_Gym_Offense),0)</f>
        <v>#VALUE!</v>
      </c>
      <c r="D747" s="24" t="e">
        <f t="array" ref="D747">$S747/MAX(IF(Combo_Species_Names=$N747,Combo_Gym_Offense))</f>
        <v>#VALUE!</v>
      </c>
      <c r="E747" s="23" t="e">
        <f t="array" ref="E747">RANK($Y747,IF(Combo_Species_Names=$N747,Combo_Gym_Defense),0)</f>
        <v>#VALUE!</v>
      </c>
      <c r="F747" s="25" t="e">
        <f t="array" ref="F747">$Y747/MAX(IF(Combo_Species_Names=$N747,Combo_Gym_Defense))</f>
        <v>#VALUE!</v>
      </c>
      <c r="G747" s="23" t="str">
        <f t="array" ref="G747">IF(OR(INDEX(Species_Availability,MATCH($N747,Species_Names,0))="No",INDEX(Species_Evo_Numbers,MATCH($N747,Species_Names,0))&lt;&gt;1),"N/A",RANK($R747,IF(NOT(ISNA(MATCH(Combo_Species_Names,IF(Species_Availability="Yes",IF(Species_Evo_Numbers=1,Species_Names)),0))),Combo_Duel_Ability),0))</f>
        <v>N/A</v>
      </c>
      <c r="H747" s="24" t="str">
        <f t="array" ref="H747">IF(OR(INDEX(Species_Availability,MATCH($N747,Species_Names,0))="No",INDEX(Species_Evo_Numbers,MATCH($N747,Species_Names,0))&lt;&gt;1),"N/A",$R747/MAX(IF(NOT(ISNA(MATCH(Combo_Species_Names,IF(Species_Availability="Yes",IF(Species_Evo_Numbers=1,Species_Names)),0))),Combo_Duel_Ability)))</f>
        <v>N/A</v>
      </c>
      <c r="I747" s="23" t="str">
        <f t="array" ref="I747">IF(OR(INDEX(Species_Availability,MATCH($N747,Species_Names,0))="No",INDEX(Species_Evo_Numbers,MATCH($N747,Species_Names,0))&lt;&gt;1),"N/A",RANK($S747,IF(NOT(ISNA(MATCH(Combo_Species_Names,IF(Species_Availability="Yes",IF(Species_Evo_Numbers=1,Species_Names)),0))),Combo_Gym_Offense),0))</f>
        <v>N/A</v>
      </c>
      <c r="J747" s="24" t="str">
        <f t="array" ref="J747">IF(OR(INDEX(Species_Availability,MATCH($N747,Species_Names,0))="No",INDEX(Species_Evo_Numbers,MATCH($N747,Species_Names,0))&lt;&gt;1),"N/A",$S747/MAX(IF(NOT(ISNA(MATCH(Combo_Species_Names,IF(Species_Availability="Yes",IF(Species_Evo_Numbers=1,Species_Names)),0))),Combo_Gym_Offense)))</f>
        <v>N/A</v>
      </c>
      <c r="K747" s="23" t="str">
        <f t="array" ref="K747">IF(OR(INDEX(Species_Availability,MATCH($N747,Species_Names,0))="No",INDEX(Species_Evo_Numbers,MATCH($N747,Species_Names,0))&lt;&gt;1),"N/A",RANK($Y747,IF(NOT(ISNA(MATCH(Combo_Species_Names,IF(Species_Availability="Yes",IF(Species_Evo_Numbers=1,Species_Names)),0))),Combo_Gym_Defense),0))</f>
        <v>N/A</v>
      </c>
      <c r="L747" s="24" t="str">
        <f t="array" ref="L747">IF(OR(INDEX(Species_Availability,MATCH($N747,Species_Names,0))="No",INDEX(Species_Evo_Numbers,MATCH($N747,Species_Names,0))&lt;&gt;1),"N/A",$Y747/MAX(IF(NOT(ISNA(MATCH(Combo_Species_Names,IF(Species_Availability="Yes",IF(Species_Evo_Numbers=1,Species_Names)),0))),Combo_Gym_Defense)))</f>
        <v>N/A</v>
      </c>
      <c r="M747" s="28">
        <f t="array" ref="M747">INDEX(Species_Pdex_Numbers,MATCH($N747,Species_Names,0))</f>
        <v>25</v>
      </c>
      <c r="N747" s="30" t="s">
        <v>135</v>
      </c>
      <c r="O747" s="31" t="s">
        <v>115</v>
      </c>
      <c r="P747" s="31" t="s">
        <v>245</v>
      </c>
      <c r="Q747" s="17" t="e">
        <f t="shared" si="22"/>
        <v>#VALUE!</v>
      </c>
      <c r="R747" s="32" t="e">
        <f t="array" ref="R747">IF(OR(AND(COUNTBLANK(Combo_Opponent_Type_1)=1,COUNTBLANK(Combo_Opponent_Type_2)=0),AND(AND(COUNTBLANK(Combo_Opponent_Type_1)=0,COUNTBLANK(Combo_Opponent_Type_2)=0),Combo_Opponent_Type_1=Combo_Opponent_Type_2)),
"Check Types",($S747*INDEX(Species_Tankiness,MATCH($N747,Species_Names,0)))/225)</f>
        <v>#VALUE!</v>
      </c>
      <c r="S747" s="32" t="e">
        <f t="array" ref="S747">IF(OR(AND(COUNTBLANK(Combo_Opponent_Type_1)=1,COUNTBLANK(Combo_Opponent_Type_2)=0),AND(AND(COUNTBLANK(Combo_Opponent_Type_1)=0,COUNTBLANK(Combo_Opponent_Type_2)=0),Combo_Opponent_Type_1=Combo_Opponent_Type_2)),
"Check Types",(
IF($W747&gt;=((1-Game_Weave_Human_Error)*$X747),$W747,$X747)*INDEX(Species_Attack,MATCH($N747,Species_Names,0)))/11)</f>
        <v>#VALUE!</v>
      </c>
      <c r="T747" s="33" t="e">
        <f t="shared" si="23"/>
        <v>#VALUE!</v>
      </c>
      <c r="U747" s="33">
        <f t="array" ref="U7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747,Quick_Names,0))),Type_Species)),0),1)*IF(COUNTBLANK(Combo_Opponent_Type_2)=0,INDEX(Type_Damage_Multipliers,MATCH(Combo_Opponent_Type_2,IF(Type_Move=(INDEX(Quick_Type,MATCH($O747,Quick_Names,0))),Type_Species)),0),1)*(IF(OR(INDEX(Quick_Type,MATCH($O747,Quick_Names,0))=INDEX(Species_Type_1,MATCH($N747,Species_Names,0)),INDEX(Quick_Type,MATCH($O747,Quick_Names,0))=INDEX(Species_Type_2,MATCH($N747,Species_Names,0))),Game_STAB_Multiplier,1)))</f>
        <v>1.25</v>
      </c>
      <c r="V747" s="33">
        <f t="array" ref="V7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747,Charge_Names,0))),Type_Species)),0),1)*IF(COUNTBLANK(Combo_Opponent_Type_2)=0,INDEX(Type_Damage_Multipliers,MATCH(Combo_Opponent_Type_2,IF(Type_Move=(INDEX(Charge_Type,MATCH($P747,Charge_Names,0))),Type_Species)),0),1)*
IF(OR(INDEX(Charge_Type,MATCH($P747,Charge_Names,0))=INDEX(Species_Type_1,MATCH($N747,Species_Names,0)),INDEX(Charge_Type,MATCH($P747,Charge_Names,0))=INDEX(Species_Type_2,MATCH($N747,Species_Names,0))),Game_STAB_Multiplier,1))</f>
        <v>1.25</v>
      </c>
      <c r="W747" s="33" t="s">
        <v>678</v>
      </c>
      <c r="X747" s="33" t="s">
        <v>756</v>
      </c>
      <c r="Y747" s="32" t="e">
        <f t="array" ref="Y747">((($Z747)*
INDEX(Species_Attack,MATCH($N747,Species_Names,0))*
INDEX(Species_Tankiness,MATCH($N747,Species_Names,0)))/1000)</f>
        <v>#VALUE!</v>
      </c>
      <c r="Z747" s="33" t="s">
        <v>635</v>
      </c>
    </row>
    <row r="748" spans="1:26" ht="14.25" customHeight="1" x14ac:dyDescent="0.2">
      <c r="A748" s="86"/>
      <c r="B748" s="22" t="str">
        <f t="array" ref="B748">CONCATENATE(TEXT($M748,"000"),".",TEXT(INDEX(Quick_Number,MATCH($O748,Quick_Names,0)),"000"),".",TEXT(INDEX(Charge_Number,MATCH($P748,Charge_Names,0)),"000"))</f>
        <v>052.220.016</v>
      </c>
      <c r="C748" s="23" t="e">
        <f t="array" ref="C748">RANK($S748,IF(Combo_Species_Names=$N748,Combo_Gym_Offense),0)</f>
        <v>#VALUE!</v>
      </c>
      <c r="D748" s="24" t="e">
        <f t="array" ref="D748">$S748/MAX(IF(Combo_Species_Names=$N748,Combo_Gym_Offense))</f>
        <v>#VALUE!</v>
      </c>
      <c r="E748" s="23" t="e">
        <f t="array" ref="E748">RANK($Y748,IF(Combo_Species_Names=$N748,Combo_Gym_Defense),0)</f>
        <v>#VALUE!</v>
      </c>
      <c r="F748" s="25" t="e">
        <f t="array" ref="F748">$Y748/MAX(IF(Combo_Species_Names=$N748,Combo_Gym_Defense))</f>
        <v>#VALUE!</v>
      </c>
      <c r="G748" s="23" t="str">
        <f t="array" ref="G748">IF(OR(INDEX(Species_Availability,MATCH($N748,Species_Names,0))="No",INDEX(Species_Evo_Numbers,MATCH($N748,Species_Names,0))&lt;&gt;1),"N/A",RANK($R748,IF(NOT(ISNA(MATCH(Combo_Species_Names,IF(Species_Availability="Yes",IF(Species_Evo_Numbers=1,Species_Names)),0))),Combo_Duel_Ability),0))</f>
        <v>N/A</v>
      </c>
      <c r="H748" s="24" t="str">
        <f t="array" ref="H748">IF(OR(INDEX(Species_Availability,MATCH($N748,Species_Names,0))="No",INDEX(Species_Evo_Numbers,MATCH($N748,Species_Names,0))&lt;&gt;1),"N/A",$R748/MAX(IF(NOT(ISNA(MATCH(Combo_Species_Names,IF(Species_Availability="Yes",IF(Species_Evo_Numbers=1,Species_Names)),0))),Combo_Duel_Ability)))</f>
        <v>N/A</v>
      </c>
      <c r="I748" s="23" t="str">
        <f t="array" ref="I748">IF(OR(INDEX(Species_Availability,MATCH($N748,Species_Names,0))="No",INDEX(Species_Evo_Numbers,MATCH($N748,Species_Names,0))&lt;&gt;1),"N/A",RANK($S748,IF(NOT(ISNA(MATCH(Combo_Species_Names,IF(Species_Availability="Yes",IF(Species_Evo_Numbers=1,Species_Names)),0))),Combo_Gym_Offense),0))</f>
        <v>N/A</v>
      </c>
      <c r="J748" s="24" t="str">
        <f t="array" ref="J748">IF(OR(INDEX(Species_Availability,MATCH($N748,Species_Names,0))="No",INDEX(Species_Evo_Numbers,MATCH($N748,Species_Names,0))&lt;&gt;1),"N/A",$S748/MAX(IF(NOT(ISNA(MATCH(Combo_Species_Names,IF(Species_Availability="Yes",IF(Species_Evo_Numbers=1,Species_Names)),0))),Combo_Gym_Offense)))</f>
        <v>N/A</v>
      </c>
      <c r="K748" s="23" t="str">
        <f t="array" ref="K748">IF(OR(INDEX(Species_Availability,MATCH($N748,Species_Names,0))="No",INDEX(Species_Evo_Numbers,MATCH($N748,Species_Names,0))&lt;&gt;1),"N/A",RANK($Y748,IF(NOT(ISNA(MATCH(Combo_Species_Names,IF(Species_Availability="Yes",IF(Species_Evo_Numbers=1,Species_Names)),0))),Combo_Gym_Defense),0))</f>
        <v>N/A</v>
      </c>
      <c r="L748" s="24" t="str">
        <f t="array" ref="L748">IF(OR(INDEX(Species_Availability,MATCH($N748,Species_Names,0))="No",INDEX(Species_Evo_Numbers,MATCH($N748,Species_Names,0))&lt;&gt;1),"N/A",$Y748/MAX(IF(NOT(ISNA(MATCH(Combo_Species_Names,IF(Species_Availability="Yes",IF(Species_Evo_Numbers=1,Species_Names)),0))),Combo_Gym_Defense)))</f>
        <v>N/A</v>
      </c>
      <c r="M748" s="28">
        <f t="array" ref="M748">INDEX(Species_Pdex_Numbers,MATCH($N748,Species_Names,0))</f>
        <v>52</v>
      </c>
      <c r="N748" s="30" t="s">
        <v>194</v>
      </c>
      <c r="O748" s="31" t="s">
        <v>64</v>
      </c>
      <c r="P748" s="31" t="s">
        <v>258</v>
      </c>
      <c r="Q748" s="17" t="e">
        <f t="shared" si="22"/>
        <v>#VALUE!</v>
      </c>
      <c r="R748" s="32" t="e">
        <f t="array" ref="R748">IF(OR(AND(COUNTBLANK(Combo_Opponent_Type_1)=1,COUNTBLANK(Combo_Opponent_Type_2)=0),AND(AND(COUNTBLANK(Combo_Opponent_Type_1)=0,COUNTBLANK(Combo_Opponent_Type_2)=0),Combo_Opponent_Type_1=Combo_Opponent_Type_2)),
"Check Types",($S748*INDEX(Species_Tankiness,MATCH($N748,Species_Names,0)))/225)</f>
        <v>#VALUE!</v>
      </c>
      <c r="S748" s="32" t="e">
        <f t="array" ref="S748">IF(OR(AND(COUNTBLANK(Combo_Opponent_Type_1)=1,COUNTBLANK(Combo_Opponent_Type_2)=0),AND(AND(COUNTBLANK(Combo_Opponent_Type_1)=0,COUNTBLANK(Combo_Opponent_Type_2)=0),Combo_Opponent_Type_1=Combo_Opponent_Type_2)),
"Check Types",(
IF($W748&gt;=((1-Game_Weave_Human_Error)*$X748),$W748,$X748)*INDEX(Species_Attack,MATCH($N748,Species_Names,0)))/11)</f>
        <v>#VALUE!</v>
      </c>
      <c r="T748" s="33" t="e">
        <f t="shared" si="23"/>
        <v>#VALUE!</v>
      </c>
      <c r="U748" s="33">
        <f t="array" ref="U7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748,Quick_Names,0))),Type_Species)),0),1)*IF(COUNTBLANK(Combo_Opponent_Type_2)=0,INDEX(Type_Damage_Multipliers,MATCH(Combo_Opponent_Type_2,IF(Type_Move=(INDEX(Quick_Type,MATCH($O748,Quick_Names,0))),Type_Species)),0),1)*(IF(OR(INDEX(Quick_Type,MATCH($O748,Quick_Names,0))=INDEX(Species_Type_1,MATCH($N748,Species_Names,0)),INDEX(Quick_Type,MATCH($O748,Quick_Names,0))=INDEX(Species_Type_2,MATCH($N748,Species_Names,0))),Game_STAB_Multiplier,1)))</f>
        <v>1.25</v>
      </c>
      <c r="V748" s="33">
        <f t="array" ref="V7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748,Charge_Names,0))),Type_Species)),0),1)*IF(COUNTBLANK(Combo_Opponent_Type_2)=0,INDEX(Type_Damage_Multipliers,MATCH(Combo_Opponent_Type_2,IF(Type_Move=(INDEX(Charge_Type,MATCH($P748,Charge_Names,0))),Type_Species)),0),1)*
IF(OR(INDEX(Charge_Type,MATCH($P748,Charge_Names,0))=INDEX(Species_Type_1,MATCH($N748,Species_Names,0)),INDEX(Charge_Type,MATCH($P748,Charge_Names,0))=INDEX(Species_Type_2,MATCH($N748,Species_Names,0))),Game_STAB_Multiplier,1))</f>
        <v>1</v>
      </c>
      <c r="W748" s="33" t="s">
        <v>412</v>
      </c>
      <c r="X748" s="33" t="s">
        <v>927</v>
      </c>
      <c r="Y748" s="32" t="e">
        <f t="array" ref="Y748">((($Z748)*
INDEX(Species_Attack,MATCH($N748,Species_Names,0))*
INDEX(Species_Tankiness,MATCH($N748,Species_Names,0)))/1000)</f>
        <v>#VALUE!</v>
      </c>
      <c r="Z748" s="33" t="s">
        <v>983</v>
      </c>
    </row>
    <row r="749" spans="1:26" ht="14.25" customHeight="1" x14ac:dyDescent="0.2">
      <c r="A749" s="86"/>
      <c r="B749" s="22" t="str">
        <f t="array" ref="B749">CONCATENATE(TEXT($M749,"000"),".",TEXT(INDEX(Quick_Number,MATCH($O749,Quick_Names,0)),"000"),".",TEXT(INDEX(Charge_Number,MATCH($P749,Charge_Names,0)),"000"))</f>
        <v>052.220.051</v>
      </c>
      <c r="C749" s="23" t="e">
        <f t="array" ref="C749">RANK($S749,IF(Combo_Species_Names=$N749,Combo_Gym_Offense),0)</f>
        <v>#VALUE!</v>
      </c>
      <c r="D749" s="24" t="e">
        <f t="array" ref="D749">$S749/MAX(IF(Combo_Species_Names=$N749,Combo_Gym_Offense))</f>
        <v>#VALUE!</v>
      </c>
      <c r="E749" s="23" t="e">
        <f t="array" ref="E749">RANK($Y749,IF(Combo_Species_Names=$N749,Combo_Gym_Defense),0)</f>
        <v>#VALUE!</v>
      </c>
      <c r="F749" s="25" t="e">
        <f t="array" ref="F749">$Y749/MAX(IF(Combo_Species_Names=$N749,Combo_Gym_Defense))</f>
        <v>#VALUE!</v>
      </c>
      <c r="G749" s="23" t="str">
        <f t="array" ref="G749">IF(OR(INDEX(Species_Availability,MATCH($N749,Species_Names,0))="No",INDEX(Species_Evo_Numbers,MATCH($N749,Species_Names,0))&lt;&gt;1),"N/A",RANK($R749,IF(NOT(ISNA(MATCH(Combo_Species_Names,IF(Species_Availability="Yes",IF(Species_Evo_Numbers=1,Species_Names)),0))),Combo_Duel_Ability),0))</f>
        <v>N/A</v>
      </c>
      <c r="H749" s="24" t="str">
        <f t="array" ref="H749">IF(OR(INDEX(Species_Availability,MATCH($N749,Species_Names,0))="No",INDEX(Species_Evo_Numbers,MATCH($N749,Species_Names,0))&lt;&gt;1),"N/A",$R749/MAX(IF(NOT(ISNA(MATCH(Combo_Species_Names,IF(Species_Availability="Yes",IF(Species_Evo_Numbers=1,Species_Names)),0))),Combo_Duel_Ability)))</f>
        <v>N/A</v>
      </c>
      <c r="I749" s="23" t="str">
        <f t="array" ref="I749">IF(OR(INDEX(Species_Availability,MATCH($N749,Species_Names,0))="No",INDEX(Species_Evo_Numbers,MATCH($N749,Species_Names,0))&lt;&gt;1),"N/A",RANK($S749,IF(NOT(ISNA(MATCH(Combo_Species_Names,IF(Species_Availability="Yes",IF(Species_Evo_Numbers=1,Species_Names)),0))),Combo_Gym_Offense),0))</f>
        <v>N/A</v>
      </c>
      <c r="J749" s="24" t="str">
        <f t="array" ref="J749">IF(OR(INDEX(Species_Availability,MATCH($N749,Species_Names,0))="No",INDEX(Species_Evo_Numbers,MATCH($N749,Species_Names,0))&lt;&gt;1),"N/A",$S749/MAX(IF(NOT(ISNA(MATCH(Combo_Species_Names,IF(Species_Availability="Yes",IF(Species_Evo_Numbers=1,Species_Names)),0))),Combo_Gym_Offense)))</f>
        <v>N/A</v>
      </c>
      <c r="K749" s="23" t="str">
        <f t="array" ref="K749">IF(OR(INDEX(Species_Availability,MATCH($N749,Species_Names,0))="No",INDEX(Species_Evo_Numbers,MATCH($N749,Species_Names,0))&lt;&gt;1),"N/A",RANK($Y749,IF(NOT(ISNA(MATCH(Combo_Species_Names,IF(Species_Availability="Yes",IF(Species_Evo_Numbers=1,Species_Names)),0))),Combo_Gym_Defense),0))</f>
        <v>N/A</v>
      </c>
      <c r="L749" s="24" t="str">
        <f t="array" ref="L749">IF(OR(INDEX(Species_Availability,MATCH($N749,Species_Names,0))="No",INDEX(Species_Evo_Numbers,MATCH($N749,Species_Names,0))&lt;&gt;1),"N/A",$Y749/MAX(IF(NOT(ISNA(MATCH(Combo_Species_Names,IF(Species_Availability="Yes",IF(Species_Evo_Numbers=1,Species_Names)),0))),Combo_Gym_Defense)))</f>
        <v>N/A</v>
      </c>
      <c r="M749" s="28">
        <f t="array" ref="M749">INDEX(Species_Pdex_Numbers,MATCH($N749,Species_Names,0))</f>
        <v>52</v>
      </c>
      <c r="N749" s="30" t="s">
        <v>194</v>
      </c>
      <c r="O749" s="31" t="s">
        <v>64</v>
      </c>
      <c r="P749" s="31" t="s">
        <v>262</v>
      </c>
      <c r="Q749" s="17" t="e">
        <f t="shared" si="22"/>
        <v>#VALUE!</v>
      </c>
      <c r="R749" s="32" t="e">
        <f t="array" ref="R749">IF(OR(AND(COUNTBLANK(Combo_Opponent_Type_1)=1,COUNTBLANK(Combo_Opponent_Type_2)=0),AND(AND(COUNTBLANK(Combo_Opponent_Type_1)=0,COUNTBLANK(Combo_Opponent_Type_2)=0),Combo_Opponent_Type_1=Combo_Opponent_Type_2)),
"Check Types",($S749*INDEX(Species_Tankiness,MATCH($N749,Species_Names,0)))/225)</f>
        <v>#VALUE!</v>
      </c>
      <c r="S749" s="32" t="e">
        <f t="array" ref="S749">IF(OR(AND(COUNTBLANK(Combo_Opponent_Type_1)=1,COUNTBLANK(Combo_Opponent_Type_2)=0),AND(AND(COUNTBLANK(Combo_Opponent_Type_1)=0,COUNTBLANK(Combo_Opponent_Type_2)=0),Combo_Opponent_Type_1=Combo_Opponent_Type_2)),
"Check Types",(
IF($W749&gt;=((1-Game_Weave_Human_Error)*$X749),$W749,$X749)*INDEX(Species_Attack,MATCH($N749,Species_Names,0)))/11)</f>
        <v>#VALUE!</v>
      </c>
      <c r="T749" s="33" t="e">
        <f t="shared" si="23"/>
        <v>#VALUE!</v>
      </c>
      <c r="U749" s="33">
        <f t="array" ref="U7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749,Quick_Names,0))),Type_Species)),0),1)*IF(COUNTBLANK(Combo_Opponent_Type_2)=0,INDEX(Type_Damage_Multipliers,MATCH(Combo_Opponent_Type_2,IF(Type_Move=(INDEX(Quick_Type,MATCH($O749,Quick_Names,0))),Type_Species)),0),1)*(IF(OR(INDEX(Quick_Type,MATCH($O749,Quick_Names,0))=INDEX(Species_Type_1,MATCH($N749,Species_Names,0)),INDEX(Quick_Type,MATCH($O749,Quick_Names,0))=INDEX(Species_Type_2,MATCH($N749,Species_Names,0))),Game_STAB_Multiplier,1)))</f>
        <v>1.25</v>
      </c>
      <c r="V749" s="33">
        <f t="array" ref="V7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749,Charge_Names,0))),Type_Species)),0),1)*IF(COUNTBLANK(Combo_Opponent_Type_2)=0,INDEX(Type_Damage_Multipliers,MATCH(Combo_Opponent_Type_2,IF(Type_Move=(INDEX(Charge_Type,MATCH($P749,Charge_Names,0))),Type_Species)),0),1)*
IF(OR(INDEX(Charge_Type,MATCH($P749,Charge_Names,0))=INDEX(Species_Type_1,MATCH($N749,Species_Names,0)),INDEX(Charge_Type,MATCH($P749,Charge_Names,0))=INDEX(Species_Type_2,MATCH($N749,Species_Names,0))),Game_STAB_Multiplier,1))</f>
        <v>1</v>
      </c>
      <c r="W749" s="33" t="s">
        <v>412</v>
      </c>
      <c r="X749" s="33" t="s">
        <v>830</v>
      </c>
      <c r="Y749" s="32" t="e">
        <f t="array" ref="Y749">((($Z749)*
INDEX(Species_Attack,MATCH($N749,Species_Names,0))*
INDEX(Species_Tankiness,MATCH($N749,Species_Names,0)))/1000)</f>
        <v>#VALUE!</v>
      </c>
      <c r="Z749" s="33" t="s">
        <v>635</v>
      </c>
    </row>
    <row r="750" spans="1:26" ht="14.25" customHeight="1" x14ac:dyDescent="0.2">
      <c r="A750" s="86"/>
      <c r="B750" s="22" t="str">
        <f t="array" ref="B750">CONCATENATE(TEXT($M750,"000"),".",TEXT(INDEX(Quick_Number,MATCH($O750,Quick_Names,0)),"000"),".",TEXT(INDEX(Charge_Number,MATCH($P750,Charge_Names,0)),"000"))</f>
        <v>060.216.131</v>
      </c>
      <c r="C750" s="23" t="e">
        <f t="array" ref="C750">RANK($S750,IF(Combo_Species_Names=$N750,Combo_Gym_Offense),0)</f>
        <v>#VALUE!</v>
      </c>
      <c r="D750" s="24" t="e">
        <f t="array" ref="D750">$S750/MAX(IF(Combo_Species_Names=$N750,Combo_Gym_Offense))</f>
        <v>#VALUE!</v>
      </c>
      <c r="E750" s="23" t="e">
        <f t="array" ref="E750">RANK($Y750,IF(Combo_Species_Names=$N750,Combo_Gym_Defense),0)</f>
        <v>#VALUE!</v>
      </c>
      <c r="F750" s="25" t="e">
        <f t="array" ref="F750">$Y750/MAX(IF(Combo_Species_Names=$N750,Combo_Gym_Defense))</f>
        <v>#VALUE!</v>
      </c>
      <c r="G750" s="23" t="str">
        <f t="array" ref="G750">IF(OR(INDEX(Species_Availability,MATCH($N750,Species_Names,0))="No",INDEX(Species_Evo_Numbers,MATCH($N750,Species_Names,0))&lt;&gt;1),"N/A",RANK($R750,IF(NOT(ISNA(MATCH(Combo_Species_Names,IF(Species_Availability="Yes",IF(Species_Evo_Numbers=1,Species_Names)),0))),Combo_Duel_Ability),0))</f>
        <v>N/A</v>
      </c>
      <c r="H750" s="24" t="str">
        <f t="array" ref="H750">IF(OR(INDEX(Species_Availability,MATCH($N750,Species_Names,0))="No",INDEX(Species_Evo_Numbers,MATCH($N750,Species_Names,0))&lt;&gt;1),"N/A",$R750/MAX(IF(NOT(ISNA(MATCH(Combo_Species_Names,IF(Species_Availability="Yes",IF(Species_Evo_Numbers=1,Species_Names)),0))),Combo_Duel_Ability)))</f>
        <v>N/A</v>
      </c>
      <c r="I750" s="23" t="str">
        <f t="array" ref="I750">IF(OR(INDEX(Species_Availability,MATCH($N750,Species_Names,0))="No",INDEX(Species_Evo_Numbers,MATCH($N750,Species_Names,0))&lt;&gt;1),"N/A",RANK($S750,IF(NOT(ISNA(MATCH(Combo_Species_Names,IF(Species_Availability="Yes",IF(Species_Evo_Numbers=1,Species_Names)),0))),Combo_Gym_Offense),0))</f>
        <v>N/A</v>
      </c>
      <c r="J750" s="24" t="str">
        <f t="array" ref="J750">IF(OR(INDEX(Species_Availability,MATCH($N750,Species_Names,0))="No",INDEX(Species_Evo_Numbers,MATCH($N750,Species_Names,0))&lt;&gt;1),"N/A",$S750/MAX(IF(NOT(ISNA(MATCH(Combo_Species_Names,IF(Species_Availability="Yes",IF(Species_Evo_Numbers=1,Species_Names)),0))),Combo_Gym_Offense)))</f>
        <v>N/A</v>
      </c>
      <c r="K750" s="23" t="str">
        <f t="array" ref="K750">IF(OR(INDEX(Species_Availability,MATCH($N750,Species_Names,0))="No",INDEX(Species_Evo_Numbers,MATCH($N750,Species_Names,0))&lt;&gt;1),"N/A",RANK($Y750,IF(NOT(ISNA(MATCH(Combo_Species_Names,IF(Species_Availability="Yes",IF(Species_Evo_Numbers=1,Species_Names)),0))),Combo_Gym_Defense),0))</f>
        <v>N/A</v>
      </c>
      <c r="L750" s="24" t="str">
        <f t="array" ref="L750">IF(OR(INDEX(Species_Availability,MATCH($N750,Species_Names,0))="No",INDEX(Species_Evo_Numbers,MATCH($N750,Species_Names,0))&lt;&gt;1),"N/A",$Y750/MAX(IF(NOT(ISNA(MATCH(Combo_Species_Names,IF(Species_Availability="Yes",IF(Species_Evo_Numbers=1,Species_Names)),0))),Combo_Gym_Defense)))</f>
        <v>N/A</v>
      </c>
      <c r="M750" s="28">
        <f t="array" ref="M750">INDEX(Species_Pdex_Numbers,MATCH($N750,Species_Names,0))</f>
        <v>60</v>
      </c>
      <c r="N750" s="30" t="s">
        <v>210</v>
      </c>
      <c r="O750" s="31" t="s">
        <v>89</v>
      </c>
      <c r="P750" s="31" t="s">
        <v>151</v>
      </c>
      <c r="Q750" s="17" t="e">
        <f t="shared" si="22"/>
        <v>#VALUE!</v>
      </c>
      <c r="R750" s="32" t="e">
        <f t="array" ref="R750">IF(OR(AND(COUNTBLANK(Combo_Opponent_Type_1)=1,COUNTBLANK(Combo_Opponent_Type_2)=0),AND(AND(COUNTBLANK(Combo_Opponent_Type_1)=0,COUNTBLANK(Combo_Opponent_Type_2)=0),Combo_Opponent_Type_1=Combo_Opponent_Type_2)),
"Check Types",($S750*INDEX(Species_Tankiness,MATCH($N750,Species_Names,0)))/225)</f>
        <v>#VALUE!</v>
      </c>
      <c r="S750" s="32" t="e">
        <f t="array" ref="S750">IF(OR(AND(COUNTBLANK(Combo_Opponent_Type_1)=1,COUNTBLANK(Combo_Opponent_Type_2)=0),AND(AND(COUNTBLANK(Combo_Opponent_Type_1)=0,COUNTBLANK(Combo_Opponent_Type_2)=0),Combo_Opponent_Type_1=Combo_Opponent_Type_2)),
"Check Types",(
IF($W750&gt;=((1-Game_Weave_Human_Error)*$X750),$W750,$X750)*INDEX(Species_Attack,MATCH($N750,Species_Names,0)))/11)</f>
        <v>#VALUE!</v>
      </c>
      <c r="T750" s="33" t="e">
        <f t="shared" si="23"/>
        <v>#VALUE!</v>
      </c>
      <c r="U750" s="33">
        <f t="array" ref="U7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750,Quick_Names,0))),Type_Species)),0),1)*IF(COUNTBLANK(Combo_Opponent_Type_2)=0,INDEX(Type_Damage_Multipliers,MATCH(Combo_Opponent_Type_2,IF(Type_Move=(INDEX(Quick_Type,MATCH($O750,Quick_Names,0))),Type_Species)),0),1)*(IF(OR(INDEX(Quick_Type,MATCH($O750,Quick_Names,0))=INDEX(Species_Type_1,MATCH($N750,Species_Names,0)),INDEX(Quick_Type,MATCH($O750,Quick_Names,0))=INDEX(Species_Type_2,MATCH($N750,Species_Names,0))),Game_STAB_Multiplier,1)))</f>
        <v>1</v>
      </c>
      <c r="V750" s="33">
        <f t="array" ref="V75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750,Charge_Names,0))),Type_Species)),0),1)*IF(COUNTBLANK(Combo_Opponent_Type_2)=0,INDEX(Type_Damage_Multipliers,MATCH(Combo_Opponent_Type_2,IF(Type_Move=(INDEX(Charge_Type,MATCH($P750,Charge_Names,0))),Type_Species)),0),1)*
IF(OR(INDEX(Charge_Type,MATCH($P750,Charge_Names,0))=INDEX(Species_Type_1,MATCH($N750,Species_Names,0)),INDEX(Charge_Type,MATCH($P750,Charge_Names,0))=INDEX(Species_Type_2,MATCH($N750,Species_Names,0))),Game_STAB_Multiplier,1))</f>
        <v>1</v>
      </c>
      <c r="W750" s="33" t="s">
        <v>518</v>
      </c>
      <c r="X750" s="33" t="s">
        <v>650</v>
      </c>
      <c r="Y750" s="32" t="e">
        <f t="array" ref="Y750">((($Z750)*
INDEX(Species_Attack,MATCH($N750,Species_Names,0))*
INDEX(Species_Tankiness,MATCH($N750,Species_Names,0)))/1000)</f>
        <v>#VALUE!</v>
      </c>
      <c r="Z750" s="33" t="s">
        <v>683</v>
      </c>
    </row>
    <row r="751" spans="1:26" ht="14.25" customHeight="1" x14ac:dyDescent="0.2">
      <c r="A751" s="86"/>
      <c r="B751" s="22" t="str">
        <f t="array" ref="B751">CONCATENATE(TEXT($M751,"000"),".",TEXT(INDEX(Quick_Number,MATCH($O751,Quick_Names,0)),"000"),".",TEXT(INDEX(Charge_Number,MATCH($P751,Charge_Names,0)),"000"))</f>
        <v>023.236.013</v>
      </c>
      <c r="C751" s="23" t="e">
        <f t="array" ref="C751">RANK($S751,IF(Combo_Species_Names=$N751,Combo_Gym_Offense),0)</f>
        <v>#VALUE!</v>
      </c>
      <c r="D751" s="24" t="e">
        <f t="array" ref="D751">$S751/MAX(IF(Combo_Species_Names=$N751,Combo_Gym_Offense))</f>
        <v>#VALUE!</v>
      </c>
      <c r="E751" s="23" t="e">
        <f t="array" ref="E751">RANK($Y751,IF(Combo_Species_Names=$N751,Combo_Gym_Defense),0)</f>
        <v>#VALUE!</v>
      </c>
      <c r="F751" s="25" t="e">
        <f t="array" ref="F751">$Y751/MAX(IF(Combo_Species_Names=$N751,Combo_Gym_Defense))</f>
        <v>#VALUE!</v>
      </c>
      <c r="G751" s="23" t="str">
        <f t="array" ref="G751">IF(OR(INDEX(Species_Availability,MATCH($N751,Species_Names,0))="No",INDEX(Species_Evo_Numbers,MATCH($N751,Species_Names,0))&lt;&gt;1),"N/A",RANK($R751,IF(NOT(ISNA(MATCH(Combo_Species_Names,IF(Species_Availability="Yes",IF(Species_Evo_Numbers=1,Species_Names)),0))),Combo_Duel_Ability),0))</f>
        <v>N/A</v>
      </c>
      <c r="H751" s="24" t="str">
        <f t="array" ref="H751">IF(OR(INDEX(Species_Availability,MATCH($N751,Species_Names,0))="No",INDEX(Species_Evo_Numbers,MATCH($N751,Species_Names,0))&lt;&gt;1),"N/A",$R751/MAX(IF(NOT(ISNA(MATCH(Combo_Species_Names,IF(Species_Availability="Yes",IF(Species_Evo_Numbers=1,Species_Names)),0))),Combo_Duel_Ability)))</f>
        <v>N/A</v>
      </c>
      <c r="I751" s="23" t="str">
        <f t="array" ref="I751">IF(OR(INDEX(Species_Availability,MATCH($N751,Species_Names,0))="No",INDEX(Species_Evo_Numbers,MATCH($N751,Species_Names,0))&lt;&gt;1),"N/A",RANK($S751,IF(NOT(ISNA(MATCH(Combo_Species_Names,IF(Species_Availability="Yes",IF(Species_Evo_Numbers=1,Species_Names)),0))),Combo_Gym_Offense),0))</f>
        <v>N/A</v>
      </c>
      <c r="J751" s="24" t="str">
        <f t="array" ref="J751">IF(OR(INDEX(Species_Availability,MATCH($N751,Species_Names,0))="No",INDEX(Species_Evo_Numbers,MATCH($N751,Species_Names,0))&lt;&gt;1),"N/A",$S751/MAX(IF(NOT(ISNA(MATCH(Combo_Species_Names,IF(Species_Availability="Yes",IF(Species_Evo_Numbers=1,Species_Names)),0))),Combo_Gym_Offense)))</f>
        <v>N/A</v>
      </c>
      <c r="K751" s="23" t="str">
        <f t="array" ref="K751">IF(OR(INDEX(Species_Availability,MATCH($N751,Species_Names,0))="No",INDEX(Species_Evo_Numbers,MATCH($N751,Species_Names,0))&lt;&gt;1),"N/A",RANK($Y751,IF(NOT(ISNA(MATCH(Combo_Species_Names,IF(Species_Availability="Yes",IF(Species_Evo_Numbers=1,Species_Names)),0))),Combo_Gym_Defense),0))</f>
        <v>N/A</v>
      </c>
      <c r="L751" s="24" t="str">
        <f t="array" ref="L751">IF(OR(INDEX(Species_Availability,MATCH($N751,Species_Names,0))="No",INDEX(Species_Evo_Numbers,MATCH($N751,Species_Names,0))&lt;&gt;1),"N/A",$Y751/MAX(IF(NOT(ISNA(MATCH(Combo_Species_Names,IF(Species_Availability="Yes",IF(Species_Evo_Numbers=1,Species_Names)),0))),Combo_Gym_Defense)))</f>
        <v>N/A</v>
      </c>
      <c r="M751" s="28">
        <f t="array" ref="M751">INDEX(Species_Pdex_Numbers,MATCH($N751,Species_Names,0))</f>
        <v>23</v>
      </c>
      <c r="N751" s="30" t="s">
        <v>133</v>
      </c>
      <c r="O751" s="31" t="s">
        <v>101</v>
      </c>
      <c r="P751" s="31" t="s">
        <v>321</v>
      </c>
      <c r="Q751" s="17" t="e">
        <f t="shared" si="22"/>
        <v>#VALUE!</v>
      </c>
      <c r="R751" s="32" t="e">
        <f t="array" ref="R751">IF(OR(AND(COUNTBLANK(Combo_Opponent_Type_1)=1,COUNTBLANK(Combo_Opponent_Type_2)=0),AND(AND(COUNTBLANK(Combo_Opponent_Type_1)=0,COUNTBLANK(Combo_Opponent_Type_2)=0),Combo_Opponent_Type_1=Combo_Opponent_Type_2)),
"Check Types",($S751*INDEX(Species_Tankiness,MATCH($N751,Species_Names,0)))/225)</f>
        <v>#VALUE!</v>
      </c>
      <c r="S751" s="32" t="e">
        <f t="array" ref="S751">IF(OR(AND(COUNTBLANK(Combo_Opponent_Type_1)=1,COUNTBLANK(Combo_Opponent_Type_2)=0),AND(AND(COUNTBLANK(Combo_Opponent_Type_1)=0,COUNTBLANK(Combo_Opponent_Type_2)=0),Combo_Opponent_Type_1=Combo_Opponent_Type_2)),
"Check Types",(
IF($W751&gt;=((1-Game_Weave_Human_Error)*$X751),$W751,$X751)*INDEX(Species_Attack,MATCH($N751,Species_Names,0)))/11)</f>
        <v>#VALUE!</v>
      </c>
      <c r="T751" s="33" t="e">
        <f t="shared" si="23"/>
        <v>#VALUE!</v>
      </c>
      <c r="U751" s="33">
        <f t="array" ref="U7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751,Quick_Names,0))),Type_Species)),0),1)*IF(COUNTBLANK(Combo_Opponent_Type_2)=0,INDEX(Type_Damage_Multipliers,MATCH(Combo_Opponent_Type_2,IF(Type_Move=(INDEX(Quick_Type,MATCH($O751,Quick_Names,0))),Type_Species)),0),1)*(IF(OR(INDEX(Quick_Type,MATCH($O751,Quick_Names,0))=INDEX(Species_Type_1,MATCH($N751,Species_Names,0)),INDEX(Quick_Type,MATCH($O751,Quick_Names,0))=INDEX(Species_Type_2,MATCH($N751,Species_Names,0))),Game_STAB_Multiplier,1)))</f>
        <v>1.25</v>
      </c>
      <c r="V751" s="33">
        <f t="array" ref="V75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751,Charge_Names,0))),Type_Species)),0),1)*IF(COUNTBLANK(Combo_Opponent_Type_2)=0,INDEX(Type_Damage_Multipliers,MATCH(Combo_Opponent_Type_2,IF(Type_Move=(INDEX(Charge_Type,MATCH($P751,Charge_Names,0))),Type_Species)),0),1)*
IF(OR(INDEX(Charge_Type,MATCH($P751,Charge_Names,0))=INDEX(Species_Type_1,MATCH($N751,Species_Names,0)),INDEX(Charge_Type,MATCH($P751,Charge_Names,0))=INDEX(Species_Type_2,MATCH($N751,Species_Names,0))),Game_STAB_Multiplier,1))</f>
        <v>1</v>
      </c>
      <c r="W751" s="33" t="s">
        <v>738</v>
      </c>
      <c r="X751" s="33" t="s">
        <v>1051</v>
      </c>
      <c r="Y751" s="32" t="e">
        <f t="array" ref="Y751">((($Z751)*
INDEX(Species_Attack,MATCH($N751,Species_Names,0))*
INDEX(Species_Tankiness,MATCH($N751,Species_Names,0)))/1000)</f>
        <v>#VALUE!</v>
      </c>
      <c r="Z751" s="33" t="s">
        <v>1052</v>
      </c>
    </row>
    <row r="752" spans="1:26" ht="14.25" customHeight="1" x14ac:dyDescent="0.2">
      <c r="A752" s="86"/>
      <c r="B752" s="22" t="str">
        <f t="array" ref="B752">CONCATENATE(TEXT($M752,"000"),".",TEXT(INDEX(Quick_Number,MATCH($O752,Quick_Names,0)),"000"),".",TEXT(INDEX(Charge_Number,MATCH($P752,Charge_Names,0)),"000"))</f>
        <v>025.219.079</v>
      </c>
      <c r="C752" s="23" t="e">
        <f t="array" ref="C752">RANK($S752,IF(Combo_Species_Names=$N752,Combo_Gym_Offense),0)</f>
        <v>#VALUE!</v>
      </c>
      <c r="D752" s="24" t="e">
        <f t="array" ref="D752">$S752/MAX(IF(Combo_Species_Names=$N752,Combo_Gym_Offense))</f>
        <v>#VALUE!</v>
      </c>
      <c r="E752" s="23" t="e">
        <f t="array" ref="E752">RANK($Y752,IF(Combo_Species_Names=$N752,Combo_Gym_Defense),0)</f>
        <v>#VALUE!</v>
      </c>
      <c r="F752" s="25" t="e">
        <f t="array" ref="F752">$Y752/MAX(IF(Combo_Species_Names=$N752,Combo_Gym_Defense))</f>
        <v>#VALUE!</v>
      </c>
      <c r="G752" s="23" t="str">
        <f t="array" ref="G752">IF(OR(INDEX(Species_Availability,MATCH($N752,Species_Names,0))="No",INDEX(Species_Evo_Numbers,MATCH($N752,Species_Names,0))&lt;&gt;1),"N/A",RANK($R752,IF(NOT(ISNA(MATCH(Combo_Species_Names,IF(Species_Availability="Yes",IF(Species_Evo_Numbers=1,Species_Names)),0))),Combo_Duel_Ability),0))</f>
        <v>N/A</v>
      </c>
      <c r="H752" s="24" t="str">
        <f t="array" ref="H752">IF(OR(INDEX(Species_Availability,MATCH($N752,Species_Names,0))="No",INDEX(Species_Evo_Numbers,MATCH($N752,Species_Names,0))&lt;&gt;1),"N/A",$R752/MAX(IF(NOT(ISNA(MATCH(Combo_Species_Names,IF(Species_Availability="Yes",IF(Species_Evo_Numbers=1,Species_Names)),0))),Combo_Duel_Ability)))</f>
        <v>N/A</v>
      </c>
      <c r="I752" s="23" t="str">
        <f t="array" ref="I752">IF(OR(INDEX(Species_Availability,MATCH($N752,Species_Names,0))="No",INDEX(Species_Evo_Numbers,MATCH($N752,Species_Names,0))&lt;&gt;1),"N/A",RANK($S752,IF(NOT(ISNA(MATCH(Combo_Species_Names,IF(Species_Availability="Yes",IF(Species_Evo_Numbers=1,Species_Names)),0))),Combo_Gym_Offense),0))</f>
        <v>N/A</v>
      </c>
      <c r="J752" s="24" t="str">
        <f t="array" ref="J752">IF(OR(INDEX(Species_Availability,MATCH($N752,Species_Names,0))="No",INDEX(Species_Evo_Numbers,MATCH($N752,Species_Names,0))&lt;&gt;1),"N/A",$S752/MAX(IF(NOT(ISNA(MATCH(Combo_Species_Names,IF(Species_Availability="Yes",IF(Species_Evo_Numbers=1,Species_Names)),0))),Combo_Gym_Offense)))</f>
        <v>N/A</v>
      </c>
      <c r="K752" s="23" t="str">
        <f t="array" ref="K752">IF(OR(INDEX(Species_Availability,MATCH($N752,Species_Names,0))="No",INDEX(Species_Evo_Numbers,MATCH($N752,Species_Names,0))&lt;&gt;1),"N/A",RANK($Y752,IF(NOT(ISNA(MATCH(Combo_Species_Names,IF(Species_Availability="Yes",IF(Species_Evo_Numbers=1,Species_Names)),0))),Combo_Gym_Defense),0))</f>
        <v>N/A</v>
      </c>
      <c r="L752" s="24" t="str">
        <f t="array" ref="L752">IF(OR(INDEX(Species_Availability,MATCH($N752,Species_Names,0))="No",INDEX(Species_Evo_Numbers,MATCH($N752,Species_Names,0))&lt;&gt;1),"N/A",$Y752/MAX(IF(NOT(ISNA(MATCH(Combo_Species_Names,IF(Species_Availability="Yes",IF(Species_Evo_Numbers=1,Species_Names)),0))),Combo_Gym_Defense)))</f>
        <v>N/A</v>
      </c>
      <c r="M752" s="28">
        <f t="array" ref="M752">INDEX(Species_Pdex_Numbers,MATCH($N752,Species_Names,0))</f>
        <v>25</v>
      </c>
      <c r="N752" s="30" t="s">
        <v>135</v>
      </c>
      <c r="O752" s="31" t="s">
        <v>119</v>
      </c>
      <c r="P752" s="31" t="s">
        <v>190</v>
      </c>
      <c r="Q752" s="17" t="e">
        <f t="shared" si="22"/>
        <v>#VALUE!</v>
      </c>
      <c r="R752" s="32" t="e">
        <f t="array" ref="R752">IF(OR(AND(COUNTBLANK(Combo_Opponent_Type_1)=1,COUNTBLANK(Combo_Opponent_Type_2)=0),AND(AND(COUNTBLANK(Combo_Opponent_Type_1)=0,COUNTBLANK(Combo_Opponent_Type_2)=0),Combo_Opponent_Type_1=Combo_Opponent_Type_2)),
"Check Types",($S752*INDEX(Species_Tankiness,MATCH($N752,Species_Names,0)))/225)</f>
        <v>#VALUE!</v>
      </c>
      <c r="S752" s="32" t="e">
        <f t="array" ref="S752">IF(OR(AND(COUNTBLANK(Combo_Opponent_Type_1)=1,COUNTBLANK(Combo_Opponent_Type_2)=0),AND(AND(COUNTBLANK(Combo_Opponent_Type_1)=0,COUNTBLANK(Combo_Opponent_Type_2)=0),Combo_Opponent_Type_1=Combo_Opponent_Type_2)),
"Check Types",(
IF($W752&gt;=((1-Game_Weave_Human_Error)*$X752),$W752,$X752)*INDEX(Species_Attack,MATCH($N752,Species_Names,0)))/11)</f>
        <v>#VALUE!</v>
      </c>
      <c r="T752" s="33" t="e">
        <f t="shared" si="23"/>
        <v>#VALUE!</v>
      </c>
      <c r="U752" s="33">
        <f t="array" ref="U7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752,Quick_Names,0))),Type_Species)),0),1)*IF(COUNTBLANK(Combo_Opponent_Type_2)=0,INDEX(Type_Damage_Multipliers,MATCH(Combo_Opponent_Type_2,IF(Type_Move=(INDEX(Quick_Type,MATCH($O752,Quick_Names,0))),Type_Species)),0),1)*(IF(OR(INDEX(Quick_Type,MATCH($O752,Quick_Names,0))=INDEX(Species_Type_1,MATCH($N752,Species_Names,0)),INDEX(Quick_Type,MATCH($O752,Quick_Names,0))=INDEX(Species_Type_2,MATCH($N752,Species_Names,0))),Game_STAB_Multiplier,1)))</f>
        <v>1</v>
      </c>
      <c r="V752" s="33">
        <f t="array" ref="V75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752,Charge_Names,0))),Type_Species)),0),1)*IF(COUNTBLANK(Combo_Opponent_Type_2)=0,INDEX(Type_Damage_Multipliers,MATCH(Combo_Opponent_Type_2,IF(Type_Move=(INDEX(Charge_Type,MATCH($P752,Charge_Names,0))),Type_Species)),0),1)*
IF(OR(INDEX(Charge_Type,MATCH($P752,Charge_Names,0))=INDEX(Species_Type_1,MATCH($N752,Species_Names,0)),INDEX(Charge_Type,MATCH($P752,Charge_Names,0))=INDEX(Species_Type_2,MATCH($N752,Species_Names,0))),Game_STAB_Multiplier,1))</f>
        <v>1.25</v>
      </c>
      <c r="W752" s="33" t="s">
        <v>600</v>
      </c>
      <c r="X752" s="33" t="s">
        <v>694</v>
      </c>
      <c r="Y752" s="32" t="e">
        <f t="array" ref="Y752">((($Z752)*
INDEX(Species_Attack,MATCH($N752,Species_Names,0))*
INDEX(Species_Tankiness,MATCH($N752,Species_Names,0)))/1000)</f>
        <v>#VALUE!</v>
      </c>
      <c r="Z752" s="33" t="s">
        <v>699</v>
      </c>
    </row>
    <row r="753" spans="1:26" ht="14.25" customHeight="1" x14ac:dyDescent="0.2">
      <c r="A753" s="86"/>
      <c r="B753" s="22" t="str">
        <f t="array" ref="B753">CONCATENATE(TEXT($M753,"000"),".",TEXT(INDEX(Quick_Number,MATCH($O753,Quick_Names,0)),"000"),".",TEXT(INDEX(Charge_Number,MATCH($P753,Charge_Names,0)),"000"))</f>
        <v>060.237.053</v>
      </c>
      <c r="C753" s="23" t="e">
        <f t="array" ref="C753">RANK($S753,IF(Combo_Species_Names=$N753,Combo_Gym_Offense),0)</f>
        <v>#VALUE!</v>
      </c>
      <c r="D753" s="24" t="e">
        <f t="array" ref="D753">$S753/MAX(IF(Combo_Species_Names=$N753,Combo_Gym_Offense))</f>
        <v>#VALUE!</v>
      </c>
      <c r="E753" s="23" t="e">
        <f t="array" ref="E753">RANK($Y753,IF(Combo_Species_Names=$N753,Combo_Gym_Defense),0)</f>
        <v>#VALUE!</v>
      </c>
      <c r="F753" s="25" t="e">
        <f t="array" ref="F753">$Y753/MAX(IF(Combo_Species_Names=$N753,Combo_Gym_Defense))</f>
        <v>#VALUE!</v>
      </c>
      <c r="G753" s="23" t="str">
        <f t="array" ref="G753">IF(OR(INDEX(Species_Availability,MATCH($N753,Species_Names,0))="No",INDEX(Species_Evo_Numbers,MATCH($N753,Species_Names,0))&lt;&gt;1),"N/A",RANK($R753,IF(NOT(ISNA(MATCH(Combo_Species_Names,IF(Species_Availability="Yes",IF(Species_Evo_Numbers=1,Species_Names)),0))),Combo_Duel_Ability),0))</f>
        <v>N/A</v>
      </c>
      <c r="H753" s="24" t="str">
        <f t="array" ref="H753">IF(OR(INDEX(Species_Availability,MATCH($N753,Species_Names,0))="No",INDEX(Species_Evo_Numbers,MATCH($N753,Species_Names,0))&lt;&gt;1),"N/A",$R753/MAX(IF(NOT(ISNA(MATCH(Combo_Species_Names,IF(Species_Availability="Yes",IF(Species_Evo_Numbers=1,Species_Names)),0))),Combo_Duel_Ability)))</f>
        <v>N/A</v>
      </c>
      <c r="I753" s="23" t="str">
        <f t="array" ref="I753">IF(OR(INDEX(Species_Availability,MATCH($N753,Species_Names,0))="No",INDEX(Species_Evo_Numbers,MATCH($N753,Species_Names,0))&lt;&gt;1),"N/A",RANK($S753,IF(NOT(ISNA(MATCH(Combo_Species_Names,IF(Species_Availability="Yes",IF(Species_Evo_Numbers=1,Species_Names)),0))),Combo_Gym_Offense),0))</f>
        <v>N/A</v>
      </c>
      <c r="J753" s="24" t="str">
        <f t="array" ref="J753">IF(OR(INDEX(Species_Availability,MATCH($N753,Species_Names,0))="No",INDEX(Species_Evo_Numbers,MATCH($N753,Species_Names,0))&lt;&gt;1),"N/A",$S753/MAX(IF(NOT(ISNA(MATCH(Combo_Species_Names,IF(Species_Availability="Yes",IF(Species_Evo_Numbers=1,Species_Names)),0))),Combo_Gym_Offense)))</f>
        <v>N/A</v>
      </c>
      <c r="K753" s="23" t="str">
        <f t="array" ref="K753">IF(OR(INDEX(Species_Availability,MATCH($N753,Species_Names,0))="No",INDEX(Species_Evo_Numbers,MATCH($N753,Species_Names,0))&lt;&gt;1),"N/A",RANK($Y753,IF(NOT(ISNA(MATCH(Combo_Species_Names,IF(Species_Availability="Yes",IF(Species_Evo_Numbers=1,Species_Names)),0))),Combo_Gym_Defense),0))</f>
        <v>N/A</v>
      </c>
      <c r="L753" s="24" t="str">
        <f t="array" ref="L753">IF(OR(INDEX(Species_Availability,MATCH($N753,Species_Names,0))="No",INDEX(Species_Evo_Numbers,MATCH($N753,Species_Names,0))&lt;&gt;1),"N/A",$Y753/MAX(IF(NOT(ISNA(MATCH(Combo_Species_Names,IF(Species_Availability="Yes",IF(Species_Evo_Numbers=1,Species_Names)),0))),Combo_Gym_Defense)))</f>
        <v>N/A</v>
      </c>
      <c r="M753" s="28">
        <f t="array" ref="M753">INDEX(Species_Pdex_Numbers,MATCH($N753,Species_Names,0))</f>
        <v>60</v>
      </c>
      <c r="N753" s="30" t="s">
        <v>210</v>
      </c>
      <c r="O753" s="31" t="s">
        <v>92</v>
      </c>
      <c r="P753" s="31" t="s">
        <v>289</v>
      </c>
      <c r="Q753" s="17" t="e">
        <f t="shared" si="22"/>
        <v>#VALUE!</v>
      </c>
      <c r="R753" s="32" t="e">
        <f t="array" ref="R753">IF(OR(AND(COUNTBLANK(Combo_Opponent_Type_1)=1,COUNTBLANK(Combo_Opponent_Type_2)=0),AND(AND(COUNTBLANK(Combo_Opponent_Type_1)=0,COUNTBLANK(Combo_Opponent_Type_2)=0),Combo_Opponent_Type_1=Combo_Opponent_Type_2)),
"Check Types",($S753*INDEX(Species_Tankiness,MATCH($N753,Species_Names,0)))/225)</f>
        <v>#VALUE!</v>
      </c>
      <c r="S753" s="32" t="e">
        <f t="array" ref="S753">IF(OR(AND(COUNTBLANK(Combo_Opponent_Type_1)=1,COUNTBLANK(Combo_Opponent_Type_2)=0),AND(AND(COUNTBLANK(Combo_Opponent_Type_1)=0,COUNTBLANK(Combo_Opponent_Type_2)=0),Combo_Opponent_Type_1=Combo_Opponent_Type_2)),
"Check Types",(
IF($W753&gt;=((1-Game_Weave_Human_Error)*$X753),$W753,$X753)*INDEX(Species_Attack,MATCH($N753,Species_Names,0)))/11)</f>
        <v>#VALUE!</v>
      </c>
      <c r="T753" s="33" t="e">
        <f t="shared" si="23"/>
        <v>#VALUE!</v>
      </c>
      <c r="U753" s="33">
        <f t="array" ref="U7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753,Quick_Names,0))),Type_Species)),0),1)*IF(COUNTBLANK(Combo_Opponent_Type_2)=0,INDEX(Type_Damage_Multipliers,MATCH(Combo_Opponent_Type_2,IF(Type_Move=(INDEX(Quick_Type,MATCH($O753,Quick_Names,0))),Type_Species)),0),1)*(IF(OR(INDEX(Quick_Type,MATCH($O753,Quick_Names,0))=INDEX(Species_Type_1,MATCH($N753,Species_Names,0)),INDEX(Quick_Type,MATCH($O753,Quick_Names,0))=INDEX(Species_Type_2,MATCH($N753,Species_Names,0))),Game_STAB_Multiplier,1)))</f>
        <v>1.25</v>
      </c>
      <c r="V753" s="33">
        <f t="array" ref="V75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753,Charge_Names,0))),Type_Species)),0),1)*IF(COUNTBLANK(Combo_Opponent_Type_2)=0,INDEX(Type_Damage_Multipliers,MATCH(Combo_Opponent_Type_2,IF(Type_Move=(INDEX(Charge_Type,MATCH($P753,Charge_Names,0))),Type_Species)),0),1)*
IF(OR(INDEX(Charge_Type,MATCH($P753,Charge_Names,0))=INDEX(Species_Type_1,MATCH($N753,Species_Names,0)),INDEX(Charge_Type,MATCH($P753,Charge_Names,0))=INDEX(Species_Type_2,MATCH($N753,Species_Names,0))),Game_STAB_Multiplier,1))</f>
        <v>1.25</v>
      </c>
      <c r="W753" s="33" t="s">
        <v>481</v>
      </c>
      <c r="X753" s="33" t="s">
        <v>975</v>
      </c>
      <c r="Y753" s="32" t="e">
        <f t="array" ref="Y753">((($Z753)*
INDEX(Species_Attack,MATCH($N753,Species_Names,0))*
INDEX(Species_Tankiness,MATCH($N753,Species_Names,0)))/1000)</f>
        <v>#VALUE!</v>
      </c>
      <c r="Z753" s="33" t="s">
        <v>976</v>
      </c>
    </row>
    <row r="754" spans="1:26" ht="14.25" customHeight="1" x14ac:dyDescent="0.2">
      <c r="A754" s="86"/>
      <c r="B754" s="22" t="str">
        <f t="array" ref="B754">CONCATENATE(TEXT($M754,"000"),".",TEXT(INDEX(Quick_Number,MATCH($O754,Quick_Names,0)),"000"),".",TEXT(INDEX(Charge_Number,MATCH($P754,Charge_Names,0)),"000"))</f>
        <v>060.237.096</v>
      </c>
      <c r="C754" s="23" t="e">
        <f t="array" ref="C754">RANK($S754,IF(Combo_Species_Names=$N754,Combo_Gym_Offense),0)</f>
        <v>#VALUE!</v>
      </c>
      <c r="D754" s="24" t="e">
        <f t="array" ref="D754">$S754/MAX(IF(Combo_Species_Names=$N754,Combo_Gym_Offense))</f>
        <v>#VALUE!</v>
      </c>
      <c r="E754" s="23" t="e">
        <f t="array" ref="E754">RANK($Y754,IF(Combo_Species_Names=$N754,Combo_Gym_Defense),0)</f>
        <v>#VALUE!</v>
      </c>
      <c r="F754" s="25" t="e">
        <f t="array" ref="F754">$Y754/MAX(IF(Combo_Species_Names=$N754,Combo_Gym_Defense))</f>
        <v>#VALUE!</v>
      </c>
      <c r="G754" s="23" t="str">
        <f t="array" ref="G754">IF(OR(INDEX(Species_Availability,MATCH($N754,Species_Names,0))="No",INDEX(Species_Evo_Numbers,MATCH($N754,Species_Names,0))&lt;&gt;1),"N/A",RANK($R754,IF(NOT(ISNA(MATCH(Combo_Species_Names,IF(Species_Availability="Yes",IF(Species_Evo_Numbers=1,Species_Names)),0))),Combo_Duel_Ability),0))</f>
        <v>N/A</v>
      </c>
      <c r="H754" s="24" t="str">
        <f t="array" ref="H754">IF(OR(INDEX(Species_Availability,MATCH($N754,Species_Names,0))="No",INDEX(Species_Evo_Numbers,MATCH($N754,Species_Names,0))&lt;&gt;1),"N/A",$R754/MAX(IF(NOT(ISNA(MATCH(Combo_Species_Names,IF(Species_Availability="Yes",IF(Species_Evo_Numbers=1,Species_Names)),0))),Combo_Duel_Ability)))</f>
        <v>N/A</v>
      </c>
      <c r="I754" s="23" t="str">
        <f t="array" ref="I754">IF(OR(INDEX(Species_Availability,MATCH($N754,Species_Names,0))="No",INDEX(Species_Evo_Numbers,MATCH($N754,Species_Names,0))&lt;&gt;1),"N/A",RANK($S754,IF(NOT(ISNA(MATCH(Combo_Species_Names,IF(Species_Availability="Yes",IF(Species_Evo_Numbers=1,Species_Names)),0))),Combo_Gym_Offense),0))</f>
        <v>N/A</v>
      </c>
      <c r="J754" s="24" t="str">
        <f t="array" ref="J754">IF(OR(INDEX(Species_Availability,MATCH($N754,Species_Names,0))="No",INDEX(Species_Evo_Numbers,MATCH($N754,Species_Names,0))&lt;&gt;1),"N/A",$S754/MAX(IF(NOT(ISNA(MATCH(Combo_Species_Names,IF(Species_Availability="Yes",IF(Species_Evo_Numbers=1,Species_Names)),0))),Combo_Gym_Offense)))</f>
        <v>N/A</v>
      </c>
      <c r="K754" s="23" t="str">
        <f t="array" ref="K754">IF(OR(INDEX(Species_Availability,MATCH($N754,Species_Names,0))="No",INDEX(Species_Evo_Numbers,MATCH($N754,Species_Names,0))&lt;&gt;1),"N/A",RANK($Y754,IF(NOT(ISNA(MATCH(Combo_Species_Names,IF(Species_Availability="Yes",IF(Species_Evo_Numbers=1,Species_Names)),0))),Combo_Gym_Defense),0))</f>
        <v>N/A</v>
      </c>
      <c r="L754" s="24" t="str">
        <f t="array" ref="L754">IF(OR(INDEX(Species_Availability,MATCH($N754,Species_Names,0))="No",INDEX(Species_Evo_Numbers,MATCH($N754,Species_Names,0))&lt;&gt;1),"N/A",$Y754/MAX(IF(NOT(ISNA(MATCH(Combo_Species_Names,IF(Species_Availability="Yes",IF(Species_Evo_Numbers=1,Species_Names)),0))),Combo_Gym_Defense)))</f>
        <v>N/A</v>
      </c>
      <c r="M754" s="28">
        <f t="array" ref="M754">INDEX(Species_Pdex_Numbers,MATCH($N754,Species_Names,0))</f>
        <v>60</v>
      </c>
      <c r="N754" s="30" t="s">
        <v>210</v>
      </c>
      <c r="O754" s="31" t="s">
        <v>92</v>
      </c>
      <c r="P754" s="31" t="s">
        <v>271</v>
      </c>
      <c r="Q754" s="17" t="e">
        <f t="shared" si="22"/>
        <v>#VALUE!</v>
      </c>
      <c r="R754" s="32" t="e">
        <f t="array" ref="R754">IF(OR(AND(COUNTBLANK(Combo_Opponent_Type_1)=1,COUNTBLANK(Combo_Opponent_Type_2)=0),AND(AND(COUNTBLANK(Combo_Opponent_Type_1)=0,COUNTBLANK(Combo_Opponent_Type_2)=0),Combo_Opponent_Type_1=Combo_Opponent_Type_2)),
"Check Types",($S754*INDEX(Species_Tankiness,MATCH($N754,Species_Names,0)))/225)</f>
        <v>#VALUE!</v>
      </c>
      <c r="S754" s="32" t="e">
        <f t="array" ref="S754">IF(OR(AND(COUNTBLANK(Combo_Opponent_Type_1)=1,COUNTBLANK(Combo_Opponent_Type_2)=0),AND(AND(COUNTBLANK(Combo_Opponent_Type_1)=0,COUNTBLANK(Combo_Opponent_Type_2)=0),Combo_Opponent_Type_1=Combo_Opponent_Type_2)),
"Check Types",(
IF($W754&gt;=((1-Game_Weave_Human_Error)*$X754),$W754,$X754)*INDEX(Species_Attack,MATCH($N754,Species_Names,0)))/11)</f>
        <v>#VALUE!</v>
      </c>
      <c r="T754" s="33" t="e">
        <f t="shared" si="23"/>
        <v>#VALUE!</v>
      </c>
      <c r="U754" s="33">
        <f t="array" ref="U7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754,Quick_Names,0))),Type_Species)),0),1)*IF(COUNTBLANK(Combo_Opponent_Type_2)=0,INDEX(Type_Damage_Multipliers,MATCH(Combo_Opponent_Type_2,IF(Type_Move=(INDEX(Quick_Type,MATCH($O754,Quick_Names,0))),Type_Species)),0),1)*(IF(OR(INDEX(Quick_Type,MATCH($O754,Quick_Names,0))=INDEX(Species_Type_1,MATCH($N754,Species_Names,0)),INDEX(Quick_Type,MATCH($O754,Quick_Names,0))=INDEX(Species_Type_2,MATCH($N754,Species_Names,0))),Game_STAB_Multiplier,1)))</f>
        <v>1.25</v>
      </c>
      <c r="V754" s="33">
        <f t="array" ref="V75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754,Charge_Names,0))),Type_Species)),0),1)*IF(COUNTBLANK(Combo_Opponent_Type_2)=0,INDEX(Type_Damage_Multipliers,MATCH(Combo_Opponent_Type_2,IF(Type_Move=(INDEX(Charge_Type,MATCH($P754,Charge_Names,0))),Type_Species)),0),1)*
IF(OR(INDEX(Charge_Type,MATCH($P754,Charge_Names,0))=INDEX(Species_Type_1,MATCH($N754,Species_Names,0)),INDEX(Charge_Type,MATCH($P754,Charge_Names,0))=INDEX(Species_Type_2,MATCH($N754,Species_Names,0))),Game_STAB_Multiplier,1))</f>
        <v>1</v>
      </c>
      <c r="W754" s="33" t="s">
        <v>481</v>
      </c>
      <c r="X754" s="33" t="s">
        <v>652</v>
      </c>
      <c r="Y754" s="32" t="e">
        <f t="array" ref="Y754">((($Z754)*
INDEX(Species_Attack,MATCH($N754,Species_Names,0))*
INDEX(Species_Tankiness,MATCH($N754,Species_Names,0)))/1000)</f>
        <v>#VALUE!</v>
      </c>
      <c r="Z754" s="33" t="s">
        <v>977</v>
      </c>
    </row>
    <row r="755" spans="1:26" ht="14.25" customHeight="1" x14ac:dyDescent="0.2">
      <c r="A755" s="86"/>
      <c r="B755" s="22" t="str">
        <f t="array" ref="B755">CONCATENATE(TEXT($M755,"000"),".",TEXT(INDEX(Quick_Number,MATCH($O755,Quick_Names,0)),"000"),".",TEXT(INDEX(Charge_Number,MATCH($P755,Charge_Names,0)),"000"))</f>
        <v>025.219.078</v>
      </c>
      <c r="C755" s="23" t="e">
        <f t="array" ref="C755">RANK($S755,IF(Combo_Species_Names=$N755,Combo_Gym_Offense),0)</f>
        <v>#VALUE!</v>
      </c>
      <c r="D755" s="24" t="e">
        <f t="array" ref="D755">$S755/MAX(IF(Combo_Species_Names=$N755,Combo_Gym_Offense))</f>
        <v>#VALUE!</v>
      </c>
      <c r="E755" s="23" t="e">
        <f t="array" ref="E755">RANK($Y755,IF(Combo_Species_Names=$N755,Combo_Gym_Defense),0)</f>
        <v>#VALUE!</v>
      </c>
      <c r="F755" s="25" t="e">
        <f t="array" ref="F755">$Y755/MAX(IF(Combo_Species_Names=$N755,Combo_Gym_Defense))</f>
        <v>#VALUE!</v>
      </c>
      <c r="G755" s="23" t="str">
        <f t="array" ref="G755">IF(OR(INDEX(Species_Availability,MATCH($N755,Species_Names,0))="No",INDEX(Species_Evo_Numbers,MATCH($N755,Species_Names,0))&lt;&gt;1),"N/A",RANK($R755,IF(NOT(ISNA(MATCH(Combo_Species_Names,IF(Species_Availability="Yes",IF(Species_Evo_Numbers=1,Species_Names)),0))),Combo_Duel_Ability),0))</f>
        <v>N/A</v>
      </c>
      <c r="H755" s="24" t="str">
        <f t="array" ref="H755">IF(OR(INDEX(Species_Availability,MATCH($N755,Species_Names,0))="No",INDEX(Species_Evo_Numbers,MATCH($N755,Species_Names,0))&lt;&gt;1),"N/A",$R755/MAX(IF(NOT(ISNA(MATCH(Combo_Species_Names,IF(Species_Availability="Yes",IF(Species_Evo_Numbers=1,Species_Names)),0))),Combo_Duel_Ability)))</f>
        <v>N/A</v>
      </c>
      <c r="I755" s="23" t="str">
        <f t="array" ref="I755">IF(OR(INDEX(Species_Availability,MATCH($N755,Species_Names,0))="No",INDEX(Species_Evo_Numbers,MATCH($N755,Species_Names,0))&lt;&gt;1),"N/A",RANK($S755,IF(NOT(ISNA(MATCH(Combo_Species_Names,IF(Species_Availability="Yes",IF(Species_Evo_Numbers=1,Species_Names)),0))),Combo_Gym_Offense),0))</f>
        <v>N/A</v>
      </c>
      <c r="J755" s="24" t="str">
        <f t="array" ref="J755">IF(OR(INDEX(Species_Availability,MATCH($N755,Species_Names,0))="No",INDEX(Species_Evo_Numbers,MATCH($N755,Species_Names,0))&lt;&gt;1),"N/A",$S755/MAX(IF(NOT(ISNA(MATCH(Combo_Species_Names,IF(Species_Availability="Yes",IF(Species_Evo_Numbers=1,Species_Names)),0))),Combo_Gym_Offense)))</f>
        <v>N/A</v>
      </c>
      <c r="K755" s="23" t="str">
        <f t="array" ref="K755">IF(OR(INDEX(Species_Availability,MATCH($N755,Species_Names,0))="No",INDEX(Species_Evo_Numbers,MATCH($N755,Species_Names,0))&lt;&gt;1),"N/A",RANK($Y755,IF(NOT(ISNA(MATCH(Combo_Species_Names,IF(Species_Availability="Yes",IF(Species_Evo_Numbers=1,Species_Names)),0))),Combo_Gym_Defense),0))</f>
        <v>N/A</v>
      </c>
      <c r="L755" s="24" t="str">
        <f t="array" ref="L755">IF(OR(INDEX(Species_Availability,MATCH($N755,Species_Names,0))="No",INDEX(Species_Evo_Numbers,MATCH($N755,Species_Names,0))&lt;&gt;1),"N/A",$Y755/MAX(IF(NOT(ISNA(MATCH(Combo_Species_Names,IF(Species_Availability="Yes",IF(Species_Evo_Numbers=1,Species_Names)),0))),Combo_Gym_Defense)))</f>
        <v>N/A</v>
      </c>
      <c r="M755" s="28">
        <f t="array" ref="M755">INDEX(Species_Pdex_Numbers,MATCH($N755,Species_Names,0))</f>
        <v>25</v>
      </c>
      <c r="N755" s="30" t="s">
        <v>135</v>
      </c>
      <c r="O755" s="31" t="s">
        <v>119</v>
      </c>
      <c r="P755" s="31" t="s">
        <v>174</v>
      </c>
      <c r="Q755" s="17" t="e">
        <f t="shared" si="22"/>
        <v>#VALUE!</v>
      </c>
      <c r="R755" s="32" t="e">
        <f t="array" ref="R755">IF(OR(AND(COUNTBLANK(Combo_Opponent_Type_1)=1,COUNTBLANK(Combo_Opponent_Type_2)=0),AND(AND(COUNTBLANK(Combo_Opponent_Type_1)=0,COUNTBLANK(Combo_Opponent_Type_2)=0),Combo_Opponent_Type_1=Combo_Opponent_Type_2)),
"Check Types",($S755*INDEX(Species_Tankiness,MATCH($N755,Species_Names,0)))/225)</f>
        <v>#VALUE!</v>
      </c>
      <c r="S755" s="32" t="e">
        <f t="array" ref="S755">IF(OR(AND(COUNTBLANK(Combo_Opponent_Type_1)=1,COUNTBLANK(Combo_Opponent_Type_2)=0),AND(AND(COUNTBLANK(Combo_Opponent_Type_1)=0,COUNTBLANK(Combo_Opponent_Type_2)=0),Combo_Opponent_Type_1=Combo_Opponent_Type_2)),
"Check Types",(
IF($W755&gt;=((1-Game_Weave_Human_Error)*$X755),$W755,$X755)*INDEX(Species_Attack,MATCH($N755,Species_Names,0)))/11)</f>
        <v>#VALUE!</v>
      </c>
      <c r="T755" s="33" t="e">
        <f t="shared" si="23"/>
        <v>#VALUE!</v>
      </c>
      <c r="U755" s="33">
        <f t="array" ref="U7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755,Quick_Names,0))),Type_Species)),0),1)*IF(COUNTBLANK(Combo_Opponent_Type_2)=0,INDEX(Type_Damage_Multipliers,MATCH(Combo_Opponent_Type_2,IF(Type_Move=(INDEX(Quick_Type,MATCH($O755,Quick_Names,0))),Type_Species)),0),1)*(IF(OR(INDEX(Quick_Type,MATCH($O755,Quick_Names,0))=INDEX(Species_Type_1,MATCH($N755,Species_Names,0)),INDEX(Quick_Type,MATCH($O755,Quick_Names,0))=INDEX(Species_Type_2,MATCH($N755,Species_Names,0))),Game_STAB_Multiplier,1)))</f>
        <v>1</v>
      </c>
      <c r="V755" s="33">
        <f t="array" ref="V75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755,Charge_Names,0))),Type_Species)),0),1)*IF(COUNTBLANK(Combo_Opponent_Type_2)=0,INDEX(Type_Damage_Multipliers,MATCH(Combo_Opponent_Type_2,IF(Type_Move=(INDEX(Charge_Type,MATCH($P755,Charge_Names,0))),Type_Species)),0),1)*
IF(OR(INDEX(Charge_Type,MATCH($P755,Charge_Names,0))=INDEX(Species_Type_1,MATCH($N755,Species_Names,0)),INDEX(Charge_Type,MATCH($P755,Charge_Names,0))=INDEX(Species_Type_2,MATCH($N755,Species_Names,0))),Game_STAB_Multiplier,1))</f>
        <v>1.25</v>
      </c>
      <c r="W755" s="33" t="s">
        <v>600</v>
      </c>
      <c r="X755" s="33" t="s">
        <v>1070</v>
      </c>
      <c r="Y755" s="32" t="e">
        <f t="array" ref="Y755">((($Z755)*
INDEX(Species_Attack,MATCH($N755,Species_Names,0))*
INDEX(Species_Tankiness,MATCH($N755,Species_Names,0)))/1000)</f>
        <v>#VALUE!</v>
      </c>
      <c r="Z755" s="33" t="s">
        <v>531</v>
      </c>
    </row>
    <row r="756" spans="1:26" ht="14.25" customHeight="1" x14ac:dyDescent="0.2">
      <c r="A756" s="86"/>
      <c r="B756" s="22" t="str">
        <f t="array" ref="B756">CONCATENATE(TEXT($M756,"000"),".",TEXT(INDEX(Quick_Number,MATCH($O756,Quick_Names,0)),"000"),".",TEXT(INDEX(Charge_Number,MATCH($P756,Charge_Names,0)),"000"))</f>
        <v>037.209.101</v>
      </c>
      <c r="C756" s="23" t="e">
        <f t="array" ref="C756">RANK($S756,IF(Combo_Species_Names=$N756,Combo_Gym_Offense),0)</f>
        <v>#VALUE!</v>
      </c>
      <c r="D756" s="24" t="e">
        <f t="array" ref="D756">$S756/MAX(IF(Combo_Species_Names=$N756,Combo_Gym_Offense))</f>
        <v>#VALUE!</v>
      </c>
      <c r="E756" s="23" t="e">
        <f t="array" ref="E756">RANK($Y756,IF(Combo_Species_Names=$N756,Combo_Gym_Defense),0)</f>
        <v>#VALUE!</v>
      </c>
      <c r="F756" s="25" t="e">
        <f t="array" ref="F756">$Y756/MAX(IF(Combo_Species_Names=$N756,Combo_Gym_Defense))</f>
        <v>#VALUE!</v>
      </c>
      <c r="G756" s="23" t="str">
        <f t="array" ref="G756">IF(OR(INDEX(Species_Availability,MATCH($N756,Species_Names,0))="No",INDEX(Species_Evo_Numbers,MATCH($N756,Species_Names,0))&lt;&gt;1),"N/A",RANK($R756,IF(NOT(ISNA(MATCH(Combo_Species_Names,IF(Species_Availability="Yes",IF(Species_Evo_Numbers=1,Species_Names)),0))),Combo_Duel_Ability),0))</f>
        <v>N/A</v>
      </c>
      <c r="H756" s="24" t="str">
        <f t="array" ref="H756">IF(OR(INDEX(Species_Availability,MATCH($N756,Species_Names,0))="No",INDEX(Species_Evo_Numbers,MATCH($N756,Species_Names,0))&lt;&gt;1),"N/A",$R756/MAX(IF(NOT(ISNA(MATCH(Combo_Species_Names,IF(Species_Availability="Yes",IF(Species_Evo_Numbers=1,Species_Names)),0))),Combo_Duel_Ability)))</f>
        <v>N/A</v>
      </c>
      <c r="I756" s="23" t="str">
        <f t="array" ref="I756">IF(OR(INDEX(Species_Availability,MATCH($N756,Species_Names,0))="No",INDEX(Species_Evo_Numbers,MATCH($N756,Species_Names,0))&lt;&gt;1),"N/A",RANK($S756,IF(NOT(ISNA(MATCH(Combo_Species_Names,IF(Species_Availability="Yes",IF(Species_Evo_Numbers=1,Species_Names)),0))),Combo_Gym_Offense),0))</f>
        <v>N/A</v>
      </c>
      <c r="J756" s="24" t="str">
        <f t="array" ref="J756">IF(OR(INDEX(Species_Availability,MATCH($N756,Species_Names,0))="No",INDEX(Species_Evo_Numbers,MATCH($N756,Species_Names,0))&lt;&gt;1),"N/A",$S756/MAX(IF(NOT(ISNA(MATCH(Combo_Species_Names,IF(Species_Availability="Yes",IF(Species_Evo_Numbers=1,Species_Names)),0))),Combo_Gym_Offense)))</f>
        <v>N/A</v>
      </c>
      <c r="K756" s="23" t="str">
        <f t="array" ref="K756">IF(OR(INDEX(Species_Availability,MATCH($N756,Species_Names,0))="No",INDEX(Species_Evo_Numbers,MATCH($N756,Species_Names,0))&lt;&gt;1),"N/A",RANK($Y756,IF(NOT(ISNA(MATCH(Combo_Species_Names,IF(Species_Availability="Yes",IF(Species_Evo_Numbers=1,Species_Names)),0))),Combo_Gym_Defense),0))</f>
        <v>N/A</v>
      </c>
      <c r="L756" s="24" t="str">
        <f t="array" ref="L756">IF(OR(INDEX(Species_Availability,MATCH($N756,Species_Names,0))="No",INDEX(Species_Evo_Numbers,MATCH($N756,Species_Names,0))&lt;&gt;1),"N/A",$Y756/MAX(IF(NOT(ISNA(MATCH(Combo_Species_Names,IF(Species_Availability="Yes",IF(Species_Evo_Numbers=1,Species_Names)),0))),Combo_Gym_Defense)))</f>
        <v>N/A</v>
      </c>
      <c r="M756" s="28">
        <f t="array" ref="M756">INDEX(Species_Pdex_Numbers,MATCH($N756,Species_Names,0))</f>
        <v>37</v>
      </c>
      <c r="N756" s="30" t="s">
        <v>166</v>
      </c>
      <c r="O756" s="31" t="s">
        <v>111</v>
      </c>
      <c r="P756" s="31" t="s">
        <v>308</v>
      </c>
      <c r="Q756" s="17" t="e">
        <f t="shared" si="22"/>
        <v>#VALUE!</v>
      </c>
      <c r="R756" s="32" t="e">
        <f t="array" ref="R756">IF(OR(AND(COUNTBLANK(Combo_Opponent_Type_1)=1,COUNTBLANK(Combo_Opponent_Type_2)=0),AND(AND(COUNTBLANK(Combo_Opponent_Type_1)=0,COUNTBLANK(Combo_Opponent_Type_2)=0),Combo_Opponent_Type_1=Combo_Opponent_Type_2)),
"Check Types",($S756*INDEX(Species_Tankiness,MATCH($N756,Species_Names,0)))/225)</f>
        <v>#VALUE!</v>
      </c>
      <c r="S756" s="32" t="e">
        <f t="array" ref="S756">IF(OR(AND(COUNTBLANK(Combo_Opponent_Type_1)=1,COUNTBLANK(Combo_Opponent_Type_2)=0),AND(AND(COUNTBLANK(Combo_Opponent_Type_1)=0,COUNTBLANK(Combo_Opponent_Type_2)=0),Combo_Opponent_Type_1=Combo_Opponent_Type_2)),
"Check Types",(
IF($W756&gt;=((1-Game_Weave_Human_Error)*$X756),$W756,$X756)*INDEX(Species_Attack,MATCH($N756,Species_Names,0)))/11)</f>
        <v>#VALUE!</v>
      </c>
      <c r="T756" s="33" t="e">
        <f t="shared" si="23"/>
        <v>#VALUE!</v>
      </c>
      <c r="U756" s="33">
        <f t="array" ref="U7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756,Quick_Names,0))),Type_Species)),0),1)*IF(COUNTBLANK(Combo_Opponent_Type_2)=0,INDEX(Type_Damage_Multipliers,MATCH(Combo_Opponent_Type_2,IF(Type_Move=(INDEX(Quick_Type,MATCH($O756,Quick_Names,0))),Type_Species)),0),1)*(IF(OR(INDEX(Quick_Type,MATCH($O756,Quick_Names,0))=INDEX(Species_Type_1,MATCH($N756,Species_Names,0)),INDEX(Quick_Type,MATCH($O756,Quick_Names,0))=INDEX(Species_Type_2,MATCH($N756,Species_Names,0))),Game_STAB_Multiplier,1)))</f>
        <v>1.25</v>
      </c>
      <c r="V756" s="33">
        <f t="array" ref="V75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756,Charge_Names,0))),Type_Species)),0),1)*IF(COUNTBLANK(Combo_Opponent_Type_2)=0,INDEX(Type_Damage_Multipliers,MATCH(Combo_Opponent_Type_2,IF(Type_Move=(INDEX(Charge_Type,MATCH($P756,Charge_Names,0))),Type_Species)),0),1)*
IF(OR(INDEX(Charge_Type,MATCH($P756,Charge_Names,0))=INDEX(Species_Type_1,MATCH($N756,Species_Names,0)),INDEX(Charge_Type,MATCH($P756,Charge_Names,0))=INDEX(Species_Type_2,MATCH($N756,Species_Names,0))),Game_STAB_Multiplier,1))</f>
        <v>1.25</v>
      </c>
      <c r="W756" s="33" t="s">
        <v>511</v>
      </c>
      <c r="X756" s="33" t="s">
        <v>995</v>
      </c>
      <c r="Y756" s="32" t="e">
        <f t="array" ref="Y756">((($Z756)*
INDEX(Species_Attack,MATCH($N756,Species_Names,0))*
INDEX(Species_Tankiness,MATCH($N756,Species_Names,0)))/1000)</f>
        <v>#VALUE!</v>
      </c>
      <c r="Z756" s="33" t="s">
        <v>886</v>
      </c>
    </row>
    <row r="757" spans="1:26" ht="14.25" customHeight="1" x14ac:dyDescent="0.2">
      <c r="A757" s="86"/>
      <c r="B757" s="22" t="str">
        <f t="array" ref="B757">CONCATENATE(TEXT($M757,"000"),".",TEXT(INDEX(Quick_Number,MATCH($O757,Quick_Names,0)),"000"),".",TEXT(INDEX(Charge_Number,MATCH($P757,Charge_Names,0)),"000"))</f>
        <v>092.212.090</v>
      </c>
      <c r="C757" s="23" t="e">
        <f t="array" ref="C757">RANK($S757,IF(Combo_Species_Names=$N757,Combo_Gym_Offense),0)</f>
        <v>#VALUE!</v>
      </c>
      <c r="D757" s="24" t="e">
        <f t="array" ref="D757">$S757/MAX(IF(Combo_Species_Names=$N757,Combo_Gym_Offense))</f>
        <v>#VALUE!</v>
      </c>
      <c r="E757" s="23" t="e">
        <f t="array" ref="E757">RANK($Y757,IF(Combo_Species_Names=$N757,Combo_Gym_Defense),0)</f>
        <v>#VALUE!</v>
      </c>
      <c r="F757" s="25" t="e">
        <f t="array" ref="F757">$Y757/MAX(IF(Combo_Species_Names=$N757,Combo_Gym_Defense))</f>
        <v>#VALUE!</v>
      </c>
      <c r="G757" s="23" t="str">
        <f t="array" ref="G757">IF(OR(INDEX(Species_Availability,MATCH($N757,Species_Names,0))="No",INDEX(Species_Evo_Numbers,MATCH($N757,Species_Names,0))&lt;&gt;1),"N/A",RANK($R757,IF(NOT(ISNA(MATCH(Combo_Species_Names,IF(Species_Availability="Yes",IF(Species_Evo_Numbers=1,Species_Names)),0))),Combo_Duel_Ability),0))</f>
        <v>N/A</v>
      </c>
      <c r="H757" s="24" t="str">
        <f t="array" ref="H757">IF(OR(INDEX(Species_Availability,MATCH($N757,Species_Names,0))="No",INDEX(Species_Evo_Numbers,MATCH($N757,Species_Names,0))&lt;&gt;1),"N/A",$R757/MAX(IF(NOT(ISNA(MATCH(Combo_Species_Names,IF(Species_Availability="Yes",IF(Species_Evo_Numbers=1,Species_Names)),0))),Combo_Duel_Ability)))</f>
        <v>N/A</v>
      </c>
      <c r="I757" s="23" t="str">
        <f t="array" ref="I757">IF(OR(INDEX(Species_Availability,MATCH($N757,Species_Names,0))="No",INDEX(Species_Evo_Numbers,MATCH($N757,Species_Names,0))&lt;&gt;1),"N/A",RANK($S757,IF(NOT(ISNA(MATCH(Combo_Species_Names,IF(Species_Availability="Yes",IF(Species_Evo_Numbers=1,Species_Names)),0))),Combo_Gym_Offense),0))</f>
        <v>N/A</v>
      </c>
      <c r="J757" s="24" t="str">
        <f t="array" ref="J757">IF(OR(INDEX(Species_Availability,MATCH($N757,Species_Names,0))="No",INDEX(Species_Evo_Numbers,MATCH($N757,Species_Names,0))&lt;&gt;1),"N/A",$S757/MAX(IF(NOT(ISNA(MATCH(Combo_Species_Names,IF(Species_Availability="Yes",IF(Species_Evo_Numbers=1,Species_Names)),0))),Combo_Gym_Offense)))</f>
        <v>N/A</v>
      </c>
      <c r="K757" s="23" t="str">
        <f t="array" ref="K757">IF(OR(INDEX(Species_Availability,MATCH($N757,Species_Names,0))="No",INDEX(Species_Evo_Numbers,MATCH($N757,Species_Names,0))&lt;&gt;1),"N/A",RANK($Y757,IF(NOT(ISNA(MATCH(Combo_Species_Names,IF(Species_Availability="Yes",IF(Species_Evo_Numbers=1,Species_Names)),0))),Combo_Gym_Defense),0))</f>
        <v>N/A</v>
      </c>
      <c r="L757" s="24" t="str">
        <f t="array" ref="L757">IF(OR(INDEX(Species_Availability,MATCH($N757,Species_Names,0))="No",INDEX(Species_Evo_Numbers,MATCH($N757,Species_Names,0))&lt;&gt;1),"N/A",$Y757/MAX(IF(NOT(ISNA(MATCH(Combo_Species_Names,IF(Species_Availability="Yes",IF(Species_Evo_Numbers=1,Species_Names)),0))),Combo_Gym_Defense)))</f>
        <v>N/A</v>
      </c>
      <c r="M757" s="28">
        <f t="array" ref="M757">INDEX(Species_Pdex_Numbers,MATCH($N757,Species_Names,0))</f>
        <v>92</v>
      </c>
      <c r="N757" s="30" t="s">
        <v>279</v>
      </c>
      <c r="O757" s="31" t="s">
        <v>105</v>
      </c>
      <c r="P757" s="31" t="s">
        <v>180</v>
      </c>
      <c r="Q757" s="17" t="e">
        <f t="shared" si="22"/>
        <v>#VALUE!</v>
      </c>
      <c r="R757" s="32" t="e">
        <f t="array" ref="R757">IF(OR(AND(COUNTBLANK(Combo_Opponent_Type_1)=1,COUNTBLANK(Combo_Opponent_Type_2)=0),AND(AND(COUNTBLANK(Combo_Opponent_Type_1)=0,COUNTBLANK(Combo_Opponent_Type_2)=0),Combo_Opponent_Type_1=Combo_Opponent_Type_2)),
"Check Types",($S757*INDEX(Species_Tankiness,MATCH($N757,Species_Names,0)))/225)</f>
        <v>#VALUE!</v>
      </c>
      <c r="S757" s="32" t="e">
        <f t="array" ref="S757">IF(OR(AND(COUNTBLANK(Combo_Opponent_Type_1)=1,COUNTBLANK(Combo_Opponent_Type_2)=0),AND(AND(COUNTBLANK(Combo_Opponent_Type_1)=0,COUNTBLANK(Combo_Opponent_Type_2)=0),Combo_Opponent_Type_1=Combo_Opponent_Type_2)),
"Check Types",(
IF($W757&gt;=((1-Game_Weave_Human_Error)*$X757),$W757,$X757)*INDEX(Species_Attack,MATCH($N757,Species_Names,0)))/11)</f>
        <v>#VALUE!</v>
      </c>
      <c r="T757" s="33" t="e">
        <f t="shared" si="23"/>
        <v>#VALUE!</v>
      </c>
      <c r="U757" s="33">
        <f t="array" ref="U7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757,Quick_Names,0))),Type_Species)),0),1)*IF(COUNTBLANK(Combo_Opponent_Type_2)=0,INDEX(Type_Damage_Multipliers,MATCH(Combo_Opponent_Type_2,IF(Type_Move=(INDEX(Quick_Type,MATCH($O757,Quick_Names,0))),Type_Species)),0),1)*(IF(OR(INDEX(Quick_Type,MATCH($O757,Quick_Names,0))=INDEX(Species_Type_1,MATCH($N757,Species_Names,0)),INDEX(Quick_Type,MATCH($O757,Quick_Names,0))=INDEX(Species_Type_2,MATCH($N757,Species_Names,0))),Game_STAB_Multiplier,1)))</f>
        <v>1.25</v>
      </c>
      <c r="V757" s="33">
        <f t="array" ref="V75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757,Charge_Names,0))),Type_Species)),0),1)*IF(COUNTBLANK(Combo_Opponent_Type_2)=0,INDEX(Type_Damage_Multipliers,MATCH(Combo_Opponent_Type_2,IF(Type_Move=(INDEX(Charge_Type,MATCH($P757,Charge_Names,0))),Type_Species)),0),1)*
IF(OR(INDEX(Charge_Type,MATCH($P757,Charge_Names,0))=INDEX(Species_Type_1,MATCH($N757,Species_Names,0)),INDEX(Charge_Type,MATCH($P757,Charge_Names,0))=INDEX(Species_Type_2,MATCH($N757,Species_Names,0))),Game_STAB_Multiplier,1))</f>
        <v>1.25</v>
      </c>
      <c r="W757" s="33" t="s">
        <v>622</v>
      </c>
      <c r="X757" s="33" t="s">
        <v>978</v>
      </c>
      <c r="Y757" s="32" t="e">
        <f t="array" ref="Y757">((($Z757)*
INDEX(Species_Attack,MATCH($N757,Species_Names,0))*
INDEX(Species_Tankiness,MATCH($N757,Species_Names,0)))/1000)</f>
        <v>#VALUE!</v>
      </c>
      <c r="Z757" s="33" t="s">
        <v>979</v>
      </c>
    </row>
    <row r="758" spans="1:26" ht="14.25" customHeight="1" x14ac:dyDescent="0.2">
      <c r="A758" s="86"/>
      <c r="B758" s="22" t="str">
        <f t="array" ref="B758">CONCATENATE(TEXT($M758,"000"),".",TEXT(INDEX(Quick_Number,MATCH($O758,Quick_Names,0)),"000"),".",TEXT(INDEX(Charge_Number,MATCH($P758,Charge_Names,0)),"000"))</f>
        <v>081.205.035</v>
      </c>
      <c r="C758" s="23" t="e">
        <f t="array" ref="C758">RANK($S758,IF(Combo_Species_Names=$N758,Combo_Gym_Offense),0)</f>
        <v>#VALUE!</v>
      </c>
      <c r="D758" s="24" t="e">
        <f t="array" ref="D758">$S758/MAX(IF(Combo_Species_Names=$N758,Combo_Gym_Offense))</f>
        <v>#VALUE!</v>
      </c>
      <c r="E758" s="23" t="e">
        <f t="array" ref="E758">RANK($Y758,IF(Combo_Species_Names=$N758,Combo_Gym_Defense),0)</f>
        <v>#VALUE!</v>
      </c>
      <c r="F758" s="25" t="e">
        <f t="array" ref="F758">$Y758/MAX(IF(Combo_Species_Names=$N758,Combo_Gym_Defense))</f>
        <v>#VALUE!</v>
      </c>
      <c r="G758" s="23" t="str">
        <f t="array" ref="G758">IF(OR(INDEX(Species_Availability,MATCH($N758,Species_Names,0))="No",INDEX(Species_Evo_Numbers,MATCH($N758,Species_Names,0))&lt;&gt;1),"N/A",RANK($R758,IF(NOT(ISNA(MATCH(Combo_Species_Names,IF(Species_Availability="Yes",IF(Species_Evo_Numbers=1,Species_Names)),0))),Combo_Duel_Ability),0))</f>
        <v>N/A</v>
      </c>
      <c r="H758" s="24" t="str">
        <f t="array" ref="H758">IF(OR(INDEX(Species_Availability,MATCH($N758,Species_Names,0))="No",INDEX(Species_Evo_Numbers,MATCH($N758,Species_Names,0))&lt;&gt;1),"N/A",$R758/MAX(IF(NOT(ISNA(MATCH(Combo_Species_Names,IF(Species_Availability="Yes",IF(Species_Evo_Numbers=1,Species_Names)),0))),Combo_Duel_Ability)))</f>
        <v>N/A</v>
      </c>
      <c r="I758" s="23" t="str">
        <f t="array" ref="I758">IF(OR(INDEX(Species_Availability,MATCH($N758,Species_Names,0))="No",INDEX(Species_Evo_Numbers,MATCH($N758,Species_Names,0))&lt;&gt;1),"N/A",RANK($S758,IF(NOT(ISNA(MATCH(Combo_Species_Names,IF(Species_Availability="Yes",IF(Species_Evo_Numbers=1,Species_Names)),0))),Combo_Gym_Offense),0))</f>
        <v>N/A</v>
      </c>
      <c r="J758" s="24" t="str">
        <f t="array" ref="J758">IF(OR(INDEX(Species_Availability,MATCH($N758,Species_Names,0))="No",INDEX(Species_Evo_Numbers,MATCH($N758,Species_Names,0))&lt;&gt;1),"N/A",$S758/MAX(IF(NOT(ISNA(MATCH(Combo_Species_Names,IF(Species_Availability="Yes",IF(Species_Evo_Numbers=1,Species_Names)),0))),Combo_Gym_Offense)))</f>
        <v>N/A</v>
      </c>
      <c r="K758" s="23" t="str">
        <f t="array" ref="K758">IF(OR(INDEX(Species_Availability,MATCH($N758,Species_Names,0))="No",INDEX(Species_Evo_Numbers,MATCH($N758,Species_Names,0))&lt;&gt;1),"N/A",RANK($Y758,IF(NOT(ISNA(MATCH(Combo_Species_Names,IF(Species_Availability="Yes",IF(Species_Evo_Numbers=1,Species_Names)),0))),Combo_Gym_Defense),0))</f>
        <v>N/A</v>
      </c>
      <c r="L758" s="24" t="str">
        <f t="array" ref="L758">IF(OR(INDEX(Species_Availability,MATCH($N758,Species_Names,0))="No",INDEX(Species_Evo_Numbers,MATCH($N758,Species_Names,0))&lt;&gt;1),"N/A",$Y758/MAX(IF(NOT(ISNA(MATCH(Combo_Species_Names,IF(Species_Availability="Yes",IF(Species_Evo_Numbers=1,Species_Names)),0))),Combo_Gym_Defense)))</f>
        <v>N/A</v>
      </c>
      <c r="M758" s="28">
        <f t="array" ref="M758">INDEX(Species_Pdex_Numbers,MATCH($N758,Species_Names,0))</f>
        <v>81</v>
      </c>
      <c r="N758" s="30" t="s">
        <v>254</v>
      </c>
      <c r="O758" s="31" t="s">
        <v>115</v>
      </c>
      <c r="P758" s="31" t="s">
        <v>245</v>
      </c>
      <c r="Q758" s="17" t="e">
        <f t="shared" si="22"/>
        <v>#VALUE!</v>
      </c>
      <c r="R758" s="32" t="e">
        <f t="array" ref="R758">IF(OR(AND(COUNTBLANK(Combo_Opponent_Type_1)=1,COUNTBLANK(Combo_Opponent_Type_2)=0),AND(AND(COUNTBLANK(Combo_Opponent_Type_1)=0,COUNTBLANK(Combo_Opponent_Type_2)=0),Combo_Opponent_Type_1=Combo_Opponent_Type_2)),
"Check Types",($S758*INDEX(Species_Tankiness,MATCH($N758,Species_Names,0)))/225)</f>
        <v>#VALUE!</v>
      </c>
      <c r="S758" s="32" t="e">
        <f t="array" ref="S758">IF(OR(AND(COUNTBLANK(Combo_Opponent_Type_1)=1,COUNTBLANK(Combo_Opponent_Type_2)=0),AND(AND(COUNTBLANK(Combo_Opponent_Type_1)=0,COUNTBLANK(Combo_Opponent_Type_2)=0),Combo_Opponent_Type_1=Combo_Opponent_Type_2)),
"Check Types",(
IF($W758&gt;=((1-Game_Weave_Human_Error)*$X758),$W758,$X758)*INDEX(Species_Attack,MATCH($N758,Species_Names,0)))/11)</f>
        <v>#VALUE!</v>
      </c>
      <c r="T758" s="33" t="e">
        <f t="shared" si="23"/>
        <v>#VALUE!</v>
      </c>
      <c r="U758" s="33">
        <f t="array" ref="U7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758,Quick_Names,0))),Type_Species)),0),1)*IF(COUNTBLANK(Combo_Opponent_Type_2)=0,INDEX(Type_Damage_Multipliers,MATCH(Combo_Opponent_Type_2,IF(Type_Move=(INDEX(Quick_Type,MATCH($O758,Quick_Names,0))),Type_Species)),0),1)*(IF(OR(INDEX(Quick_Type,MATCH($O758,Quick_Names,0))=INDEX(Species_Type_1,MATCH($N758,Species_Names,0)),INDEX(Quick_Type,MATCH($O758,Quick_Names,0))=INDEX(Species_Type_2,MATCH($N758,Species_Names,0))),Game_STAB_Multiplier,1)))</f>
        <v>1.25</v>
      </c>
      <c r="V758" s="33">
        <f t="array" ref="V75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758,Charge_Names,0))),Type_Species)),0),1)*IF(COUNTBLANK(Combo_Opponent_Type_2)=0,INDEX(Type_Damage_Multipliers,MATCH(Combo_Opponent_Type_2,IF(Type_Move=(INDEX(Charge_Type,MATCH($P758,Charge_Names,0))),Type_Species)),0),1)*
IF(OR(INDEX(Charge_Type,MATCH($P758,Charge_Names,0))=INDEX(Species_Type_1,MATCH($N758,Species_Names,0)),INDEX(Charge_Type,MATCH($P758,Charge_Names,0))=INDEX(Species_Type_2,MATCH($N758,Species_Names,0))),Game_STAB_Multiplier,1))</f>
        <v>1.25</v>
      </c>
      <c r="W758" s="33" t="s">
        <v>678</v>
      </c>
      <c r="X758" s="33" t="s">
        <v>756</v>
      </c>
      <c r="Y758" s="32" t="e">
        <f t="array" ref="Y758">((($Z758)*
INDEX(Species_Attack,MATCH($N758,Species_Names,0))*
INDEX(Species_Tankiness,MATCH($N758,Species_Names,0)))/1000)</f>
        <v>#VALUE!</v>
      </c>
      <c r="Z758" s="33" t="s">
        <v>635</v>
      </c>
    </row>
    <row r="759" spans="1:26" ht="14.25" customHeight="1" x14ac:dyDescent="0.2">
      <c r="A759" s="86"/>
      <c r="B759" s="22" t="str">
        <f t="array" ref="B759">CONCATENATE(TEXT($M759,"000"),".",TEXT(INDEX(Quick_Number,MATCH($O759,Quick_Names,0)),"000"),".",TEXT(INDEX(Charge_Number,MATCH($P759,Charge_Names,0)),"000"))</f>
        <v>116.230.082</v>
      </c>
      <c r="C759" s="23" t="e">
        <f t="array" ref="C759">RANK($S759,IF(Combo_Species_Names=$N759,Combo_Gym_Offense),0)</f>
        <v>#VALUE!</v>
      </c>
      <c r="D759" s="24" t="e">
        <f t="array" ref="D759">$S759/MAX(IF(Combo_Species_Names=$N759,Combo_Gym_Offense))</f>
        <v>#VALUE!</v>
      </c>
      <c r="E759" s="23" t="e">
        <f t="array" ref="E759">RANK($Y759,IF(Combo_Species_Names=$N759,Combo_Gym_Defense),0)</f>
        <v>#VALUE!</v>
      </c>
      <c r="F759" s="25" t="e">
        <f t="array" ref="F759">$Y759/MAX(IF(Combo_Species_Names=$N759,Combo_Gym_Defense))</f>
        <v>#VALUE!</v>
      </c>
      <c r="G759" s="23" t="str">
        <f t="array" ref="G759">IF(OR(INDEX(Species_Availability,MATCH($N759,Species_Names,0))="No",INDEX(Species_Evo_Numbers,MATCH($N759,Species_Names,0))&lt;&gt;1),"N/A",RANK($R759,IF(NOT(ISNA(MATCH(Combo_Species_Names,IF(Species_Availability="Yes",IF(Species_Evo_Numbers=1,Species_Names)),0))),Combo_Duel_Ability),0))</f>
        <v>N/A</v>
      </c>
      <c r="H759" s="24" t="str">
        <f t="array" ref="H759">IF(OR(INDEX(Species_Availability,MATCH($N759,Species_Names,0))="No",INDEX(Species_Evo_Numbers,MATCH($N759,Species_Names,0))&lt;&gt;1),"N/A",$R759/MAX(IF(NOT(ISNA(MATCH(Combo_Species_Names,IF(Species_Availability="Yes",IF(Species_Evo_Numbers=1,Species_Names)),0))),Combo_Duel_Ability)))</f>
        <v>N/A</v>
      </c>
      <c r="I759" s="23" t="str">
        <f t="array" ref="I759">IF(OR(INDEX(Species_Availability,MATCH($N759,Species_Names,0))="No",INDEX(Species_Evo_Numbers,MATCH($N759,Species_Names,0))&lt;&gt;1),"N/A",RANK($S759,IF(NOT(ISNA(MATCH(Combo_Species_Names,IF(Species_Availability="Yes",IF(Species_Evo_Numbers=1,Species_Names)),0))),Combo_Gym_Offense),0))</f>
        <v>N/A</v>
      </c>
      <c r="J759" s="24" t="str">
        <f t="array" ref="J759">IF(OR(INDEX(Species_Availability,MATCH($N759,Species_Names,0))="No",INDEX(Species_Evo_Numbers,MATCH($N759,Species_Names,0))&lt;&gt;1),"N/A",$S759/MAX(IF(NOT(ISNA(MATCH(Combo_Species_Names,IF(Species_Availability="Yes",IF(Species_Evo_Numbers=1,Species_Names)),0))),Combo_Gym_Offense)))</f>
        <v>N/A</v>
      </c>
      <c r="K759" s="23" t="str">
        <f t="array" ref="K759">IF(OR(INDEX(Species_Availability,MATCH($N759,Species_Names,0))="No",INDEX(Species_Evo_Numbers,MATCH($N759,Species_Names,0))&lt;&gt;1),"N/A",RANK($Y759,IF(NOT(ISNA(MATCH(Combo_Species_Names,IF(Species_Availability="Yes",IF(Species_Evo_Numbers=1,Species_Names)),0))),Combo_Gym_Defense),0))</f>
        <v>N/A</v>
      </c>
      <c r="L759" s="24" t="str">
        <f t="array" ref="L759">IF(OR(INDEX(Species_Availability,MATCH($N759,Species_Names,0))="No",INDEX(Species_Evo_Numbers,MATCH($N759,Species_Names,0))&lt;&gt;1),"N/A",$Y759/MAX(IF(NOT(ISNA(MATCH(Combo_Species_Names,IF(Species_Availability="Yes",IF(Species_Evo_Numbers=1,Species_Names)),0))),Combo_Gym_Defense)))</f>
        <v>N/A</v>
      </c>
      <c r="M759" s="28">
        <f t="array" ref="M759">INDEX(Species_Pdex_Numbers,MATCH($N759,Species_Names,0))</f>
        <v>116</v>
      </c>
      <c r="N759" s="30" t="s">
        <v>329</v>
      </c>
      <c r="O759" s="31" t="s">
        <v>65</v>
      </c>
      <c r="P759" s="31" t="s">
        <v>207</v>
      </c>
      <c r="Q759" s="17" t="e">
        <f t="shared" si="22"/>
        <v>#VALUE!</v>
      </c>
      <c r="R759" s="32" t="e">
        <f t="array" ref="R759">IF(OR(AND(COUNTBLANK(Combo_Opponent_Type_1)=1,COUNTBLANK(Combo_Opponent_Type_2)=0),AND(AND(COUNTBLANK(Combo_Opponent_Type_1)=0,COUNTBLANK(Combo_Opponent_Type_2)=0),Combo_Opponent_Type_1=Combo_Opponent_Type_2)),
"Check Types",($S759*INDEX(Species_Tankiness,MATCH($N759,Species_Names,0)))/225)</f>
        <v>#VALUE!</v>
      </c>
      <c r="S759" s="32" t="e">
        <f t="array" ref="S759">IF(OR(AND(COUNTBLANK(Combo_Opponent_Type_1)=1,COUNTBLANK(Combo_Opponent_Type_2)=0),AND(AND(COUNTBLANK(Combo_Opponent_Type_1)=0,COUNTBLANK(Combo_Opponent_Type_2)=0),Combo_Opponent_Type_1=Combo_Opponent_Type_2)),
"Check Types",(
IF($W759&gt;=((1-Game_Weave_Human_Error)*$X759),$W759,$X759)*INDEX(Species_Attack,MATCH($N759,Species_Names,0)))/11)</f>
        <v>#VALUE!</v>
      </c>
      <c r="T759" s="33" t="e">
        <f t="shared" si="23"/>
        <v>#VALUE!</v>
      </c>
      <c r="U759" s="33">
        <f t="array" ref="U7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759,Quick_Names,0))),Type_Species)),0),1)*IF(COUNTBLANK(Combo_Opponent_Type_2)=0,INDEX(Type_Damage_Multipliers,MATCH(Combo_Opponent_Type_2,IF(Type_Move=(INDEX(Quick_Type,MATCH($O759,Quick_Names,0))),Type_Species)),0),1)*(IF(OR(INDEX(Quick_Type,MATCH($O759,Quick_Names,0))=INDEX(Species_Type_1,MATCH($N759,Species_Names,0)),INDEX(Quick_Type,MATCH($O759,Quick_Names,0))=INDEX(Species_Type_2,MATCH($N759,Species_Names,0))),Game_STAB_Multiplier,1)))</f>
        <v>1.25</v>
      </c>
      <c r="V759" s="33">
        <f t="array" ref="V75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759,Charge_Names,0))),Type_Species)),0),1)*IF(COUNTBLANK(Combo_Opponent_Type_2)=0,INDEX(Type_Damage_Multipliers,MATCH(Combo_Opponent_Type_2,IF(Type_Move=(INDEX(Charge_Type,MATCH($P759,Charge_Names,0))),Type_Species)),0),1)*
IF(OR(INDEX(Charge_Type,MATCH($P759,Charge_Names,0))=INDEX(Species_Type_1,MATCH($N759,Species_Names,0)),INDEX(Charge_Type,MATCH($P759,Charge_Names,0))=INDEX(Species_Type_2,MATCH($N759,Species_Names,0))),Game_STAB_Multiplier,1))</f>
        <v>1</v>
      </c>
      <c r="W759" s="33" t="s">
        <v>412</v>
      </c>
      <c r="X759" s="33" t="s">
        <v>836</v>
      </c>
      <c r="Y759" s="32" t="e">
        <f t="array" ref="Y759">((($Z759)*
INDEX(Species_Attack,MATCH($N759,Species_Names,0))*
INDEX(Species_Tankiness,MATCH($N759,Species_Names,0)))/1000)</f>
        <v>#VALUE!</v>
      </c>
      <c r="Z759" s="33" t="s">
        <v>515</v>
      </c>
    </row>
    <row r="760" spans="1:26" ht="14.25" customHeight="1" x14ac:dyDescent="0.2">
      <c r="A760" s="86"/>
      <c r="B760" s="22" t="str">
        <f t="array" ref="B760">CONCATENATE(TEXT($M760,"000"),".",TEXT(INDEX(Quick_Number,MATCH($O760,Quick_Names,0)),"000"),".",TEXT(INDEX(Charge_Number,MATCH($P760,Charge_Names,0)),"000"))</f>
        <v>116.230.036</v>
      </c>
      <c r="C760" s="23" t="e">
        <f t="array" ref="C760">RANK($S760,IF(Combo_Species_Names=$N760,Combo_Gym_Offense),0)</f>
        <v>#VALUE!</v>
      </c>
      <c r="D760" s="24" t="e">
        <f t="array" ref="D760">$S760/MAX(IF(Combo_Species_Names=$N760,Combo_Gym_Offense))</f>
        <v>#VALUE!</v>
      </c>
      <c r="E760" s="23" t="e">
        <f t="array" ref="E760">RANK($Y760,IF(Combo_Species_Names=$N760,Combo_Gym_Defense),0)</f>
        <v>#VALUE!</v>
      </c>
      <c r="F760" s="25" t="e">
        <f t="array" ref="F760">$Y760/MAX(IF(Combo_Species_Names=$N760,Combo_Gym_Defense))</f>
        <v>#VALUE!</v>
      </c>
      <c r="G760" s="23" t="str">
        <f t="array" ref="G760">IF(OR(INDEX(Species_Availability,MATCH($N760,Species_Names,0))="No",INDEX(Species_Evo_Numbers,MATCH($N760,Species_Names,0))&lt;&gt;1),"N/A",RANK($R760,IF(NOT(ISNA(MATCH(Combo_Species_Names,IF(Species_Availability="Yes",IF(Species_Evo_Numbers=1,Species_Names)),0))),Combo_Duel_Ability),0))</f>
        <v>N/A</v>
      </c>
      <c r="H760" s="24" t="str">
        <f t="array" ref="H760">IF(OR(INDEX(Species_Availability,MATCH($N760,Species_Names,0))="No",INDEX(Species_Evo_Numbers,MATCH($N760,Species_Names,0))&lt;&gt;1),"N/A",$R760/MAX(IF(NOT(ISNA(MATCH(Combo_Species_Names,IF(Species_Availability="Yes",IF(Species_Evo_Numbers=1,Species_Names)),0))),Combo_Duel_Ability)))</f>
        <v>N/A</v>
      </c>
      <c r="I760" s="23" t="str">
        <f t="array" ref="I760">IF(OR(INDEX(Species_Availability,MATCH($N760,Species_Names,0))="No",INDEX(Species_Evo_Numbers,MATCH($N760,Species_Names,0))&lt;&gt;1),"N/A",RANK($S760,IF(NOT(ISNA(MATCH(Combo_Species_Names,IF(Species_Availability="Yes",IF(Species_Evo_Numbers=1,Species_Names)),0))),Combo_Gym_Offense),0))</f>
        <v>N/A</v>
      </c>
      <c r="J760" s="24" t="str">
        <f t="array" ref="J760">IF(OR(INDEX(Species_Availability,MATCH($N760,Species_Names,0))="No",INDEX(Species_Evo_Numbers,MATCH($N760,Species_Names,0))&lt;&gt;1),"N/A",$S760/MAX(IF(NOT(ISNA(MATCH(Combo_Species_Names,IF(Species_Availability="Yes",IF(Species_Evo_Numbers=1,Species_Names)),0))),Combo_Gym_Offense)))</f>
        <v>N/A</v>
      </c>
      <c r="K760" s="23" t="str">
        <f t="array" ref="K760">IF(OR(INDEX(Species_Availability,MATCH($N760,Species_Names,0))="No",INDEX(Species_Evo_Numbers,MATCH($N760,Species_Names,0))&lt;&gt;1),"N/A",RANK($Y760,IF(NOT(ISNA(MATCH(Combo_Species_Names,IF(Species_Availability="Yes",IF(Species_Evo_Numbers=1,Species_Names)),0))),Combo_Gym_Defense),0))</f>
        <v>N/A</v>
      </c>
      <c r="L760" s="24" t="str">
        <f t="array" ref="L760">IF(OR(INDEX(Species_Availability,MATCH($N760,Species_Names,0))="No",INDEX(Species_Evo_Numbers,MATCH($N760,Species_Names,0))&lt;&gt;1),"N/A",$Y760/MAX(IF(NOT(ISNA(MATCH(Combo_Species_Names,IF(Species_Availability="Yes",IF(Species_Evo_Numbers=1,Species_Names)),0))),Combo_Gym_Defense)))</f>
        <v>N/A</v>
      </c>
      <c r="M760" s="28">
        <f t="array" ref="M760">INDEX(Species_Pdex_Numbers,MATCH($N760,Species_Names,0))</f>
        <v>116</v>
      </c>
      <c r="N760" s="30" t="s">
        <v>329</v>
      </c>
      <c r="O760" s="31" t="s">
        <v>65</v>
      </c>
      <c r="P760" s="31" t="s">
        <v>226</v>
      </c>
      <c r="Q760" s="17" t="e">
        <f t="shared" si="22"/>
        <v>#VALUE!</v>
      </c>
      <c r="R760" s="32" t="e">
        <f t="array" ref="R760">IF(OR(AND(COUNTBLANK(Combo_Opponent_Type_1)=1,COUNTBLANK(Combo_Opponent_Type_2)=0),AND(AND(COUNTBLANK(Combo_Opponent_Type_1)=0,COUNTBLANK(Combo_Opponent_Type_2)=0),Combo_Opponent_Type_1=Combo_Opponent_Type_2)),
"Check Types",($S760*INDEX(Species_Tankiness,MATCH($N760,Species_Names,0)))/225)</f>
        <v>#VALUE!</v>
      </c>
      <c r="S760" s="32" t="e">
        <f t="array" ref="S760">IF(OR(AND(COUNTBLANK(Combo_Opponent_Type_1)=1,COUNTBLANK(Combo_Opponent_Type_2)=0),AND(AND(COUNTBLANK(Combo_Opponent_Type_1)=0,COUNTBLANK(Combo_Opponent_Type_2)=0),Combo_Opponent_Type_1=Combo_Opponent_Type_2)),
"Check Types",(
IF($W760&gt;=((1-Game_Weave_Human_Error)*$X760),$W760,$X760)*INDEX(Species_Attack,MATCH($N760,Species_Names,0)))/11)</f>
        <v>#VALUE!</v>
      </c>
      <c r="T760" s="33" t="e">
        <f t="shared" si="23"/>
        <v>#VALUE!</v>
      </c>
      <c r="U760" s="33">
        <f t="array" ref="U7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760,Quick_Names,0))),Type_Species)),0),1)*IF(COUNTBLANK(Combo_Opponent_Type_2)=0,INDEX(Type_Damage_Multipliers,MATCH(Combo_Opponent_Type_2,IF(Type_Move=(INDEX(Quick_Type,MATCH($O760,Quick_Names,0))),Type_Species)),0),1)*(IF(OR(INDEX(Quick_Type,MATCH($O760,Quick_Names,0))=INDEX(Species_Type_1,MATCH($N760,Species_Names,0)),INDEX(Quick_Type,MATCH($O760,Quick_Names,0))=INDEX(Species_Type_2,MATCH($N760,Species_Names,0))),Game_STAB_Multiplier,1)))</f>
        <v>1.25</v>
      </c>
      <c r="V760" s="33">
        <f t="array" ref="V76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760,Charge_Names,0))),Type_Species)),0),1)*IF(COUNTBLANK(Combo_Opponent_Type_2)=0,INDEX(Type_Damage_Multipliers,MATCH(Combo_Opponent_Type_2,IF(Type_Move=(INDEX(Charge_Type,MATCH($P760,Charge_Names,0))),Type_Species)),0),1)*
IF(OR(INDEX(Charge_Type,MATCH($P760,Charge_Names,0))=INDEX(Species_Type_1,MATCH($N760,Species_Names,0)),INDEX(Charge_Type,MATCH($P760,Charge_Names,0))=INDEX(Species_Type_2,MATCH($N760,Species_Names,0))),Game_STAB_Multiplier,1))</f>
        <v>1</v>
      </c>
      <c r="W760" s="33" t="s">
        <v>412</v>
      </c>
      <c r="X760" s="33" t="s">
        <v>541</v>
      </c>
      <c r="Y760" s="32" t="e">
        <f t="array" ref="Y760">((($Z760)*
INDEX(Species_Attack,MATCH($N760,Species_Names,0))*
INDEX(Species_Tankiness,MATCH($N760,Species_Names,0)))/1000)</f>
        <v>#VALUE!</v>
      </c>
      <c r="Z760" s="33" t="s">
        <v>542</v>
      </c>
    </row>
    <row r="761" spans="1:26" ht="14.25" customHeight="1" x14ac:dyDescent="0.2">
      <c r="A761" s="86"/>
      <c r="B761" s="22" t="str">
        <f t="array" ref="B761">CONCATENATE(TEXT($M761,"000"),".",TEXT(INDEX(Quick_Number,MATCH($O761,Quick_Names,0)),"000"),".",TEXT(INDEX(Charge_Number,MATCH($P761,Charge_Names,0)),"000"))</f>
        <v>116.230.053</v>
      </c>
      <c r="C761" s="23" t="e">
        <f t="array" ref="C761">RANK($S761,IF(Combo_Species_Names=$N761,Combo_Gym_Offense),0)</f>
        <v>#VALUE!</v>
      </c>
      <c r="D761" s="24" t="e">
        <f t="array" ref="D761">$S761/MAX(IF(Combo_Species_Names=$N761,Combo_Gym_Offense))</f>
        <v>#VALUE!</v>
      </c>
      <c r="E761" s="23" t="e">
        <f t="array" ref="E761">RANK($Y761,IF(Combo_Species_Names=$N761,Combo_Gym_Defense),0)</f>
        <v>#VALUE!</v>
      </c>
      <c r="F761" s="25" t="e">
        <f t="array" ref="F761">$Y761/MAX(IF(Combo_Species_Names=$N761,Combo_Gym_Defense))</f>
        <v>#VALUE!</v>
      </c>
      <c r="G761" s="23" t="str">
        <f t="array" ref="G761">IF(OR(INDEX(Species_Availability,MATCH($N761,Species_Names,0))="No",INDEX(Species_Evo_Numbers,MATCH($N761,Species_Names,0))&lt;&gt;1),"N/A",RANK($R761,IF(NOT(ISNA(MATCH(Combo_Species_Names,IF(Species_Availability="Yes",IF(Species_Evo_Numbers=1,Species_Names)),0))),Combo_Duel_Ability),0))</f>
        <v>N/A</v>
      </c>
      <c r="H761" s="24" t="str">
        <f t="array" ref="H761">IF(OR(INDEX(Species_Availability,MATCH($N761,Species_Names,0))="No",INDEX(Species_Evo_Numbers,MATCH($N761,Species_Names,0))&lt;&gt;1),"N/A",$R761/MAX(IF(NOT(ISNA(MATCH(Combo_Species_Names,IF(Species_Availability="Yes",IF(Species_Evo_Numbers=1,Species_Names)),0))),Combo_Duel_Ability)))</f>
        <v>N/A</v>
      </c>
      <c r="I761" s="23" t="str">
        <f t="array" ref="I761">IF(OR(INDEX(Species_Availability,MATCH($N761,Species_Names,0))="No",INDEX(Species_Evo_Numbers,MATCH($N761,Species_Names,0))&lt;&gt;1),"N/A",RANK($S761,IF(NOT(ISNA(MATCH(Combo_Species_Names,IF(Species_Availability="Yes",IF(Species_Evo_Numbers=1,Species_Names)),0))),Combo_Gym_Offense),0))</f>
        <v>N/A</v>
      </c>
      <c r="J761" s="24" t="str">
        <f t="array" ref="J761">IF(OR(INDEX(Species_Availability,MATCH($N761,Species_Names,0))="No",INDEX(Species_Evo_Numbers,MATCH($N761,Species_Names,0))&lt;&gt;1),"N/A",$S761/MAX(IF(NOT(ISNA(MATCH(Combo_Species_Names,IF(Species_Availability="Yes",IF(Species_Evo_Numbers=1,Species_Names)),0))),Combo_Gym_Offense)))</f>
        <v>N/A</v>
      </c>
      <c r="K761" s="23" t="str">
        <f t="array" ref="K761">IF(OR(INDEX(Species_Availability,MATCH($N761,Species_Names,0))="No",INDEX(Species_Evo_Numbers,MATCH($N761,Species_Names,0))&lt;&gt;1),"N/A",RANK($Y761,IF(NOT(ISNA(MATCH(Combo_Species_Names,IF(Species_Availability="Yes",IF(Species_Evo_Numbers=1,Species_Names)),0))),Combo_Gym_Defense),0))</f>
        <v>N/A</v>
      </c>
      <c r="L761" s="24" t="str">
        <f t="array" ref="L761">IF(OR(INDEX(Species_Availability,MATCH($N761,Species_Names,0))="No",INDEX(Species_Evo_Numbers,MATCH($N761,Species_Names,0))&lt;&gt;1),"N/A",$Y761/MAX(IF(NOT(ISNA(MATCH(Combo_Species_Names,IF(Species_Availability="Yes",IF(Species_Evo_Numbers=1,Species_Names)),0))),Combo_Gym_Defense)))</f>
        <v>N/A</v>
      </c>
      <c r="M761" s="28">
        <f t="array" ref="M761">INDEX(Species_Pdex_Numbers,MATCH($N761,Species_Names,0))</f>
        <v>116</v>
      </c>
      <c r="N761" s="30" t="s">
        <v>329</v>
      </c>
      <c r="O761" s="31" t="s">
        <v>65</v>
      </c>
      <c r="P761" s="31" t="s">
        <v>289</v>
      </c>
      <c r="Q761" s="17" t="e">
        <f t="shared" si="22"/>
        <v>#VALUE!</v>
      </c>
      <c r="R761" s="32" t="e">
        <f t="array" ref="R761">IF(OR(AND(COUNTBLANK(Combo_Opponent_Type_1)=1,COUNTBLANK(Combo_Opponent_Type_2)=0),AND(AND(COUNTBLANK(Combo_Opponent_Type_1)=0,COUNTBLANK(Combo_Opponent_Type_2)=0),Combo_Opponent_Type_1=Combo_Opponent_Type_2)),
"Check Types",($S761*INDEX(Species_Tankiness,MATCH($N761,Species_Names,0)))/225)</f>
        <v>#VALUE!</v>
      </c>
      <c r="S761" s="32" t="e">
        <f t="array" ref="S761">IF(OR(AND(COUNTBLANK(Combo_Opponent_Type_1)=1,COUNTBLANK(Combo_Opponent_Type_2)=0),AND(AND(COUNTBLANK(Combo_Opponent_Type_1)=0,COUNTBLANK(Combo_Opponent_Type_2)=0),Combo_Opponent_Type_1=Combo_Opponent_Type_2)),
"Check Types",(
IF($W761&gt;=((1-Game_Weave_Human_Error)*$X761),$W761,$X761)*INDEX(Species_Attack,MATCH($N761,Species_Names,0)))/11)</f>
        <v>#VALUE!</v>
      </c>
      <c r="T761" s="33" t="e">
        <f t="shared" si="23"/>
        <v>#VALUE!</v>
      </c>
      <c r="U761" s="33">
        <f t="array" ref="U7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761,Quick_Names,0))),Type_Species)),0),1)*IF(COUNTBLANK(Combo_Opponent_Type_2)=0,INDEX(Type_Damage_Multipliers,MATCH(Combo_Opponent_Type_2,IF(Type_Move=(INDEX(Quick_Type,MATCH($O761,Quick_Names,0))),Type_Species)),0),1)*(IF(OR(INDEX(Quick_Type,MATCH($O761,Quick_Names,0))=INDEX(Species_Type_1,MATCH($N761,Species_Names,0)),INDEX(Quick_Type,MATCH($O761,Quick_Names,0))=INDEX(Species_Type_2,MATCH($N761,Species_Names,0))),Game_STAB_Multiplier,1)))</f>
        <v>1.25</v>
      </c>
      <c r="V761" s="33">
        <f t="array" ref="V76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761,Charge_Names,0))),Type_Species)),0),1)*IF(COUNTBLANK(Combo_Opponent_Type_2)=0,INDEX(Type_Damage_Multipliers,MATCH(Combo_Opponent_Type_2,IF(Type_Move=(INDEX(Charge_Type,MATCH($P761,Charge_Names,0))),Type_Species)),0),1)*
IF(OR(INDEX(Charge_Type,MATCH($P761,Charge_Names,0))=INDEX(Species_Type_1,MATCH($N761,Species_Names,0)),INDEX(Charge_Type,MATCH($P761,Charge_Names,0))=INDEX(Species_Type_2,MATCH($N761,Species_Names,0))),Game_STAB_Multiplier,1))</f>
        <v>1.25</v>
      </c>
      <c r="W761" s="33" t="s">
        <v>412</v>
      </c>
      <c r="X761" s="33" t="s">
        <v>986</v>
      </c>
      <c r="Y761" s="32" t="e">
        <f t="array" ref="Y761">((($Z761)*
INDEX(Species_Attack,MATCH($N761,Species_Names,0))*
INDEX(Species_Tankiness,MATCH($N761,Species_Names,0)))/1000)</f>
        <v>#VALUE!</v>
      </c>
      <c r="Z761" s="33" t="s">
        <v>928</v>
      </c>
    </row>
    <row r="762" spans="1:26" ht="14.25" customHeight="1" x14ac:dyDescent="0.2">
      <c r="A762" s="86"/>
      <c r="B762" s="22" t="str">
        <f t="array" ref="B762">CONCATENATE(TEXT($M762,"000"),".",TEXT(INDEX(Quick_Number,MATCH($O762,Quick_Names,0)),"000"),".",TEXT(INDEX(Charge_Number,MATCH($P762,Charge_Names,0)),"000"))</f>
        <v>081.206.072</v>
      </c>
      <c r="C762" s="23" t="e">
        <f t="array" ref="C762">RANK($S762,IF(Combo_Species_Names=$N762,Combo_Gym_Offense),0)</f>
        <v>#VALUE!</v>
      </c>
      <c r="D762" s="24" t="e">
        <f t="array" ref="D762">$S762/MAX(IF(Combo_Species_Names=$N762,Combo_Gym_Offense))</f>
        <v>#VALUE!</v>
      </c>
      <c r="E762" s="23" t="e">
        <f t="array" ref="E762">RANK($Y762,IF(Combo_Species_Names=$N762,Combo_Gym_Defense),0)</f>
        <v>#VALUE!</v>
      </c>
      <c r="F762" s="25" t="e">
        <f t="array" ref="F762">$Y762/MAX(IF(Combo_Species_Names=$N762,Combo_Gym_Defense))</f>
        <v>#VALUE!</v>
      </c>
      <c r="G762" s="23" t="str">
        <f t="array" ref="G762">IF(OR(INDEX(Species_Availability,MATCH($N762,Species_Names,0))="No",INDEX(Species_Evo_Numbers,MATCH($N762,Species_Names,0))&lt;&gt;1),"N/A",RANK($R762,IF(NOT(ISNA(MATCH(Combo_Species_Names,IF(Species_Availability="Yes",IF(Species_Evo_Numbers=1,Species_Names)),0))),Combo_Duel_Ability),0))</f>
        <v>N/A</v>
      </c>
      <c r="H762" s="24" t="str">
        <f t="array" ref="H762">IF(OR(INDEX(Species_Availability,MATCH($N762,Species_Names,0))="No",INDEX(Species_Evo_Numbers,MATCH($N762,Species_Names,0))&lt;&gt;1),"N/A",$R762/MAX(IF(NOT(ISNA(MATCH(Combo_Species_Names,IF(Species_Availability="Yes",IF(Species_Evo_Numbers=1,Species_Names)),0))),Combo_Duel_Ability)))</f>
        <v>N/A</v>
      </c>
      <c r="I762" s="23" t="str">
        <f t="array" ref="I762">IF(OR(INDEX(Species_Availability,MATCH($N762,Species_Names,0))="No",INDEX(Species_Evo_Numbers,MATCH($N762,Species_Names,0))&lt;&gt;1),"N/A",RANK($S762,IF(NOT(ISNA(MATCH(Combo_Species_Names,IF(Species_Availability="Yes",IF(Species_Evo_Numbers=1,Species_Names)),0))),Combo_Gym_Offense),0))</f>
        <v>N/A</v>
      </c>
      <c r="J762" s="24" t="str">
        <f t="array" ref="J762">IF(OR(INDEX(Species_Availability,MATCH($N762,Species_Names,0))="No",INDEX(Species_Evo_Numbers,MATCH($N762,Species_Names,0))&lt;&gt;1),"N/A",$S762/MAX(IF(NOT(ISNA(MATCH(Combo_Species_Names,IF(Species_Availability="Yes",IF(Species_Evo_Numbers=1,Species_Names)),0))),Combo_Gym_Offense)))</f>
        <v>N/A</v>
      </c>
      <c r="K762" s="23" t="str">
        <f t="array" ref="K762">IF(OR(INDEX(Species_Availability,MATCH($N762,Species_Names,0))="No",INDEX(Species_Evo_Numbers,MATCH($N762,Species_Names,0))&lt;&gt;1),"N/A",RANK($Y762,IF(NOT(ISNA(MATCH(Combo_Species_Names,IF(Species_Availability="Yes",IF(Species_Evo_Numbers=1,Species_Names)),0))),Combo_Gym_Defense),0))</f>
        <v>N/A</v>
      </c>
      <c r="L762" s="24" t="str">
        <f t="array" ref="L762">IF(OR(INDEX(Species_Availability,MATCH($N762,Species_Names,0))="No",INDEX(Species_Evo_Numbers,MATCH($N762,Species_Names,0))&lt;&gt;1),"N/A",$Y762/MAX(IF(NOT(ISNA(MATCH(Combo_Species_Names,IF(Species_Availability="Yes",IF(Species_Evo_Numbers=1,Species_Names)),0))),Combo_Gym_Defense)))</f>
        <v>N/A</v>
      </c>
      <c r="M762" s="28">
        <f t="array" ref="M762">INDEX(Species_Pdex_Numbers,MATCH($N762,Species_Names,0))</f>
        <v>81</v>
      </c>
      <c r="N762" s="30" t="s">
        <v>254</v>
      </c>
      <c r="O762" s="31" t="s">
        <v>106</v>
      </c>
      <c r="P762" s="31" t="s">
        <v>278</v>
      </c>
      <c r="Q762" s="17" t="e">
        <f t="shared" si="22"/>
        <v>#VALUE!</v>
      </c>
      <c r="R762" s="32" t="e">
        <f t="array" ref="R762">IF(OR(AND(COUNTBLANK(Combo_Opponent_Type_1)=1,COUNTBLANK(Combo_Opponent_Type_2)=0),AND(AND(COUNTBLANK(Combo_Opponent_Type_1)=0,COUNTBLANK(Combo_Opponent_Type_2)=0),Combo_Opponent_Type_1=Combo_Opponent_Type_2)),
"Check Types",($S762*INDEX(Species_Tankiness,MATCH($N762,Species_Names,0)))/225)</f>
        <v>#VALUE!</v>
      </c>
      <c r="S762" s="32" t="e">
        <f t="array" ref="S762">IF(OR(AND(COUNTBLANK(Combo_Opponent_Type_1)=1,COUNTBLANK(Combo_Opponent_Type_2)=0),AND(AND(COUNTBLANK(Combo_Opponent_Type_1)=0,COUNTBLANK(Combo_Opponent_Type_2)=0),Combo_Opponent_Type_1=Combo_Opponent_Type_2)),
"Check Types",(
IF($W762&gt;=((1-Game_Weave_Human_Error)*$X762),$W762,$X762)*INDEX(Species_Attack,MATCH($N762,Species_Names,0)))/11)</f>
        <v>#VALUE!</v>
      </c>
      <c r="T762" s="33" t="e">
        <f t="shared" si="23"/>
        <v>#VALUE!</v>
      </c>
      <c r="U762" s="33">
        <f t="array" ref="U7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762,Quick_Names,0))),Type_Species)),0),1)*IF(COUNTBLANK(Combo_Opponent_Type_2)=0,INDEX(Type_Damage_Multipliers,MATCH(Combo_Opponent_Type_2,IF(Type_Move=(INDEX(Quick_Type,MATCH($O762,Quick_Names,0))),Type_Species)),0),1)*(IF(OR(INDEX(Quick_Type,MATCH($O762,Quick_Names,0))=INDEX(Species_Type_1,MATCH($N762,Species_Names,0)),INDEX(Quick_Type,MATCH($O762,Quick_Names,0))=INDEX(Species_Type_2,MATCH($N762,Species_Names,0))),Game_STAB_Multiplier,1)))</f>
        <v>1.25</v>
      </c>
      <c r="V762" s="33">
        <f t="array" ref="V76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762,Charge_Names,0))),Type_Species)),0),1)*IF(COUNTBLANK(Combo_Opponent_Type_2)=0,INDEX(Type_Damage_Multipliers,MATCH(Combo_Opponent_Type_2,IF(Type_Move=(INDEX(Charge_Type,MATCH($P762,Charge_Names,0))),Type_Species)),0),1)*
IF(OR(INDEX(Charge_Type,MATCH($P762,Charge_Names,0))=INDEX(Species_Type_1,MATCH($N762,Species_Names,0)),INDEX(Charge_Type,MATCH($P762,Charge_Names,0))=INDEX(Species_Type_2,MATCH($N762,Species_Names,0))),Game_STAB_Multiplier,1))</f>
        <v>1.25</v>
      </c>
      <c r="W762" s="33" t="s">
        <v>708</v>
      </c>
      <c r="X762" s="33" t="s">
        <v>856</v>
      </c>
      <c r="Y762" s="32" t="e">
        <f t="array" ref="Y762">((($Z762)*
INDEX(Species_Attack,MATCH($N762,Species_Names,0))*
INDEX(Species_Tankiness,MATCH($N762,Species_Names,0)))/1000)</f>
        <v>#VALUE!</v>
      </c>
      <c r="Z762" s="33" t="s">
        <v>857</v>
      </c>
    </row>
    <row r="763" spans="1:26" ht="14.25" customHeight="1" x14ac:dyDescent="0.2">
      <c r="A763" s="86"/>
      <c r="B763" s="22" t="str">
        <f t="array" ref="B763">CONCATENATE(TEXT($M763,"000"),".",TEXT(INDEX(Quick_Number,MATCH($O763,Quick_Names,0)),"000"),".",TEXT(INDEX(Charge_Number,MATCH($P763,Charge_Names,0)),"000"))</f>
        <v>037.219.024</v>
      </c>
      <c r="C763" s="23" t="e">
        <f t="array" ref="C763">RANK($S763,IF(Combo_Species_Names=$N763,Combo_Gym_Offense),0)</f>
        <v>#VALUE!</v>
      </c>
      <c r="D763" s="24" t="e">
        <f t="array" ref="D763">$S763/MAX(IF(Combo_Species_Names=$N763,Combo_Gym_Offense))</f>
        <v>#VALUE!</v>
      </c>
      <c r="E763" s="23" t="e">
        <f t="array" ref="E763">RANK($Y763,IF(Combo_Species_Names=$N763,Combo_Gym_Defense),0)</f>
        <v>#VALUE!</v>
      </c>
      <c r="F763" s="25" t="e">
        <f t="array" ref="F763">$Y763/MAX(IF(Combo_Species_Names=$N763,Combo_Gym_Defense))</f>
        <v>#VALUE!</v>
      </c>
      <c r="G763" s="23" t="str">
        <f t="array" ref="G763">IF(OR(INDEX(Species_Availability,MATCH($N763,Species_Names,0))="No",INDEX(Species_Evo_Numbers,MATCH($N763,Species_Names,0))&lt;&gt;1),"N/A",RANK($R763,IF(NOT(ISNA(MATCH(Combo_Species_Names,IF(Species_Availability="Yes",IF(Species_Evo_Numbers=1,Species_Names)),0))),Combo_Duel_Ability),0))</f>
        <v>N/A</v>
      </c>
      <c r="H763" s="24" t="str">
        <f t="array" ref="H763">IF(OR(INDEX(Species_Availability,MATCH($N763,Species_Names,0))="No",INDEX(Species_Evo_Numbers,MATCH($N763,Species_Names,0))&lt;&gt;1),"N/A",$R763/MAX(IF(NOT(ISNA(MATCH(Combo_Species_Names,IF(Species_Availability="Yes",IF(Species_Evo_Numbers=1,Species_Names)),0))),Combo_Duel_Ability)))</f>
        <v>N/A</v>
      </c>
      <c r="I763" s="23" t="str">
        <f t="array" ref="I763">IF(OR(INDEX(Species_Availability,MATCH($N763,Species_Names,0))="No",INDEX(Species_Evo_Numbers,MATCH($N763,Species_Names,0))&lt;&gt;1),"N/A",RANK($S763,IF(NOT(ISNA(MATCH(Combo_Species_Names,IF(Species_Availability="Yes",IF(Species_Evo_Numbers=1,Species_Names)),0))),Combo_Gym_Offense),0))</f>
        <v>N/A</v>
      </c>
      <c r="J763" s="24" t="str">
        <f t="array" ref="J763">IF(OR(INDEX(Species_Availability,MATCH($N763,Species_Names,0))="No",INDEX(Species_Evo_Numbers,MATCH($N763,Species_Names,0))&lt;&gt;1),"N/A",$S763/MAX(IF(NOT(ISNA(MATCH(Combo_Species_Names,IF(Species_Availability="Yes",IF(Species_Evo_Numbers=1,Species_Names)),0))),Combo_Gym_Offense)))</f>
        <v>N/A</v>
      </c>
      <c r="K763" s="23" t="str">
        <f t="array" ref="K763">IF(OR(INDEX(Species_Availability,MATCH($N763,Species_Names,0))="No",INDEX(Species_Evo_Numbers,MATCH($N763,Species_Names,0))&lt;&gt;1),"N/A",RANK($Y763,IF(NOT(ISNA(MATCH(Combo_Species_Names,IF(Species_Availability="Yes",IF(Species_Evo_Numbers=1,Species_Names)),0))),Combo_Gym_Defense),0))</f>
        <v>N/A</v>
      </c>
      <c r="L763" s="24" t="str">
        <f t="array" ref="L763">IF(OR(INDEX(Species_Availability,MATCH($N763,Species_Names,0))="No",INDEX(Species_Evo_Numbers,MATCH($N763,Species_Names,0))&lt;&gt;1),"N/A",$Y763/MAX(IF(NOT(ISNA(MATCH(Combo_Species_Names,IF(Species_Availability="Yes",IF(Species_Evo_Numbers=1,Species_Names)),0))),Combo_Gym_Defense)))</f>
        <v>N/A</v>
      </c>
      <c r="M763" s="28">
        <f t="array" ref="M763">INDEX(Species_Pdex_Numbers,MATCH($N763,Species_Names,0))</f>
        <v>37</v>
      </c>
      <c r="N763" s="30" t="s">
        <v>166</v>
      </c>
      <c r="O763" s="31" t="s">
        <v>119</v>
      </c>
      <c r="P763" s="31" t="s">
        <v>200</v>
      </c>
      <c r="Q763" s="17" t="e">
        <f t="shared" si="22"/>
        <v>#VALUE!</v>
      </c>
      <c r="R763" s="32" t="e">
        <f t="array" ref="R763">IF(OR(AND(COUNTBLANK(Combo_Opponent_Type_1)=1,COUNTBLANK(Combo_Opponent_Type_2)=0),AND(AND(COUNTBLANK(Combo_Opponent_Type_1)=0,COUNTBLANK(Combo_Opponent_Type_2)=0),Combo_Opponent_Type_1=Combo_Opponent_Type_2)),
"Check Types",($S763*INDEX(Species_Tankiness,MATCH($N763,Species_Names,0)))/225)</f>
        <v>#VALUE!</v>
      </c>
      <c r="S763" s="32" t="e">
        <f t="array" ref="S763">IF(OR(AND(COUNTBLANK(Combo_Opponent_Type_1)=1,COUNTBLANK(Combo_Opponent_Type_2)=0),AND(AND(COUNTBLANK(Combo_Opponent_Type_1)=0,COUNTBLANK(Combo_Opponent_Type_2)=0),Combo_Opponent_Type_1=Combo_Opponent_Type_2)),
"Check Types",(
IF($W763&gt;=((1-Game_Weave_Human_Error)*$X763),$W763,$X763)*INDEX(Species_Attack,MATCH($N763,Species_Names,0)))/11)</f>
        <v>#VALUE!</v>
      </c>
      <c r="T763" s="33" t="e">
        <f t="shared" si="23"/>
        <v>#VALUE!</v>
      </c>
      <c r="U763" s="33">
        <f t="array" ref="U7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763,Quick_Names,0))),Type_Species)),0),1)*IF(COUNTBLANK(Combo_Opponent_Type_2)=0,INDEX(Type_Damage_Multipliers,MATCH(Combo_Opponent_Type_2,IF(Type_Move=(INDEX(Quick_Type,MATCH($O763,Quick_Names,0))),Type_Species)),0),1)*(IF(OR(INDEX(Quick_Type,MATCH($O763,Quick_Names,0))=INDEX(Species_Type_1,MATCH($N763,Species_Names,0)),INDEX(Quick_Type,MATCH($O763,Quick_Names,0))=INDEX(Species_Type_2,MATCH($N763,Species_Names,0))),Game_STAB_Multiplier,1)))</f>
        <v>1</v>
      </c>
      <c r="V763" s="33">
        <f t="array" ref="V76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763,Charge_Names,0))),Type_Species)),0),1)*IF(COUNTBLANK(Combo_Opponent_Type_2)=0,INDEX(Type_Damage_Multipliers,MATCH(Combo_Opponent_Type_2,IF(Type_Move=(INDEX(Charge_Type,MATCH($P763,Charge_Names,0))),Type_Species)),0),1)*
IF(OR(INDEX(Charge_Type,MATCH($P763,Charge_Names,0))=INDEX(Species_Type_1,MATCH($N763,Species_Names,0)),INDEX(Charge_Type,MATCH($P763,Charge_Names,0))=INDEX(Species_Type_2,MATCH($N763,Species_Names,0))),Game_STAB_Multiplier,1))</f>
        <v>1.25</v>
      </c>
      <c r="W763" s="33" t="s">
        <v>600</v>
      </c>
      <c r="X763" s="33" t="s">
        <v>1071</v>
      </c>
      <c r="Y763" s="32" t="e">
        <f t="array" ref="Y763">((($Z763)*
INDEX(Species_Attack,MATCH($N763,Species_Names,0))*
INDEX(Species_Tankiness,MATCH($N763,Species_Names,0)))/1000)</f>
        <v>#VALUE!</v>
      </c>
      <c r="Z763" s="33" t="s">
        <v>699</v>
      </c>
    </row>
    <row r="764" spans="1:26" ht="14.25" customHeight="1" x14ac:dyDescent="0.2">
      <c r="A764" s="86"/>
      <c r="B764" s="22" t="str">
        <f t="array" ref="B764">CONCATENATE(TEXT($M764,"000"),".",TEXT(INDEX(Quick_Number,MATCH($O764,Quick_Names,0)),"000"),".",TEXT(INDEX(Charge_Number,MATCH($P764,Charge_Names,0)),"000"))</f>
        <v>074.227.063</v>
      </c>
      <c r="C764" s="23" t="e">
        <f t="array" ref="C764">RANK($S764,IF(Combo_Species_Names=$N764,Combo_Gym_Offense),0)</f>
        <v>#VALUE!</v>
      </c>
      <c r="D764" s="24" t="e">
        <f t="array" ref="D764">$S764/MAX(IF(Combo_Species_Names=$N764,Combo_Gym_Offense))</f>
        <v>#VALUE!</v>
      </c>
      <c r="E764" s="23" t="e">
        <f t="array" ref="E764">RANK($Y764,IF(Combo_Species_Names=$N764,Combo_Gym_Defense),0)</f>
        <v>#VALUE!</v>
      </c>
      <c r="F764" s="25" t="e">
        <f t="array" ref="F764">$Y764/MAX(IF(Combo_Species_Names=$N764,Combo_Gym_Defense))</f>
        <v>#VALUE!</v>
      </c>
      <c r="G764" s="23" t="str">
        <f t="array" ref="G764">IF(OR(INDEX(Species_Availability,MATCH($N764,Species_Names,0))="No",INDEX(Species_Evo_Numbers,MATCH($N764,Species_Names,0))&lt;&gt;1),"N/A",RANK($R764,IF(NOT(ISNA(MATCH(Combo_Species_Names,IF(Species_Availability="Yes",IF(Species_Evo_Numbers=1,Species_Names)),0))),Combo_Duel_Ability),0))</f>
        <v>N/A</v>
      </c>
      <c r="H764" s="24" t="str">
        <f t="array" ref="H764">IF(OR(INDEX(Species_Availability,MATCH($N764,Species_Names,0))="No",INDEX(Species_Evo_Numbers,MATCH($N764,Species_Names,0))&lt;&gt;1),"N/A",$R764/MAX(IF(NOT(ISNA(MATCH(Combo_Species_Names,IF(Species_Availability="Yes",IF(Species_Evo_Numbers=1,Species_Names)),0))),Combo_Duel_Ability)))</f>
        <v>N/A</v>
      </c>
      <c r="I764" s="23" t="str">
        <f t="array" ref="I764">IF(OR(INDEX(Species_Availability,MATCH($N764,Species_Names,0))="No",INDEX(Species_Evo_Numbers,MATCH($N764,Species_Names,0))&lt;&gt;1),"N/A",RANK($S764,IF(NOT(ISNA(MATCH(Combo_Species_Names,IF(Species_Availability="Yes",IF(Species_Evo_Numbers=1,Species_Names)),0))),Combo_Gym_Offense),0))</f>
        <v>N/A</v>
      </c>
      <c r="J764" s="24" t="str">
        <f t="array" ref="J764">IF(OR(INDEX(Species_Availability,MATCH($N764,Species_Names,0))="No",INDEX(Species_Evo_Numbers,MATCH($N764,Species_Names,0))&lt;&gt;1),"N/A",$S764/MAX(IF(NOT(ISNA(MATCH(Combo_Species_Names,IF(Species_Availability="Yes",IF(Species_Evo_Numbers=1,Species_Names)),0))),Combo_Gym_Offense)))</f>
        <v>N/A</v>
      </c>
      <c r="K764" s="23" t="str">
        <f t="array" ref="K764">IF(OR(INDEX(Species_Availability,MATCH($N764,Species_Names,0))="No",INDEX(Species_Evo_Numbers,MATCH($N764,Species_Names,0))&lt;&gt;1),"N/A",RANK($Y764,IF(NOT(ISNA(MATCH(Combo_Species_Names,IF(Species_Availability="Yes",IF(Species_Evo_Numbers=1,Species_Names)),0))),Combo_Gym_Defense),0))</f>
        <v>N/A</v>
      </c>
      <c r="L764" s="24" t="str">
        <f t="array" ref="L764">IF(OR(INDEX(Species_Availability,MATCH($N764,Species_Names,0))="No",INDEX(Species_Evo_Numbers,MATCH($N764,Species_Names,0))&lt;&gt;1),"N/A",$Y764/MAX(IF(NOT(ISNA(MATCH(Combo_Species_Names,IF(Species_Availability="Yes",IF(Species_Evo_Numbers=1,Species_Names)),0))),Combo_Gym_Defense)))</f>
        <v>N/A</v>
      </c>
      <c r="M764" s="28">
        <f t="array" ref="M764">INDEX(Species_Pdex_Numbers,MATCH($N764,Species_Names,0))</f>
        <v>74</v>
      </c>
      <c r="N764" s="30" t="s">
        <v>240</v>
      </c>
      <c r="O764" s="31" t="s">
        <v>112</v>
      </c>
      <c r="P764" s="31" t="s">
        <v>299</v>
      </c>
      <c r="Q764" s="17" t="e">
        <f t="shared" si="22"/>
        <v>#VALUE!</v>
      </c>
      <c r="R764" s="32" t="e">
        <f t="array" ref="R764">IF(OR(AND(COUNTBLANK(Combo_Opponent_Type_1)=1,COUNTBLANK(Combo_Opponent_Type_2)=0),AND(AND(COUNTBLANK(Combo_Opponent_Type_1)=0,COUNTBLANK(Combo_Opponent_Type_2)=0),Combo_Opponent_Type_1=Combo_Opponent_Type_2)),
"Check Types",($S764*INDEX(Species_Tankiness,MATCH($N764,Species_Names,0)))/225)</f>
        <v>#VALUE!</v>
      </c>
      <c r="S764" s="32" t="e">
        <f t="array" ref="S764">IF(OR(AND(COUNTBLANK(Combo_Opponent_Type_1)=1,COUNTBLANK(Combo_Opponent_Type_2)=0),AND(AND(COUNTBLANK(Combo_Opponent_Type_1)=0,COUNTBLANK(Combo_Opponent_Type_2)=0),Combo_Opponent_Type_1=Combo_Opponent_Type_2)),
"Check Types",(
IF($W764&gt;=((1-Game_Weave_Human_Error)*$X764),$W764,$X764)*INDEX(Species_Attack,MATCH($N764,Species_Names,0)))/11)</f>
        <v>#VALUE!</v>
      </c>
      <c r="T764" s="33" t="e">
        <f t="shared" si="23"/>
        <v>#VALUE!</v>
      </c>
      <c r="U764" s="33">
        <f t="array" ref="U7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764,Quick_Names,0))),Type_Species)),0),1)*IF(COUNTBLANK(Combo_Opponent_Type_2)=0,INDEX(Type_Damage_Multipliers,MATCH(Combo_Opponent_Type_2,IF(Type_Move=(INDEX(Quick_Type,MATCH($O764,Quick_Names,0))),Type_Species)),0),1)*(IF(OR(INDEX(Quick_Type,MATCH($O764,Quick_Names,0))=INDEX(Species_Type_1,MATCH($N764,Species_Names,0)),INDEX(Quick_Type,MATCH($O764,Quick_Names,0))=INDEX(Species_Type_2,MATCH($N764,Species_Names,0))),Game_STAB_Multiplier,1)))</f>
        <v>1.25</v>
      </c>
      <c r="V764" s="33">
        <f t="array" ref="V76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764,Charge_Names,0))),Type_Species)),0),1)*IF(COUNTBLANK(Combo_Opponent_Type_2)=0,INDEX(Type_Damage_Multipliers,MATCH(Combo_Opponent_Type_2,IF(Type_Move=(INDEX(Charge_Type,MATCH($P764,Charge_Names,0))),Type_Species)),0),1)*
IF(OR(INDEX(Charge_Type,MATCH($P764,Charge_Names,0))=INDEX(Species_Type_1,MATCH($N764,Species_Names,0)),INDEX(Charge_Type,MATCH($P764,Charge_Names,0))=INDEX(Species_Type_2,MATCH($N764,Species_Names,0))),Game_STAB_Multiplier,1))</f>
        <v>1.25</v>
      </c>
      <c r="W764" s="33" t="s">
        <v>548</v>
      </c>
      <c r="X764" s="33" t="s">
        <v>1044</v>
      </c>
      <c r="Y764" s="32" t="e">
        <f t="array" ref="Y764">((($Z764)*
INDEX(Species_Attack,MATCH($N764,Species_Names,0))*
INDEX(Species_Tankiness,MATCH($N764,Species_Names,0)))/1000)</f>
        <v>#VALUE!</v>
      </c>
      <c r="Z764" s="33" t="s">
        <v>492</v>
      </c>
    </row>
    <row r="765" spans="1:26" ht="14.25" customHeight="1" x14ac:dyDescent="0.2">
      <c r="A765" s="86"/>
      <c r="B765" s="22" t="str">
        <f t="array" ref="B765">CONCATENATE(TEXT($M765,"000"),".",TEXT(INDEX(Quick_Number,MATCH($O765,Quick_Names,0)),"000"),".",TEXT(INDEX(Charge_Number,MATCH($P765,Charge_Names,0)),"000"))</f>
        <v>118.211.126</v>
      </c>
      <c r="C765" s="23" t="e">
        <f t="array" ref="C765">RANK($S765,IF(Combo_Species_Names=$N765,Combo_Gym_Offense),0)</f>
        <v>#VALUE!</v>
      </c>
      <c r="D765" s="24" t="e">
        <f t="array" ref="D765">$S765/MAX(IF(Combo_Species_Names=$N765,Combo_Gym_Offense))</f>
        <v>#VALUE!</v>
      </c>
      <c r="E765" s="23" t="e">
        <f t="array" ref="E765">RANK($Y765,IF(Combo_Species_Names=$N765,Combo_Gym_Defense),0)</f>
        <v>#VALUE!</v>
      </c>
      <c r="F765" s="25" t="e">
        <f t="array" ref="F765">$Y765/MAX(IF(Combo_Species_Names=$N765,Combo_Gym_Defense))</f>
        <v>#VALUE!</v>
      </c>
      <c r="G765" s="23" t="str">
        <f t="array" ref="G765">IF(OR(INDEX(Species_Availability,MATCH($N765,Species_Names,0))="No",INDEX(Species_Evo_Numbers,MATCH($N765,Species_Names,0))&lt;&gt;1),"N/A",RANK($R765,IF(NOT(ISNA(MATCH(Combo_Species_Names,IF(Species_Availability="Yes",IF(Species_Evo_Numbers=1,Species_Names)),0))),Combo_Duel_Ability),0))</f>
        <v>N/A</v>
      </c>
      <c r="H765" s="24" t="str">
        <f t="array" ref="H765">IF(OR(INDEX(Species_Availability,MATCH($N765,Species_Names,0))="No",INDEX(Species_Evo_Numbers,MATCH($N765,Species_Names,0))&lt;&gt;1),"N/A",$R765/MAX(IF(NOT(ISNA(MATCH(Combo_Species_Names,IF(Species_Availability="Yes",IF(Species_Evo_Numbers=1,Species_Names)),0))),Combo_Duel_Ability)))</f>
        <v>N/A</v>
      </c>
      <c r="I765" s="23" t="str">
        <f t="array" ref="I765">IF(OR(INDEX(Species_Availability,MATCH($N765,Species_Names,0))="No",INDEX(Species_Evo_Numbers,MATCH($N765,Species_Names,0))&lt;&gt;1),"N/A",RANK($S765,IF(NOT(ISNA(MATCH(Combo_Species_Names,IF(Species_Availability="Yes",IF(Species_Evo_Numbers=1,Species_Names)),0))),Combo_Gym_Offense),0))</f>
        <v>N/A</v>
      </c>
      <c r="J765" s="24" t="str">
        <f t="array" ref="J765">IF(OR(INDEX(Species_Availability,MATCH($N765,Species_Names,0))="No",INDEX(Species_Evo_Numbers,MATCH($N765,Species_Names,0))&lt;&gt;1),"N/A",$S765/MAX(IF(NOT(ISNA(MATCH(Combo_Species_Names,IF(Species_Availability="Yes",IF(Species_Evo_Numbers=1,Species_Names)),0))),Combo_Gym_Offense)))</f>
        <v>N/A</v>
      </c>
      <c r="K765" s="23" t="str">
        <f t="array" ref="K765">IF(OR(INDEX(Species_Availability,MATCH($N765,Species_Names,0))="No",INDEX(Species_Evo_Numbers,MATCH($N765,Species_Names,0))&lt;&gt;1),"N/A",RANK($Y765,IF(NOT(ISNA(MATCH(Combo_Species_Names,IF(Species_Availability="Yes",IF(Species_Evo_Numbers=1,Species_Names)),0))),Combo_Gym_Defense),0))</f>
        <v>N/A</v>
      </c>
      <c r="L765" s="24" t="str">
        <f t="array" ref="L765">IF(OR(INDEX(Species_Availability,MATCH($N765,Species_Names,0))="No",INDEX(Species_Evo_Numbers,MATCH($N765,Species_Names,0))&lt;&gt;1),"N/A",$Y765/MAX(IF(NOT(ISNA(MATCH(Combo_Species_Names,IF(Species_Availability="Yes",IF(Species_Evo_Numbers=1,Species_Names)),0))),Combo_Gym_Defense)))</f>
        <v>N/A</v>
      </c>
      <c r="M765" s="28">
        <f t="array" ref="M765">INDEX(Species_Pdex_Numbers,MATCH($N765,Species_Names,0))</f>
        <v>118</v>
      </c>
      <c r="N765" s="30" t="s">
        <v>331</v>
      </c>
      <c r="O765" s="31" t="s">
        <v>114</v>
      </c>
      <c r="P765" s="31" t="s">
        <v>275</v>
      </c>
      <c r="Q765" s="17" t="e">
        <f t="shared" si="22"/>
        <v>#VALUE!</v>
      </c>
      <c r="R765" s="32" t="e">
        <f t="array" ref="R765">IF(OR(AND(COUNTBLANK(Combo_Opponent_Type_1)=1,COUNTBLANK(Combo_Opponent_Type_2)=0),AND(AND(COUNTBLANK(Combo_Opponent_Type_1)=0,COUNTBLANK(Combo_Opponent_Type_2)=0),Combo_Opponent_Type_1=Combo_Opponent_Type_2)),
"Check Types",($S765*INDEX(Species_Tankiness,MATCH($N765,Species_Names,0)))/225)</f>
        <v>#VALUE!</v>
      </c>
      <c r="S765" s="32" t="e">
        <f t="array" ref="S765">IF(OR(AND(COUNTBLANK(Combo_Opponent_Type_1)=1,COUNTBLANK(Combo_Opponent_Type_2)=0),AND(AND(COUNTBLANK(Combo_Opponent_Type_1)=0,COUNTBLANK(Combo_Opponent_Type_2)=0),Combo_Opponent_Type_1=Combo_Opponent_Type_2)),
"Check Types",(
IF($W765&gt;=((1-Game_Weave_Human_Error)*$X765),$W765,$X765)*INDEX(Species_Attack,MATCH($N765,Species_Names,0)))/11)</f>
        <v>#VALUE!</v>
      </c>
      <c r="T765" s="33" t="e">
        <f t="shared" si="23"/>
        <v>#VALUE!</v>
      </c>
      <c r="U765" s="33">
        <f t="array" ref="U7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765,Quick_Names,0))),Type_Species)),0),1)*IF(COUNTBLANK(Combo_Opponent_Type_2)=0,INDEX(Type_Damage_Multipliers,MATCH(Combo_Opponent_Type_2,IF(Type_Move=(INDEX(Quick_Type,MATCH($O765,Quick_Names,0))),Type_Species)),0),1)*(IF(OR(INDEX(Quick_Type,MATCH($O765,Quick_Names,0))=INDEX(Species_Type_1,MATCH($N765,Species_Names,0)),INDEX(Quick_Type,MATCH($O765,Quick_Names,0))=INDEX(Species_Type_2,MATCH($N765,Species_Names,0))),Game_STAB_Multiplier,1)))</f>
        <v>1</v>
      </c>
      <c r="V765" s="33">
        <f t="array" ref="V76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765,Charge_Names,0))),Type_Species)),0),1)*IF(COUNTBLANK(Combo_Opponent_Type_2)=0,INDEX(Type_Damage_Multipliers,MATCH(Combo_Opponent_Type_2,IF(Type_Move=(INDEX(Charge_Type,MATCH($P765,Charge_Names,0))),Type_Species)),0),1)*
IF(OR(INDEX(Charge_Type,MATCH($P765,Charge_Names,0))=INDEX(Species_Type_1,MATCH($N765,Species_Names,0)),INDEX(Charge_Type,MATCH($P765,Charge_Names,0))=INDEX(Species_Type_2,MATCH($N765,Species_Names,0))),Game_STAB_Multiplier,1))</f>
        <v>1</v>
      </c>
      <c r="W765" s="33" t="s">
        <v>779</v>
      </c>
      <c r="X765" s="33" t="s">
        <v>1072</v>
      </c>
      <c r="Y765" s="32" t="e">
        <f t="array" ref="Y765">((($Z765)*
INDEX(Species_Attack,MATCH($N765,Species_Names,0))*
INDEX(Species_Tankiness,MATCH($N765,Species_Names,0)))/1000)</f>
        <v>#VALUE!</v>
      </c>
      <c r="Z765" s="33" t="s">
        <v>947</v>
      </c>
    </row>
    <row r="766" spans="1:26" ht="14.25" customHeight="1" x14ac:dyDescent="0.2">
      <c r="A766" s="86"/>
      <c r="B766" s="22" t="str">
        <f t="array" ref="B766">CONCATENATE(TEXT($M766,"000"),".",TEXT(INDEX(Quick_Number,MATCH($O766,Quick_Names,0)),"000"),".",TEXT(INDEX(Charge_Number,MATCH($P766,Charge_Names,0)),"000"))</f>
        <v>032.211.131</v>
      </c>
      <c r="C766" s="23" t="e">
        <f t="array" ref="C766">RANK($S766,IF(Combo_Species_Names=$N766,Combo_Gym_Offense),0)</f>
        <v>#VALUE!</v>
      </c>
      <c r="D766" s="24" t="e">
        <f t="array" ref="D766">$S766/MAX(IF(Combo_Species_Names=$N766,Combo_Gym_Offense))</f>
        <v>#VALUE!</v>
      </c>
      <c r="E766" s="23" t="e">
        <f t="array" ref="E766">RANK($Y766,IF(Combo_Species_Names=$N766,Combo_Gym_Defense),0)</f>
        <v>#VALUE!</v>
      </c>
      <c r="F766" s="25" t="e">
        <f t="array" ref="F766">$Y766/MAX(IF(Combo_Species_Names=$N766,Combo_Gym_Defense))</f>
        <v>#VALUE!</v>
      </c>
      <c r="G766" s="23" t="str">
        <f t="array" ref="G766">IF(OR(INDEX(Species_Availability,MATCH($N766,Species_Names,0))="No",INDEX(Species_Evo_Numbers,MATCH($N766,Species_Names,0))&lt;&gt;1),"N/A",RANK($R766,IF(NOT(ISNA(MATCH(Combo_Species_Names,IF(Species_Availability="Yes",IF(Species_Evo_Numbers=1,Species_Names)),0))),Combo_Duel_Ability),0))</f>
        <v>N/A</v>
      </c>
      <c r="H766" s="24" t="str">
        <f t="array" ref="H766">IF(OR(INDEX(Species_Availability,MATCH($N766,Species_Names,0))="No",INDEX(Species_Evo_Numbers,MATCH($N766,Species_Names,0))&lt;&gt;1),"N/A",$R766/MAX(IF(NOT(ISNA(MATCH(Combo_Species_Names,IF(Species_Availability="Yes",IF(Species_Evo_Numbers=1,Species_Names)),0))),Combo_Duel_Ability)))</f>
        <v>N/A</v>
      </c>
      <c r="I766" s="23" t="str">
        <f t="array" ref="I766">IF(OR(INDEX(Species_Availability,MATCH($N766,Species_Names,0))="No",INDEX(Species_Evo_Numbers,MATCH($N766,Species_Names,0))&lt;&gt;1),"N/A",RANK($S766,IF(NOT(ISNA(MATCH(Combo_Species_Names,IF(Species_Availability="Yes",IF(Species_Evo_Numbers=1,Species_Names)),0))),Combo_Gym_Offense),0))</f>
        <v>N/A</v>
      </c>
      <c r="J766" s="24" t="str">
        <f t="array" ref="J766">IF(OR(INDEX(Species_Availability,MATCH($N766,Species_Names,0))="No",INDEX(Species_Evo_Numbers,MATCH($N766,Species_Names,0))&lt;&gt;1),"N/A",$S766/MAX(IF(NOT(ISNA(MATCH(Combo_Species_Names,IF(Species_Availability="Yes",IF(Species_Evo_Numbers=1,Species_Names)),0))),Combo_Gym_Offense)))</f>
        <v>N/A</v>
      </c>
      <c r="K766" s="23" t="str">
        <f t="array" ref="K766">IF(OR(INDEX(Species_Availability,MATCH($N766,Species_Names,0))="No",INDEX(Species_Evo_Numbers,MATCH($N766,Species_Names,0))&lt;&gt;1),"N/A",RANK($Y766,IF(NOT(ISNA(MATCH(Combo_Species_Names,IF(Species_Availability="Yes",IF(Species_Evo_Numbers=1,Species_Names)),0))),Combo_Gym_Defense),0))</f>
        <v>N/A</v>
      </c>
      <c r="L766" s="24" t="str">
        <f t="array" ref="L766">IF(OR(INDEX(Species_Availability,MATCH($N766,Species_Names,0))="No",INDEX(Species_Evo_Numbers,MATCH($N766,Species_Names,0))&lt;&gt;1),"N/A",$Y766/MAX(IF(NOT(ISNA(MATCH(Combo_Species_Names,IF(Species_Availability="Yes",IF(Species_Evo_Numbers=1,Species_Names)),0))),Combo_Gym_Defense)))</f>
        <v>N/A</v>
      </c>
      <c r="M766" s="28">
        <f t="array" ref="M766">INDEX(Species_Pdex_Numbers,MATCH($N766,Species_Names,0))</f>
        <v>32</v>
      </c>
      <c r="N766" s="30" t="s">
        <v>154</v>
      </c>
      <c r="O766" s="31" t="s">
        <v>114</v>
      </c>
      <c r="P766" s="31" t="s">
        <v>151</v>
      </c>
      <c r="Q766" s="17" t="e">
        <f t="shared" si="22"/>
        <v>#VALUE!</v>
      </c>
      <c r="R766" s="32" t="e">
        <f t="array" ref="R766">IF(OR(AND(COUNTBLANK(Combo_Opponent_Type_1)=1,COUNTBLANK(Combo_Opponent_Type_2)=0),AND(AND(COUNTBLANK(Combo_Opponent_Type_1)=0,COUNTBLANK(Combo_Opponent_Type_2)=0),Combo_Opponent_Type_1=Combo_Opponent_Type_2)),
"Check Types",($S766*INDEX(Species_Tankiness,MATCH($N766,Species_Names,0)))/225)</f>
        <v>#VALUE!</v>
      </c>
      <c r="S766" s="32" t="e">
        <f t="array" ref="S766">IF(OR(AND(COUNTBLANK(Combo_Opponent_Type_1)=1,COUNTBLANK(Combo_Opponent_Type_2)=0),AND(AND(COUNTBLANK(Combo_Opponent_Type_1)=0,COUNTBLANK(Combo_Opponent_Type_2)=0),Combo_Opponent_Type_1=Combo_Opponent_Type_2)),
"Check Types",(
IF($W766&gt;=((1-Game_Weave_Human_Error)*$X766),$W766,$X766)*INDEX(Species_Attack,MATCH($N766,Species_Names,0)))/11)</f>
        <v>#VALUE!</v>
      </c>
      <c r="T766" s="33" t="e">
        <f t="shared" si="23"/>
        <v>#VALUE!</v>
      </c>
      <c r="U766" s="33">
        <f t="array" ref="U7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766,Quick_Names,0))),Type_Species)),0),1)*IF(COUNTBLANK(Combo_Opponent_Type_2)=0,INDEX(Type_Damage_Multipliers,MATCH(Combo_Opponent_Type_2,IF(Type_Move=(INDEX(Quick_Type,MATCH($O766,Quick_Names,0))),Type_Species)),0),1)*(IF(OR(INDEX(Quick_Type,MATCH($O766,Quick_Names,0))=INDEX(Species_Type_1,MATCH($N766,Species_Names,0)),INDEX(Quick_Type,MATCH($O766,Quick_Names,0))=INDEX(Species_Type_2,MATCH($N766,Species_Names,0))),Game_STAB_Multiplier,1)))</f>
        <v>1</v>
      </c>
      <c r="V766" s="33">
        <f t="array" ref="V76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766,Charge_Names,0))),Type_Species)),0),1)*IF(COUNTBLANK(Combo_Opponent_Type_2)=0,INDEX(Type_Damage_Multipliers,MATCH(Combo_Opponent_Type_2,IF(Type_Move=(INDEX(Charge_Type,MATCH($P766,Charge_Names,0))),Type_Species)),0),1)*
IF(OR(INDEX(Charge_Type,MATCH($P766,Charge_Names,0))=INDEX(Species_Type_1,MATCH($N766,Species_Names,0)),INDEX(Charge_Type,MATCH($P766,Charge_Names,0))=INDEX(Species_Type_2,MATCH($N766,Species_Names,0))),Game_STAB_Multiplier,1))</f>
        <v>1</v>
      </c>
      <c r="W766" s="33" t="s">
        <v>779</v>
      </c>
      <c r="X766" s="33" t="s">
        <v>1073</v>
      </c>
      <c r="Y766" s="32" t="e">
        <f t="array" ref="Y766">((($Z766)*
INDEX(Species_Attack,MATCH($N766,Species_Names,0))*
INDEX(Species_Tankiness,MATCH($N766,Species_Names,0)))/1000)</f>
        <v>#VALUE!</v>
      </c>
      <c r="Z766" s="33" t="s">
        <v>1001</v>
      </c>
    </row>
    <row r="767" spans="1:26" ht="14.25" customHeight="1" x14ac:dyDescent="0.2">
      <c r="A767" s="86"/>
      <c r="B767" s="22" t="str">
        <f t="array" ref="B767">CONCATENATE(TEXT($M767,"000"),".",TEXT(INDEX(Quick_Number,MATCH($O767,Quick_Names,0)),"000"),".",TEXT(INDEX(Charge_Number,MATCH($P767,Charge_Names,0)),"000"))</f>
        <v>084.211.038</v>
      </c>
      <c r="C767" s="23" t="e">
        <f t="array" ref="C767">RANK($S767,IF(Combo_Species_Names=$N767,Combo_Gym_Offense),0)</f>
        <v>#VALUE!</v>
      </c>
      <c r="D767" s="24" t="e">
        <f t="array" ref="D767">$S767/MAX(IF(Combo_Species_Names=$N767,Combo_Gym_Offense))</f>
        <v>#VALUE!</v>
      </c>
      <c r="E767" s="23" t="e">
        <f t="array" ref="E767">RANK($Y767,IF(Combo_Species_Names=$N767,Combo_Gym_Defense),0)</f>
        <v>#VALUE!</v>
      </c>
      <c r="F767" s="25" t="e">
        <f t="array" ref="F767">$Y767/MAX(IF(Combo_Species_Names=$N767,Combo_Gym_Defense))</f>
        <v>#VALUE!</v>
      </c>
      <c r="G767" s="23" t="str">
        <f t="array" ref="G767">IF(OR(INDEX(Species_Availability,MATCH($N767,Species_Names,0))="No",INDEX(Species_Evo_Numbers,MATCH($N767,Species_Names,0))&lt;&gt;1),"N/A",RANK($R767,IF(NOT(ISNA(MATCH(Combo_Species_Names,IF(Species_Availability="Yes",IF(Species_Evo_Numbers=1,Species_Names)),0))),Combo_Duel_Ability),0))</f>
        <v>N/A</v>
      </c>
      <c r="H767" s="24" t="str">
        <f t="array" ref="H767">IF(OR(INDEX(Species_Availability,MATCH($N767,Species_Names,0))="No",INDEX(Species_Evo_Numbers,MATCH($N767,Species_Names,0))&lt;&gt;1),"N/A",$R767/MAX(IF(NOT(ISNA(MATCH(Combo_Species_Names,IF(Species_Availability="Yes",IF(Species_Evo_Numbers=1,Species_Names)),0))),Combo_Duel_Ability)))</f>
        <v>N/A</v>
      </c>
      <c r="I767" s="23" t="str">
        <f t="array" ref="I767">IF(OR(INDEX(Species_Availability,MATCH($N767,Species_Names,0))="No",INDEX(Species_Evo_Numbers,MATCH($N767,Species_Names,0))&lt;&gt;1),"N/A",RANK($S767,IF(NOT(ISNA(MATCH(Combo_Species_Names,IF(Species_Availability="Yes",IF(Species_Evo_Numbers=1,Species_Names)),0))),Combo_Gym_Offense),0))</f>
        <v>N/A</v>
      </c>
      <c r="J767" s="24" t="str">
        <f t="array" ref="J767">IF(OR(INDEX(Species_Availability,MATCH($N767,Species_Names,0))="No",INDEX(Species_Evo_Numbers,MATCH($N767,Species_Names,0))&lt;&gt;1),"N/A",$S767/MAX(IF(NOT(ISNA(MATCH(Combo_Species_Names,IF(Species_Availability="Yes",IF(Species_Evo_Numbers=1,Species_Names)),0))),Combo_Gym_Offense)))</f>
        <v>N/A</v>
      </c>
      <c r="K767" s="23" t="str">
        <f t="array" ref="K767">IF(OR(INDEX(Species_Availability,MATCH($N767,Species_Names,0))="No",INDEX(Species_Evo_Numbers,MATCH($N767,Species_Names,0))&lt;&gt;1),"N/A",RANK($Y767,IF(NOT(ISNA(MATCH(Combo_Species_Names,IF(Species_Availability="Yes",IF(Species_Evo_Numbers=1,Species_Names)),0))),Combo_Gym_Defense),0))</f>
        <v>N/A</v>
      </c>
      <c r="L767" s="24" t="str">
        <f t="array" ref="L767">IF(OR(INDEX(Species_Availability,MATCH($N767,Species_Names,0))="No",INDEX(Species_Evo_Numbers,MATCH($N767,Species_Names,0))&lt;&gt;1),"N/A",$Y767/MAX(IF(NOT(ISNA(MATCH(Combo_Species_Names,IF(Species_Availability="Yes",IF(Species_Evo_Numbers=1,Species_Names)),0))),Combo_Gym_Defense)))</f>
        <v>N/A</v>
      </c>
      <c r="M767" s="28">
        <f t="array" ref="M767">INDEX(Species_Pdex_Numbers,MATCH($N767,Species_Names,0))</f>
        <v>84</v>
      </c>
      <c r="N767" s="30" t="s">
        <v>261</v>
      </c>
      <c r="O767" s="31" t="s">
        <v>114</v>
      </c>
      <c r="P767" s="31" t="s">
        <v>230</v>
      </c>
      <c r="Q767" s="17" t="e">
        <f t="shared" si="22"/>
        <v>#VALUE!</v>
      </c>
      <c r="R767" s="32" t="e">
        <f t="array" ref="R767">IF(OR(AND(COUNTBLANK(Combo_Opponent_Type_1)=1,COUNTBLANK(Combo_Opponent_Type_2)=0),AND(AND(COUNTBLANK(Combo_Opponent_Type_1)=0,COUNTBLANK(Combo_Opponent_Type_2)=0),Combo_Opponent_Type_1=Combo_Opponent_Type_2)),
"Check Types",($S767*INDEX(Species_Tankiness,MATCH($N767,Species_Names,0)))/225)</f>
        <v>#VALUE!</v>
      </c>
      <c r="S767" s="32" t="e">
        <f t="array" ref="S767">IF(OR(AND(COUNTBLANK(Combo_Opponent_Type_1)=1,COUNTBLANK(Combo_Opponent_Type_2)=0),AND(AND(COUNTBLANK(Combo_Opponent_Type_1)=0,COUNTBLANK(Combo_Opponent_Type_2)=0),Combo_Opponent_Type_1=Combo_Opponent_Type_2)),
"Check Types",(
IF($W767&gt;=((1-Game_Weave_Human_Error)*$X767),$W767,$X767)*INDEX(Species_Attack,MATCH($N767,Species_Names,0)))/11)</f>
        <v>#VALUE!</v>
      </c>
      <c r="T767" s="33" t="e">
        <f t="shared" si="23"/>
        <v>#VALUE!</v>
      </c>
      <c r="U767" s="33">
        <f t="array" ref="U7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767,Quick_Names,0))),Type_Species)),0),1)*IF(COUNTBLANK(Combo_Opponent_Type_2)=0,INDEX(Type_Damage_Multipliers,MATCH(Combo_Opponent_Type_2,IF(Type_Move=(INDEX(Quick_Type,MATCH($O767,Quick_Names,0))),Type_Species)),0),1)*(IF(OR(INDEX(Quick_Type,MATCH($O767,Quick_Names,0))=INDEX(Species_Type_1,MATCH($N767,Species_Names,0)),INDEX(Quick_Type,MATCH($O767,Quick_Names,0))=INDEX(Species_Type_2,MATCH($N767,Species_Names,0))),Game_STAB_Multiplier,1)))</f>
        <v>1.25</v>
      </c>
      <c r="V767" s="33">
        <f t="array" ref="V76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767,Charge_Names,0))),Type_Species)),0),1)*IF(COUNTBLANK(Combo_Opponent_Type_2)=0,INDEX(Type_Damage_Multipliers,MATCH(Combo_Opponent_Type_2,IF(Type_Move=(INDEX(Charge_Type,MATCH($P767,Charge_Names,0))),Type_Species)),0),1)*
IF(OR(INDEX(Charge_Type,MATCH($P767,Charge_Names,0))=INDEX(Species_Type_1,MATCH($N767,Species_Names,0)),INDEX(Charge_Type,MATCH($P767,Charge_Names,0))=INDEX(Species_Type_2,MATCH($N767,Species_Names,0))),Game_STAB_Multiplier,1))</f>
        <v>1.25</v>
      </c>
      <c r="W767" s="33" t="s">
        <v>876</v>
      </c>
      <c r="X767" s="33" t="s">
        <v>748</v>
      </c>
      <c r="Y767" s="32" t="e">
        <f t="array" ref="Y767">((($Z767)*
INDEX(Species_Attack,MATCH($N767,Species_Names,0))*
INDEX(Species_Tankiness,MATCH($N767,Species_Names,0)))/1000)</f>
        <v>#VALUE!</v>
      </c>
      <c r="Z767" s="33" t="s">
        <v>728</v>
      </c>
    </row>
    <row r="768" spans="1:26" ht="14.25" customHeight="1" x14ac:dyDescent="0.2">
      <c r="A768" s="86"/>
      <c r="B768" s="22" t="str">
        <f t="array" ref="B768">CONCATENATE(TEXT($M768,"000"),".",TEXT(INDEX(Quick_Number,MATCH($O768,Quick_Names,0)),"000"),".",TEXT(INDEX(Charge_Number,MATCH($P768,Charge_Names,0)),"000"))</f>
        <v>074.221.063</v>
      </c>
      <c r="C768" s="23" t="e">
        <f t="array" ref="C768">RANK($S768,IF(Combo_Species_Names=$N768,Combo_Gym_Offense),0)</f>
        <v>#VALUE!</v>
      </c>
      <c r="D768" s="24" t="e">
        <f t="array" ref="D768">$S768/MAX(IF(Combo_Species_Names=$N768,Combo_Gym_Offense))</f>
        <v>#VALUE!</v>
      </c>
      <c r="E768" s="23" t="e">
        <f t="array" ref="E768">RANK($Y768,IF(Combo_Species_Names=$N768,Combo_Gym_Defense),0)</f>
        <v>#VALUE!</v>
      </c>
      <c r="F768" s="25" t="e">
        <f t="array" ref="F768">$Y768/MAX(IF(Combo_Species_Names=$N768,Combo_Gym_Defense))</f>
        <v>#VALUE!</v>
      </c>
      <c r="G768" s="23" t="str">
        <f t="array" ref="G768">IF(OR(INDEX(Species_Availability,MATCH($N768,Species_Names,0))="No",INDEX(Species_Evo_Numbers,MATCH($N768,Species_Names,0))&lt;&gt;1),"N/A",RANK($R768,IF(NOT(ISNA(MATCH(Combo_Species_Names,IF(Species_Availability="Yes",IF(Species_Evo_Numbers=1,Species_Names)),0))),Combo_Duel_Ability),0))</f>
        <v>N/A</v>
      </c>
      <c r="H768" s="24" t="str">
        <f t="array" ref="H768">IF(OR(INDEX(Species_Availability,MATCH($N768,Species_Names,0))="No",INDEX(Species_Evo_Numbers,MATCH($N768,Species_Names,0))&lt;&gt;1),"N/A",$R768/MAX(IF(NOT(ISNA(MATCH(Combo_Species_Names,IF(Species_Availability="Yes",IF(Species_Evo_Numbers=1,Species_Names)),0))),Combo_Duel_Ability)))</f>
        <v>N/A</v>
      </c>
      <c r="I768" s="23" t="str">
        <f t="array" ref="I768">IF(OR(INDEX(Species_Availability,MATCH($N768,Species_Names,0))="No",INDEX(Species_Evo_Numbers,MATCH($N768,Species_Names,0))&lt;&gt;1),"N/A",RANK($S768,IF(NOT(ISNA(MATCH(Combo_Species_Names,IF(Species_Availability="Yes",IF(Species_Evo_Numbers=1,Species_Names)),0))),Combo_Gym_Offense),0))</f>
        <v>N/A</v>
      </c>
      <c r="J768" s="24" t="str">
        <f t="array" ref="J768">IF(OR(INDEX(Species_Availability,MATCH($N768,Species_Names,0))="No",INDEX(Species_Evo_Numbers,MATCH($N768,Species_Names,0))&lt;&gt;1),"N/A",$S768/MAX(IF(NOT(ISNA(MATCH(Combo_Species_Names,IF(Species_Availability="Yes",IF(Species_Evo_Numbers=1,Species_Names)),0))),Combo_Gym_Offense)))</f>
        <v>N/A</v>
      </c>
      <c r="K768" s="23" t="str">
        <f t="array" ref="K768">IF(OR(INDEX(Species_Availability,MATCH($N768,Species_Names,0))="No",INDEX(Species_Evo_Numbers,MATCH($N768,Species_Names,0))&lt;&gt;1),"N/A",RANK($Y768,IF(NOT(ISNA(MATCH(Combo_Species_Names,IF(Species_Availability="Yes",IF(Species_Evo_Numbers=1,Species_Names)),0))),Combo_Gym_Defense),0))</f>
        <v>N/A</v>
      </c>
      <c r="L768" s="24" t="str">
        <f t="array" ref="L768">IF(OR(INDEX(Species_Availability,MATCH($N768,Species_Names,0))="No",INDEX(Species_Evo_Numbers,MATCH($N768,Species_Names,0))&lt;&gt;1),"N/A",$Y768/MAX(IF(NOT(ISNA(MATCH(Combo_Species_Names,IF(Species_Availability="Yes",IF(Species_Evo_Numbers=1,Species_Names)),0))),Combo_Gym_Defense)))</f>
        <v>N/A</v>
      </c>
      <c r="M768" s="28">
        <f t="array" ref="M768">INDEX(Species_Pdex_Numbers,MATCH($N768,Species_Names,0))</f>
        <v>74</v>
      </c>
      <c r="N768" s="30" t="s">
        <v>240</v>
      </c>
      <c r="O768" s="31" t="s">
        <v>91</v>
      </c>
      <c r="P768" s="31" t="s">
        <v>299</v>
      </c>
      <c r="Q768" s="17" t="e">
        <f t="shared" si="22"/>
        <v>#VALUE!</v>
      </c>
      <c r="R768" s="32" t="e">
        <f t="array" ref="R768">IF(OR(AND(COUNTBLANK(Combo_Opponent_Type_1)=1,COUNTBLANK(Combo_Opponent_Type_2)=0),AND(AND(COUNTBLANK(Combo_Opponent_Type_1)=0,COUNTBLANK(Combo_Opponent_Type_2)=0),Combo_Opponent_Type_1=Combo_Opponent_Type_2)),
"Check Types",($S768*INDEX(Species_Tankiness,MATCH($N768,Species_Names,0)))/225)</f>
        <v>#VALUE!</v>
      </c>
      <c r="S768" s="32" t="e">
        <f t="array" ref="S768">IF(OR(AND(COUNTBLANK(Combo_Opponent_Type_1)=1,COUNTBLANK(Combo_Opponent_Type_2)=0),AND(AND(COUNTBLANK(Combo_Opponent_Type_1)=0,COUNTBLANK(Combo_Opponent_Type_2)=0),Combo_Opponent_Type_1=Combo_Opponent_Type_2)),
"Check Types",(
IF($W768&gt;=((1-Game_Weave_Human_Error)*$X768),$W768,$X768)*INDEX(Species_Attack,MATCH($N768,Species_Names,0)))/11)</f>
        <v>#VALUE!</v>
      </c>
      <c r="T768" s="33" t="e">
        <f t="shared" si="23"/>
        <v>#VALUE!</v>
      </c>
      <c r="U768" s="33">
        <f t="array" ref="U7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768,Quick_Names,0))),Type_Species)),0),1)*IF(COUNTBLANK(Combo_Opponent_Type_2)=0,INDEX(Type_Damage_Multipliers,MATCH(Combo_Opponent_Type_2,IF(Type_Move=(INDEX(Quick_Type,MATCH($O768,Quick_Names,0))),Type_Species)),0),1)*(IF(OR(INDEX(Quick_Type,MATCH($O768,Quick_Names,0))=INDEX(Species_Type_1,MATCH($N768,Species_Names,0)),INDEX(Quick_Type,MATCH($O768,Quick_Names,0))=INDEX(Species_Type_2,MATCH($N768,Species_Names,0))),Game_STAB_Multiplier,1)))</f>
        <v>1</v>
      </c>
      <c r="V768" s="33">
        <f t="array" ref="V76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768,Charge_Names,0))),Type_Species)),0),1)*IF(COUNTBLANK(Combo_Opponent_Type_2)=0,INDEX(Type_Damage_Multipliers,MATCH(Combo_Opponent_Type_2,IF(Type_Move=(INDEX(Charge_Type,MATCH($P768,Charge_Names,0))),Type_Species)),0),1)*
IF(OR(INDEX(Charge_Type,MATCH($P768,Charge_Names,0))=INDEX(Species_Type_1,MATCH($N768,Species_Names,0)),INDEX(Charge_Type,MATCH($P768,Charge_Names,0))=INDEX(Species_Type_2,MATCH($N768,Species_Names,0))),Game_STAB_Multiplier,1))</f>
        <v>1.25</v>
      </c>
      <c r="W768" s="33" t="s">
        <v>658</v>
      </c>
      <c r="X768" s="33" t="s">
        <v>1074</v>
      </c>
      <c r="Y768" s="32" t="e">
        <f t="array" ref="Y768">((($Z768)*
INDEX(Species_Attack,MATCH($N768,Species_Names,0))*
INDEX(Species_Tankiness,MATCH($N768,Species_Names,0)))/1000)</f>
        <v>#VALUE!</v>
      </c>
      <c r="Z768" s="33" t="s">
        <v>886</v>
      </c>
    </row>
    <row r="769" spans="1:26" ht="14.25" customHeight="1" x14ac:dyDescent="0.2">
      <c r="A769" s="86"/>
      <c r="B769" s="22" t="str">
        <f t="array" ref="B769">CONCATENATE(TEXT($M769,"000"),".",TEXT(INDEX(Quick_Number,MATCH($O769,Quick_Names,0)),"000"),".",TEXT(INDEX(Charge_Number,MATCH($P769,Charge_Names,0)),"000"))</f>
        <v>056.208.056</v>
      </c>
      <c r="C769" s="23" t="e">
        <f t="array" ref="C769">RANK($S769,IF(Combo_Species_Names=$N769,Combo_Gym_Offense),0)</f>
        <v>#VALUE!</v>
      </c>
      <c r="D769" s="24" t="e">
        <f t="array" ref="D769">$S769/MAX(IF(Combo_Species_Names=$N769,Combo_Gym_Offense))</f>
        <v>#VALUE!</v>
      </c>
      <c r="E769" s="23" t="e">
        <f t="array" ref="E769">RANK($Y769,IF(Combo_Species_Names=$N769,Combo_Gym_Defense),0)</f>
        <v>#VALUE!</v>
      </c>
      <c r="F769" s="25" t="e">
        <f t="array" ref="F769">$Y769/MAX(IF(Combo_Species_Names=$N769,Combo_Gym_Defense))</f>
        <v>#VALUE!</v>
      </c>
      <c r="G769" s="23" t="str">
        <f t="array" ref="G769">IF(OR(INDEX(Species_Availability,MATCH($N769,Species_Names,0))="No",INDEX(Species_Evo_Numbers,MATCH($N769,Species_Names,0))&lt;&gt;1),"N/A",RANK($R769,IF(NOT(ISNA(MATCH(Combo_Species_Names,IF(Species_Availability="Yes",IF(Species_Evo_Numbers=1,Species_Names)),0))),Combo_Duel_Ability),0))</f>
        <v>N/A</v>
      </c>
      <c r="H769" s="24" t="str">
        <f t="array" ref="H769">IF(OR(INDEX(Species_Availability,MATCH($N769,Species_Names,0))="No",INDEX(Species_Evo_Numbers,MATCH($N769,Species_Names,0))&lt;&gt;1),"N/A",$R769/MAX(IF(NOT(ISNA(MATCH(Combo_Species_Names,IF(Species_Availability="Yes",IF(Species_Evo_Numbers=1,Species_Names)),0))),Combo_Duel_Ability)))</f>
        <v>N/A</v>
      </c>
      <c r="I769" s="23" t="str">
        <f t="array" ref="I769">IF(OR(INDEX(Species_Availability,MATCH($N769,Species_Names,0))="No",INDEX(Species_Evo_Numbers,MATCH($N769,Species_Names,0))&lt;&gt;1),"N/A",RANK($S769,IF(NOT(ISNA(MATCH(Combo_Species_Names,IF(Species_Availability="Yes",IF(Species_Evo_Numbers=1,Species_Names)),0))),Combo_Gym_Offense),0))</f>
        <v>N/A</v>
      </c>
      <c r="J769" s="24" t="str">
        <f t="array" ref="J769">IF(OR(INDEX(Species_Availability,MATCH($N769,Species_Names,0))="No",INDEX(Species_Evo_Numbers,MATCH($N769,Species_Names,0))&lt;&gt;1),"N/A",$S769/MAX(IF(NOT(ISNA(MATCH(Combo_Species_Names,IF(Species_Availability="Yes",IF(Species_Evo_Numbers=1,Species_Names)),0))),Combo_Gym_Offense)))</f>
        <v>N/A</v>
      </c>
      <c r="K769" s="23" t="str">
        <f t="array" ref="K769">IF(OR(INDEX(Species_Availability,MATCH($N769,Species_Names,0))="No",INDEX(Species_Evo_Numbers,MATCH($N769,Species_Names,0))&lt;&gt;1),"N/A",RANK($Y769,IF(NOT(ISNA(MATCH(Combo_Species_Names,IF(Species_Availability="Yes",IF(Species_Evo_Numbers=1,Species_Names)),0))),Combo_Gym_Defense),0))</f>
        <v>N/A</v>
      </c>
      <c r="L769" s="24" t="str">
        <f t="array" ref="L769">IF(OR(INDEX(Species_Availability,MATCH($N769,Species_Names,0))="No",INDEX(Species_Evo_Numbers,MATCH($N769,Species_Names,0))&lt;&gt;1),"N/A",$Y769/MAX(IF(NOT(ISNA(MATCH(Combo_Species_Names,IF(Species_Availability="Yes",IF(Species_Evo_Numbers=1,Species_Names)),0))),Combo_Gym_Defense)))</f>
        <v>N/A</v>
      </c>
      <c r="M769" s="28">
        <f t="array" ref="M769">INDEX(Species_Pdex_Numbers,MATCH($N769,Species_Names,0))</f>
        <v>56</v>
      </c>
      <c r="N769" s="30" t="s">
        <v>201</v>
      </c>
      <c r="O769" s="31" t="s">
        <v>122</v>
      </c>
      <c r="P769" s="31" t="s">
        <v>255</v>
      </c>
      <c r="Q769" s="17" t="e">
        <f t="shared" si="22"/>
        <v>#VALUE!</v>
      </c>
      <c r="R769" s="32" t="e">
        <f t="array" ref="R769">IF(OR(AND(COUNTBLANK(Combo_Opponent_Type_1)=1,COUNTBLANK(Combo_Opponent_Type_2)=0),AND(AND(COUNTBLANK(Combo_Opponent_Type_1)=0,COUNTBLANK(Combo_Opponent_Type_2)=0),Combo_Opponent_Type_1=Combo_Opponent_Type_2)),
"Check Types",($S769*INDEX(Species_Tankiness,MATCH($N769,Species_Names,0)))/225)</f>
        <v>#VALUE!</v>
      </c>
      <c r="S769" s="32" t="e">
        <f t="array" ref="S769">IF(OR(AND(COUNTBLANK(Combo_Opponent_Type_1)=1,COUNTBLANK(Combo_Opponent_Type_2)=0),AND(AND(COUNTBLANK(Combo_Opponent_Type_1)=0,COUNTBLANK(Combo_Opponent_Type_2)=0),Combo_Opponent_Type_1=Combo_Opponent_Type_2)),
"Check Types",(
IF($W769&gt;=((1-Game_Weave_Human_Error)*$X769),$W769,$X769)*INDEX(Species_Attack,MATCH($N769,Species_Names,0)))/11)</f>
        <v>#VALUE!</v>
      </c>
      <c r="T769" s="33" t="e">
        <f t="shared" si="23"/>
        <v>#VALUE!</v>
      </c>
      <c r="U769" s="33">
        <f t="array" ref="U7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769,Quick_Names,0))),Type_Species)),0),1)*IF(COUNTBLANK(Combo_Opponent_Type_2)=0,INDEX(Type_Damage_Multipliers,MATCH(Combo_Opponent_Type_2,IF(Type_Move=(INDEX(Quick_Type,MATCH($O769,Quick_Names,0))),Type_Species)),0),1)*(IF(OR(INDEX(Quick_Type,MATCH($O769,Quick_Names,0))=INDEX(Species_Type_1,MATCH($N769,Species_Names,0)),INDEX(Quick_Type,MATCH($O769,Quick_Names,0))=INDEX(Species_Type_2,MATCH($N769,Species_Names,0))),Game_STAB_Multiplier,1)))</f>
        <v>1.25</v>
      </c>
      <c r="V769" s="33">
        <f t="array" ref="V76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769,Charge_Names,0))),Type_Species)),0),1)*IF(COUNTBLANK(Combo_Opponent_Type_2)=0,INDEX(Type_Damage_Multipliers,MATCH(Combo_Opponent_Type_2,IF(Type_Move=(INDEX(Charge_Type,MATCH($P769,Charge_Names,0))),Type_Species)),0),1)*
IF(OR(INDEX(Charge_Type,MATCH($P769,Charge_Names,0))=INDEX(Species_Type_1,MATCH($N769,Species_Names,0)),INDEX(Charge_Type,MATCH($P769,Charge_Names,0))=INDEX(Species_Type_2,MATCH($N769,Species_Names,0))),Game_STAB_Multiplier,1))</f>
        <v>1.25</v>
      </c>
      <c r="W769" s="33" t="s">
        <v>564</v>
      </c>
      <c r="X769" s="33" t="s">
        <v>419</v>
      </c>
      <c r="Y769" s="32" t="e">
        <f t="array" ref="Y769">((($Z769)*
INDEX(Species_Attack,MATCH($N769,Species_Names,0))*
INDEX(Species_Tankiness,MATCH($N769,Species_Names,0)))/1000)</f>
        <v>#VALUE!</v>
      </c>
      <c r="Z769" s="33" t="s">
        <v>875</v>
      </c>
    </row>
    <row r="770" spans="1:26" ht="14.25" customHeight="1" x14ac:dyDescent="0.2">
      <c r="A770" s="86"/>
      <c r="B770" s="22" t="str">
        <f t="array" ref="B770">CONCATENATE(TEXT($M770,"000"),".",TEXT(INDEX(Quick_Number,MATCH($O770,Quick_Names,0)),"000"),".",TEXT(INDEX(Charge_Number,MATCH($P770,Charge_Names,0)),"000"))</f>
        <v>116.237.082</v>
      </c>
      <c r="C770" s="23" t="e">
        <f t="array" ref="C770">RANK($S770,IF(Combo_Species_Names=$N770,Combo_Gym_Offense),0)</f>
        <v>#VALUE!</v>
      </c>
      <c r="D770" s="24" t="e">
        <f t="array" ref="D770">$S770/MAX(IF(Combo_Species_Names=$N770,Combo_Gym_Offense))</f>
        <v>#VALUE!</v>
      </c>
      <c r="E770" s="23" t="e">
        <f t="array" ref="E770">RANK($Y770,IF(Combo_Species_Names=$N770,Combo_Gym_Defense),0)</f>
        <v>#VALUE!</v>
      </c>
      <c r="F770" s="25" t="e">
        <f t="array" ref="F770">$Y770/MAX(IF(Combo_Species_Names=$N770,Combo_Gym_Defense))</f>
        <v>#VALUE!</v>
      </c>
      <c r="G770" s="23" t="str">
        <f t="array" ref="G770">IF(OR(INDEX(Species_Availability,MATCH($N770,Species_Names,0))="No",INDEX(Species_Evo_Numbers,MATCH($N770,Species_Names,0))&lt;&gt;1),"N/A",RANK($R770,IF(NOT(ISNA(MATCH(Combo_Species_Names,IF(Species_Availability="Yes",IF(Species_Evo_Numbers=1,Species_Names)),0))),Combo_Duel_Ability),0))</f>
        <v>N/A</v>
      </c>
      <c r="H770" s="24" t="str">
        <f t="array" ref="H770">IF(OR(INDEX(Species_Availability,MATCH($N770,Species_Names,0))="No",INDEX(Species_Evo_Numbers,MATCH($N770,Species_Names,0))&lt;&gt;1),"N/A",$R770/MAX(IF(NOT(ISNA(MATCH(Combo_Species_Names,IF(Species_Availability="Yes",IF(Species_Evo_Numbers=1,Species_Names)),0))),Combo_Duel_Ability)))</f>
        <v>N/A</v>
      </c>
      <c r="I770" s="23" t="str">
        <f t="array" ref="I770">IF(OR(INDEX(Species_Availability,MATCH($N770,Species_Names,0))="No",INDEX(Species_Evo_Numbers,MATCH($N770,Species_Names,0))&lt;&gt;1),"N/A",RANK($S770,IF(NOT(ISNA(MATCH(Combo_Species_Names,IF(Species_Availability="Yes",IF(Species_Evo_Numbers=1,Species_Names)),0))),Combo_Gym_Offense),0))</f>
        <v>N/A</v>
      </c>
      <c r="J770" s="24" t="str">
        <f t="array" ref="J770">IF(OR(INDEX(Species_Availability,MATCH($N770,Species_Names,0))="No",INDEX(Species_Evo_Numbers,MATCH($N770,Species_Names,0))&lt;&gt;1),"N/A",$S770/MAX(IF(NOT(ISNA(MATCH(Combo_Species_Names,IF(Species_Availability="Yes",IF(Species_Evo_Numbers=1,Species_Names)),0))),Combo_Gym_Offense)))</f>
        <v>N/A</v>
      </c>
      <c r="K770" s="23" t="str">
        <f t="array" ref="K770">IF(OR(INDEX(Species_Availability,MATCH($N770,Species_Names,0))="No",INDEX(Species_Evo_Numbers,MATCH($N770,Species_Names,0))&lt;&gt;1),"N/A",RANK($Y770,IF(NOT(ISNA(MATCH(Combo_Species_Names,IF(Species_Availability="Yes",IF(Species_Evo_Numbers=1,Species_Names)),0))),Combo_Gym_Defense),0))</f>
        <v>N/A</v>
      </c>
      <c r="L770" s="24" t="str">
        <f t="array" ref="L770">IF(OR(INDEX(Species_Availability,MATCH($N770,Species_Names,0))="No",INDEX(Species_Evo_Numbers,MATCH($N770,Species_Names,0))&lt;&gt;1),"N/A",$Y770/MAX(IF(NOT(ISNA(MATCH(Combo_Species_Names,IF(Species_Availability="Yes",IF(Species_Evo_Numbers=1,Species_Names)),0))),Combo_Gym_Defense)))</f>
        <v>N/A</v>
      </c>
      <c r="M770" s="28">
        <f t="array" ref="M770">INDEX(Species_Pdex_Numbers,MATCH($N770,Species_Names,0))</f>
        <v>116</v>
      </c>
      <c r="N770" s="30" t="s">
        <v>329</v>
      </c>
      <c r="O770" s="31" t="s">
        <v>92</v>
      </c>
      <c r="P770" s="31" t="s">
        <v>207</v>
      </c>
      <c r="Q770" s="17" t="e">
        <f t="shared" si="22"/>
        <v>#VALUE!</v>
      </c>
      <c r="R770" s="32" t="e">
        <f t="array" ref="R770">IF(OR(AND(COUNTBLANK(Combo_Opponent_Type_1)=1,COUNTBLANK(Combo_Opponent_Type_2)=0),AND(AND(COUNTBLANK(Combo_Opponent_Type_1)=0,COUNTBLANK(Combo_Opponent_Type_2)=0),Combo_Opponent_Type_1=Combo_Opponent_Type_2)),
"Check Types",($S770*INDEX(Species_Tankiness,MATCH($N770,Species_Names,0)))/225)</f>
        <v>#VALUE!</v>
      </c>
      <c r="S770" s="32" t="e">
        <f t="array" ref="S770">IF(OR(AND(COUNTBLANK(Combo_Opponent_Type_1)=1,COUNTBLANK(Combo_Opponent_Type_2)=0),AND(AND(COUNTBLANK(Combo_Opponent_Type_1)=0,COUNTBLANK(Combo_Opponent_Type_2)=0),Combo_Opponent_Type_1=Combo_Opponent_Type_2)),
"Check Types",(
IF($W770&gt;=((1-Game_Weave_Human_Error)*$X770),$W770,$X770)*INDEX(Species_Attack,MATCH($N770,Species_Names,0)))/11)</f>
        <v>#VALUE!</v>
      </c>
      <c r="T770" s="33" t="e">
        <f t="shared" si="23"/>
        <v>#VALUE!</v>
      </c>
      <c r="U770" s="33">
        <f t="array" ref="U7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770,Quick_Names,0))),Type_Species)),0),1)*IF(COUNTBLANK(Combo_Opponent_Type_2)=0,INDEX(Type_Damage_Multipliers,MATCH(Combo_Opponent_Type_2,IF(Type_Move=(INDEX(Quick_Type,MATCH($O770,Quick_Names,0))),Type_Species)),0),1)*(IF(OR(INDEX(Quick_Type,MATCH($O770,Quick_Names,0))=INDEX(Species_Type_1,MATCH($N770,Species_Names,0)),INDEX(Quick_Type,MATCH($O770,Quick_Names,0))=INDEX(Species_Type_2,MATCH($N770,Species_Names,0))),Game_STAB_Multiplier,1)))</f>
        <v>1.25</v>
      </c>
      <c r="V770" s="33">
        <f t="array" ref="V77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770,Charge_Names,0))),Type_Species)),0),1)*IF(COUNTBLANK(Combo_Opponent_Type_2)=0,INDEX(Type_Damage_Multipliers,MATCH(Combo_Opponent_Type_2,IF(Type_Move=(INDEX(Charge_Type,MATCH($P770,Charge_Names,0))),Type_Species)),0),1)*
IF(OR(INDEX(Charge_Type,MATCH($P770,Charge_Names,0))=INDEX(Species_Type_1,MATCH($N770,Species_Names,0)),INDEX(Charge_Type,MATCH($P770,Charge_Names,0))=INDEX(Species_Type_2,MATCH($N770,Species_Names,0))),Game_STAB_Multiplier,1))</f>
        <v>1</v>
      </c>
      <c r="W770" s="33" t="s">
        <v>481</v>
      </c>
      <c r="X770" s="33" t="s">
        <v>1075</v>
      </c>
      <c r="Y770" s="32" t="e">
        <f t="array" ref="Y770">((($Z770)*
INDEX(Species_Attack,MATCH($N770,Species_Names,0))*
INDEX(Species_Tankiness,MATCH($N770,Species_Names,0)))/1000)</f>
        <v>#VALUE!</v>
      </c>
      <c r="Z770" s="33" t="s">
        <v>1076</v>
      </c>
    </row>
    <row r="771" spans="1:26" ht="14.25" customHeight="1" x14ac:dyDescent="0.2">
      <c r="A771" s="86"/>
      <c r="B771" s="22" t="str">
        <f t="array" ref="B771">CONCATENATE(TEXT($M771,"000"),".",TEXT(INDEX(Quick_Number,MATCH($O771,Quick_Names,0)),"000"),".",TEXT(INDEX(Charge_Number,MATCH($P771,Charge_Names,0)),"000"))</f>
        <v>041.202.090</v>
      </c>
      <c r="C771" s="23" t="e">
        <f t="array" ref="C771">RANK($S771,IF(Combo_Species_Names=$N771,Combo_Gym_Offense),0)</f>
        <v>#VALUE!</v>
      </c>
      <c r="D771" s="24" t="e">
        <f t="array" ref="D771">$S771/MAX(IF(Combo_Species_Names=$N771,Combo_Gym_Offense))</f>
        <v>#VALUE!</v>
      </c>
      <c r="E771" s="23" t="e">
        <f t="array" ref="E771">RANK($Y771,IF(Combo_Species_Names=$N771,Combo_Gym_Defense),0)</f>
        <v>#VALUE!</v>
      </c>
      <c r="F771" s="25" t="e">
        <f t="array" ref="F771">$Y771/MAX(IF(Combo_Species_Names=$N771,Combo_Gym_Defense))</f>
        <v>#VALUE!</v>
      </c>
      <c r="G771" s="23" t="str">
        <f t="array" ref="G771">IF(OR(INDEX(Species_Availability,MATCH($N771,Species_Names,0))="No",INDEX(Species_Evo_Numbers,MATCH($N771,Species_Names,0))&lt;&gt;1),"N/A",RANK($R771,IF(NOT(ISNA(MATCH(Combo_Species_Names,IF(Species_Availability="Yes",IF(Species_Evo_Numbers=1,Species_Names)),0))),Combo_Duel_Ability),0))</f>
        <v>N/A</v>
      </c>
      <c r="H771" s="24" t="str">
        <f t="array" ref="H771">IF(OR(INDEX(Species_Availability,MATCH($N771,Species_Names,0))="No",INDEX(Species_Evo_Numbers,MATCH($N771,Species_Names,0))&lt;&gt;1),"N/A",$R771/MAX(IF(NOT(ISNA(MATCH(Combo_Species_Names,IF(Species_Availability="Yes",IF(Species_Evo_Numbers=1,Species_Names)),0))),Combo_Duel_Ability)))</f>
        <v>N/A</v>
      </c>
      <c r="I771" s="23" t="str">
        <f t="array" ref="I771">IF(OR(INDEX(Species_Availability,MATCH($N771,Species_Names,0))="No",INDEX(Species_Evo_Numbers,MATCH($N771,Species_Names,0))&lt;&gt;1),"N/A",RANK($S771,IF(NOT(ISNA(MATCH(Combo_Species_Names,IF(Species_Availability="Yes",IF(Species_Evo_Numbers=1,Species_Names)),0))),Combo_Gym_Offense),0))</f>
        <v>N/A</v>
      </c>
      <c r="J771" s="24" t="str">
        <f t="array" ref="J771">IF(OR(INDEX(Species_Availability,MATCH($N771,Species_Names,0))="No",INDEX(Species_Evo_Numbers,MATCH($N771,Species_Names,0))&lt;&gt;1),"N/A",$S771/MAX(IF(NOT(ISNA(MATCH(Combo_Species_Names,IF(Species_Availability="Yes",IF(Species_Evo_Numbers=1,Species_Names)),0))),Combo_Gym_Offense)))</f>
        <v>N/A</v>
      </c>
      <c r="K771" s="23" t="str">
        <f t="array" ref="K771">IF(OR(INDEX(Species_Availability,MATCH($N771,Species_Names,0))="No",INDEX(Species_Evo_Numbers,MATCH($N771,Species_Names,0))&lt;&gt;1),"N/A",RANK($Y771,IF(NOT(ISNA(MATCH(Combo_Species_Names,IF(Species_Availability="Yes",IF(Species_Evo_Numbers=1,Species_Names)),0))),Combo_Gym_Defense),0))</f>
        <v>N/A</v>
      </c>
      <c r="L771" s="24" t="str">
        <f t="array" ref="L771">IF(OR(INDEX(Species_Availability,MATCH($N771,Species_Names,0))="No",INDEX(Species_Evo_Numbers,MATCH($N771,Species_Names,0))&lt;&gt;1),"N/A",$Y771/MAX(IF(NOT(ISNA(MATCH(Combo_Species_Names,IF(Species_Availability="Yes",IF(Species_Evo_Numbers=1,Species_Names)),0))),Combo_Gym_Defense)))</f>
        <v>N/A</v>
      </c>
      <c r="M771" s="28">
        <f t="array" ref="M771">INDEX(Species_Pdex_Numbers,MATCH($N771,Species_Names,0))</f>
        <v>41</v>
      </c>
      <c r="N771" s="30" t="s">
        <v>173</v>
      </c>
      <c r="O771" s="31" t="s">
        <v>59</v>
      </c>
      <c r="P771" s="31" t="s">
        <v>180</v>
      </c>
      <c r="Q771" s="17" t="e">
        <f t="shared" si="22"/>
        <v>#VALUE!</v>
      </c>
      <c r="R771" s="32" t="e">
        <f t="array" ref="R771">IF(OR(AND(COUNTBLANK(Combo_Opponent_Type_1)=1,COUNTBLANK(Combo_Opponent_Type_2)=0),AND(AND(COUNTBLANK(Combo_Opponent_Type_1)=0,COUNTBLANK(Combo_Opponent_Type_2)=0),Combo_Opponent_Type_1=Combo_Opponent_Type_2)),
"Check Types",($S771*INDEX(Species_Tankiness,MATCH($N771,Species_Names,0)))/225)</f>
        <v>#VALUE!</v>
      </c>
      <c r="S771" s="32" t="e">
        <f t="array" ref="S771">IF(OR(AND(COUNTBLANK(Combo_Opponent_Type_1)=1,COUNTBLANK(Combo_Opponent_Type_2)=0),AND(AND(COUNTBLANK(Combo_Opponent_Type_1)=0,COUNTBLANK(Combo_Opponent_Type_2)=0),Combo_Opponent_Type_1=Combo_Opponent_Type_2)),
"Check Types",(
IF($W771&gt;=((1-Game_Weave_Human_Error)*$X771),$W771,$X771)*INDEX(Species_Attack,MATCH($N771,Species_Names,0)))/11)</f>
        <v>#VALUE!</v>
      </c>
      <c r="T771" s="33" t="e">
        <f t="shared" si="23"/>
        <v>#VALUE!</v>
      </c>
      <c r="U771" s="33">
        <f t="array" ref="U7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771,Quick_Names,0))),Type_Species)),0),1)*IF(COUNTBLANK(Combo_Opponent_Type_2)=0,INDEX(Type_Damage_Multipliers,MATCH(Combo_Opponent_Type_2,IF(Type_Move=(INDEX(Quick_Type,MATCH($O771,Quick_Names,0))),Type_Species)),0),1)*(IF(OR(INDEX(Quick_Type,MATCH($O771,Quick_Names,0))=INDEX(Species_Type_1,MATCH($N771,Species_Names,0)),INDEX(Quick_Type,MATCH($O771,Quick_Names,0))=INDEX(Species_Type_2,MATCH($N771,Species_Names,0))),Game_STAB_Multiplier,1)))</f>
        <v>1</v>
      </c>
      <c r="V771" s="33">
        <f t="array" ref="V77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771,Charge_Names,0))),Type_Species)),0),1)*IF(COUNTBLANK(Combo_Opponent_Type_2)=0,INDEX(Type_Damage_Multipliers,MATCH(Combo_Opponent_Type_2,IF(Type_Move=(INDEX(Charge_Type,MATCH($P771,Charge_Names,0))),Type_Species)),0),1)*
IF(OR(INDEX(Charge_Type,MATCH($P771,Charge_Names,0))=INDEX(Species_Type_1,MATCH($N771,Species_Names,0)),INDEX(Charge_Type,MATCH($P771,Charge_Names,0))=INDEX(Species_Type_2,MATCH($N771,Species_Names,0))),Game_STAB_Multiplier,1))</f>
        <v>1.25</v>
      </c>
      <c r="W771" s="33" t="s">
        <v>453</v>
      </c>
      <c r="X771" s="33" t="s">
        <v>569</v>
      </c>
      <c r="Y771" s="32" t="e">
        <f t="array" ref="Y771">((($Z771)*
INDEX(Species_Attack,MATCH($N771,Species_Names,0))*
INDEX(Species_Tankiness,MATCH($N771,Species_Names,0)))/1000)</f>
        <v>#VALUE!</v>
      </c>
      <c r="Z771" s="33" t="s">
        <v>473</v>
      </c>
    </row>
    <row r="772" spans="1:26" ht="14.25" customHeight="1" x14ac:dyDescent="0.2">
      <c r="A772" s="86"/>
      <c r="B772" s="22" t="str">
        <f t="array" ref="B772">CONCATENATE(TEXT($M772,"000"),".",TEXT(INDEX(Quick_Number,MATCH($O772,Quick_Names,0)),"000"),".",TEXT(INDEX(Charge_Number,MATCH($P772,Charge_Names,0)),"000"))</f>
        <v>023.225.013</v>
      </c>
      <c r="C772" s="23" t="e">
        <f t="array" ref="C772">RANK($S772,IF(Combo_Species_Names=$N772,Combo_Gym_Offense),0)</f>
        <v>#VALUE!</v>
      </c>
      <c r="D772" s="24" t="e">
        <f t="array" ref="D772">$S772/MAX(IF(Combo_Species_Names=$N772,Combo_Gym_Offense))</f>
        <v>#VALUE!</v>
      </c>
      <c r="E772" s="23" t="e">
        <f t="array" ref="E772">RANK($Y772,IF(Combo_Species_Names=$N772,Combo_Gym_Defense),0)</f>
        <v>#VALUE!</v>
      </c>
      <c r="F772" s="25" t="e">
        <f t="array" ref="F772">$Y772/MAX(IF(Combo_Species_Names=$N772,Combo_Gym_Defense))</f>
        <v>#VALUE!</v>
      </c>
      <c r="G772" s="23" t="str">
        <f t="array" ref="G772">IF(OR(INDEX(Species_Availability,MATCH($N772,Species_Names,0))="No",INDEX(Species_Evo_Numbers,MATCH($N772,Species_Names,0))&lt;&gt;1),"N/A",RANK($R772,IF(NOT(ISNA(MATCH(Combo_Species_Names,IF(Species_Availability="Yes",IF(Species_Evo_Numbers=1,Species_Names)),0))),Combo_Duel_Ability),0))</f>
        <v>N/A</v>
      </c>
      <c r="H772" s="24" t="str">
        <f t="array" ref="H772">IF(OR(INDEX(Species_Availability,MATCH($N772,Species_Names,0))="No",INDEX(Species_Evo_Numbers,MATCH($N772,Species_Names,0))&lt;&gt;1),"N/A",$R772/MAX(IF(NOT(ISNA(MATCH(Combo_Species_Names,IF(Species_Availability="Yes",IF(Species_Evo_Numbers=1,Species_Names)),0))),Combo_Duel_Ability)))</f>
        <v>N/A</v>
      </c>
      <c r="I772" s="23" t="str">
        <f t="array" ref="I772">IF(OR(INDEX(Species_Availability,MATCH($N772,Species_Names,0))="No",INDEX(Species_Evo_Numbers,MATCH($N772,Species_Names,0))&lt;&gt;1),"N/A",RANK($S772,IF(NOT(ISNA(MATCH(Combo_Species_Names,IF(Species_Availability="Yes",IF(Species_Evo_Numbers=1,Species_Names)),0))),Combo_Gym_Offense),0))</f>
        <v>N/A</v>
      </c>
      <c r="J772" s="24" t="str">
        <f t="array" ref="J772">IF(OR(INDEX(Species_Availability,MATCH($N772,Species_Names,0))="No",INDEX(Species_Evo_Numbers,MATCH($N772,Species_Names,0))&lt;&gt;1),"N/A",$S772/MAX(IF(NOT(ISNA(MATCH(Combo_Species_Names,IF(Species_Availability="Yes",IF(Species_Evo_Numbers=1,Species_Names)),0))),Combo_Gym_Offense)))</f>
        <v>N/A</v>
      </c>
      <c r="K772" s="23" t="str">
        <f t="array" ref="K772">IF(OR(INDEX(Species_Availability,MATCH($N772,Species_Names,0))="No",INDEX(Species_Evo_Numbers,MATCH($N772,Species_Names,0))&lt;&gt;1),"N/A",RANK($Y772,IF(NOT(ISNA(MATCH(Combo_Species_Names,IF(Species_Availability="Yes",IF(Species_Evo_Numbers=1,Species_Names)),0))),Combo_Gym_Defense),0))</f>
        <v>N/A</v>
      </c>
      <c r="L772" s="24" t="str">
        <f t="array" ref="L772">IF(OR(INDEX(Species_Availability,MATCH($N772,Species_Names,0))="No",INDEX(Species_Evo_Numbers,MATCH($N772,Species_Names,0))&lt;&gt;1),"N/A",$Y772/MAX(IF(NOT(ISNA(MATCH(Combo_Species_Names,IF(Species_Availability="Yes",IF(Species_Evo_Numbers=1,Species_Names)),0))),Combo_Gym_Defense)))</f>
        <v>N/A</v>
      </c>
      <c r="M772" s="28">
        <f t="array" ref="M772">INDEX(Species_Pdex_Numbers,MATCH($N772,Species_Names,0))</f>
        <v>23</v>
      </c>
      <c r="N772" s="30" t="s">
        <v>133</v>
      </c>
      <c r="O772" s="31" t="s">
        <v>110</v>
      </c>
      <c r="P772" s="31" t="s">
        <v>321</v>
      </c>
      <c r="Q772" s="17" t="e">
        <f t="shared" si="22"/>
        <v>#VALUE!</v>
      </c>
      <c r="R772" s="32" t="e">
        <f t="array" ref="R772">IF(OR(AND(COUNTBLANK(Combo_Opponent_Type_1)=1,COUNTBLANK(Combo_Opponent_Type_2)=0),AND(AND(COUNTBLANK(Combo_Opponent_Type_1)=0,COUNTBLANK(Combo_Opponent_Type_2)=0),Combo_Opponent_Type_1=Combo_Opponent_Type_2)),
"Check Types",($S772*INDEX(Species_Tankiness,MATCH($N772,Species_Names,0)))/225)</f>
        <v>#VALUE!</v>
      </c>
      <c r="S772" s="32" t="e">
        <f t="array" ref="S772">IF(OR(AND(COUNTBLANK(Combo_Opponent_Type_1)=1,COUNTBLANK(Combo_Opponent_Type_2)=0),AND(AND(COUNTBLANK(Combo_Opponent_Type_1)=0,COUNTBLANK(Combo_Opponent_Type_2)=0),Combo_Opponent_Type_1=Combo_Opponent_Type_2)),
"Check Types",(
IF($W772&gt;=((1-Game_Weave_Human_Error)*$X772),$W772,$X772)*INDEX(Species_Attack,MATCH($N772,Species_Names,0)))/11)</f>
        <v>#VALUE!</v>
      </c>
      <c r="T772" s="33" t="e">
        <f t="shared" si="23"/>
        <v>#VALUE!</v>
      </c>
      <c r="U772" s="33">
        <f t="array" ref="U7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772,Quick_Names,0))),Type_Species)),0),1)*IF(COUNTBLANK(Combo_Opponent_Type_2)=0,INDEX(Type_Damage_Multipliers,MATCH(Combo_Opponent_Type_2,IF(Type_Move=(INDEX(Quick_Type,MATCH($O772,Quick_Names,0))),Type_Species)),0),1)*(IF(OR(INDEX(Quick_Type,MATCH($O772,Quick_Names,0))=INDEX(Species_Type_1,MATCH($N772,Species_Names,0)),INDEX(Quick_Type,MATCH($O772,Quick_Names,0))=INDEX(Species_Type_2,MATCH($N772,Species_Names,0))),Game_STAB_Multiplier,1)))</f>
        <v>1.25</v>
      </c>
      <c r="V772" s="33">
        <f t="array" ref="V77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772,Charge_Names,0))),Type_Species)),0),1)*IF(COUNTBLANK(Combo_Opponent_Type_2)=0,INDEX(Type_Damage_Multipliers,MATCH(Combo_Opponent_Type_2,IF(Type_Move=(INDEX(Charge_Type,MATCH($P772,Charge_Names,0))),Type_Species)),0),1)*
IF(OR(INDEX(Charge_Type,MATCH($P772,Charge_Names,0))=INDEX(Species_Type_1,MATCH($N772,Species_Names,0)),INDEX(Charge_Type,MATCH($P772,Charge_Names,0))=INDEX(Species_Type_2,MATCH($N772,Species_Names,0))),Game_STAB_Multiplier,1))</f>
        <v>1</v>
      </c>
      <c r="W772" s="33" t="s">
        <v>511</v>
      </c>
      <c r="X772" s="33" t="s">
        <v>1053</v>
      </c>
      <c r="Y772" s="32" t="e">
        <f t="array" ref="Y772">((($Z772)*
INDEX(Species_Attack,MATCH($N772,Species_Names,0))*
INDEX(Species_Tankiness,MATCH($N772,Species_Names,0)))/1000)</f>
        <v>#VALUE!</v>
      </c>
      <c r="Z772" s="33" t="s">
        <v>1054</v>
      </c>
    </row>
    <row r="773" spans="1:26" ht="14.25" customHeight="1" x14ac:dyDescent="0.2">
      <c r="A773" s="86"/>
      <c r="B773" s="22" t="str">
        <f t="array" ref="B773">CONCATENATE(TEXT($M773,"000"),".",TEXT(INDEX(Quick_Number,MATCH($O773,Quick_Names,0)),"000"),".",TEXT(INDEX(Charge_Number,MATCH($P773,Charge_Names,0)),"000"))</f>
        <v>098.237.105</v>
      </c>
      <c r="C773" s="23" t="e">
        <f t="array" ref="C773">RANK($S773,IF(Combo_Species_Names=$N773,Combo_Gym_Offense),0)</f>
        <v>#VALUE!</v>
      </c>
      <c r="D773" s="24" t="e">
        <f t="array" ref="D773">$S773/MAX(IF(Combo_Species_Names=$N773,Combo_Gym_Offense))</f>
        <v>#VALUE!</v>
      </c>
      <c r="E773" s="23" t="e">
        <f t="array" ref="E773">RANK($Y773,IF(Combo_Species_Names=$N773,Combo_Gym_Defense),0)</f>
        <v>#VALUE!</v>
      </c>
      <c r="F773" s="25" t="e">
        <f t="array" ref="F773">$Y773/MAX(IF(Combo_Species_Names=$N773,Combo_Gym_Defense))</f>
        <v>#VALUE!</v>
      </c>
      <c r="G773" s="23" t="str">
        <f t="array" ref="G773">IF(OR(INDEX(Species_Availability,MATCH($N773,Species_Names,0))="No",INDEX(Species_Evo_Numbers,MATCH($N773,Species_Names,0))&lt;&gt;1),"N/A",RANK($R773,IF(NOT(ISNA(MATCH(Combo_Species_Names,IF(Species_Availability="Yes",IF(Species_Evo_Numbers=1,Species_Names)),0))),Combo_Duel_Ability),0))</f>
        <v>N/A</v>
      </c>
      <c r="H773" s="24" t="str">
        <f t="array" ref="H773">IF(OR(INDEX(Species_Availability,MATCH($N773,Species_Names,0))="No",INDEX(Species_Evo_Numbers,MATCH($N773,Species_Names,0))&lt;&gt;1),"N/A",$R773/MAX(IF(NOT(ISNA(MATCH(Combo_Species_Names,IF(Species_Availability="Yes",IF(Species_Evo_Numbers=1,Species_Names)),0))),Combo_Duel_Ability)))</f>
        <v>N/A</v>
      </c>
      <c r="I773" s="23" t="str">
        <f t="array" ref="I773">IF(OR(INDEX(Species_Availability,MATCH($N773,Species_Names,0))="No",INDEX(Species_Evo_Numbers,MATCH($N773,Species_Names,0))&lt;&gt;1),"N/A",RANK($S773,IF(NOT(ISNA(MATCH(Combo_Species_Names,IF(Species_Availability="Yes",IF(Species_Evo_Numbers=1,Species_Names)),0))),Combo_Gym_Offense),0))</f>
        <v>N/A</v>
      </c>
      <c r="J773" s="24" t="str">
        <f t="array" ref="J773">IF(OR(INDEX(Species_Availability,MATCH($N773,Species_Names,0))="No",INDEX(Species_Evo_Numbers,MATCH($N773,Species_Names,0))&lt;&gt;1),"N/A",$S773/MAX(IF(NOT(ISNA(MATCH(Combo_Species_Names,IF(Species_Availability="Yes",IF(Species_Evo_Numbers=1,Species_Names)),0))),Combo_Gym_Offense)))</f>
        <v>N/A</v>
      </c>
      <c r="K773" s="23" t="str">
        <f t="array" ref="K773">IF(OR(INDEX(Species_Availability,MATCH($N773,Species_Names,0))="No",INDEX(Species_Evo_Numbers,MATCH($N773,Species_Names,0))&lt;&gt;1),"N/A",RANK($Y773,IF(NOT(ISNA(MATCH(Combo_Species_Names,IF(Species_Availability="Yes",IF(Species_Evo_Numbers=1,Species_Names)),0))),Combo_Gym_Defense),0))</f>
        <v>N/A</v>
      </c>
      <c r="L773" s="24" t="str">
        <f t="array" ref="L773">IF(OR(INDEX(Species_Availability,MATCH($N773,Species_Names,0))="No",INDEX(Species_Evo_Numbers,MATCH($N773,Species_Names,0))&lt;&gt;1),"N/A",$Y773/MAX(IF(NOT(ISNA(MATCH(Combo_Species_Names,IF(Species_Availability="Yes",IF(Species_Evo_Numbers=1,Species_Names)),0))),Combo_Gym_Defense)))</f>
        <v>N/A</v>
      </c>
      <c r="M773" s="28">
        <f t="array" ref="M773">INDEX(Species_Pdex_Numbers,MATCH($N773,Species_Names,0))</f>
        <v>98</v>
      </c>
      <c r="N773" s="30" t="s">
        <v>295</v>
      </c>
      <c r="O773" s="31" t="s">
        <v>92</v>
      </c>
      <c r="P773" s="31" t="s">
        <v>281</v>
      </c>
      <c r="Q773" s="17" t="e">
        <f t="shared" si="22"/>
        <v>#VALUE!</v>
      </c>
      <c r="R773" s="32" t="e">
        <f t="array" ref="R773">IF(OR(AND(COUNTBLANK(Combo_Opponent_Type_1)=1,COUNTBLANK(Combo_Opponent_Type_2)=0),AND(AND(COUNTBLANK(Combo_Opponent_Type_1)=0,COUNTBLANK(Combo_Opponent_Type_2)=0),Combo_Opponent_Type_1=Combo_Opponent_Type_2)),
"Check Types",($S773*INDEX(Species_Tankiness,MATCH($N773,Species_Names,0)))/225)</f>
        <v>#VALUE!</v>
      </c>
      <c r="S773" s="32" t="e">
        <f t="array" ref="S773">IF(OR(AND(COUNTBLANK(Combo_Opponent_Type_1)=1,COUNTBLANK(Combo_Opponent_Type_2)=0),AND(AND(COUNTBLANK(Combo_Opponent_Type_1)=0,COUNTBLANK(Combo_Opponent_Type_2)=0),Combo_Opponent_Type_1=Combo_Opponent_Type_2)),
"Check Types",(
IF($W773&gt;=((1-Game_Weave_Human_Error)*$X773),$W773,$X773)*INDEX(Species_Attack,MATCH($N773,Species_Names,0)))/11)</f>
        <v>#VALUE!</v>
      </c>
      <c r="T773" s="33" t="e">
        <f t="shared" si="23"/>
        <v>#VALUE!</v>
      </c>
      <c r="U773" s="33">
        <f t="array" ref="U7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773,Quick_Names,0))),Type_Species)),0),1)*IF(COUNTBLANK(Combo_Opponent_Type_2)=0,INDEX(Type_Damage_Multipliers,MATCH(Combo_Opponent_Type_2,IF(Type_Move=(INDEX(Quick_Type,MATCH($O773,Quick_Names,0))),Type_Species)),0),1)*(IF(OR(INDEX(Quick_Type,MATCH($O773,Quick_Names,0))=INDEX(Species_Type_1,MATCH($N773,Species_Names,0)),INDEX(Quick_Type,MATCH($O773,Quick_Names,0))=INDEX(Species_Type_2,MATCH($N773,Species_Names,0))),Game_STAB_Multiplier,1)))</f>
        <v>1.25</v>
      </c>
      <c r="V773" s="33">
        <f t="array" ref="V77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773,Charge_Names,0))),Type_Species)),0),1)*IF(COUNTBLANK(Combo_Opponent_Type_2)=0,INDEX(Type_Damage_Multipliers,MATCH(Combo_Opponent_Type_2,IF(Type_Move=(INDEX(Charge_Type,MATCH($P773,Charge_Names,0))),Type_Species)),0),1)*
IF(OR(INDEX(Charge_Type,MATCH($P773,Charge_Names,0))=INDEX(Species_Type_1,MATCH($N773,Species_Names,0)),INDEX(Charge_Type,MATCH($P773,Charge_Names,0))=INDEX(Species_Type_2,MATCH($N773,Species_Names,0))),Game_STAB_Multiplier,1))</f>
        <v>1.25</v>
      </c>
      <c r="W773" s="33" t="s">
        <v>481</v>
      </c>
      <c r="X773" s="33" t="s">
        <v>1031</v>
      </c>
      <c r="Y773" s="32" t="e">
        <f t="array" ref="Y773">((($Z773)*
INDEX(Species_Attack,MATCH($N773,Species_Names,0))*
INDEX(Species_Tankiness,MATCH($N773,Species_Names,0)))/1000)</f>
        <v>#VALUE!</v>
      </c>
      <c r="Z773" s="33" t="s">
        <v>1032</v>
      </c>
    </row>
    <row r="774" spans="1:26" ht="14.25" customHeight="1" x14ac:dyDescent="0.2">
      <c r="A774" s="86"/>
      <c r="B774" s="22" t="str">
        <f t="array" ref="B774">CONCATENATE(TEXT($M774,"000"),".",TEXT(INDEX(Quick_Number,MATCH($O774,Quick_Names,0)),"000"),".",TEXT(INDEX(Charge_Number,MATCH($P774,Charge_Names,0)),"000"))</f>
        <v>098.237.053</v>
      </c>
      <c r="C774" s="23" t="e">
        <f t="array" ref="C774">RANK($S774,IF(Combo_Species_Names=$N774,Combo_Gym_Offense),0)</f>
        <v>#VALUE!</v>
      </c>
      <c r="D774" s="24" t="e">
        <f t="array" ref="D774">$S774/MAX(IF(Combo_Species_Names=$N774,Combo_Gym_Offense))</f>
        <v>#VALUE!</v>
      </c>
      <c r="E774" s="23" t="e">
        <f t="array" ref="E774">RANK($Y774,IF(Combo_Species_Names=$N774,Combo_Gym_Defense),0)</f>
        <v>#VALUE!</v>
      </c>
      <c r="F774" s="25" t="e">
        <f t="array" ref="F774">$Y774/MAX(IF(Combo_Species_Names=$N774,Combo_Gym_Defense))</f>
        <v>#VALUE!</v>
      </c>
      <c r="G774" s="23" t="str">
        <f t="array" ref="G774">IF(OR(INDEX(Species_Availability,MATCH($N774,Species_Names,0))="No",INDEX(Species_Evo_Numbers,MATCH($N774,Species_Names,0))&lt;&gt;1),"N/A",RANK($R774,IF(NOT(ISNA(MATCH(Combo_Species_Names,IF(Species_Availability="Yes",IF(Species_Evo_Numbers=1,Species_Names)),0))),Combo_Duel_Ability),0))</f>
        <v>N/A</v>
      </c>
      <c r="H774" s="24" t="str">
        <f t="array" ref="H774">IF(OR(INDEX(Species_Availability,MATCH($N774,Species_Names,0))="No",INDEX(Species_Evo_Numbers,MATCH($N774,Species_Names,0))&lt;&gt;1),"N/A",$R774/MAX(IF(NOT(ISNA(MATCH(Combo_Species_Names,IF(Species_Availability="Yes",IF(Species_Evo_Numbers=1,Species_Names)),0))),Combo_Duel_Ability)))</f>
        <v>N/A</v>
      </c>
      <c r="I774" s="23" t="str">
        <f t="array" ref="I774">IF(OR(INDEX(Species_Availability,MATCH($N774,Species_Names,0))="No",INDEX(Species_Evo_Numbers,MATCH($N774,Species_Names,0))&lt;&gt;1),"N/A",RANK($S774,IF(NOT(ISNA(MATCH(Combo_Species_Names,IF(Species_Availability="Yes",IF(Species_Evo_Numbers=1,Species_Names)),0))),Combo_Gym_Offense),0))</f>
        <v>N/A</v>
      </c>
      <c r="J774" s="24" t="str">
        <f t="array" ref="J774">IF(OR(INDEX(Species_Availability,MATCH($N774,Species_Names,0))="No",INDEX(Species_Evo_Numbers,MATCH($N774,Species_Names,0))&lt;&gt;1),"N/A",$S774/MAX(IF(NOT(ISNA(MATCH(Combo_Species_Names,IF(Species_Availability="Yes",IF(Species_Evo_Numbers=1,Species_Names)),0))),Combo_Gym_Offense)))</f>
        <v>N/A</v>
      </c>
      <c r="K774" s="23" t="str">
        <f t="array" ref="K774">IF(OR(INDEX(Species_Availability,MATCH($N774,Species_Names,0))="No",INDEX(Species_Evo_Numbers,MATCH($N774,Species_Names,0))&lt;&gt;1),"N/A",RANK($Y774,IF(NOT(ISNA(MATCH(Combo_Species_Names,IF(Species_Availability="Yes",IF(Species_Evo_Numbers=1,Species_Names)),0))),Combo_Gym_Defense),0))</f>
        <v>N/A</v>
      </c>
      <c r="L774" s="24" t="str">
        <f t="array" ref="L774">IF(OR(INDEX(Species_Availability,MATCH($N774,Species_Names,0))="No",INDEX(Species_Evo_Numbers,MATCH($N774,Species_Names,0))&lt;&gt;1),"N/A",$Y774/MAX(IF(NOT(ISNA(MATCH(Combo_Species_Names,IF(Species_Availability="Yes",IF(Species_Evo_Numbers=1,Species_Names)),0))),Combo_Gym_Defense)))</f>
        <v>N/A</v>
      </c>
      <c r="M774" s="28">
        <f t="array" ref="M774">INDEX(Species_Pdex_Numbers,MATCH($N774,Species_Names,0))</f>
        <v>98</v>
      </c>
      <c r="N774" s="30" t="s">
        <v>295</v>
      </c>
      <c r="O774" s="31" t="s">
        <v>92</v>
      </c>
      <c r="P774" s="31" t="s">
        <v>289</v>
      </c>
      <c r="Q774" s="17" t="e">
        <f t="shared" ref="Q774:Q837" si="24">IF(OR(AND(COUNTBLANK(Combo_Opponent_Type_1)=1,COUNTBLANK(Combo_Opponent_Type_2)=0),AND(AND(COUNTBLANK(Combo_Opponent_Type_1)=0,COUNTBLANK(Combo_Opponent_Type_2)=0),Combo_Opponent_Type_1=Combo_Opponent_Type_2)),
"Check Types",IF($W774&gt;=((1-Game_Weave_Human_Error)*$X774),"Quick Only","Weave"))</f>
        <v>#VALUE!</v>
      </c>
      <c r="R774" s="32" t="e">
        <f t="array" ref="R774">IF(OR(AND(COUNTBLANK(Combo_Opponent_Type_1)=1,COUNTBLANK(Combo_Opponent_Type_2)=0),AND(AND(COUNTBLANK(Combo_Opponent_Type_1)=0,COUNTBLANK(Combo_Opponent_Type_2)=0),Combo_Opponent_Type_1=Combo_Opponent_Type_2)),
"Check Types",($S774*INDEX(Species_Tankiness,MATCH($N774,Species_Names,0)))/225)</f>
        <v>#VALUE!</v>
      </c>
      <c r="S774" s="32" t="e">
        <f t="array" ref="S774">IF(OR(AND(COUNTBLANK(Combo_Opponent_Type_1)=1,COUNTBLANK(Combo_Opponent_Type_2)=0),AND(AND(COUNTBLANK(Combo_Opponent_Type_1)=0,COUNTBLANK(Combo_Opponent_Type_2)=0),Combo_Opponent_Type_1=Combo_Opponent_Type_2)),
"Check Types",(
IF($W774&gt;=((1-Game_Weave_Human_Error)*$X774),$W774,$X774)*INDEX(Species_Attack,MATCH($N774,Species_Names,0)))/11)</f>
        <v>#VALUE!</v>
      </c>
      <c r="T774" s="33" t="e">
        <f t="shared" ref="T774:T837" si="25">IF(OR(AND(COUNTBLANK(Combo_Opponent_Type_1)=1,COUNTBLANK(Combo_Opponent_Type_2)=0),AND(AND(COUNTBLANK(Combo_Opponent_Type_1)=0,COUNTBLANK(Combo_Opponent_Type_2)=0),Combo_Opponent_Type_1=Combo_Opponent_Type_2)),
"Check Types",IF($W774&gt;=((1-Game_Weave_Human_Error)*$X774),$W774,$X774))</f>
        <v>#VALUE!</v>
      </c>
      <c r="U774" s="33">
        <f t="array" ref="U7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774,Quick_Names,0))),Type_Species)),0),1)*IF(COUNTBLANK(Combo_Opponent_Type_2)=0,INDEX(Type_Damage_Multipliers,MATCH(Combo_Opponent_Type_2,IF(Type_Move=(INDEX(Quick_Type,MATCH($O774,Quick_Names,0))),Type_Species)),0),1)*(IF(OR(INDEX(Quick_Type,MATCH($O774,Quick_Names,0))=INDEX(Species_Type_1,MATCH($N774,Species_Names,0)),INDEX(Quick_Type,MATCH($O774,Quick_Names,0))=INDEX(Species_Type_2,MATCH($N774,Species_Names,0))),Game_STAB_Multiplier,1)))</f>
        <v>1.25</v>
      </c>
      <c r="V774" s="33">
        <f t="array" ref="V77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774,Charge_Names,0))),Type_Species)),0),1)*IF(COUNTBLANK(Combo_Opponent_Type_2)=0,INDEX(Type_Damage_Multipliers,MATCH(Combo_Opponent_Type_2,IF(Type_Move=(INDEX(Charge_Type,MATCH($P774,Charge_Names,0))),Type_Species)),0),1)*
IF(OR(INDEX(Charge_Type,MATCH($P774,Charge_Names,0))=INDEX(Species_Type_1,MATCH($N774,Species_Names,0)),INDEX(Charge_Type,MATCH($P774,Charge_Names,0))=INDEX(Species_Type_2,MATCH($N774,Species_Names,0))),Game_STAB_Multiplier,1))</f>
        <v>1.25</v>
      </c>
      <c r="W774" s="33" t="s">
        <v>481</v>
      </c>
      <c r="X774" s="33" t="s">
        <v>975</v>
      </c>
      <c r="Y774" s="32" t="e">
        <f t="array" ref="Y774">((($Z774)*
INDEX(Species_Attack,MATCH($N774,Species_Names,0))*
INDEX(Species_Tankiness,MATCH($N774,Species_Names,0)))/1000)</f>
        <v>#VALUE!</v>
      </c>
      <c r="Z774" s="33" t="s">
        <v>976</v>
      </c>
    </row>
    <row r="775" spans="1:26" ht="14.25" customHeight="1" x14ac:dyDescent="0.2">
      <c r="A775" s="86"/>
      <c r="B775" s="22" t="str">
        <f t="array" ref="B775">CONCATENATE(TEXT($M775,"000"),".",TEXT(INDEX(Quick_Number,MATCH($O775,Quick_Names,0)),"000"),".",TEXT(INDEX(Charge_Number,MATCH($P775,Charge_Names,0)),"000"))</f>
        <v>098.237.020</v>
      </c>
      <c r="C775" s="23" t="e">
        <f t="array" ref="C775">RANK($S775,IF(Combo_Species_Names=$N775,Combo_Gym_Offense),0)</f>
        <v>#VALUE!</v>
      </c>
      <c r="D775" s="24" t="e">
        <f t="array" ref="D775">$S775/MAX(IF(Combo_Species_Names=$N775,Combo_Gym_Offense))</f>
        <v>#VALUE!</v>
      </c>
      <c r="E775" s="23" t="e">
        <f t="array" ref="E775">RANK($Y775,IF(Combo_Species_Names=$N775,Combo_Gym_Defense),0)</f>
        <v>#VALUE!</v>
      </c>
      <c r="F775" s="25" t="e">
        <f t="array" ref="F775">$Y775/MAX(IF(Combo_Species_Names=$N775,Combo_Gym_Defense))</f>
        <v>#VALUE!</v>
      </c>
      <c r="G775" s="23" t="str">
        <f t="array" ref="G775">IF(OR(INDEX(Species_Availability,MATCH($N775,Species_Names,0))="No",INDEX(Species_Evo_Numbers,MATCH($N775,Species_Names,0))&lt;&gt;1),"N/A",RANK($R775,IF(NOT(ISNA(MATCH(Combo_Species_Names,IF(Species_Availability="Yes",IF(Species_Evo_Numbers=1,Species_Names)),0))),Combo_Duel_Ability),0))</f>
        <v>N/A</v>
      </c>
      <c r="H775" s="24" t="str">
        <f t="array" ref="H775">IF(OR(INDEX(Species_Availability,MATCH($N775,Species_Names,0))="No",INDEX(Species_Evo_Numbers,MATCH($N775,Species_Names,0))&lt;&gt;1),"N/A",$R775/MAX(IF(NOT(ISNA(MATCH(Combo_Species_Names,IF(Species_Availability="Yes",IF(Species_Evo_Numbers=1,Species_Names)),0))),Combo_Duel_Ability)))</f>
        <v>N/A</v>
      </c>
      <c r="I775" s="23" t="str">
        <f t="array" ref="I775">IF(OR(INDEX(Species_Availability,MATCH($N775,Species_Names,0))="No",INDEX(Species_Evo_Numbers,MATCH($N775,Species_Names,0))&lt;&gt;1),"N/A",RANK($S775,IF(NOT(ISNA(MATCH(Combo_Species_Names,IF(Species_Availability="Yes",IF(Species_Evo_Numbers=1,Species_Names)),0))),Combo_Gym_Offense),0))</f>
        <v>N/A</v>
      </c>
      <c r="J775" s="24" t="str">
        <f t="array" ref="J775">IF(OR(INDEX(Species_Availability,MATCH($N775,Species_Names,0))="No",INDEX(Species_Evo_Numbers,MATCH($N775,Species_Names,0))&lt;&gt;1),"N/A",$S775/MAX(IF(NOT(ISNA(MATCH(Combo_Species_Names,IF(Species_Availability="Yes",IF(Species_Evo_Numbers=1,Species_Names)),0))),Combo_Gym_Offense)))</f>
        <v>N/A</v>
      </c>
      <c r="K775" s="23" t="str">
        <f t="array" ref="K775">IF(OR(INDEX(Species_Availability,MATCH($N775,Species_Names,0))="No",INDEX(Species_Evo_Numbers,MATCH($N775,Species_Names,0))&lt;&gt;1),"N/A",RANK($Y775,IF(NOT(ISNA(MATCH(Combo_Species_Names,IF(Species_Availability="Yes",IF(Species_Evo_Numbers=1,Species_Names)),0))),Combo_Gym_Defense),0))</f>
        <v>N/A</v>
      </c>
      <c r="L775" s="24" t="str">
        <f t="array" ref="L775">IF(OR(INDEX(Species_Availability,MATCH($N775,Species_Names,0))="No",INDEX(Species_Evo_Numbers,MATCH($N775,Species_Names,0))&lt;&gt;1),"N/A",$Y775/MAX(IF(NOT(ISNA(MATCH(Combo_Species_Names,IF(Species_Availability="Yes",IF(Species_Evo_Numbers=1,Species_Names)),0))),Combo_Gym_Defense)))</f>
        <v>N/A</v>
      </c>
      <c r="M775" s="28">
        <f t="array" ref="M775">INDEX(Species_Pdex_Numbers,MATCH($N775,Species_Names,0))</f>
        <v>98</v>
      </c>
      <c r="N775" s="30" t="s">
        <v>295</v>
      </c>
      <c r="O775" s="31" t="s">
        <v>92</v>
      </c>
      <c r="P775" s="31" t="s">
        <v>267</v>
      </c>
      <c r="Q775" s="17" t="e">
        <f t="shared" si="24"/>
        <v>#VALUE!</v>
      </c>
      <c r="R775" s="32" t="e">
        <f t="array" ref="R775">IF(OR(AND(COUNTBLANK(Combo_Opponent_Type_1)=1,COUNTBLANK(Combo_Opponent_Type_2)=0),AND(AND(COUNTBLANK(Combo_Opponent_Type_1)=0,COUNTBLANK(Combo_Opponent_Type_2)=0),Combo_Opponent_Type_1=Combo_Opponent_Type_2)),
"Check Types",($S775*INDEX(Species_Tankiness,MATCH($N775,Species_Names,0)))/225)</f>
        <v>#VALUE!</v>
      </c>
      <c r="S775" s="32" t="e">
        <f t="array" ref="S775">IF(OR(AND(COUNTBLANK(Combo_Opponent_Type_1)=1,COUNTBLANK(Combo_Opponent_Type_2)=0),AND(AND(COUNTBLANK(Combo_Opponent_Type_1)=0,COUNTBLANK(Combo_Opponent_Type_2)=0),Combo_Opponent_Type_1=Combo_Opponent_Type_2)),
"Check Types",(
IF($W775&gt;=((1-Game_Weave_Human_Error)*$X775),$W775,$X775)*INDEX(Species_Attack,MATCH($N775,Species_Names,0)))/11)</f>
        <v>#VALUE!</v>
      </c>
      <c r="T775" s="33" t="e">
        <f t="shared" si="25"/>
        <v>#VALUE!</v>
      </c>
      <c r="U775" s="33">
        <f t="array" ref="U7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775,Quick_Names,0))),Type_Species)),0),1)*IF(COUNTBLANK(Combo_Opponent_Type_2)=0,INDEX(Type_Damage_Multipliers,MATCH(Combo_Opponent_Type_2,IF(Type_Move=(INDEX(Quick_Type,MATCH($O775,Quick_Names,0))),Type_Species)),0),1)*(IF(OR(INDEX(Quick_Type,MATCH($O775,Quick_Names,0))=INDEX(Species_Type_1,MATCH($N775,Species_Names,0)),INDEX(Quick_Type,MATCH($O775,Quick_Names,0))=INDEX(Species_Type_2,MATCH($N775,Species_Names,0))),Game_STAB_Multiplier,1)))</f>
        <v>1.25</v>
      </c>
      <c r="V775" s="33">
        <f t="array" ref="V77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775,Charge_Names,0))),Type_Species)),0),1)*IF(COUNTBLANK(Combo_Opponent_Type_2)=0,INDEX(Type_Damage_Multipliers,MATCH(Combo_Opponent_Type_2,IF(Type_Move=(INDEX(Charge_Type,MATCH($P775,Charge_Names,0))),Type_Species)),0),1)*
IF(OR(INDEX(Charge_Type,MATCH($P775,Charge_Names,0))=INDEX(Species_Type_1,MATCH($N775,Species_Names,0)),INDEX(Charge_Type,MATCH($P775,Charge_Names,0))=INDEX(Species_Type_2,MATCH($N775,Species_Names,0))),Game_STAB_Multiplier,1))</f>
        <v>1</v>
      </c>
      <c r="W775" s="33" t="s">
        <v>481</v>
      </c>
      <c r="X775" s="33" t="s">
        <v>1077</v>
      </c>
      <c r="Y775" s="32" t="e">
        <f t="array" ref="Y775">((($Z775)*
INDEX(Species_Attack,MATCH($N775,Species_Names,0))*
INDEX(Species_Tankiness,MATCH($N775,Species_Names,0)))/1000)</f>
        <v>#VALUE!</v>
      </c>
      <c r="Z775" s="33" t="s">
        <v>1078</v>
      </c>
    </row>
    <row r="776" spans="1:26" ht="14.25" customHeight="1" x14ac:dyDescent="0.2">
      <c r="A776" s="86"/>
      <c r="B776" s="22" t="str">
        <f t="array" ref="B776">CONCATENATE(TEXT($M776,"000"),".",TEXT(INDEX(Quick_Number,MATCH($O776,Quick_Names,0)),"000"),".",TEXT(INDEX(Charge_Number,MATCH($P776,Charge_Names,0)),"000"))</f>
        <v>084.219.038</v>
      </c>
      <c r="C776" s="23" t="e">
        <f t="array" ref="C776">RANK($S776,IF(Combo_Species_Names=$N776,Combo_Gym_Offense),0)</f>
        <v>#VALUE!</v>
      </c>
      <c r="D776" s="24" t="e">
        <f t="array" ref="D776">$S776/MAX(IF(Combo_Species_Names=$N776,Combo_Gym_Offense))</f>
        <v>#VALUE!</v>
      </c>
      <c r="E776" s="23" t="e">
        <f t="array" ref="E776">RANK($Y776,IF(Combo_Species_Names=$N776,Combo_Gym_Defense),0)</f>
        <v>#VALUE!</v>
      </c>
      <c r="F776" s="25" t="e">
        <f t="array" ref="F776">$Y776/MAX(IF(Combo_Species_Names=$N776,Combo_Gym_Defense))</f>
        <v>#VALUE!</v>
      </c>
      <c r="G776" s="23" t="str">
        <f t="array" ref="G776">IF(OR(INDEX(Species_Availability,MATCH($N776,Species_Names,0))="No",INDEX(Species_Evo_Numbers,MATCH($N776,Species_Names,0))&lt;&gt;1),"N/A",RANK($R776,IF(NOT(ISNA(MATCH(Combo_Species_Names,IF(Species_Availability="Yes",IF(Species_Evo_Numbers=1,Species_Names)),0))),Combo_Duel_Ability),0))</f>
        <v>N/A</v>
      </c>
      <c r="H776" s="24" t="str">
        <f t="array" ref="H776">IF(OR(INDEX(Species_Availability,MATCH($N776,Species_Names,0))="No",INDEX(Species_Evo_Numbers,MATCH($N776,Species_Names,0))&lt;&gt;1),"N/A",$R776/MAX(IF(NOT(ISNA(MATCH(Combo_Species_Names,IF(Species_Availability="Yes",IF(Species_Evo_Numbers=1,Species_Names)),0))),Combo_Duel_Ability)))</f>
        <v>N/A</v>
      </c>
      <c r="I776" s="23" t="str">
        <f t="array" ref="I776">IF(OR(INDEX(Species_Availability,MATCH($N776,Species_Names,0))="No",INDEX(Species_Evo_Numbers,MATCH($N776,Species_Names,0))&lt;&gt;1),"N/A",RANK($S776,IF(NOT(ISNA(MATCH(Combo_Species_Names,IF(Species_Availability="Yes",IF(Species_Evo_Numbers=1,Species_Names)),0))),Combo_Gym_Offense),0))</f>
        <v>N/A</v>
      </c>
      <c r="J776" s="24" t="str">
        <f t="array" ref="J776">IF(OR(INDEX(Species_Availability,MATCH($N776,Species_Names,0))="No",INDEX(Species_Evo_Numbers,MATCH($N776,Species_Names,0))&lt;&gt;1),"N/A",$S776/MAX(IF(NOT(ISNA(MATCH(Combo_Species_Names,IF(Species_Availability="Yes",IF(Species_Evo_Numbers=1,Species_Names)),0))),Combo_Gym_Offense)))</f>
        <v>N/A</v>
      </c>
      <c r="K776" s="23" t="str">
        <f t="array" ref="K776">IF(OR(INDEX(Species_Availability,MATCH($N776,Species_Names,0))="No",INDEX(Species_Evo_Numbers,MATCH($N776,Species_Names,0))&lt;&gt;1),"N/A",RANK($Y776,IF(NOT(ISNA(MATCH(Combo_Species_Names,IF(Species_Availability="Yes",IF(Species_Evo_Numbers=1,Species_Names)),0))),Combo_Gym_Defense),0))</f>
        <v>N/A</v>
      </c>
      <c r="L776" s="24" t="str">
        <f t="array" ref="L776">IF(OR(INDEX(Species_Availability,MATCH($N776,Species_Names,0))="No",INDEX(Species_Evo_Numbers,MATCH($N776,Species_Names,0))&lt;&gt;1),"N/A",$Y776/MAX(IF(NOT(ISNA(MATCH(Combo_Species_Names,IF(Species_Availability="Yes",IF(Species_Evo_Numbers=1,Species_Names)),0))),Combo_Gym_Defense)))</f>
        <v>N/A</v>
      </c>
      <c r="M776" s="28">
        <f t="array" ref="M776">INDEX(Species_Pdex_Numbers,MATCH($N776,Species_Names,0))</f>
        <v>84</v>
      </c>
      <c r="N776" s="30" t="s">
        <v>261</v>
      </c>
      <c r="O776" s="31" t="s">
        <v>119</v>
      </c>
      <c r="P776" s="31" t="s">
        <v>230</v>
      </c>
      <c r="Q776" s="17" t="e">
        <f t="shared" si="24"/>
        <v>#VALUE!</v>
      </c>
      <c r="R776" s="32" t="e">
        <f t="array" ref="R776">IF(OR(AND(COUNTBLANK(Combo_Opponent_Type_1)=1,COUNTBLANK(Combo_Opponent_Type_2)=0),AND(AND(COUNTBLANK(Combo_Opponent_Type_1)=0,COUNTBLANK(Combo_Opponent_Type_2)=0),Combo_Opponent_Type_1=Combo_Opponent_Type_2)),
"Check Types",($S776*INDEX(Species_Tankiness,MATCH($N776,Species_Names,0)))/225)</f>
        <v>#VALUE!</v>
      </c>
      <c r="S776" s="32" t="e">
        <f t="array" ref="S776">IF(OR(AND(COUNTBLANK(Combo_Opponent_Type_1)=1,COUNTBLANK(Combo_Opponent_Type_2)=0),AND(AND(COUNTBLANK(Combo_Opponent_Type_1)=0,COUNTBLANK(Combo_Opponent_Type_2)=0),Combo_Opponent_Type_1=Combo_Opponent_Type_2)),
"Check Types",(
IF($W776&gt;=((1-Game_Weave_Human_Error)*$X776),$W776,$X776)*INDEX(Species_Attack,MATCH($N776,Species_Names,0)))/11)</f>
        <v>#VALUE!</v>
      </c>
      <c r="T776" s="33" t="e">
        <f t="shared" si="25"/>
        <v>#VALUE!</v>
      </c>
      <c r="U776" s="33">
        <f t="array" ref="U7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776,Quick_Names,0))),Type_Species)),0),1)*IF(COUNTBLANK(Combo_Opponent_Type_2)=0,INDEX(Type_Damage_Multipliers,MATCH(Combo_Opponent_Type_2,IF(Type_Move=(INDEX(Quick_Type,MATCH($O776,Quick_Names,0))),Type_Species)),0),1)*(IF(OR(INDEX(Quick_Type,MATCH($O776,Quick_Names,0))=INDEX(Species_Type_1,MATCH($N776,Species_Names,0)),INDEX(Quick_Type,MATCH($O776,Quick_Names,0))=INDEX(Species_Type_2,MATCH($N776,Species_Names,0))),Game_STAB_Multiplier,1)))</f>
        <v>1.25</v>
      </c>
      <c r="V776" s="33">
        <f t="array" ref="V77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776,Charge_Names,0))),Type_Species)),0),1)*IF(COUNTBLANK(Combo_Opponent_Type_2)=0,INDEX(Type_Damage_Multipliers,MATCH(Combo_Opponent_Type_2,IF(Type_Move=(INDEX(Charge_Type,MATCH($P776,Charge_Names,0))),Type_Species)),0),1)*
IF(OR(INDEX(Charge_Type,MATCH($P776,Charge_Names,0))=INDEX(Species_Type_1,MATCH($N776,Species_Names,0)),INDEX(Charge_Type,MATCH($P776,Charge_Names,0))=INDEX(Species_Type_2,MATCH($N776,Species_Names,0))),Game_STAB_Multiplier,1))</f>
        <v>1.25</v>
      </c>
      <c r="W776" s="33" t="s">
        <v>564</v>
      </c>
      <c r="X776" s="33" t="s">
        <v>1079</v>
      </c>
      <c r="Y776" s="32" t="e">
        <f t="array" ref="Y776">((($Z776)*
INDEX(Species_Attack,MATCH($N776,Species_Names,0))*
INDEX(Species_Tankiness,MATCH($N776,Species_Names,0)))/1000)</f>
        <v>#VALUE!</v>
      </c>
      <c r="Z776" s="33" t="s">
        <v>1080</v>
      </c>
    </row>
    <row r="777" spans="1:26" ht="14.25" customHeight="1" x14ac:dyDescent="0.2">
      <c r="A777" s="86"/>
      <c r="B777" s="22" t="str">
        <f t="array" ref="B777">CONCATENATE(TEXT($M777,"000"),".",TEXT(INDEX(Quick_Number,MATCH($O777,Quick_Names,0)),"000"),".",TEXT(INDEX(Charge_Number,MATCH($P777,Charge_Names,0)),"000"))</f>
        <v>092.203.090</v>
      </c>
      <c r="C777" s="23" t="e">
        <f t="array" ref="C777">RANK($S777,IF(Combo_Species_Names=$N777,Combo_Gym_Offense),0)</f>
        <v>#VALUE!</v>
      </c>
      <c r="D777" s="24" t="e">
        <f t="array" ref="D777">$S777/MAX(IF(Combo_Species_Names=$N777,Combo_Gym_Offense))</f>
        <v>#VALUE!</v>
      </c>
      <c r="E777" s="23" t="e">
        <f t="array" ref="E777">RANK($Y777,IF(Combo_Species_Names=$N777,Combo_Gym_Defense),0)</f>
        <v>#VALUE!</v>
      </c>
      <c r="F777" s="25" t="e">
        <f t="array" ref="F777">$Y777/MAX(IF(Combo_Species_Names=$N777,Combo_Gym_Defense))</f>
        <v>#VALUE!</v>
      </c>
      <c r="G777" s="23" t="str">
        <f t="array" ref="G777">IF(OR(INDEX(Species_Availability,MATCH($N777,Species_Names,0))="No",INDEX(Species_Evo_Numbers,MATCH($N777,Species_Names,0))&lt;&gt;1),"N/A",RANK($R777,IF(NOT(ISNA(MATCH(Combo_Species_Names,IF(Species_Availability="Yes",IF(Species_Evo_Numbers=1,Species_Names)),0))),Combo_Duel_Ability),0))</f>
        <v>N/A</v>
      </c>
      <c r="H777" s="24" t="str">
        <f t="array" ref="H777">IF(OR(INDEX(Species_Availability,MATCH($N777,Species_Names,0))="No",INDEX(Species_Evo_Numbers,MATCH($N777,Species_Names,0))&lt;&gt;1),"N/A",$R777/MAX(IF(NOT(ISNA(MATCH(Combo_Species_Names,IF(Species_Availability="Yes",IF(Species_Evo_Numbers=1,Species_Names)),0))),Combo_Duel_Ability)))</f>
        <v>N/A</v>
      </c>
      <c r="I777" s="23" t="str">
        <f t="array" ref="I777">IF(OR(INDEX(Species_Availability,MATCH($N777,Species_Names,0))="No",INDEX(Species_Evo_Numbers,MATCH($N777,Species_Names,0))&lt;&gt;1),"N/A",RANK($S777,IF(NOT(ISNA(MATCH(Combo_Species_Names,IF(Species_Availability="Yes",IF(Species_Evo_Numbers=1,Species_Names)),0))),Combo_Gym_Offense),0))</f>
        <v>N/A</v>
      </c>
      <c r="J777" s="24" t="str">
        <f t="array" ref="J777">IF(OR(INDEX(Species_Availability,MATCH($N777,Species_Names,0))="No",INDEX(Species_Evo_Numbers,MATCH($N777,Species_Names,0))&lt;&gt;1),"N/A",$S777/MAX(IF(NOT(ISNA(MATCH(Combo_Species_Names,IF(Species_Availability="Yes",IF(Species_Evo_Numbers=1,Species_Names)),0))),Combo_Gym_Offense)))</f>
        <v>N/A</v>
      </c>
      <c r="K777" s="23" t="str">
        <f t="array" ref="K777">IF(OR(INDEX(Species_Availability,MATCH($N777,Species_Names,0))="No",INDEX(Species_Evo_Numbers,MATCH($N777,Species_Names,0))&lt;&gt;1),"N/A",RANK($Y777,IF(NOT(ISNA(MATCH(Combo_Species_Names,IF(Species_Availability="Yes",IF(Species_Evo_Numbers=1,Species_Names)),0))),Combo_Gym_Defense),0))</f>
        <v>N/A</v>
      </c>
      <c r="L777" s="24" t="str">
        <f t="array" ref="L777">IF(OR(INDEX(Species_Availability,MATCH($N777,Species_Names,0))="No",INDEX(Species_Evo_Numbers,MATCH($N777,Species_Names,0))&lt;&gt;1),"N/A",$Y777/MAX(IF(NOT(ISNA(MATCH(Combo_Species_Names,IF(Species_Availability="Yes",IF(Species_Evo_Numbers=1,Species_Names)),0))),Combo_Gym_Defense)))</f>
        <v>N/A</v>
      </c>
      <c r="M777" s="28">
        <f t="array" ref="M777">INDEX(Species_Pdex_Numbers,MATCH($N777,Species_Names,0))</f>
        <v>92</v>
      </c>
      <c r="N777" s="30" t="s">
        <v>279</v>
      </c>
      <c r="O777" s="31" t="s">
        <v>103</v>
      </c>
      <c r="P777" s="31" t="s">
        <v>180</v>
      </c>
      <c r="Q777" s="17" t="e">
        <f t="shared" si="24"/>
        <v>#VALUE!</v>
      </c>
      <c r="R777" s="32" t="e">
        <f t="array" ref="R777">IF(OR(AND(COUNTBLANK(Combo_Opponent_Type_1)=1,COUNTBLANK(Combo_Opponent_Type_2)=0),AND(AND(COUNTBLANK(Combo_Opponent_Type_1)=0,COUNTBLANK(Combo_Opponent_Type_2)=0),Combo_Opponent_Type_1=Combo_Opponent_Type_2)),
"Check Types",($S777*INDEX(Species_Tankiness,MATCH($N777,Species_Names,0)))/225)</f>
        <v>#VALUE!</v>
      </c>
      <c r="S777" s="32" t="e">
        <f t="array" ref="S777">IF(OR(AND(COUNTBLANK(Combo_Opponent_Type_1)=1,COUNTBLANK(Combo_Opponent_Type_2)=0),AND(AND(COUNTBLANK(Combo_Opponent_Type_1)=0,COUNTBLANK(Combo_Opponent_Type_2)=0),Combo_Opponent_Type_1=Combo_Opponent_Type_2)),
"Check Types",(
IF($W777&gt;=((1-Game_Weave_Human_Error)*$X777),$W777,$X777)*INDEX(Species_Attack,MATCH($N777,Species_Names,0)))/11)</f>
        <v>#VALUE!</v>
      </c>
      <c r="T777" s="33" t="e">
        <f t="shared" si="25"/>
        <v>#VALUE!</v>
      </c>
      <c r="U777" s="33">
        <f t="array" ref="U7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777,Quick_Names,0))),Type_Species)),0),1)*IF(COUNTBLANK(Combo_Opponent_Type_2)=0,INDEX(Type_Damage_Multipliers,MATCH(Combo_Opponent_Type_2,IF(Type_Move=(INDEX(Quick_Type,MATCH($O777,Quick_Names,0))),Type_Species)),0),1)*(IF(OR(INDEX(Quick_Type,MATCH($O777,Quick_Names,0))=INDEX(Species_Type_1,MATCH($N777,Species_Names,0)),INDEX(Quick_Type,MATCH($O777,Quick_Names,0))=INDEX(Species_Type_2,MATCH($N777,Species_Names,0))),Game_STAB_Multiplier,1)))</f>
        <v>1</v>
      </c>
      <c r="V777" s="33">
        <f t="array" ref="V77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777,Charge_Names,0))),Type_Species)),0),1)*IF(COUNTBLANK(Combo_Opponent_Type_2)=0,INDEX(Type_Damage_Multipliers,MATCH(Combo_Opponent_Type_2,IF(Type_Move=(INDEX(Charge_Type,MATCH($P777,Charge_Names,0))),Type_Species)),0),1)*
IF(OR(INDEX(Charge_Type,MATCH($P777,Charge_Names,0))=INDEX(Species_Type_1,MATCH($N777,Species_Names,0)),INDEX(Charge_Type,MATCH($P777,Charge_Names,0))=INDEX(Species_Type_2,MATCH($N777,Species_Names,0))),Game_STAB_Multiplier,1))</f>
        <v>1.25</v>
      </c>
      <c r="W777" s="33" t="s">
        <v>758</v>
      </c>
      <c r="X777" s="33" t="s">
        <v>1081</v>
      </c>
      <c r="Y777" s="32" t="e">
        <f t="array" ref="Y777">((($Z777)*
INDEX(Species_Attack,MATCH($N777,Species_Names,0))*
INDEX(Species_Tankiness,MATCH($N777,Species_Names,0)))/1000)</f>
        <v>#VALUE!</v>
      </c>
      <c r="Z777" s="33" t="s">
        <v>1082</v>
      </c>
    </row>
    <row r="778" spans="1:26" ht="14.25" customHeight="1" x14ac:dyDescent="0.2">
      <c r="A778" s="86"/>
      <c r="B778" s="22" t="str">
        <f t="array" ref="B778">CONCATENATE(TEXT($M778,"000"),".",TEXT(INDEX(Quick_Number,MATCH($O778,Quick_Names,0)),"000"),".",TEXT(INDEX(Charge_Number,MATCH($P778,Charge_Names,0)),"000"))</f>
        <v>025.219.035</v>
      </c>
      <c r="C778" s="23" t="e">
        <f t="array" ref="C778">RANK($S778,IF(Combo_Species_Names=$N778,Combo_Gym_Offense),0)</f>
        <v>#VALUE!</v>
      </c>
      <c r="D778" s="24" t="e">
        <f t="array" ref="D778">$S778/MAX(IF(Combo_Species_Names=$N778,Combo_Gym_Offense))</f>
        <v>#VALUE!</v>
      </c>
      <c r="E778" s="23" t="e">
        <f t="array" ref="E778">RANK($Y778,IF(Combo_Species_Names=$N778,Combo_Gym_Defense),0)</f>
        <v>#VALUE!</v>
      </c>
      <c r="F778" s="25" t="e">
        <f t="array" ref="F778">$Y778/MAX(IF(Combo_Species_Names=$N778,Combo_Gym_Defense))</f>
        <v>#VALUE!</v>
      </c>
      <c r="G778" s="23" t="str">
        <f t="array" ref="G778">IF(OR(INDEX(Species_Availability,MATCH($N778,Species_Names,0))="No",INDEX(Species_Evo_Numbers,MATCH($N778,Species_Names,0))&lt;&gt;1),"N/A",RANK($R778,IF(NOT(ISNA(MATCH(Combo_Species_Names,IF(Species_Availability="Yes",IF(Species_Evo_Numbers=1,Species_Names)),0))),Combo_Duel_Ability),0))</f>
        <v>N/A</v>
      </c>
      <c r="H778" s="24" t="str">
        <f t="array" ref="H778">IF(OR(INDEX(Species_Availability,MATCH($N778,Species_Names,0))="No",INDEX(Species_Evo_Numbers,MATCH($N778,Species_Names,0))&lt;&gt;1),"N/A",$R778/MAX(IF(NOT(ISNA(MATCH(Combo_Species_Names,IF(Species_Availability="Yes",IF(Species_Evo_Numbers=1,Species_Names)),0))),Combo_Duel_Ability)))</f>
        <v>N/A</v>
      </c>
      <c r="I778" s="23" t="str">
        <f t="array" ref="I778">IF(OR(INDEX(Species_Availability,MATCH($N778,Species_Names,0))="No",INDEX(Species_Evo_Numbers,MATCH($N778,Species_Names,0))&lt;&gt;1),"N/A",RANK($S778,IF(NOT(ISNA(MATCH(Combo_Species_Names,IF(Species_Availability="Yes",IF(Species_Evo_Numbers=1,Species_Names)),0))),Combo_Gym_Offense),0))</f>
        <v>N/A</v>
      </c>
      <c r="J778" s="24" t="str">
        <f t="array" ref="J778">IF(OR(INDEX(Species_Availability,MATCH($N778,Species_Names,0))="No",INDEX(Species_Evo_Numbers,MATCH($N778,Species_Names,0))&lt;&gt;1),"N/A",$S778/MAX(IF(NOT(ISNA(MATCH(Combo_Species_Names,IF(Species_Availability="Yes",IF(Species_Evo_Numbers=1,Species_Names)),0))),Combo_Gym_Offense)))</f>
        <v>N/A</v>
      </c>
      <c r="K778" s="23" t="str">
        <f t="array" ref="K778">IF(OR(INDEX(Species_Availability,MATCH($N778,Species_Names,0))="No",INDEX(Species_Evo_Numbers,MATCH($N778,Species_Names,0))&lt;&gt;1),"N/A",RANK($Y778,IF(NOT(ISNA(MATCH(Combo_Species_Names,IF(Species_Availability="Yes",IF(Species_Evo_Numbers=1,Species_Names)),0))),Combo_Gym_Defense),0))</f>
        <v>N/A</v>
      </c>
      <c r="L778" s="24" t="str">
        <f t="array" ref="L778">IF(OR(INDEX(Species_Availability,MATCH($N778,Species_Names,0))="No",INDEX(Species_Evo_Numbers,MATCH($N778,Species_Names,0))&lt;&gt;1),"N/A",$Y778/MAX(IF(NOT(ISNA(MATCH(Combo_Species_Names,IF(Species_Availability="Yes",IF(Species_Evo_Numbers=1,Species_Names)),0))),Combo_Gym_Defense)))</f>
        <v>N/A</v>
      </c>
      <c r="M778" s="28">
        <f t="array" ref="M778">INDEX(Species_Pdex_Numbers,MATCH($N778,Species_Names,0))</f>
        <v>25</v>
      </c>
      <c r="N778" s="30" t="s">
        <v>135</v>
      </c>
      <c r="O778" s="31" t="s">
        <v>119</v>
      </c>
      <c r="P778" s="31" t="s">
        <v>245</v>
      </c>
      <c r="Q778" s="17" t="e">
        <f t="shared" si="24"/>
        <v>#VALUE!</v>
      </c>
      <c r="R778" s="32" t="e">
        <f t="array" ref="R778">IF(OR(AND(COUNTBLANK(Combo_Opponent_Type_1)=1,COUNTBLANK(Combo_Opponent_Type_2)=0),AND(AND(COUNTBLANK(Combo_Opponent_Type_1)=0,COUNTBLANK(Combo_Opponent_Type_2)=0),Combo_Opponent_Type_1=Combo_Opponent_Type_2)),
"Check Types",($S778*INDEX(Species_Tankiness,MATCH($N778,Species_Names,0)))/225)</f>
        <v>#VALUE!</v>
      </c>
      <c r="S778" s="32" t="e">
        <f t="array" ref="S778">IF(OR(AND(COUNTBLANK(Combo_Opponent_Type_1)=1,COUNTBLANK(Combo_Opponent_Type_2)=0),AND(AND(COUNTBLANK(Combo_Opponent_Type_1)=0,COUNTBLANK(Combo_Opponent_Type_2)=0),Combo_Opponent_Type_1=Combo_Opponent_Type_2)),
"Check Types",(
IF($W778&gt;=((1-Game_Weave_Human_Error)*$X778),$W778,$X778)*INDEX(Species_Attack,MATCH($N778,Species_Names,0)))/11)</f>
        <v>#VALUE!</v>
      </c>
      <c r="T778" s="33" t="e">
        <f t="shared" si="25"/>
        <v>#VALUE!</v>
      </c>
      <c r="U778" s="33">
        <f t="array" ref="U7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778,Quick_Names,0))),Type_Species)),0),1)*IF(COUNTBLANK(Combo_Opponent_Type_2)=0,INDEX(Type_Damage_Multipliers,MATCH(Combo_Opponent_Type_2,IF(Type_Move=(INDEX(Quick_Type,MATCH($O778,Quick_Names,0))),Type_Species)),0),1)*(IF(OR(INDEX(Quick_Type,MATCH($O778,Quick_Names,0))=INDEX(Species_Type_1,MATCH($N778,Species_Names,0)),INDEX(Quick_Type,MATCH($O778,Quick_Names,0))=INDEX(Species_Type_2,MATCH($N778,Species_Names,0))),Game_STAB_Multiplier,1)))</f>
        <v>1</v>
      </c>
      <c r="V778" s="33">
        <f t="array" ref="V77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778,Charge_Names,0))),Type_Species)),0),1)*IF(COUNTBLANK(Combo_Opponent_Type_2)=0,INDEX(Type_Damage_Multipliers,MATCH(Combo_Opponent_Type_2,IF(Type_Move=(INDEX(Charge_Type,MATCH($P778,Charge_Names,0))),Type_Species)),0),1)*
IF(OR(INDEX(Charge_Type,MATCH($P778,Charge_Names,0))=INDEX(Species_Type_1,MATCH($N778,Species_Names,0)),INDEX(Charge_Type,MATCH($P778,Charge_Names,0))=INDEX(Species_Type_2,MATCH($N778,Species_Names,0))),Game_STAB_Multiplier,1))</f>
        <v>1.25</v>
      </c>
      <c r="W778" s="33" t="s">
        <v>600</v>
      </c>
      <c r="X778" s="33" t="s">
        <v>1083</v>
      </c>
      <c r="Y778" s="32" t="e">
        <f t="array" ref="Y778">((($Z778)*
INDEX(Species_Attack,MATCH($N778,Species_Names,0))*
INDEX(Species_Tankiness,MATCH($N778,Species_Names,0)))/1000)</f>
        <v>#VALUE!</v>
      </c>
      <c r="Z778" s="33" t="s">
        <v>524</v>
      </c>
    </row>
    <row r="779" spans="1:26" ht="14.25" customHeight="1" x14ac:dyDescent="0.2">
      <c r="A779" s="86"/>
      <c r="B779" s="22" t="str">
        <f t="array" ref="B779">CONCATENATE(TEXT($M779,"000"),".",TEXT(INDEX(Quick_Number,MATCH($O779,Quick_Names,0)),"000"),".",TEXT(INDEX(Charge_Number,MATCH($P779,Charge_Names,0)),"000"))</f>
        <v>116.237.036</v>
      </c>
      <c r="C779" s="23" t="e">
        <f t="array" ref="C779">RANK($S779,IF(Combo_Species_Names=$N779,Combo_Gym_Offense),0)</f>
        <v>#VALUE!</v>
      </c>
      <c r="D779" s="24" t="e">
        <f t="array" ref="D779">$S779/MAX(IF(Combo_Species_Names=$N779,Combo_Gym_Offense))</f>
        <v>#VALUE!</v>
      </c>
      <c r="E779" s="23" t="e">
        <f t="array" ref="E779">RANK($Y779,IF(Combo_Species_Names=$N779,Combo_Gym_Defense),0)</f>
        <v>#VALUE!</v>
      </c>
      <c r="F779" s="25" t="e">
        <f t="array" ref="F779">$Y779/MAX(IF(Combo_Species_Names=$N779,Combo_Gym_Defense))</f>
        <v>#VALUE!</v>
      </c>
      <c r="G779" s="23" t="str">
        <f t="array" ref="G779">IF(OR(INDEX(Species_Availability,MATCH($N779,Species_Names,0))="No",INDEX(Species_Evo_Numbers,MATCH($N779,Species_Names,0))&lt;&gt;1),"N/A",RANK($R779,IF(NOT(ISNA(MATCH(Combo_Species_Names,IF(Species_Availability="Yes",IF(Species_Evo_Numbers=1,Species_Names)),0))),Combo_Duel_Ability),0))</f>
        <v>N/A</v>
      </c>
      <c r="H779" s="24" t="str">
        <f t="array" ref="H779">IF(OR(INDEX(Species_Availability,MATCH($N779,Species_Names,0))="No",INDEX(Species_Evo_Numbers,MATCH($N779,Species_Names,0))&lt;&gt;1),"N/A",$R779/MAX(IF(NOT(ISNA(MATCH(Combo_Species_Names,IF(Species_Availability="Yes",IF(Species_Evo_Numbers=1,Species_Names)),0))),Combo_Duel_Ability)))</f>
        <v>N/A</v>
      </c>
      <c r="I779" s="23" t="str">
        <f t="array" ref="I779">IF(OR(INDEX(Species_Availability,MATCH($N779,Species_Names,0))="No",INDEX(Species_Evo_Numbers,MATCH($N779,Species_Names,0))&lt;&gt;1),"N/A",RANK($S779,IF(NOT(ISNA(MATCH(Combo_Species_Names,IF(Species_Availability="Yes",IF(Species_Evo_Numbers=1,Species_Names)),0))),Combo_Gym_Offense),0))</f>
        <v>N/A</v>
      </c>
      <c r="J779" s="24" t="str">
        <f t="array" ref="J779">IF(OR(INDEX(Species_Availability,MATCH($N779,Species_Names,0))="No",INDEX(Species_Evo_Numbers,MATCH($N779,Species_Names,0))&lt;&gt;1),"N/A",$S779/MAX(IF(NOT(ISNA(MATCH(Combo_Species_Names,IF(Species_Availability="Yes",IF(Species_Evo_Numbers=1,Species_Names)),0))),Combo_Gym_Offense)))</f>
        <v>N/A</v>
      </c>
      <c r="K779" s="23" t="str">
        <f t="array" ref="K779">IF(OR(INDEX(Species_Availability,MATCH($N779,Species_Names,0))="No",INDEX(Species_Evo_Numbers,MATCH($N779,Species_Names,0))&lt;&gt;1),"N/A",RANK($Y779,IF(NOT(ISNA(MATCH(Combo_Species_Names,IF(Species_Availability="Yes",IF(Species_Evo_Numbers=1,Species_Names)),0))),Combo_Gym_Defense),0))</f>
        <v>N/A</v>
      </c>
      <c r="L779" s="24" t="str">
        <f t="array" ref="L779">IF(OR(INDEX(Species_Availability,MATCH($N779,Species_Names,0))="No",INDEX(Species_Evo_Numbers,MATCH($N779,Species_Names,0))&lt;&gt;1),"N/A",$Y779/MAX(IF(NOT(ISNA(MATCH(Combo_Species_Names,IF(Species_Availability="Yes",IF(Species_Evo_Numbers=1,Species_Names)),0))),Combo_Gym_Defense)))</f>
        <v>N/A</v>
      </c>
      <c r="M779" s="28">
        <f t="array" ref="M779">INDEX(Species_Pdex_Numbers,MATCH($N779,Species_Names,0))</f>
        <v>116</v>
      </c>
      <c r="N779" s="30" t="s">
        <v>329</v>
      </c>
      <c r="O779" s="31" t="s">
        <v>92</v>
      </c>
      <c r="P779" s="31" t="s">
        <v>226</v>
      </c>
      <c r="Q779" s="17" t="e">
        <f t="shared" si="24"/>
        <v>#VALUE!</v>
      </c>
      <c r="R779" s="32" t="e">
        <f t="array" ref="R779">IF(OR(AND(COUNTBLANK(Combo_Opponent_Type_1)=1,COUNTBLANK(Combo_Opponent_Type_2)=0),AND(AND(COUNTBLANK(Combo_Opponent_Type_1)=0,COUNTBLANK(Combo_Opponent_Type_2)=0),Combo_Opponent_Type_1=Combo_Opponent_Type_2)),
"Check Types",($S779*INDEX(Species_Tankiness,MATCH($N779,Species_Names,0)))/225)</f>
        <v>#VALUE!</v>
      </c>
      <c r="S779" s="32" t="e">
        <f t="array" ref="S779">IF(OR(AND(COUNTBLANK(Combo_Opponent_Type_1)=1,COUNTBLANK(Combo_Opponent_Type_2)=0),AND(AND(COUNTBLANK(Combo_Opponent_Type_1)=0,COUNTBLANK(Combo_Opponent_Type_2)=0),Combo_Opponent_Type_1=Combo_Opponent_Type_2)),
"Check Types",(
IF($W779&gt;=((1-Game_Weave_Human_Error)*$X779),$W779,$X779)*INDEX(Species_Attack,MATCH($N779,Species_Names,0)))/11)</f>
        <v>#VALUE!</v>
      </c>
      <c r="T779" s="33" t="e">
        <f t="shared" si="25"/>
        <v>#VALUE!</v>
      </c>
      <c r="U779" s="33">
        <f t="array" ref="U7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779,Quick_Names,0))),Type_Species)),0),1)*IF(COUNTBLANK(Combo_Opponent_Type_2)=0,INDEX(Type_Damage_Multipliers,MATCH(Combo_Opponent_Type_2,IF(Type_Move=(INDEX(Quick_Type,MATCH($O779,Quick_Names,0))),Type_Species)),0),1)*(IF(OR(INDEX(Quick_Type,MATCH($O779,Quick_Names,0))=INDEX(Species_Type_1,MATCH($N779,Species_Names,0)),INDEX(Quick_Type,MATCH($O779,Quick_Names,0))=INDEX(Species_Type_2,MATCH($N779,Species_Names,0))),Game_STAB_Multiplier,1)))</f>
        <v>1.25</v>
      </c>
      <c r="V779" s="33">
        <f t="array" ref="V77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779,Charge_Names,0))),Type_Species)),0),1)*IF(COUNTBLANK(Combo_Opponent_Type_2)=0,INDEX(Type_Damage_Multipliers,MATCH(Combo_Opponent_Type_2,IF(Type_Move=(INDEX(Charge_Type,MATCH($P779,Charge_Names,0))),Type_Species)),0),1)*
IF(OR(INDEX(Charge_Type,MATCH($P779,Charge_Names,0))=INDEX(Species_Type_1,MATCH($N779,Species_Names,0)),INDEX(Charge_Type,MATCH($P779,Charge_Names,0))=INDEX(Species_Type_2,MATCH($N779,Species_Names,0))),Game_STAB_Multiplier,1))</f>
        <v>1</v>
      </c>
      <c r="W779" s="33" t="s">
        <v>481</v>
      </c>
      <c r="X779" s="33" t="s">
        <v>637</v>
      </c>
      <c r="Y779" s="32" t="e">
        <f t="array" ref="Y779">((($Z779)*
INDEX(Species_Attack,MATCH($N779,Species_Names,0))*
INDEX(Species_Tankiness,MATCH($N779,Species_Names,0)))/1000)</f>
        <v>#VALUE!</v>
      </c>
      <c r="Z779" s="33" t="s">
        <v>1084</v>
      </c>
    </row>
    <row r="780" spans="1:26" ht="14.25" customHeight="1" x14ac:dyDescent="0.2">
      <c r="A780" s="86"/>
      <c r="B780" s="22" t="str">
        <f t="array" ref="B780">CONCATENATE(TEXT($M780,"000"),".",TEXT(INDEX(Quick_Number,MATCH($O780,Quick_Names,0)),"000"),".",TEXT(INDEX(Charge_Number,MATCH($P780,Charge_Names,0)),"000"))</f>
        <v>116.237.053</v>
      </c>
      <c r="C780" s="23" t="e">
        <f t="array" ref="C780">RANK($S780,IF(Combo_Species_Names=$N780,Combo_Gym_Offense),0)</f>
        <v>#VALUE!</v>
      </c>
      <c r="D780" s="24" t="e">
        <f t="array" ref="D780">$S780/MAX(IF(Combo_Species_Names=$N780,Combo_Gym_Offense))</f>
        <v>#VALUE!</v>
      </c>
      <c r="E780" s="23" t="e">
        <f t="array" ref="E780">RANK($Y780,IF(Combo_Species_Names=$N780,Combo_Gym_Defense),0)</f>
        <v>#VALUE!</v>
      </c>
      <c r="F780" s="25" t="e">
        <f t="array" ref="F780">$Y780/MAX(IF(Combo_Species_Names=$N780,Combo_Gym_Defense))</f>
        <v>#VALUE!</v>
      </c>
      <c r="G780" s="23" t="str">
        <f t="array" ref="G780">IF(OR(INDEX(Species_Availability,MATCH($N780,Species_Names,0))="No",INDEX(Species_Evo_Numbers,MATCH($N780,Species_Names,0))&lt;&gt;1),"N/A",RANK($R780,IF(NOT(ISNA(MATCH(Combo_Species_Names,IF(Species_Availability="Yes",IF(Species_Evo_Numbers=1,Species_Names)),0))),Combo_Duel_Ability),0))</f>
        <v>N/A</v>
      </c>
      <c r="H780" s="24" t="str">
        <f t="array" ref="H780">IF(OR(INDEX(Species_Availability,MATCH($N780,Species_Names,0))="No",INDEX(Species_Evo_Numbers,MATCH($N780,Species_Names,0))&lt;&gt;1),"N/A",$R780/MAX(IF(NOT(ISNA(MATCH(Combo_Species_Names,IF(Species_Availability="Yes",IF(Species_Evo_Numbers=1,Species_Names)),0))),Combo_Duel_Ability)))</f>
        <v>N/A</v>
      </c>
      <c r="I780" s="23" t="str">
        <f t="array" ref="I780">IF(OR(INDEX(Species_Availability,MATCH($N780,Species_Names,0))="No",INDEX(Species_Evo_Numbers,MATCH($N780,Species_Names,0))&lt;&gt;1),"N/A",RANK($S780,IF(NOT(ISNA(MATCH(Combo_Species_Names,IF(Species_Availability="Yes",IF(Species_Evo_Numbers=1,Species_Names)),0))),Combo_Gym_Offense),0))</f>
        <v>N/A</v>
      </c>
      <c r="J780" s="24" t="str">
        <f t="array" ref="J780">IF(OR(INDEX(Species_Availability,MATCH($N780,Species_Names,0))="No",INDEX(Species_Evo_Numbers,MATCH($N780,Species_Names,0))&lt;&gt;1),"N/A",$S780/MAX(IF(NOT(ISNA(MATCH(Combo_Species_Names,IF(Species_Availability="Yes",IF(Species_Evo_Numbers=1,Species_Names)),0))),Combo_Gym_Offense)))</f>
        <v>N/A</v>
      </c>
      <c r="K780" s="23" t="str">
        <f t="array" ref="K780">IF(OR(INDEX(Species_Availability,MATCH($N780,Species_Names,0))="No",INDEX(Species_Evo_Numbers,MATCH($N780,Species_Names,0))&lt;&gt;1),"N/A",RANK($Y780,IF(NOT(ISNA(MATCH(Combo_Species_Names,IF(Species_Availability="Yes",IF(Species_Evo_Numbers=1,Species_Names)),0))),Combo_Gym_Defense),0))</f>
        <v>N/A</v>
      </c>
      <c r="L780" s="24" t="str">
        <f t="array" ref="L780">IF(OR(INDEX(Species_Availability,MATCH($N780,Species_Names,0))="No",INDEX(Species_Evo_Numbers,MATCH($N780,Species_Names,0))&lt;&gt;1),"N/A",$Y780/MAX(IF(NOT(ISNA(MATCH(Combo_Species_Names,IF(Species_Availability="Yes",IF(Species_Evo_Numbers=1,Species_Names)),0))),Combo_Gym_Defense)))</f>
        <v>N/A</v>
      </c>
      <c r="M780" s="28">
        <f t="array" ref="M780">INDEX(Species_Pdex_Numbers,MATCH($N780,Species_Names,0))</f>
        <v>116</v>
      </c>
      <c r="N780" s="30" t="s">
        <v>329</v>
      </c>
      <c r="O780" s="31" t="s">
        <v>92</v>
      </c>
      <c r="P780" s="31" t="s">
        <v>289</v>
      </c>
      <c r="Q780" s="17" t="e">
        <f t="shared" si="24"/>
        <v>#VALUE!</v>
      </c>
      <c r="R780" s="32" t="e">
        <f t="array" ref="R780">IF(OR(AND(COUNTBLANK(Combo_Opponent_Type_1)=1,COUNTBLANK(Combo_Opponent_Type_2)=0),AND(AND(COUNTBLANK(Combo_Opponent_Type_1)=0,COUNTBLANK(Combo_Opponent_Type_2)=0),Combo_Opponent_Type_1=Combo_Opponent_Type_2)),
"Check Types",($S780*INDEX(Species_Tankiness,MATCH($N780,Species_Names,0)))/225)</f>
        <v>#VALUE!</v>
      </c>
      <c r="S780" s="32" t="e">
        <f t="array" ref="S780">IF(OR(AND(COUNTBLANK(Combo_Opponent_Type_1)=1,COUNTBLANK(Combo_Opponent_Type_2)=0),AND(AND(COUNTBLANK(Combo_Opponent_Type_1)=0,COUNTBLANK(Combo_Opponent_Type_2)=0),Combo_Opponent_Type_1=Combo_Opponent_Type_2)),
"Check Types",(
IF($W780&gt;=((1-Game_Weave_Human_Error)*$X780),$W780,$X780)*INDEX(Species_Attack,MATCH($N780,Species_Names,0)))/11)</f>
        <v>#VALUE!</v>
      </c>
      <c r="T780" s="33" t="e">
        <f t="shared" si="25"/>
        <v>#VALUE!</v>
      </c>
      <c r="U780" s="33">
        <f t="array" ref="U7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780,Quick_Names,0))),Type_Species)),0),1)*IF(COUNTBLANK(Combo_Opponent_Type_2)=0,INDEX(Type_Damage_Multipliers,MATCH(Combo_Opponent_Type_2,IF(Type_Move=(INDEX(Quick_Type,MATCH($O780,Quick_Names,0))),Type_Species)),0),1)*(IF(OR(INDEX(Quick_Type,MATCH($O780,Quick_Names,0))=INDEX(Species_Type_1,MATCH($N780,Species_Names,0)),INDEX(Quick_Type,MATCH($O780,Quick_Names,0))=INDEX(Species_Type_2,MATCH($N780,Species_Names,0))),Game_STAB_Multiplier,1)))</f>
        <v>1.25</v>
      </c>
      <c r="V780" s="33">
        <f t="array" ref="V78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780,Charge_Names,0))),Type_Species)),0),1)*IF(COUNTBLANK(Combo_Opponent_Type_2)=0,INDEX(Type_Damage_Multipliers,MATCH(Combo_Opponent_Type_2,IF(Type_Move=(INDEX(Charge_Type,MATCH($P780,Charge_Names,0))),Type_Species)),0),1)*
IF(OR(INDEX(Charge_Type,MATCH($P780,Charge_Names,0))=INDEX(Species_Type_1,MATCH($N780,Species_Names,0)),INDEX(Charge_Type,MATCH($P780,Charge_Names,0))=INDEX(Species_Type_2,MATCH($N780,Species_Names,0))),Game_STAB_Multiplier,1))</f>
        <v>1.25</v>
      </c>
      <c r="W780" s="33" t="s">
        <v>481</v>
      </c>
      <c r="X780" s="33" t="s">
        <v>975</v>
      </c>
      <c r="Y780" s="32" t="e">
        <f t="array" ref="Y780">((($Z780)*
INDEX(Species_Attack,MATCH($N780,Species_Names,0))*
INDEX(Species_Tankiness,MATCH($N780,Species_Names,0)))/1000)</f>
        <v>#VALUE!</v>
      </c>
      <c r="Z780" s="33" t="s">
        <v>976</v>
      </c>
    </row>
    <row r="781" spans="1:26" ht="14.25" customHeight="1" x14ac:dyDescent="0.2">
      <c r="A781" s="86"/>
      <c r="B781" s="22" t="str">
        <f t="array" ref="B781">CONCATENATE(TEXT($M781,"000"),".",TEXT(INDEX(Quick_Number,MATCH($O781,Quick_Names,0)),"000"),".",TEXT(INDEX(Charge_Number,MATCH($P781,Charge_Names,0)),"000"))</f>
        <v>037.219.131</v>
      </c>
      <c r="C781" s="23" t="e">
        <f t="array" ref="C781">RANK($S781,IF(Combo_Species_Names=$N781,Combo_Gym_Offense),0)</f>
        <v>#VALUE!</v>
      </c>
      <c r="D781" s="24" t="e">
        <f t="array" ref="D781">$S781/MAX(IF(Combo_Species_Names=$N781,Combo_Gym_Offense))</f>
        <v>#VALUE!</v>
      </c>
      <c r="E781" s="23" t="e">
        <f t="array" ref="E781">RANK($Y781,IF(Combo_Species_Names=$N781,Combo_Gym_Defense),0)</f>
        <v>#VALUE!</v>
      </c>
      <c r="F781" s="25" t="e">
        <f t="array" ref="F781">$Y781/MAX(IF(Combo_Species_Names=$N781,Combo_Gym_Defense))</f>
        <v>#VALUE!</v>
      </c>
      <c r="G781" s="23" t="str">
        <f t="array" ref="G781">IF(OR(INDEX(Species_Availability,MATCH($N781,Species_Names,0))="No",INDEX(Species_Evo_Numbers,MATCH($N781,Species_Names,0))&lt;&gt;1),"N/A",RANK($R781,IF(NOT(ISNA(MATCH(Combo_Species_Names,IF(Species_Availability="Yes",IF(Species_Evo_Numbers=1,Species_Names)),0))),Combo_Duel_Ability),0))</f>
        <v>N/A</v>
      </c>
      <c r="H781" s="24" t="str">
        <f t="array" ref="H781">IF(OR(INDEX(Species_Availability,MATCH($N781,Species_Names,0))="No",INDEX(Species_Evo_Numbers,MATCH($N781,Species_Names,0))&lt;&gt;1),"N/A",$R781/MAX(IF(NOT(ISNA(MATCH(Combo_Species_Names,IF(Species_Availability="Yes",IF(Species_Evo_Numbers=1,Species_Names)),0))),Combo_Duel_Ability)))</f>
        <v>N/A</v>
      </c>
      <c r="I781" s="23" t="str">
        <f t="array" ref="I781">IF(OR(INDEX(Species_Availability,MATCH($N781,Species_Names,0))="No",INDEX(Species_Evo_Numbers,MATCH($N781,Species_Names,0))&lt;&gt;1),"N/A",RANK($S781,IF(NOT(ISNA(MATCH(Combo_Species_Names,IF(Species_Availability="Yes",IF(Species_Evo_Numbers=1,Species_Names)),0))),Combo_Gym_Offense),0))</f>
        <v>N/A</v>
      </c>
      <c r="J781" s="24" t="str">
        <f t="array" ref="J781">IF(OR(INDEX(Species_Availability,MATCH($N781,Species_Names,0))="No",INDEX(Species_Evo_Numbers,MATCH($N781,Species_Names,0))&lt;&gt;1),"N/A",$S781/MAX(IF(NOT(ISNA(MATCH(Combo_Species_Names,IF(Species_Availability="Yes",IF(Species_Evo_Numbers=1,Species_Names)),0))),Combo_Gym_Offense)))</f>
        <v>N/A</v>
      </c>
      <c r="K781" s="23" t="str">
        <f t="array" ref="K781">IF(OR(INDEX(Species_Availability,MATCH($N781,Species_Names,0))="No",INDEX(Species_Evo_Numbers,MATCH($N781,Species_Names,0))&lt;&gt;1),"N/A",RANK($Y781,IF(NOT(ISNA(MATCH(Combo_Species_Names,IF(Species_Availability="Yes",IF(Species_Evo_Numbers=1,Species_Names)),0))),Combo_Gym_Defense),0))</f>
        <v>N/A</v>
      </c>
      <c r="L781" s="24" t="str">
        <f t="array" ref="L781">IF(OR(INDEX(Species_Availability,MATCH($N781,Species_Names,0))="No",INDEX(Species_Evo_Numbers,MATCH($N781,Species_Names,0))&lt;&gt;1),"N/A",$Y781/MAX(IF(NOT(ISNA(MATCH(Combo_Species_Names,IF(Species_Availability="Yes",IF(Species_Evo_Numbers=1,Species_Names)),0))),Combo_Gym_Defense)))</f>
        <v>N/A</v>
      </c>
      <c r="M781" s="28">
        <f t="array" ref="M781">INDEX(Species_Pdex_Numbers,MATCH($N781,Species_Names,0))</f>
        <v>37</v>
      </c>
      <c r="N781" s="30" t="s">
        <v>166</v>
      </c>
      <c r="O781" s="31" t="s">
        <v>119</v>
      </c>
      <c r="P781" s="31" t="s">
        <v>151</v>
      </c>
      <c r="Q781" s="17" t="e">
        <f t="shared" si="24"/>
        <v>#VALUE!</v>
      </c>
      <c r="R781" s="32" t="e">
        <f t="array" ref="R781">IF(OR(AND(COUNTBLANK(Combo_Opponent_Type_1)=1,COUNTBLANK(Combo_Opponent_Type_2)=0),AND(AND(COUNTBLANK(Combo_Opponent_Type_1)=0,COUNTBLANK(Combo_Opponent_Type_2)=0),Combo_Opponent_Type_1=Combo_Opponent_Type_2)),
"Check Types",($S781*INDEX(Species_Tankiness,MATCH($N781,Species_Names,0)))/225)</f>
        <v>#VALUE!</v>
      </c>
      <c r="S781" s="32" t="e">
        <f t="array" ref="S781">IF(OR(AND(COUNTBLANK(Combo_Opponent_Type_1)=1,COUNTBLANK(Combo_Opponent_Type_2)=0),AND(AND(COUNTBLANK(Combo_Opponent_Type_1)=0,COUNTBLANK(Combo_Opponent_Type_2)=0),Combo_Opponent_Type_1=Combo_Opponent_Type_2)),
"Check Types",(
IF($W781&gt;=((1-Game_Weave_Human_Error)*$X781),$W781,$X781)*INDEX(Species_Attack,MATCH($N781,Species_Names,0)))/11)</f>
        <v>#VALUE!</v>
      </c>
      <c r="T781" s="33" t="e">
        <f t="shared" si="25"/>
        <v>#VALUE!</v>
      </c>
      <c r="U781" s="33">
        <f t="array" ref="U7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781,Quick_Names,0))),Type_Species)),0),1)*IF(COUNTBLANK(Combo_Opponent_Type_2)=0,INDEX(Type_Damage_Multipliers,MATCH(Combo_Opponent_Type_2,IF(Type_Move=(INDEX(Quick_Type,MATCH($O781,Quick_Names,0))),Type_Species)),0),1)*(IF(OR(INDEX(Quick_Type,MATCH($O781,Quick_Names,0))=INDEX(Species_Type_1,MATCH($N781,Species_Names,0)),INDEX(Quick_Type,MATCH($O781,Quick_Names,0))=INDEX(Species_Type_2,MATCH($N781,Species_Names,0))),Game_STAB_Multiplier,1)))</f>
        <v>1</v>
      </c>
      <c r="V781" s="33">
        <f t="array" ref="V78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781,Charge_Names,0))),Type_Species)),0),1)*IF(COUNTBLANK(Combo_Opponent_Type_2)=0,INDEX(Type_Damage_Multipliers,MATCH(Combo_Opponent_Type_2,IF(Type_Move=(INDEX(Charge_Type,MATCH($P781,Charge_Names,0))),Type_Species)),0),1)*
IF(OR(INDEX(Charge_Type,MATCH($P781,Charge_Names,0))=INDEX(Species_Type_1,MATCH($N781,Species_Names,0)),INDEX(Charge_Type,MATCH($P781,Charge_Names,0))=INDEX(Species_Type_2,MATCH($N781,Species_Names,0))),Game_STAB_Multiplier,1))</f>
        <v>1</v>
      </c>
      <c r="W781" s="33" t="s">
        <v>600</v>
      </c>
      <c r="X781" s="33" t="s">
        <v>1085</v>
      </c>
      <c r="Y781" s="32" t="e">
        <f t="array" ref="Y781">((($Z781)*
INDEX(Species_Attack,MATCH($N781,Species_Names,0))*
INDEX(Species_Tankiness,MATCH($N781,Species_Names,0)))/1000)</f>
        <v>#VALUE!</v>
      </c>
      <c r="Z781" s="33" t="s">
        <v>680</v>
      </c>
    </row>
    <row r="782" spans="1:26" ht="14.25" customHeight="1" x14ac:dyDescent="0.2">
      <c r="A782" s="86"/>
      <c r="B782" s="22" t="str">
        <f t="array" ref="B782">CONCATENATE(TEXT($M782,"000"),".",TEXT(INDEX(Quick_Number,MATCH($O782,Quick_Names,0)),"000"),".",TEXT(INDEX(Charge_Number,MATCH($P782,Charge_Names,0)),"000"))</f>
        <v>081.205.072</v>
      </c>
      <c r="C782" s="23" t="e">
        <f t="array" ref="C782">RANK($S782,IF(Combo_Species_Names=$N782,Combo_Gym_Offense),0)</f>
        <v>#VALUE!</v>
      </c>
      <c r="D782" s="24" t="e">
        <f t="array" ref="D782">$S782/MAX(IF(Combo_Species_Names=$N782,Combo_Gym_Offense))</f>
        <v>#VALUE!</v>
      </c>
      <c r="E782" s="23" t="e">
        <f t="array" ref="E782">RANK($Y782,IF(Combo_Species_Names=$N782,Combo_Gym_Defense),0)</f>
        <v>#VALUE!</v>
      </c>
      <c r="F782" s="25" t="e">
        <f t="array" ref="F782">$Y782/MAX(IF(Combo_Species_Names=$N782,Combo_Gym_Defense))</f>
        <v>#VALUE!</v>
      </c>
      <c r="G782" s="23" t="str">
        <f t="array" ref="G782">IF(OR(INDEX(Species_Availability,MATCH($N782,Species_Names,0))="No",INDEX(Species_Evo_Numbers,MATCH($N782,Species_Names,0))&lt;&gt;1),"N/A",RANK($R782,IF(NOT(ISNA(MATCH(Combo_Species_Names,IF(Species_Availability="Yes",IF(Species_Evo_Numbers=1,Species_Names)),0))),Combo_Duel_Ability),0))</f>
        <v>N/A</v>
      </c>
      <c r="H782" s="24" t="str">
        <f t="array" ref="H782">IF(OR(INDEX(Species_Availability,MATCH($N782,Species_Names,0))="No",INDEX(Species_Evo_Numbers,MATCH($N782,Species_Names,0))&lt;&gt;1),"N/A",$R782/MAX(IF(NOT(ISNA(MATCH(Combo_Species_Names,IF(Species_Availability="Yes",IF(Species_Evo_Numbers=1,Species_Names)),0))),Combo_Duel_Ability)))</f>
        <v>N/A</v>
      </c>
      <c r="I782" s="23" t="str">
        <f t="array" ref="I782">IF(OR(INDEX(Species_Availability,MATCH($N782,Species_Names,0))="No",INDEX(Species_Evo_Numbers,MATCH($N782,Species_Names,0))&lt;&gt;1),"N/A",RANK($S782,IF(NOT(ISNA(MATCH(Combo_Species_Names,IF(Species_Availability="Yes",IF(Species_Evo_Numbers=1,Species_Names)),0))),Combo_Gym_Offense),0))</f>
        <v>N/A</v>
      </c>
      <c r="J782" s="24" t="str">
        <f t="array" ref="J782">IF(OR(INDEX(Species_Availability,MATCH($N782,Species_Names,0))="No",INDEX(Species_Evo_Numbers,MATCH($N782,Species_Names,0))&lt;&gt;1),"N/A",$S782/MAX(IF(NOT(ISNA(MATCH(Combo_Species_Names,IF(Species_Availability="Yes",IF(Species_Evo_Numbers=1,Species_Names)),0))),Combo_Gym_Offense)))</f>
        <v>N/A</v>
      </c>
      <c r="K782" s="23" t="str">
        <f t="array" ref="K782">IF(OR(INDEX(Species_Availability,MATCH($N782,Species_Names,0))="No",INDEX(Species_Evo_Numbers,MATCH($N782,Species_Names,0))&lt;&gt;1),"N/A",RANK($Y782,IF(NOT(ISNA(MATCH(Combo_Species_Names,IF(Species_Availability="Yes",IF(Species_Evo_Numbers=1,Species_Names)),0))),Combo_Gym_Defense),0))</f>
        <v>N/A</v>
      </c>
      <c r="L782" s="24" t="str">
        <f t="array" ref="L782">IF(OR(INDEX(Species_Availability,MATCH($N782,Species_Names,0))="No",INDEX(Species_Evo_Numbers,MATCH($N782,Species_Names,0))&lt;&gt;1),"N/A",$Y782/MAX(IF(NOT(ISNA(MATCH(Combo_Species_Names,IF(Species_Availability="Yes",IF(Species_Evo_Numbers=1,Species_Names)),0))),Combo_Gym_Defense)))</f>
        <v>N/A</v>
      </c>
      <c r="M782" s="28">
        <f t="array" ref="M782">INDEX(Species_Pdex_Numbers,MATCH($N782,Species_Names,0))</f>
        <v>81</v>
      </c>
      <c r="N782" s="30" t="s">
        <v>254</v>
      </c>
      <c r="O782" s="31" t="s">
        <v>115</v>
      </c>
      <c r="P782" s="31" t="s">
        <v>278</v>
      </c>
      <c r="Q782" s="17" t="e">
        <f t="shared" si="24"/>
        <v>#VALUE!</v>
      </c>
      <c r="R782" s="32" t="e">
        <f t="array" ref="R782">IF(OR(AND(COUNTBLANK(Combo_Opponent_Type_1)=1,COUNTBLANK(Combo_Opponent_Type_2)=0),AND(AND(COUNTBLANK(Combo_Opponent_Type_1)=0,COUNTBLANK(Combo_Opponent_Type_2)=0),Combo_Opponent_Type_1=Combo_Opponent_Type_2)),
"Check Types",($S782*INDEX(Species_Tankiness,MATCH($N782,Species_Names,0)))/225)</f>
        <v>#VALUE!</v>
      </c>
      <c r="S782" s="32" t="e">
        <f t="array" ref="S782">IF(OR(AND(COUNTBLANK(Combo_Opponent_Type_1)=1,COUNTBLANK(Combo_Opponent_Type_2)=0),AND(AND(COUNTBLANK(Combo_Opponent_Type_1)=0,COUNTBLANK(Combo_Opponent_Type_2)=0),Combo_Opponent_Type_1=Combo_Opponent_Type_2)),
"Check Types",(
IF($W782&gt;=((1-Game_Weave_Human_Error)*$X782),$W782,$X782)*INDEX(Species_Attack,MATCH($N782,Species_Names,0)))/11)</f>
        <v>#VALUE!</v>
      </c>
      <c r="T782" s="33" t="e">
        <f t="shared" si="25"/>
        <v>#VALUE!</v>
      </c>
      <c r="U782" s="33">
        <f t="array" ref="U7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782,Quick_Names,0))),Type_Species)),0),1)*IF(COUNTBLANK(Combo_Opponent_Type_2)=0,INDEX(Type_Damage_Multipliers,MATCH(Combo_Opponent_Type_2,IF(Type_Move=(INDEX(Quick_Type,MATCH($O782,Quick_Names,0))),Type_Species)),0),1)*(IF(OR(INDEX(Quick_Type,MATCH($O782,Quick_Names,0))=INDEX(Species_Type_1,MATCH($N782,Species_Names,0)),INDEX(Quick_Type,MATCH($O782,Quick_Names,0))=INDEX(Species_Type_2,MATCH($N782,Species_Names,0))),Game_STAB_Multiplier,1)))</f>
        <v>1.25</v>
      </c>
      <c r="V782" s="33">
        <f t="array" ref="V78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782,Charge_Names,0))),Type_Species)),0),1)*IF(COUNTBLANK(Combo_Opponent_Type_2)=0,INDEX(Type_Damage_Multipliers,MATCH(Combo_Opponent_Type_2,IF(Type_Move=(INDEX(Charge_Type,MATCH($P782,Charge_Names,0))),Type_Species)),0),1)*
IF(OR(INDEX(Charge_Type,MATCH($P782,Charge_Names,0))=INDEX(Species_Type_1,MATCH($N782,Species_Names,0)),INDEX(Charge_Type,MATCH($P782,Charge_Names,0))=INDEX(Species_Type_2,MATCH($N782,Species_Names,0))),Game_STAB_Multiplier,1))</f>
        <v>1.25</v>
      </c>
      <c r="W782" s="33" t="s">
        <v>678</v>
      </c>
      <c r="X782" s="33" t="s">
        <v>660</v>
      </c>
      <c r="Y782" s="32" t="e">
        <f t="array" ref="Y782">((($Z782)*
INDEX(Species_Attack,MATCH($N782,Species_Names,0))*
INDEX(Species_Tankiness,MATCH($N782,Species_Names,0)))/1000)</f>
        <v>#VALUE!</v>
      </c>
      <c r="Z782" s="33" t="s">
        <v>668</v>
      </c>
    </row>
    <row r="783" spans="1:26" ht="14.25" customHeight="1" x14ac:dyDescent="0.2">
      <c r="A783" s="86"/>
      <c r="B783" s="22" t="str">
        <f t="array" ref="B783">CONCATENATE(TEXT($M783,"000"),".",TEXT(INDEX(Quick_Number,MATCH($O783,Quick_Names,0)),"000"),".",TEXT(INDEX(Charge_Number,MATCH($P783,Charge_Names,0)),"000"))</f>
        <v>120.219.065</v>
      </c>
      <c r="C783" s="23" t="e">
        <f t="array" ref="C783">RANK($S783,IF(Combo_Species_Names=$N783,Combo_Gym_Offense),0)</f>
        <v>#VALUE!</v>
      </c>
      <c r="D783" s="24" t="e">
        <f t="array" ref="D783">$S783/MAX(IF(Combo_Species_Names=$N783,Combo_Gym_Offense))</f>
        <v>#VALUE!</v>
      </c>
      <c r="E783" s="23" t="e">
        <f t="array" ref="E783">RANK($Y783,IF(Combo_Species_Names=$N783,Combo_Gym_Defense),0)</f>
        <v>#VALUE!</v>
      </c>
      <c r="F783" s="25" t="e">
        <f t="array" ref="F783">$Y783/MAX(IF(Combo_Species_Names=$N783,Combo_Gym_Defense))</f>
        <v>#VALUE!</v>
      </c>
      <c r="G783" s="23" t="str">
        <f t="array" ref="G783">IF(OR(INDEX(Species_Availability,MATCH($N783,Species_Names,0))="No",INDEX(Species_Evo_Numbers,MATCH($N783,Species_Names,0))&lt;&gt;1),"N/A",RANK($R783,IF(NOT(ISNA(MATCH(Combo_Species_Names,IF(Species_Availability="Yes",IF(Species_Evo_Numbers=1,Species_Names)),0))),Combo_Duel_Ability),0))</f>
        <v>N/A</v>
      </c>
      <c r="H783" s="24" t="str">
        <f t="array" ref="H783">IF(OR(INDEX(Species_Availability,MATCH($N783,Species_Names,0))="No",INDEX(Species_Evo_Numbers,MATCH($N783,Species_Names,0))&lt;&gt;1),"N/A",$R783/MAX(IF(NOT(ISNA(MATCH(Combo_Species_Names,IF(Species_Availability="Yes",IF(Species_Evo_Numbers=1,Species_Names)),0))),Combo_Duel_Ability)))</f>
        <v>N/A</v>
      </c>
      <c r="I783" s="23" t="str">
        <f t="array" ref="I783">IF(OR(INDEX(Species_Availability,MATCH($N783,Species_Names,0))="No",INDEX(Species_Evo_Numbers,MATCH($N783,Species_Names,0))&lt;&gt;1),"N/A",RANK($S783,IF(NOT(ISNA(MATCH(Combo_Species_Names,IF(Species_Availability="Yes",IF(Species_Evo_Numbers=1,Species_Names)),0))),Combo_Gym_Offense),0))</f>
        <v>N/A</v>
      </c>
      <c r="J783" s="24" t="str">
        <f t="array" ref="J783">IF(OR(INDEX(Species_Availability,MATCH($N783,Species_Names,0))="No",INDEX(Species_Evo_Numbers,MATCH($N783,Species_Names,0))&lt;&gt;1),"N/A",$S783/MAX(IF(NOT(ISNA(MATCH(Combo_Species_Names,IF(Species_Availability="Yes",IF(Species_Evo_Numbers=1,Species_Names)),0))),Combo_Gym_Offense)))</f>
        <v>N/A</v>
      </c>
      <c r="K783" s="23" t="str">
        <f t="array" ref="K783">IF(OR(INDEX(Species_Availability,MATCH($N783,Species_Names,0))="No",INDEX(Species_Evo_Numbers,MATCH($N783,Species_Names,0))&lt;&gt;1),"N/A",RANK($Y783,IF(NOT(ISNA(MATCH(Combo_Species_Names,IF(Species_Availability="Yes",IF(Species_Evo_Numbers=1,Species_Names)),0))),Combo_Gym_Defense),0))</f>
        <v>N/A</v>
      </c>
      <c r="L783" s="24" t="str">
        <f t="array" ref="L783">IF(OR(INDEX(Species_Availability,MATCH($N783,Species_Names,0))="No",INDEX(Species_Evo_Numbers,MATCH($N783,Species_Names,0))&lt;&gt;1),"N/A",$Y783/MAX(IF(NOT(ISNA(MATCH(Combo_Species_Names,IF(Species_Availability="Yes",IF(Species_Evo_Numbers=1,Species_Names)),0))),Combo_Gym_Defense)))</f>
        <v>N/A</v>
      </c>
      <c r="M783" s="28">
        <f t="array" ref="M783">INDEX(Species_Pdex_Numbers,MATCH($N783,Species_Names,0))</f>
        <v>120</v>
      </c>
      <c r="N783" s="30" t="s">
        <v>334</v>
      </c>
      <c r="O783" s="31" t="s">
        <v>119</v>
      </c>
      <c r="P783" s="31" t="s">
        <v>249</v>
      </c>
      <c r="Q783" s="17" t="e">
        <f t="shared" si="24"/>
        <v>#VALUE!</v>
      </c>
      <c r="R783" s="32" t="e">
        <f t="array" ref="R783">IF(OR(AND(COUNTBLANK(Combo_Opponent_Type_1)=1,COUNTBLANK(Combo_Opponent_Type_2)=0),AND(AND(COUNTBLANK(Combo_Opponent_Type_1)=0,COUNTBLANK(Combo_Opponent_Type_2)=0),Combo_Opponent_Type_1=Combo_Opponent_Type_2)),
"Check Types",($S783*INDEX(Species_Tankiness,MATCH($N783,Species_Names,0)))/225)</f>
        <v>#VALUE!</v>
      </c>
      <c r="S783" s="32" t="e">
        <f t="array" ref="S783">IF(OR(AND(COUNTBLANK(Combo_Opponent_Type_1)=1,COUNTBLANK(Combo_Opponent_Type_2)=0),AND(AND(COUNTBLANK(Combo_Opponent_Type_1)=0,COUNTBLANK(Combo_Opponent_Type_2)=0),Combo_Opponent_Type_1=Combo_Opponent_Type_2)),
"Check Types",(
IF($W783&gt;=((1-Game_Weave_Human_Error)*$X783),$W783,$X783)*INDEX(Species_Attack,MATCH($N783,Species_Names,0)))/11)</f>
        <v>#VALUE!</v>
      </c>
      <c r="T783" s="33" t="e">
        <f t="shared" si="25"/>
        <v>#VALUE!</v>
      </c>
      <c r="U783" s="33">
        <f t="array" ref="U7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783,Quick_Names,0))),Type_Species)),0),1)*IF(COUNTBLANK(Combo_Opponent_Type_2)=0,INDEX(Type_Damage_Multipliers,MATCH(Combo_Opponent_Type_2,IF(Type_Move=(INDEX(Quick_Type,MATCH($O783,Quick_Names,0))),Type_Species)),0),1)*(IF(OR(INDEX(Quick_Type,MATCH($O783,Quick_Names,0))=INDEX(Species_Type_1,MATCH($N783,Species_Names,0)),INDEX(Quick_Type,MATCH($O783,Quick_Names,0))=INDEX(Species_Type_2,MATCH($N783,Species_Names,0))),Game_STAB_Multiplier,1)))</f>
        <v>1</v>
      </c>
      <c r="V783" s="33">
        <f t="array" ref="V78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783,Charge_Names,0))),Type_Species)),0),1)*IF(COUNTBLANK(Combo_Opponent_Type_2)=0,INDEX(Type_Damage_Multipliers,MATCH(Combo_Opponent_Type_2,IF(Type_Move=(INDEX(Charge_Type,MATCH($P783,Charge_Names,0))),Type_Species)),0),1)*
IF(OR(INDEX(Charge_Type,MATCH($P783,Charge_Names,0))=INDEX(Species_Type_1,MATCH($N783,Species_Names,0)),INDEX(Charge_Type,MATCH($P783,Charge_Names,0))=INDEX(Species_Type_2,MATCH($N783,Species_Names,0))),Game_STAB_Multiplier,1))</f>
        <v>1</v>
      </c>
      <c r="W783" s="33" t="s">
        <v>600</v>
      </c>
      <c r="X783" s="33" t="s">
        <v>852</v>
      </c>
      <c r="Y783" s="32" t="e">
        <f t="array" ref="Y783">((($Z783)*
INDEX(Species_Attack,MATCH($N783,Species_Names,0))*
INDEX(Species_Tankiness,MATCH($N783,Species_Names,0)))/1000)</f>
        <v>#VALUE!</v>
      </c>
      <c r="Z783" s="33" t="s">
        <v>853</v>
      </c>
    </row>
    <row r="784" spans="1:26" ht="14.25" customHeight="1" x14ac:dyDescent="0.2">
      <c r="A784" s="86"/>
      <c r="B784" s="22" t="str">
        <f t="array" ref="B784">CONCATENATE(TEXT($M784,"000"),".",TEXT(INDEX(Quick_Number,MATCH($O784,Quick_Names,0)),"000"),".",TEXT(INDEX(Charge_Number,MATCH($P784,Charge_Names,0)),"000"))</f>
        <v>052.202.016</v>
      </c>
      <c r="C784" s="23" t="e">
        <f t="array" ref="C784">RANK($S784,IF(Combo_Species_Names=$N784,Combo_Gym_Offense),0)</f>
        <v>#VALUE!</v>
      </c>
      <c r="D784" s="24" t="e">
        <f t="array" ref="D784">$S784/MAX(IF(Combo_Species_Names=$N784,Combo_Gym_Offense))</f>
        <v>#VALUE!</v>
      </c>
      <c r="E784" s="23" t="e">
        <f t="array" ref="E784">RANK($Y784,IF(Combo_Species_Names=$N784,Combo_Gym_Defense),0)</f>
        <v>#VALUE!</v>
      </c>
      <c r="F784" s="25" t="e">
        <f t="array" ref="F784">$Y784/MAX(IF(Combo_Species_Names=$N784,Combo_Gym_Defense))</f>
        <v>#VALUE!</v>
      </c>
      <c r="G784" s="23" t="str">
        <f t="array" ref="G784">IF(OR(INDEX(Species_Availability,MATCH($N784,Species_Names,0))="No",INDEX(Species_Evo_Numbers,MATCH($N784,Species_Names,0))&lt;&gt;1),"N/A",RANK($R784,IF(NOT(ISNA(MATCH(Combo_Species_Names,IF(Species_Availability="Yes",IF(Species_Evo_Numbers=1,Species_Names)),0))),Combo_Duel_Ability),0))</f>
        <v>N/A</v>
      </c>
      <c r="H784" s="24" t="str">
        <f t="array" ref="H784">IF(OR(INDEX(Species_Availability,MATCH($N784,Species_Names,0))="No",INDEX(Species_Evo_Numbers,MATCH($N784,Species_Names,0))&lt;&gt;1),"N/A",$R784/MAX(IF(NOT(ISNA(MATCH(Combo_Species_Names,IF(Species_Availability="Yes",IF(Species_Evo_Numbers=1,Species_Names)),0))),Combo_Duel_Ability)))</f>
        <v>N/A</v>
      </c>
      <c r="I784" s="23" t="str">
        <f t="array" ref="I784">IF(OR(INDEX(Species_Availability,MATCH($N784,Species_Names,0))="No",INDEX(Species_Evo_Numbers,MATCH($N784,Species_Names,0))&lt;&gt;1),"N/A",RANK($S784,IF(NOT(ISNA(MATCH(Combo_Species_Names,IF(Species_Availability="Yes",IF(Species_Evo_Numbers=1,Species_Names)),0))),Combo_Gym_Offense),0))</f>
        <v>N/A</v>
      </c>
      <c r="J784" s="24" t="str">
        <f t="array" ref="J784">IF(OR(INDEX(Species_Availability,MATCH($N784,Species_Names,0))="No",INDEX(Species_Evo_Numbers,MATCH($N784,Species_Names,0))&lt;&gt;1),"N/A",$S784/MAX(IF(NOT(ISNA(MATCH(Combo_Species_Names,IF(Species_Availability="Yes",IF(Species_Evo_Numbers=1,Species_Names)),0))),Combo_Gym_Offense)))</f>
        <v>N/A</v>
      </c>
      <c r="K784" s="23" t="str">
        <f t="array" ref="K784">IF(OR(INDEX(Species_Availability,MATCH($N784,Species_Names,0))="No",INDEX(Species_Evo_Numbers,MATCH($N784,Species_Names,0))&lt;&gt;1),"N/A",RANK($Y784,IF(NOT(ISNA(MATCH(Combo_Species_Names,IF(Species_Availability="Yes",IF(Species_Evo_Numbers=1,Species_Names)),0))),Combo_Gym_Defense),0))</f>
        <v>N/A</v>
      </c>
      <c r="L784" s="24" t="str">
        <f t="array" ref="L784">IF(OR(INDEX(Species_Availability,MATCH($N784,Species_Names,0))="No",INDEX(Species_Evo_Numbers,MATCH($N784,Species_Names,0))&lt;&gt;1),"N/A",$Y784/MAX(IF(NOT(ISNA(MATCH(Combo_Species_Names,IF(Species_Availability="Yes",IF(Species_Evo_Numbers=1,Species_Names)),0))),Combo_Gym_Defense)))</f>
        <v>N/A</v>
      </c>
      <c r="M784" s="28">
        <f t="array" ref="M784">INDEX(Species_Pdex_Numbers,MATCH($N784,Species_Names,0))</f>
        <v>52</v>
      </c>
      <c r="N784" s="30" t="s">
        <v>194</v>
      </c>
      <c r="O784" s="31" t="s">
        <v>59</v>
      </c>
      <c r="P784" s="31" t="s">
        <v>258</v>
      </c>
      <c r="Q784" s="17" t="e">
        <f t="shared" si="24"/>
        <v>#VALUE!</v>
      </c>
      <c r="R784" s="32" t="e">
        <f t="array" ref="R784">IF(OR(AND(COUNTBLANK(Combo_Opponent_Type_1)=1,COUNTBLANK(Combo_Opponent_Type_2)=0),AND(AND(COUNTBLANK(Combo_Opponent_Type_1)=0,COUNTBLANK(Combo_Opponent_Type_2)=0),Combo_Opponent_Type_1=Combo_Opponent_Type_2)),
"Check Types",($S784*INDEX(Species_Tankiness,MATCH($N784,Species_Names,0)))/225)</f>
        <v>#VALUE!</v>
      </c>
      <c r="S784" s="32" t="e">
        <f t="array" ref="S784">IF(OR(AND(COUNTBLANK(Combo_Opponent_Type_1)=1,COUNTBLANK(Combo_Opponent_Type_2)=0),AND(AND(COUNTBLANK(Combo_Opponent_Type_1)=0,COUNTBLANK(Combo_Opponent_Type_2)=0),Combo_Opponent_Type_1=Combo_Opponent_Type_2)),
"Check Types",(
IF($W784&gt;=((1-Game_Weave_Human_Error)*$X784),$W784,$X784)*INDEX(Species_Attack,MATCH($N784,Species_Names,0)))/11)</f>
        <v>#VALUE!</v>
      </c>
      <c r="T784" s="33" t="e">
        <f t="shared" si="25"/>
        <v>#VALUE!</v>
      </c>
      <c r="U784" s="33">
        <f t="array" ref="U7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784,Quick_Names,0))),Type_Species)),0),1)*IF(COUNTBLANK(Combo_Opponent_Type_2)=0,INDEX(Type_Damage_Multipliers,MATCH(Combo_Opponent_Type_2,IF(Type_Move=(INDEX(Quick_Type,MATCH($O784,Quick_Names,0))),Type_Species)),0),1)*(IF(OR(INDEX(Quick_Type,MATCH($O784,Quick_Names,0))=INDEX(Species_Type_1,MATCH($N784,Species_Names,0)),INDEX(Quick_Type,MATCH($O784,Quick_Names,0))=INDEX(Species_Type_2,MATCH($N784,Species_Names,0))),Game_STAB_Multiplier,1)))</f>
        <v>1</v>
      </c>
      <c r="V784" s="33">
        <f t="array" ref="V78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784,Charge_Names,0))),Type_Species)),0),1)*IF(COUNTBLANK(Combo_Opponent_Type_2)=0,INDEX(Type_Damage_Multipliers,MATCH(Combo_Opponent_Type_2,IF(Type_Move=(INDEX(Charge_Type,MATCH($P784,Charge_Names,0))),Type_Species)),0),1)*
IF(OR(INDEX(Charge_Type,MATCH($P784,Charge_Names,0))=INDEX(Species_Type_1,MATCH($N784,Species_Names,0)),INDEX(Charge_Type,MATCH($P784,Charge_Names,0))=INDEX(Species_Type_2,MATCH($N784,Species_Names,0))),Game_STAB_Multiplier,1))</f>
        <v>1</v>
      </c>
      <c r="W784" s="33" t="s">
        <v>453</v>
      </c>
      <c r="X784" s="33" t="s">
        <v>873</v>
      </c>
      <c r="Y784" s="32" t="e">
        <f t="array" ref="Y784">((($Z784)*
INDEX(Species_Attack,MATCH($N784,Species_Names,0))*
INDEX(Species_Tankiness,MATCH($N784,Species_Names,0)))/1000)</f>
        <v>#VALUE!</v>
      </c>
      <c r="Z784" s="33" t="s">
        <v>849</v>
      </c>
    </row>
    <row r="785" spans="1:26" ht="14.25" customHeight="1" x14ac:dyDescent="0.2">
      <c r="A785" s="86"/>
      <c r="B785" s="22" t="str">
        <f t="array" ref="B785">CONCATENATE(TEXT($M785,"000"),".",TEXT(INDEX(Quick_Number,MATCH($O785,Quick_Names,0)),"000"),".",TEXT(INDEX(Charge_Number,MATCH($P785,Charge_Names,0)),"000"))</f>
        <v>052.202.051</v>
      </c>
      <c r="C785" s="23" t="e">
        <f t="array" ref="C785">RANK($S785,IF(Combo_Species_Names=$N785,Combo_Gym_Offense),0)</f>
        <v>#VALUE!</v>
      </c>
      <c r="D785" s="24" t="e">
        <f t="array" ref="D785">$S785/MAX(IF(Combo_Species_Names=$N785,Combo_Gym_Offense))</f>
        <v>#VALUE!</v>
      </c>
      <c r="E785" s="23" t="e">
        <f t="array" ref="E785">RANK($Y785,IF(Combo_Species_Names=$N785,Combo_Gym_Defense),0)</f>
        <v>#VALUE!</v>
      </c>
      <c r="F785" s="25" t="e">
        <f t="array" ref="F785">$Y785/MAX(IF(Combo_Species_Names=$N785,Combo_Gym_Defense))</f>
        <v>#VALUE!</v>
      </c>
      <c r="G785" s="23" t="str">
        <f t="array" ref="G785">IF(OR(INDEX(Species_Availability,MATCH($N785,Species_Names,0))="No",INDEX(Species_Evo_Numbers,MATCH($N785,Species_Names,0))&lt;&gt;1),"N/A",RANK($R785,IF(NOT(ISNA(MATCH(Combo_Species_Names,IF(Species_Availability="Yes",IF(Species_Evo_Numbers=1,Species_Names)),0))),Combo_Duel_Ability),0))</f>
        <v>N/A</v>
      </c>
      <c r="H785" s="24" t="str">
        <f t="array" ref="H785">IF(OR(INDEX(Species_Availability,MATCH($N785,Species_Names,0))="No",INDEX(Species_Evo_Numbers,MATCH($N785,Species_Names,0))&lt;&gt;1),"N/A",$R785/MAX(IF(NOT(ISNA(MATCH(Combo_Species_Names,IF(Species_Availability="Yes",IF(Species_Evo_Numbers=1,Species_Names)),0))),Combo_Duel_Ability)))</f>
        <v>N/A</v>
      </c>
      <c r="I785" s="23" t="str">
        <f t="array" ref="I785">IF(OR(INDEX(Species_Availability,MATCH($N785,Species_Names,0))="No",INDEX(Species_Evo_Numbers,MATCH($N785,Species_Names,0))&lt;&gt;1),"N/A",RANK($S785,IF(NOT(ISNA(MATCH(Combo_Species_Names,IF(Species_Availability="Yes",IF(Species_Evo_Numbers=1,Species_Names)),0))),Combo_Gym_Offense),0))</f>
        <v>N/A</v>
      </c>
      <c r="J785" s="24" t="str">
        <f t="array" ref="J785">IF(OR(INDEX(Species_Availability,MATCH($N785,Species_Names,0))="No",INDEX(Species_Evo_Numbers,MATCH($N785,Species_Names,0))&lt;&gt;1),"N/A",$S785/MAX(IF(NOT(ISNA(MATCH(Combo_Species_Names,IF(Species_Availability="Yes",IF(Species_Evo_Numbers=1,Species_Names)),0))),Combo_Gym_Offense)))</f>
        <v>N/A</v>
      </c>
      <c r="K785" s="23" t="str">
        <f t="array" ref="K785">IF(OR(INDEX(Species_Availability,MATCH($N785,Species_Names,0))="No",INDEX(Species_Evo_Numbers,MATCH($N785,Species_Names,0))&lt;&gt;1),"N/A",RANK($Y785,IF(NOT(ISNA(MATCH(Combo_Species_Names,IF(Species_Availability="Yes",IF(Species_Evo_Numbers=1,Species_Names)),0))),Combo_Gym_Defense),0))</f>
        <v>N/A</v>
      </c>
      <c r="L785" s="24" t="str">
        <f t="array" ref="L785">IF(OR(INDEX(Species_Availability,MATCH($N785,Species_Names,0))="No",INDEX(Species_Evo_Numbers,MATCH($N785,Species_Names,0))&lt;&gt;1),"N/A",$Y785/MAX(IF(NOT(ISNA(MATCH(Combo_Species_Names,IF(Species_Availability="Yes",IF(Species_Evo_Numbers=1,Species_Names)),0))),Combo_Gym_Defense)))</f>
        <v>N/A</v>
      </c>
      <c r="M785" s="28">
        <f t="array" ref="M785">INDEX(Species_Pdex_Numbers,MATCH($N785,Species_Names,0))</f>
        <v>52</v>
      </c>
      <c r="N785" s="30" t="s">
        <v>194</v>
      </c>
      <c r="O785" s="31" t="s">
        <v>59</v>
      </c>
      <c r="P785" s="31" t="s">
        <v>262</v>
      </c>
      <c r="Q785" s="17" t="e">
        <f t="shared" si="24"/>
        <v>#VALUE!</v>
      </c>
      <c r="R785" s="32" t="e">
        <f t="array" ref="R785">IF(OR(AND(COUNTBLANK(Combo_Opponent_Type_1)=1,COUNTBLANK(Combo_Opponent_Type_2)=0),AND(AND(COUNTBLANK(Combo_Opponent_Type_1)=0,COUNTBLANK(Combo_Opponent_Type_2)=0),Combo_Opponent_Type_1=Combo_Opponent_Type_2)),
"Check Types",($S785*INDEX(Species_Tankiness,MATCH($N785,Species_Names,0)))/225)</f>
        <v>#VALUE!</v>
      </c>
      <c r="S785" s="32" t="e">
        <f t="array" ref="S785">IF(OR(AND(COUNTBLANK(Combo_Opponent_Type_1)=1,COUNTBLANK(Combo_Opponent_Type_2)=0),AND(AND(COUNTBLANK(Combo_Opponent_Type_1)=0,COUNTBLANK(Combo_Opponent_Type_2)=0),Combo_Opponent_Type_1=Combo_Opponent_Type_2)),
"Check Types",(
IF($W785&gt;=((1-Game_Weave_Human_Error)*$X785),$W785,$X785)*INDEX(Species_Attack,MATCH($N785,Species_Names,0)))/11)</f>
        <v>#VALUE!</v>
      </c>
      <c r="T785" s="33" t="e">
        <f t="shared" si="25"/>
        <v>#VALUE!</v>
      </c>
      <c r="U785" s="33">
        <f t="array" ref="U7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785,Quick_Names,0))),Type_Species)),0),1)*IF(COUNTBLANK(Combo_Opponent_Type_2)=0,INDEX(Type_Damage_Multipliers,MATCH(Combo_Opponent_Type_2,IF(Type_Move=(INDEX(Quick_Type,MATCH($O785,Quick_Names,0))),Type_Species)),0),1)*(IF(OR(INDEX(Quick_Type,MATCH($O785,Quick_Names,0))=INDEX(Species_Type_1,MATCH($N785,Species_Names,0)),INDEX(Quick_Type,MATCH($O785,Quick_Names,0))=INDEX(Species_Type_2,MATCH($N785,Species_Names,0))),Game_STAB_Multiplier,1)))</f>
        <v>1</v>
      </c>
      <c r="V785" s="33">
        <f t="array" ref="V78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785,Charge_Names,0))),Type_Species)),0),1)*IF(COUNTBLANK(Combo_Opponent_Type_2)=0,INDEX(Type_Damage_Multipliers,MATCH(Combo_Opponent_Type_2,IF(Type_Move=(INDEX(Charge_Type,MATCH($P785,Charge_Names,0))),Type_Species)),0),1)*
IF(OR(INDEX(Charge_Type,MATCH($P785,Charge_Names,0))=INDEX(Species_Type_1,MATCH($N785,Species_Names,0)),INDEX(Charge_Type,MATCH($P785,Charge_Names,0))=INDEX(Species_Type_2,MATCH($N785,Species_Names,0))),Game_STAB_Multiplier,1))</f>
        <v>1</v>
      </c>
      <c r="W785" s="33" t="s">
        <v>453</v>
      </c>
      <c r="X785" s="33" t="s">
        <v>795</v>
      </c>
      <c r="Y785" s="32" t="e">
        <f t="array" ref="Y785">((($Z785)*
INDEX(Species_Attack,MATCH($N785,Species_Names,0))*
INDEX(Species_Tankiness,MATCH($N785,Species_Names,0)))/1000)</f>
        <v>#VALUE!</v>
      </c>
      <c r="Z785" s="33" t="s">
        <v>505</v>
      </c>
    </row>
    <row r="786" spans="1:26" ht="14.25" customHeight="1" x14ac:dyDescent="0.2">
      <c r="A786" s="86"/>
      <c r="B786" s="22" t="str">
        <f t="array" ref="B786">CONCATENATE(TEXT($M786,"000"),".",TEXT(INDEX(Quick_Number,MATCH($O786,Quick_Names,0)),"000"),".",TEXT(INDEX(Charge_Number,MATCH($P786,Charge_Names,0)),"000"))</f>
        <v>060.216.053</v>
      </c>
      <c r="C786" s="23" t="e">
        <f t="array" ref="C786">RANK($S786,IF(Combo_Species_Names=$N786,Combo_Gym_Offense),0)</f>
        <v>#VALUE!</v>
      </c>
      <c r="D786" s="24" t="e">
        <f t="array" ref="D786">$S786/MAX(IF(Combo_Species_Names=$N786,Combo_Gym_Offense))</f>
        <v>#VALUE!</v>
      </c>
      <c r="E786" s="23" t="e">
        <f t="array" ref="E786">RANK($Y786,IF(Combo_Species_Names=$N786,Combo_Gym_Defense),0)</f>
        <v>#VALUE!</v>
      </c>
      <c r="F786" s="25" t="e">
        <f t="array" ref="F786">$Y786/MAX(IF(Combo_Species_Names=$N786,Combo_Gym_Defense))</f>
        <v>#VALUE!</v>
      </c>
      <c r="G786" s="23" t="str">
        <f t="array" ref="G786">IF(OR(INDEX(Species_Availability,MATCH($N786,Species_Names,0))="No",INDEX(Species_Evo_Numbers,MATCH($N786,Species_Names,0))&lt;&gt;1),"N/A",RANK($R786,IF(NOT(ISNA(MATCH(Combo_Species_Names,IF(Species_Availability="Yes",IF(Species_Evo_Numbers=1,Species_Names)),0))),Combo_Duel_Ability),0))</f>
        <v>N/A</v>
      </c>
      <c r="H786" s="24" t="str">
        <f t="array" ref="H786">IF(OR(INDEX(Species_Availability,MATCH($N786,Species_Names,0))="No",INDEX(Species_Evo_Numbers,MATCH($N786,Species_Names,0))&lt;&gt;1),"N/A",$R786/MAX(IF(NOT(ISNA(MATCH(Combo_Species_Names,IF(Species_Availability="Yes",IF(Species_Evo_Numbers=1,Species_Names)),0))),Combo_Duel_Ability)))</f>
        <v>N/A</v>
      </c>
      <c r="I786" s="23" t="str">
        <f t="array" ref="I786">IF(OR(INDEX(Species_Availability,MATCH($N786,Species_Names,0))="No",INDEX(Species_Evo_Numbers,MATCH($N786,Species_Names,0))&lt;&gt;1),"N/A",RANK($S786,IF(NOT(ISNA(MATCH(Combo_Species_Names,IF(Species_Availability="Yes",IF(Species_Evo_Numbers=1,Species_Names)),0))),Combo_Gym_Offense),0))</f>
        <v>N/A</v>
      </c>
      <c r="J786" s="24" t="str">
        <f t="array" ref="J786">IF(OR(INDEX(Species_Availability,MATCH($N786,Species_Names,0))="No",INDEX(Species_Evo_Numbers,MATCH($N786,Species_Names,0))&lt;&gt;1),"N/A",$S786/MAX(IF(NOT(ISNA(MATCH(Combo_Species_Names,IF(Species_Availability="Yes",IF(Species_Evo_Numbers=1,Species_Names)),0))),Combo_Gym_Offense)))</f>
        <v>N/A</v>
      </c>
      <c r="K786" s="23" t="str">
        <f t="array" ref="K786">IF(OR(INDEX(Species_Availability,MATCH($N786,Species_Names,0))="No",INDEX(Species_Evo_Numbers,MATCH($N786,Species_Names,0))&lt;&gt;1),"N/A",RANK($Y786,IF(NOT(ISNA(MATCH(Combo_Species_Names,IF(Species_Availability="Yes",IF(Species_Evo_Numbers=1,Species_Names)),0))),Combo_Gym_Defense),0))</f>
        <v>N/A</v>
      </c>
      <c r="L786" s="24" t="str">
        <f t="array" ref="L786">IF(OR(INDEX(Species_Availability,MATCH($N786,Species_Names,0))="No",INDEX(Species_Evo_Numbers,MATCH($N786,Species_Names,0))&lt;&gt;1),"N/A",$Y786/MAX(IF(NOT(ISNA(MATCH(Combo_Species_Names,IF(Species_Availability="Yes",IF(Species_Evo_Numbers=1,Species_Names)),0))),Combo_Gym_Defense)))</f>
        <v>N/A</v>
      </c>
      <c r="M786" s="28">
        <f t="array" ref="M786">INDEX(Species_Pdex_Numbers,MATCH($N786,Species_Names,0))</f>
        <v>60</v>
      </c>
      <c r="N786" s="30" t="s">
        <v>210</v>
      </c>
      <c r="O786" s="31" t="s">
        <v>89</v>
      </c>
      <c r="P786" s="31" t="s">
        <v>289</v>
      </c>
      <c r="Q786" s="17" t="e">
        <f t="shared" si="24"/>
        <v>#VALUE!</v>
      </c>
      <c r="R786" s="32" t="e">
        <f t="array" ref="R786">IF(OR(AND(COUNTBLANK(Combo_Opponent_Type_1)=1,COUNTBLANK(Combo_Opponent_Type_2)=0),AND(AND(COUNTBLANK(Combo_Opponent_Type_1)=0,COUNTBLANK(Combo_Opponent_Type_2)=0),Combo_Opponent_Type_1=Combo_Opponent_Type_2)),
"Check Types",($S786*INDEX(Species_Tankiness,MATCH($N786,Species_Names,0)))/225)</f>
        <v>#VALUE!</v>
      </c>
      <c r="S786" s="32" t="e">
        <f t="array" ref="S786">IF(OR(AND(COUNTBLANK(Combo_Opponent_Type_1)=1,COUNTBLANK(Combo_Opponent_Type_2)=0),AND(AND(COUNTBLANK(Combo_Opponent_Type_1)=0,COUNTBLANK(Combo_Opponent_Type_2)=0),Combo_Opponent_Type_1=Combo_Opponent_Type_2)),
"Check Types",(
IF($W786&gt;=((1-Game_Weave_Human_Error)*$X786),$W786,$X786)*INDEX(Species_Attack,MATCH($N786,Species_Names,0)))/11)</f>
        <v>#VALUE!</v>
      </c>
      <c r="T786" s="33" t="e">
        <f t="shared" si="25"/>
        <v>#VALUE!</v>
      </c>
      <c r="U786" s="33">
        <f t="array" ref="U7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786,Quick_Names,0))),Type_Species)),0),1)*IF(COUNTBLANK(Combo_Opponent_Type_2)=0,INDEX(Type_Damage_Multipliers,MATCH(Combo_Opponent_Type_2,IF(Type_Move=(INDEX(Quick_Type,MATCH($O786,Quick_Names,0))),Type_Species)),0),1)*(IF(OR(INDEX(Quick_Type,MATCH($O786,Quick_Names,0))=INDEX(Species_Type_1,MATCH($N786,Species_Names,0)),INDEX(Quick_Type,MATCH($O786,Quick_Names,0))=INDEX(Species_Type_2,MATCH($N786,Species_Names,0))),Game_STAB_Multiplier,1)))</f>
        <v>1</v>
      </c>
      <c r="V786" s="33">
        <f t="array" ref="V78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786,Charge_Names,0))),Type_Species)),0),1)*IF(COUNTBLANK(Combo_Opponent_Type_2)=0,INDEX(Type_Damage_Multipliers,MATCH(Combo_Opponent_Type_2,IF(Type_Move=(INDEX(Charge_Type,MATCH($P786,Charge_Names,0))),Type_Species)),0),1)*
IF(OR(INDEX(Charge_Type,MATCH($P786,Charge_Names,0))=INDEX(Species_Type_1,MATCH($N786,Species_Names,0)),INDEX(Charge_Type,MATCH($P786,Charge_Names,0))=INDEX(Species_Type_2,MATCH($N786,Species_Names,0))),Game_STAB_Multiplier,1))</f>
        <v>1.25</v>
      </c>
      <c r="W786" s="33" t="s">
        <v>518</v>
      </c>
      <c r="X786" s="33" t="s">
        <v>795</v>
      </c>
      <c r="Y786" s="32" t="e">
        <f t="array" ref="Y786">((($Z786)*
INDEX(Species_Attack,MATCH($N786,Species_Names,0))*
INDEX(Species_Tankiness,MATCH($N786,Species_Names,0)))/1000)</f>
        <v>#VALUE!</v>
      </c>
      <c r="Z786" s="33" t="s">
        <v>1009</v>
      </c>
    </row>
    <row r="787" spans="1:26" ht="14.25" customHeight="1" x14ac:dyDescent="0.2">
      <c r="A787" s="86"/>
      <c r="B787" s="22" t="str">
        <f t="array" ref="B787">CONCATENATE(TEXT($M787,"000"),".",TEXT(INDEX(Quick_Number,MATCH($O787,Quick_Names,0)),"000"),".",TEXT(INDEX(Charge_Number,MATCH($P787,Charge_Names,0)),"000"))</f>
        <v>060.216.096</v>
      </c>
      <c r="C787" s="23" t="e">
        <f t="array" ref="C787">RANK($S787,IF(Combo_Species_Names=$N787,Combo_Gym_Offense),0)</f>
        <v>#VALUE!</v>
      </c>
      <c r="D787" s="24" t="e">
        <f t="array" ref="D787">$S787/MAX(IF(Combo_Species_Names=$N787,Combo_Gym_Offense))</f>
        <v>#VALUE!</v>
      </c>
      <c r="E787" s="23" t="e">
        <f t="array" ref="E787">RANK($Y787,IF(Combo_Species_Names=$N787,Combo_Gym_Defense),0)</f>
        <v>#VALUE!</v>
      </c>
      <c r="F787" s="25" t="e">
        <f t="array" ref="F787">$Y787/MAX(IF(Combo_Species_Names=$N787,Combo_Gym_Defense))</f>
        <v>#VALUE!</v>
      </c>
      <c r="G787" s="23" t="str">
        <f t="array" ref="G787">IF(OR(INDEX(Species_Availability,MATCH($N787,Species_Names,0))="No",INDEX(Species_Evo_Numbers,MATCH($N787,Species_Names,0))&lt;&gt;1),"N/A",RANK($R787,IF(NOT(ISNA(MATCH(Combo_Species_Names,IF(Species_Availability="Yes",IF(Species_Evo_Numbers=1,Species_Names)),0))),Combo_Duel_Ability),0))</f>
        <v>N/A</v>
      </c>
      <c r="H787" s="24" t="str">
        <f t="array" ref="H787">IF(OR(INDEX(Species_Availability,MATCH($N787,Species_Names,0))="No",INDEX(Species_Evo_Numbers,MATCH($N787,Species_Names,0))&lt;&gt;1),"N/A",$R787/MAX(IF(NOT(ISNA(MATCH(Combo_Species_Names,IF(Species_Availability="Yes",IF(Species_Evo_Numbers=1,Species_Names)),0))),Combo_Duel_Ability)))</f>
        <v>N/A</v>
      </c>
      <c r="I787" s="23" t="str">
        <f t="array" ref="I787">IF(OR(INDEX(Species_Availability,MATCH($N787,Species_Names,0))="No",INDEX(Species_Evo_Numbers,MATCH($N787,Species_Names,0))&lt;&gt;1),"N/A",RANK($S787,IF(NOT(ISNA(MATCH(Combo_Species_Names,IF(Species_Availability="Yes",IF(Species_Evo_Numbers=1,Species_Names)),0))),Combo_Gym_Offense),0))</f>
        <v>N/A</v>
      </c>
      <c r="J787" s="24" t="str">
        <f t="array" ref="J787">IF(OR(INDEX(Species_Availability,MATCH($N787,Species_Names,0))="No",INDEX(Species_Evo_Numbers,MATCH($N787,Species_Names,0))&lt;&gt;1),"N/A",$S787/MAX(IF(NOT(ISNA(MATCH(Combo_Species_Names,IF(Species_Availability="Yes",IF(Species_Evo_Numbers=1,Species_Names)),0))),Combo_Gym_Offense)))</f>
        <v>N/A</v>
      </c>
      <c r="K787" s="23" t="str">
        <f t="array" ref="K787">IF(OR(INDEX(Species_Availability,MATCH($N787,Species_Names,0))="No",INDEX(Species_Evo_Numbers,MATCH($N787,Species_Names,0))&lt;&gt;1),"N/A",RANK($Y787,IF(NOT(ISNA(MATCH(Combo_Species_Names,IF(Species_Availability="Yes",IF(Species_Evo_Numbers=1,Species_Names)),0))),Combo_Gym_Defense),0))</f>
        <v>N/A</v>
      </c>
      <c r="L787" s="24" t="str">
        <f t="array" ref="L787">IF(OR(INDEX(Species_Availability,MATCH($N787,Species_Names,0))="No",INDEX(Species_Evo_Numbers,MATCH($N787,Species_Names,0))&lt;&gt;1),"N/A",$Y787/MAX(IF(NOT(ISNA(MATCH(Combo_Species_Names,IF(Species_Availability="Yes",IF(Species_Evo_Numbers=1,Species_Names)),0))),Combo_Gym_Defense)))</f>
        <v>N/A</v>
      </c>
      <c r="M787" s="28">
        <f t="array" ref="M787">INDEX(Species_Pdex_Numbers,MATCH($N787,Species_Names,0))</f>
        <v>60</v>
      </c>
      <c r="N787" s="30" t="s">
        <v>210</v>
      </c>
      <c r="O787" s="31" t="s">
        <v>89</v>
      </c>
      <c r="P787" s="31" t="s">
        <v>271</v>
      </c>
      <c r="Q787" s="17" t="e">
        <f t="shared" si="24"/>
        <v>#VALUE!</v>
      </c>
      <c r="R787" s="32" t="e">
        <f t="array" ref="R787">IF(OR(AND(COUNTBLANK(Combo_Opponent_Type_1)=1,COUNTBLANK(Combo_Opponent_Type_2)=0),AND(AND(COUNTBLANK(Combo_Opponent_Type_1)=0,COUNTBLANK(Combo_Opponent_Type_2)=0),Combo_Opponent_Type_1=Combo_Opponent_Type_2)),
"Check Types",($S787*INDEX(Species_Tankiness,MATCH($N787,Species_Names,0)))/225)</f>
        <v>#VALUE!</v>
      </c>
      <c r="S787" s="32" t="e">
        <f t="array" ref="S787">IF(OR(AND(COUNTBLANK(Combo_Opponent_Type_1)=1,COUNTBLANK(Combo_Opponent_Type_2)=0),AND(AND(COUNTBLANK(Combo_Opponent_Type_1)=0,COUNTBLANK(Combo_Opponent_Type_2)=0),Combo_Opponent_Type_1=Combo_Opponent_Type_2)),
"Check Types",(
IF($W787&gt;=((1-Game_Weave_Human_Error)*$X787),$W787,$X787)*INDEX(Species_Attack,MATCH($N787,Species_Names,0)))/11)</f>
        <v>#VALUE!</v>
      </c>
      <c r="T787" s="33" t="e">
        <f t="shared" si="25"/>
        <v>#VALUE!</v>
      </c>
      <c r="U787" s="33">
        <f t="array" ref="U7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787,Quick_Names,0))),Type_Species)),0),1)*IF(COUNTBLANK(Combo_Opponent_Type_2)=0,INDEX(Type_Damage_Multipliers,MATCH(Combo_Opponent_Type_2,IF(Type_Move=(INDEX(Quick_Type,MATCH($O787,Quick_Names,0))),Type_Species)),0),1)*(IF(OR(INDEX(Quick_Type,MATCH($O787,Quick_Names,0))=INDEX(Species_Type_1,MATCH($N787,Species_Names,0)),INDEX(Quick_Type,MATCH($O787,Quick_Names,0))=INDEX(Species_Type_2,MATCH($N787,Species_Names,0))),Game_STAB_Multiplier,1)))</f>
        <v>1</v>
      </c>
      <c r="V787" s="33">
        <f t="array" ref="V78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787,Charge_Names,0))),Type_Species)),0),1)*IF(COUNTBLANK(Combo_Opponent_Type_2)=0,INDEX(Type_Damage_Multipliers,MATCH(Combo_Opponent_Type_2,IF(Type_Move=(INDEX(Charge_Type,MATCH($P787,Charge_Names,0))),Type_Species)),0),1)*
IF(OR(INDEX(Charge_Type,MATCH($P787,Charge_Names,0))=INDEX(Species_Type_1,MATCH($N787,Species_Names,0)),INDEX(Charge_Type,MATCH($P787,Charge_Names,0))=INDEX(Species_Type_2,MATCH($N787,Species_Names,0))),Game_STAB_Multiplier,1))</f>
        <v>1</v>
      </c>
      <c r="W787" s="33" t="s">
        <v>518</v>
      </c>
      <c r="X787" s="33" t="s">
        <v>1010</v>
      </c>
      <c r="Y787" s="32" t="e">
        <f t="array" ref="Y787">((($Z787)*
INDEX(Species_Attack,MATCH($N787,Species_Names,0))*
INDEX(Species_Tankiness,MATCH($N787,Species_Names,0)))/1000)</f>
        <v>#VALUE!</v>
      </c>
      <c r="Z787" s="33" t="s">
        <v>545</v>
      </c>
    </row>
    <row r="788" spans="1:26" ht="14.25" customHeight="1" x14ac:dyDescent="0.2">
      <c r="A788" s="86"/>
      <c r="B788" s="22" t="str">
        <f t="array" ref="B788">CONCATENATE(TEXT($M788,"000"),".",TEXT(INDEX(Quick_Number,MATCH($O788,Quick_Names,0)),"000"),".",TEXT(INDEX(Charge_Number,MATCH($P788,Charge_Names,0)),"000"))</f>
        <v>016.221.121</v>
      </c>
      <c r="C788" s="23" t="e">
        <f t="array" ref="C788">RANK($S788,IF(Combo_Species_Names=$N788,Combo_Gym_Offense),0)</f>
        <v>#VALUE!</v>
      </c>
      <c r="D788" s="24" t="e">
        <f t="array" ref="D788">$S788/MAX(IF(Combo_Species_Names=$N788,Combo_Gym_Offense))</f>
        <v>#VALUE!</v>
      </c>
      <c r="E788" s="23" t="e">
        <f t="array" ref="E788">RANK($Y788,IF(Combo_Species_Names=$N788,Combo_Gym_Defense),0)</f>
        <v>#VALUE!</v>
      </c>
      <c r="F788" s="25" t="e">
        <f t="array" ref="F788">$Y788/MAX(IF(Combo_Species_Names=$N788,Combo_Gym_Defense))</f>
        <v>#VALUE!</v>
      </c>
      <c r="G788" s="23" t="str">
        <f t="array" ref="G788">IF(OR(INDEX(Species_Availability,MATCH($N788,Species_Names,0))="No",INDEX(Species_Evo_Numbers,MATCH($N788,Species_Names,0))&lt;&gt;1),"N/A",RANK($R788,IF(NOT(ISNA(MATCH(Combo_Species_Names,IF(Species_Availability="Yes",IF(Species_Evo_Numbers=1,Species_Names)),0))),Combo_Duel_Ability),0))</f>
        <v>N/A</v>
      </c>
      <c r="H788" s="24" t="str">
        <f t="array" ref="H788">IF(OR(INDEX(Species_Availability,MATCH($N788,Species_Names,0))="No",INDEX(Species_Evo_Numbers,MATCH($N788,Species_Names,0))&lt;&gt;1),"N/A",$R788/MAX(IF(NOT(ISNA(MATCH(Combo_Species_Names,IF(Species_Availability="Yes",IF(Species_Evo_Numbers=1,Species_Names)),0))),Combo_Duel_Ability)))</f>
        <v>N/A</v>
      </c>
      <c r="I788" s="23" t="str">
        <f t="array" ref="I788">IF(OR(INDEX(Species_Availability,MATCH($N788,Species_Names,0))="No",INDEX(Species_Evo_Numbers,MATCH($N788,Species_Names,0))&lt;&gt;1),"N/A",RANK($S788,IF(NOT(ISNA(MATCH(Combo_Species_Names,IF(Species_Availability="Yes",IF(Species_Evo_Numbers=1,Species_Names)),0))),Combo_Gym_Offense),0))</f>
        <v>N/A</v>
      </c>
      <c r="J788" s="24" t="str">
        <f t="array" ref="J788">IF(OR(INDEX(Species_Availability,MATCH($N788,Species_Names,0))="No",INDEX(Species_Evo_Numbers,MATCH($N788,Species_Names,0))&lt;&gt;1),"N/A",$S788/MAX(IF(NOT(ISNA(MATCH(Combo_Species_Names,IF(Species_Availability="Yes",IF(Species_Evo_Numbers=1,Species_Names)),0))),Combo_Gym_Offense)))</f>
        <v>N/A</v>
      </c>
      <c r="K788" s="23" t="str">
        <f t="array" ref="K788">IF(OR(INDEX(Species_Availability,MATCH($N788,Species_Names,0))="No",INDEX(Species_Evo_Numbers,MATCH($N788,Species_Names,0))&lt;&gt;1),"N/A",RANK($Y788,IF(NOT(ISNA(MATCH(Combo_Species_Names,IF(Species_Availability="Yes",IF(Species_Evo_Numbers=1,Species_Names)),0))),Combo_Gym_Defense),0))</f>
        <v>N/A</v>
      </c>
      <c r="L788" s="24" t="str">
        <f t="array" ref="L788">IF(OR(INDEX(Species_Availability,MATCH($N788,Species_Names,0))="No",INDEX(Species_Evo_Numbers,MATCH($N788,Species_Names,0))&lt;&gt;1),"N/A",$Y788/MAX(IF(NOT(ISNA(MATCH(Combo_Species_Names,IF(Species_Availability="Yes",IF(Species_Evo_Numbers=1,Species_Names)),0))),Combo_Gym_Defense)))</f>
        <v>N/A</v>
      </c>
      <c r="M788" s="28">
        <f t="array" ref="M788">INDEX(Species_Pdex_Numbers,MATCH($N788,Species_Names,0))</f>
        <v>16</v>
      </c>
      <c r="N788" s="30" t="s">
        <v>123</v>
      </c>
      <c r="O788" s="31" t="s">
        <v>91</v>
      </c>
      <c r="P788" s="31" t="s">
        <v>294</v>
      </c>
      <c r="Q788" s="17" t="e">
        <f t="shared" si="24"/>
        <v>#VALUE!</v>
      </c>
      <c r="R788" s="32" t="e">
        <f t="array" ref="R788">IF(OR(AND(COUNTBLANK(Combo_Opponent_Type_1)=1,COUNTBLANK(Combo_Opponent_Type_2)=0),AND(AND(COUNTBLANK(Combo_Opponent_Type_1)=0,COUNTBLANK(Combo_Opponent_Type_2)=0),Combo_Opponent_Type_1=Combo_Opponent_Type_2)),
"Check Types",($S788*INDEX(Species_Tankiness,MATCH($N788,Species_Names,0)))/225)</f>
        <v>#VALUE!</v>
      </c>
      <c r="S788" s="32" t="e">
        <f t="array" ref="S788">IF(OR(AND(COUNTBLANK(Combo_Opponent_Type_1)=1,COUNTBLANK(Combo_Opponent_Type_2)=0),AND(AND(COUNTBLANK(Combo_Opponent_Type_1)=0,COUNTBLANK(Combo_Opponent_Type_2)=0),Combo_Opponent_Type_1=Combo_Opponent_Type_2)),
"Check Types",(
IF($W788&gt;=((1-Game_Weave_Human_Error)*$X788),$W788,$X788)*INDEX(Species_Attack,MATCH($N788,Species_Names,0)))/11)</f>
        <v>#VALUE!</v>
      </c>
      <c r="T788" s="33" t="e">
        <f t="shared" si="25"/>
        <v>#VALUE!</v>
      </c>
      <c r="U788" s="33">
        <f t="array" ref="U7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788,Quick_Names,0))),Type_Species)),0),1)*IF(COUNTBLANK(Combo_Opponent_Type_2)=0,INDEX(Type_Damage_Multipliers,MATCH(Combo_Opponent_Type_2,IF(Type_Move=(INDEX(Quick_Type,MATCH($O788,Quick_Names,0))),Type_Species)),0),1)*(IF(OR(INDEX(Quick_Type,MATCH($O788,Quick_Names,0))=INDEX(Species_Type_1,MATCH($N788,Species_Names,0)),INDEX(Quick_Type,MATCH($O788,Quick_Names,0))=INDEX(Species_Type_2,MATCH($N788,Species_Names,0))),Game_STAB_Multiplier,1)))</f>
        <v>1.25</v>
      </c>
      <c r="V788" s="33">
        <f t="array" ref="V78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788,Charge_Names,0))),Type_Species)),0),1)*IF(COUNTBLANK(Combo_Opponent_Type_2)=0,INDEX(Type_Damage_Multipliers,MATCH(Combo_Opponent_Type_2,IF(Type_Move=(INDEX(Charge_Type,MATCH($P788,Charge_Names,0))),Type_Species)),0),1)*
IF(OR(INDEX(Charge_Type,MATCH($P788,Charge_Names,0))=INDEX(Species_Type_1,MATCH($N788,Species_Names,0)),INDEX(Charge_Type,MATCH($P788,Charge_Names,0))=INDEX(Species_Type_2,MATCH($N788,Species_Names,0))),Game_STAB_Multiplier,1))</f>
        <v>1.25</v>
      </c>
      <c r="W788" s="33" t="s">
        <v>700</v>
      </c>
      <c r="X788" s="33" t="s">
        <v>989</v>
      </c>
      <c r="Y788" s="32" t="e">
        <f t="array" ref="Y788">((($Z788)*
INDEX(Species_Attack,MATCH($N788,Species_Names,0))*
INDEX(Species_Tankiness,MATCH($N788,Species_Names,0)))/1000)</f>
        <v>#VALUE!</v>
      </c>
      <c r="Z788" s="33" t="s">
        <v>570</v>
      </c>
    </row>
    <row r="789" spans="1:26" ht="14.25" customHeight="1" x14ac:dyDescent="0.2">
      <c r="A789" s="86"/>
      <c r="B789" s="22" t="str">
        <f t="array" ref="B789">CONCATENATE(TEXT($M789,"000"),".",TEXT(INDEX(Quick_Number,MATCH($O789,Quick_Names,0)),"000"),".",TEXT(INDEX(Charge_Number,MATCH($P789,Charge_Names,0)),"000"))</f>
        <v>016.221.045</v>
      </c>
      <c r="C789" s="23" t="e">
        <f t="array" ref="C789">RANK($S789,IF(Combo_Species_Names=$N789,Combo_Gym_Offense),0)</f>
        <v>#VALUE!</v>
      </c>
      <c r="D789" s="24" t="e">
        <f t="array" ref="D789">$S789/MAX(IF(Combo_Species_Names=$N789,Combo_Gym_Offense))</f>
        <v>#VALUE!</v>
      </c>
      <c r="E789" s="23" t="e">
        <f t="array" ref="E789">RANK($Y789,IF(Combo_Species_Names=$N789,Combo_Gym_Defense),0)</f>
        <v>#VALUE!</v>
      </c>
      <c r="F789" s="25" t="e">
        <f t="array" ref="F789">$Y789/MAX(IF(Combo_Species_Names=$N789,Combo_Gym_Defense))</f>
        <v>#VALUE!</v>
      </c>
      <c r="G789" s="23" t="str">
        <f t="array" ref="G789">IF(OR(INDEX(Species_Availability,MATCH($N789,Species_Names,0))="No",INDEX(Species_Evo_Numbers,MATCH($N789,Species_Names,0))&lt;&gt;1),"N/A",RANK($R789,IF(NOT(ISNA(MATCH(Combo_Species_Names,IF(Species_Availability="Yes",IF(Species_Evo_Numbers=1,Species_Names)),0))),Combo_Duel_Ability),0))</f>
        <v>N/A</v>
      </c>
      <c r="H789" s="24" t="str">
        <f t="array" ref="H789">IF(OR(INDEX(Species_Availability,MATCH($N789,Species_Names,0))="No",INDEX(Species_Evo_Numbers,MATCH($N789,Species_Names,0))&lt;&gt;1),"N/A",$R789/MAX(IF(NOT(ISNA(MATCH(Combo_Species_Names,IF(Species_Availability="Yes",IF(Species_Evo_Numbers=1,Species_Names)),0))),Combo_Duel_Ability)))</f>
        <v>N/A</v>
      </c>
      <c r="I789" s="23" t="str">
        <f t="array" ref="I789">IF(OR(INDEX(Species_Availability,MATCH($N789,Species_Names,0))="No",INDEX(Species_Evo_Numbers,MATCH($N789,Species_Names,0))&lt;&gt;1),"N/A",RANK($S789,IF(NOT(ISNA(MATCH(Combo_Species_Names,IF(Species_Availability="Yes",IF(Species_Evo_Numbers=1,Species_Names)),0))),Combo_Gym_Offense),0))</f>
        <v>N/A</v>
      </c>
      <c r="J789" s="24" t="str">
        <f t="array" ref="J789">IF(OR(INDEX(Species_Availability,MATCH($N789,Species_Names,0))="No",INDEX(Species_Evo_Numbers,MATCH($N789,Species_Names,0))&lt;&gt;1),"N/A",$S789/MAX(IF(NOT(ISNA(MATCH(Combo_Species_Names,IF(Species_Availability="Yes",IF(Species_Evo_Numbers=1,Species_Names)),0))),Combo_Gym_Offense)))</f>
        <v>N/A</v>
      </c>
      <c r="K789" s="23" t="str">
        <f t="array" ref="K789">IF(OR(INDEX(Species_Availability,MATCH($N789,Species_Names,0))="No",INDEX(Species_Evo_Numbers,MATCH($N789,Species_Names,0))&lt;&gt;1),"N/A",RANK($Y789,IF(NOT(ISNA(MATCH(Combo_Species_Names,IF(Species_Availability="Yes",IF(Species_Evo_Numbers=1,Species_Names)),0))),Combo_Gym_Defense),0))</f>
        <v>N/A</v>
      </c>
      <c r="L789" s="24" t="str">
        <f t="array" ref="L789">IF(OR(INDEX(Species_Availability,MATCH($N789,Species_Names,0))="No",INDEX(Species_Evo_Numbers,MATCH($N789,Species_Names,0))&lt;&gt;1),"N/A",$Y789/MAX(IF(NOT(ISNA(MATCH(Combo_Species_Names,IF(Species_Availability="Yes",IF(Species_Evo_Numbers=1,Species_Names)),0))),Combo_Gym_Defense)))</f>
        <v>N/A</v>
      </c>
      <c r="M789" s="28">
        <f t="array" ref="M789">INDEX(Species_Pdex_Numbers,MATCH($N789,Species_Names,0))</f>
        <v>16</v>
      </c>
      <c r="N789" s="30" t="s">
        <v>123</v>
      </c>
      <c r="O789" s="31" t="s">
        <v>91</v>
      </c>
      <c r="P789" s="31" t="s">
        <v>287</v>
      </c>
      <c r="Q789" s="17" t="e">
        <f t="shared" si="24"/>
        <v>#VALUE!</v>
      </c>
      <c r="R789" s="32" t="e">
        <f t="array" ref="R789">IF(OR(AND(COUNTBLANK(Combo_Opponent_Type_1)=1,COUNTBLANK(Combo_Opponent_Type_2)=0),AND(AND(COUNTBLANK(Combo_Opponent_Type_1)=0,COUNTBLANK(Combo_Opponent_Type_2)=0),Combo_Opponent_Type_1=Combo_Opponent_Type_2)),
"Check Types",($S789*INDEX(Species_Tankiness,MATCH($N789,Species_Names,0)))/225)</f>
        <v>#VALUE!</v>
      </c>
      <c r="S789" s="32" t="e">
        <f t="array" ref="S789">IF(OR(AND(COUNTBLANK(Combo_Opponent_Type_1)=1,COUNTBLANK(Combo_Opponent_Type_2)=0),AND(AND(COUNTBLANK(Combo_Opponent_Type_1)=0,COUNTBLANK(Combo_Opponent_Type_2)=0),Combo_Opponent_Type_1=Combo_Opponent_Type_2)),
"Check Types",(
IF($W789&gt;=((1-Game_Weave_Human_Error)*$X789),$W789,$X789)*INDEX(Species_Attack,MATCH($N789,Species_Names,0)))/11)</f>
        <v>#VALUE!</v>
      </c>
      <c r="T789" s="33" t="e">
        <f t="shared" si="25"/>
        <v>#VALUE!</v>
      </c>
      <c r="U789" s="33">
        <f t="array" ref="U7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789,Quick_Names,0))),Type_Species)),0),1)*IF(COUNTBLANK(Combo_Opponent_Type_2)=0,INDEX(Type_Damage_Multipliers,MATCH(Combo_Opponent_Type_2,IF(Type_Move=(INDEX(Quick_Type,MATCH($O789,Quick_Names,0))),Type_Species)),0),1)*(IF(OR(INDEX(Quick_Type,MATCH($O789,Quick_Names,0))=INDEX(Species_Type_1,MATCH($N789,Species_Names,0)),INDEX(Quick_Type,MATCH($O789,Quick_Names,0))=INDEX(Species_Type_2,MATCH($N789,Species_Names,0))),Game_STAB_Multiplier,1)))</f>
        <v>1.25</v>
      </c>
      <c r="V789" s="33">
        <f t="array" ref="V78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789,Charge_Names,0))),Type_Species)),0),1)*IF(COUNTBLANK(Combo_Opponent_Type_2)=0,INDEX(Type_Damage_Multipliers,MATCH(Combo_Opponent_Type_2,IF(Type_Move=(INDEX(Charge_Type,MATCH($P789,Charge_Names,0))),Type_Species)),0),1)*
IF(OR(INDEX(Charge_Type,MATCH($P789,Charge_Names,0))=INDEX(Species_Type_1,MATCH($N789,Species_Names,0)),INDEX(Charge_Type,MATCH($P789,Charge_Names,0))=INDEX(Species_Type_2,MATCH($N789,Species_Names,0))),Game_STAB_Multiplier,1))</f>
        <v>1.25</v>
      </c>
      <c r="W789" s="33" t="s">
        <v>700</v>
      </c>
      <c r="X789" s="33" t="s">
        <v>708</v>
      </c>
      <c r="Y789" s="32" t="e">
        <f t="array" ref="Y789">((($Z789)*
INDEX(Species_Attack,MATCH($N789,Species_Names,0))*
INDEX(Species_Tankiness,MATCH($N789,Species_Names,0)))/1000)</f>
        <v>#VALUE!</v>
      </c>
      <c r="Z789" s="33" t="s">
        <v>693</v>
      </c>
    </row>
    <row r="790" spans="1:26" ht="14.25" customHeight="1" x14ac:dyDescent="0.2">
      <c r="A790" s="86"/>
      <c r="B790" s="22" t="str">
        <f t="array" ref="B790">CONCATENATE(TEXT($M790,"000"),".",TEXT(INDEX(Quick_Number,MATCH($O790,Quick_Names,0)),"000"),".",TEXT(INDEX(Charge_Number,MATCH($P790,Charge_Names,0)),"000"))</f>
        <v>016.221.080</v>
      </c>
      <c r="C790" s="23" t="e">
        <f t="array" ref="C790">RANK($S790,IF(Combo_Species_Names=$N790,Combo_Gym_Offense),0)</f>
        <v>#VALUE!</v>
      </c>
      <c r="D790" s="24" t="e">
        <f t="array" ref="D790">$S790/MAX(IF(Combo_Species_Names=$N790,Combo_Gym_Offense))</f>
        <v>#VALUE!</v>
      </c>
      <c r="E790" s="23" t="e">
        <f t="array" ref="E790">RANK($Y790,IF(Combo_Species_Names=$N790,Combo_Gym_Defense),0)</f>
        <v>#VALUE!</v>
      </c>
      <c r="F790" s="25" t="e">
        <f t="array" ref="F790">$Y790/MAX(IF(Combo_Species_Names=$N790,Combo_Gym_Defense))</f>
        <v>#VALUE!</v>
      </c>
      <c r="G790" s="23" t="str">
        <f t="array" ref="G790">IF(OR(INDEX(Species_Availability,MATCH($N790,Species_Names,0))="No",INDEX(Species_Evo_Numbers,MATCH($N790,Species_Names,0))&lt;&gt;1),"N/A",RANK($R790,IF(NOT(ISNA(MATCH(Combo_Species_Names,IF(Species_Availability="Yes",IF(Species_Evo_Numbers=1,Species_Names)),0))),Combo_Duel_Ability),0))</f>
        <v>N/A</v>
      </c>
      <c r="H790" s="24" t="str">
        <f t="array" ref="H790">IF(OR(INDEX(Species_Availability,MATCH($N790,Species_Names,0))="No",INDEX(Species_Evo_Numbers,MATCH($N790,Species_Names,0))&lt;&gt;1),"N/A",$R790/MAX(IF(NOT(ISNA(MATCH(Combo_Species_Names,IF(Species_Availability="Yes",IF(Species_Evo_Numbers=1,Species_Names)),0))),Combo_Duel_Ability)))</f>
        <v>N/A</v>
      </c>
      <c r="I790" s="23" t="str">
        <f t="array" ref="I790">IF(OR(INDEX(Species_Availability,MATCH($N790,Species_Names,0))="No",INDEX(Species_Evo_Numbers,MATCH($N790,Species_Names,0))&lt;&gt;1),"N/A",RANK($S790,IF(NOT(ISNA(MATCH(Combo_Species_Names,IF(Species_Availability="Yes",IF(Species_Evo_Numbers=1,Species_Names)),0))),Combo_Gym_Offense),0))</f>
        <v>N/A</v>
      </c>
      <c r="J790" s="24" t="str">
        <f t="array" ref="J790">IF(OR(INDEX(Species_Availability,MATCH($N790,Species_Names,0))="No",INDEX(Species_Evo_Numbers,MATCH($N790,Species_Names,0))&lt;&gt;1),"N/A",$S790/MAX(IF(NOT(ISNA(MATCH(Combo_Species_Names,IF(Species_Availability="Yes",IF(Species_Evo_Numbers=1,Species_Names)),0))),Combo_Gym_Offense)))</f>
        <v>N/A</v>
      </c>
      <c r="K790" s="23" t="str">
        <f t="array" ref="K790">IF(OR(INDEX(Species_Availability,MATCH($N790,Species_Names,0))="No",INDEX(Species_Evo_Numbers,MATCH($N790,Species_Names,0))&lt;&gt;1),"N/A",RANK($Y790,IF(NOT(ISNA(MATCH(Combo_Species_Names,IF(Species_Availability="Yes",IF(Species_Evo_Numbers=1,Species_Names)),0))),Combo_Gym_Defense),0))</f>
        <v>N/A</v>
      </c>
      <c r="L790" s="24" t="str">
        <f t="array" ref="L790">IF(OR(INDEX(Species_Availability,MATCH($N790,Species_Names,0))="No",INDEX(Species_Evo_Numbers,MATCH($N790,Species_Names,0))&lt;&gt;1),"N/A",$Y790/MAX(IF(NOT(ISNA(MATCH(Combo_Species_Names,IF(Species_Availability="Yes",IF(Species_Evo_Numbers=1,Species_Names)),0))),Combo_Gym_Defense)))</f>
        <v>N/A</v>
      </c>
      <c r="M790" s="28">
        <f t="array" ref="M790">INDEX(Species_Pdex_Numbers,MATCH($N790,Species_Names,0))</f>
        <v>16</v>
      </c>
      <c r="N790" s="30" t="s">
        <v>123</v>
      </c>
      <c r="O790" s="31" t="s">
        <v>91</v>
      </c>
      <c r="P790" s="31" t="s">
        <v>302</v>
      </c>
      <c r="Q790" s="17" t="e">
        <f t="shared" si="24"/>
        <v>#VALUE!</v>
      </c>
      <c r="R790" s="32" t="e">
        <f t="array" ref="R790">IF(OR(AND(COUNTBLANK(Combo_Opponent_Type_1)=1,COUNTBLANK(Combo_Opponent_Type_2)=0),AND(AND(COUNTBLANK(Combo_Opponent_Type_1)=0,COUNTBLANK(Combo_Opponent_Type_2)=0),Combo_Opponent_Type_1=Combo_Opponent_Type_2)),
"Check Types",($S790*INDEX(Species_Tankiness,MATCH($N790,Species_Names,0)))/225)</f>
        <v>#VALUE!</v>
      </c>
      <c r="S790" s="32" t="e">
        <f t="array" ref="S790">IF(OR(AND(COUNTBLANK(Combo_Opponent_Type_1)=1,COUNTBLANK(Combo_Opponent_Type_2)=0),AND(AND(COUNTBLANK(Combo_Opponent_Type_1)=0,COUNTBLANK(Combo_Opponent_Type_2)=0),Combo_Opponent_Type_1=Combo_Opponent_Type_2)),
"Check Types",(
IF($W790&gt;=((1-Game_Weave_Human_Error)*$X790),$W790,$X790)*INDEX(Species_Attack,MATCH($N790,Species_Names,0)))/11)</f>
        <v>#VALUE!</v>
      </c>
      <c r="T790" s="33" t="e">
        <f t="shared" si="25"/>
        <v>#VALUE!</v>
      </c>
      <c r="U790" s="33">
        <f t="array" ref="U7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790,Quick_Names,0))),Type_Species)),0),1)*IF(COUNTBLANK(Combo_Opponent_Type_2)=0,INDEX(Type_Damage_Multipliers,MATCH(Combo_Opponent_Type_2,IF(Type_Move=(INDEX(Quick_Type,MATCH($O790,Quick_Names,0))),Type_Species)),0),1)*(IF(OR(INDEX(Quick_Type,MATCH($O790,Quick_Names,0))=INDEX(Species_Type_1,MATCH($N790,Species_Names,0)),INDEX(Quick_Type,MATCH($O790,Quick_Names,0))=INDEX(Species_Type_2,MATCH($N790,Species_Names,0))),Game_STAB_Multiplier,1)))</f>
        <v>1.25</v>
      </c>
      <c r="V790" s="33">
        <f t="array" ref="V79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790,Charge_Names,0))),Type_Species)),0),1)*IF(COUNTBLANK(Combo_Opponent_Type_2)=0,INDEX(Type_Damage_Multipliers,MATCH(Combo_Opponent_Type_2,IF(Type_Move=(INDEX(Charge_Type,MATCH($P790,Charge_Names,0))),Type_Species)),0),1)*
IF(OR(INDEX(Charge_Type,MATCH($P790,Charge_Names,0))=INDEX(Species_Type_1,MATCH($N790,Species_Names,0)),INDEX(Charge_Type,MATCH($P790,Charge_Names,0))=INDEX(Species_Type_2,MATCH($N790,Species_Names,0))),Game_STAB_Multiplier,1))</f>
        <v>1</v>
      </c>
      <c r="W790" s="33" t="s">
        <v>700</v>
      </c>
      <c r="X790" s="33" t="s">
        <v>1085</v>
      </c>
      <c r="Y790" s="32" t="e">
        <f t="array" ref="Y790">((($Z790)*
INDEX(Species_Attack,MATCH($N790,Species_Names,0))*
INDEX(Species_Tankiness,MATCH($N790,Species_Names,0)))/1000)</f>
        <v>#VALUE!</v>
      </c>
      <c r="Z790" s="33" t="s">
        <v>816</v>
      </c>
    </row>
    <row r="791" spans="1:26" ht="14.25" customHeight="1" x14ac:dyDescent="0.2">
      <c r="A791" s="86"/>
      <c r="B791" s="22" t="str">
        <f t="array" ref="B791">CONCATENATE(TEXT($M791,"000"),".",TEXT(INDEX(Quick_Number,MATCH($O791,Quick_Names,0)),"000"),".",TEXT(INDEX(Charge_Number,MATCH($P791,Charge_Names,0)),"000"))</f>
        <v>084.211.045</v>
      </c>
      <c r="C791" s="23" t="e">
        <f t="array" ref="C791">RANK($S791,IF(Combo_Species_Names=$N791,Combo_Gym_Offense),0)</f>
        <v>#VALUE!</v>
      </c>
      <c r="D791" s="24" t="e">
        <f t="array" ref="D791">$S791/MAX(IF(Combo_Species_Names=$N791,Combo_Gym_Offense))</f>
        <v>#VALUE!</v>
      </c>
      <c r="E791" s="23" t="e">
        <f t="array" ref="E791">RANK($Y791,IF(Combo_Species_Names=$N791,Combo_Gym_Defense),0)</f>
        <v>#VALUE!</v>
      </c>
      <c r="F791" s="25" t="e">
        <f t="array" ref="F791">$Y791/MAX(IF(Combo_Species_Names=$N791,Combo_Gym_Defense))</f>
        <v>#VALUE!</v>
      </c>
      <c r="G791" s="23" t="str">
        <f t="array" ref="G791">IF(OR(INDEX(Species_Availability,MATCH($N791,Species_Names,0))="No",INDEX(Species_Evo_Numbers,MATCH($N791,Species_Names,0))&lt;&gt;1),"N/A",RANK($R791,IF(NOT(ISNA(MATCH(Combo_Species_Names,IF(Species_Availability="Yes",IF(Species_Evo_Numbers=1,Species_Names)),0))),Combo_Duel_Ability),0))</f>
        <v>N/A</v>
      </c>
      <c r="H791" s="24" t="str">
        <f t="array" ref="H791">IF(OR(INDEX(Species_Availability,MATCH($N791,Species_Names,0))="No",INDEX(Species_Evo_Numbers,MATCH($N791,Species_Names,0))&lt;&gt;1),"N/A",$R791/MAX(IF(NOT(ISNA(MATCH(Combo_Species_Names,IF(Species_Availability="Yes",IF(Species_Evo_Numbers=1,Species_Names)),0))),Combo_Duel_Ability)))</f>
        <v>N/A</v>
      </c>
      <c r="I791" s="23" t="str">
        <f t="array" ref="I791">IF(OR(INDEX(Species_Availability,MATCH($N791,Species_Names,0))="No",INDEX(Species_Evo_Numbers,MATCH($N791,Species_Names,0))&lt;&gt;1),"N/A",RANK($S791,IF(NOT(ISNA(MATCH(Combo_Species_Names,IF(Species_Availability="Yes",IF(Species_Evo_Numbers=1,Species_Names)),0))),Combo_Gym_Offense),0))</f>
        <v>N/A</v>
      </c>
      <c r="J791" s="24" t="str">
        <f t="array" ref="J791">IF(OR(INDEX(Species_Availability,MATCH($N791,Species_Names,0))="No",INDEX(Species_Evo_Numbers,MATCH($N791,Species_Names,0))&lt;&gt;1),"N/A",$S791/MAX(IF(NOT(ISNA(MATCH(Combo_Species_Names,IF(Species_Availability="Yes",IF(Species_Evo_Numbers=1,Species_Names)),0))),Combo_Gym_Offense)))</f>
        <v>N/A</v>
      </c>
      <c r="K791" s="23" t="str">
        <f t="array" ref="K791">IF(OR(INDEX(Species_Availability,MATCH($N791,Species_Names,0))="No",INDEX(Species_Evo_Numbers,MATCH($N791,Species_Names,0))&lt;&gt;1),"N/A",RANK($Y791,IF(NOT(ISNA(MATCH(Combo_Species_Names,IF(Species_Availability="Yes",IF(Species_Evo_Numbers=1,Species_Names)),0))),Combo_Gym_Defense),0))</f>
        <v>N/A</v>
      </c>
      <c r="L791" s="24" t="str">
        <f t="array" ref="L791">IF(OR(INDEX(Species_Availability,MATCH($N791,Species_Names,0))="No",INDEX(Species_Evo_Numbers,MATCH($N791,Species_Names,0))&lt;&gt;1),"N/A",$Y791/MAX(IF(NOT(ISNA(MATCH(Combo_Species_Names,IF(Species_Availability="Yes",IF(Species_Evo_Numbers=1,Species_Names)),0))),Combo_Gym_Defense)))</f>
        <v>N/A</v>
      </c>
      <c r="M791" s="28">
        <f t="array" ref="M791">INDEX(Species_Pdex_Numbers,MATCH($N791,Species_Names,0))</f>
        <v>84</v>
      </c>
      <c r="N791" s="30" t="s">
        <v>261</v>
      </c>
      <c r="O791" s="31" t="s">
        <v>114</v>
      </c>
      <c r="P791" s="31" t="s">
        <v>287</v>
      </c>
      <c r="Q791" s="17" t="e">
        <f t="shared" si="24"/>
        <v>#VALUE!</v>
      </c>
      <c r="R791" s="32" t="e">
        <f t="array" ref="R791">IF(OR(AND(COUNTBLANK(Combo_Opponent_Type_1)=1,COUNTBLANK(Combo_Opponent_Type_2)=0),AND(AND(COUNTBLANK(Combo_Opponent_Type_1)=0,COUNTBLANK(Combo_Opponent_Type_2)=0),Combo_Opponent_Type_1=Combo_Opponent_Type_2)),
"Check Types",($S791*INDEX(Species_Tankiness,MATCH($N791,Species_Names,0)))/225)</f>
        <v>#VALUE!</v>
      </c>
      <c r="S791" s="32" t="e">
        <f t="array" ref="S791">IF(OR(AND(COUNTBLANK(Combo_Opponent_Type_1)=1,COUNTBLANK(Combo_Opponent_Type_2)=0),AND(AND(COUNTBLANK(Combo_Opponent_Type_1)=0,COUNTBLANK(Combo_Opponent_Type_2)=0),Combo_Opponent_Type_1=Combo_Opponent_Type_2)),
"Check Types",(
IF($W791&gt;=((1-Game_Weave_Human_Error)*$X791),$W791,$X791)*INDEX(Species_Attack,MATCH($N791,Species_Names,0)))/11)</f>
        <v>#VALUE!</v>
      </c>
      <c r="T791" s="33" t="e">
        <f t="shared" si="25"/>
        <v>#VALUE!</v>
      </c>
      <c r="U791" s="33">
        <f t="array" ref="U7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791,Quick_Names,0))),Type_Species)),0),1)*IF(COUNTBLANK(Combo_Opponent_Type_2)=0,INDEX(Type_Damage_Multipliers,MATCH(Combo_Opponent_Type_2,IF(Type_Move=(INDEX(Quick_Type,MATCH($O791,Quick_Names,0))),Type_Species)),0),1)*(IF(OR(INDEX(Quick_Type,MATCH($O791,Quick_Names,0))=INDEX(Species_Type_1,MATCH($N791,Species_Names,0)),INDEX(Quick_Type,MATCH($O791,Quick_Names,0))=INDEX(Species_Type_2,MATCH($N791,Species_Names,0))),Game_STAB_Multiplier,1)))</f>
        <v>1.25</v>
      </c>
      <c r="V791" s="33">
        <f t="array" ref="V79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791,Charge_Names,0))),Type_Species)),0),1)*IF(COUNTBLANK(Combo_Opponent_Type_2)=0,INDEX(Type_Damage_Multipliers,MATCH(Combo_Opponent_Type_2,IF(Type_Move=(INDEX(Charge_Type,MATCH($P791,Charge_Names,0))),Type_Species)),0),1)*
IF(OR(INDEX(Charge_Type,MATCH($P791,Charge_Names,0))=INDEX(Species_Type_1,MATCH($N791,Species_Names,0)),INDEX(Charge_Type,MATCH($P791,Charge_Names,0))=INDEX(Species_Type_2,MATCH($N791,Species_Names,0))),Game_STAB_Multiplier,1))</f>
        <v>1.25</v>
      </c>
      <c r="W791" s="33" t="s">
        <v>876</v>
      </c>
      <c r="X791" s="33" t="s">
        <v>899</v>
      </c>
      <c r="Y791" s="32" t="e">
        <f t="array" ref="Y791">((($Z791)*
INDEX(Species_Attack,MATCH($N791,Species_Names,0))*
INDEX(Species_Tankiness,MATCH($N791,Species_Names,0)))/1000)</f>
        <v>#VALUE!</v>
      </c>
      <c r="Z791" s="33" t="s">
        <v>654</v>
      </c>
    </row>
    <row r="792" spans="1:26" ht="14.25" customHeight="1" x14ac:dyDescent="0.2">
      <c r="A792" s="86"/>
      <c r="B792" s="22" t="str">
        <f t="array" ref="B792">CONCATENATE(TEXT($M792,"000"),".",TEXT(INDEX(Quick_Number,MATCH($O792,Quick_Names,0)),"000"),".",TEXT(INDEX(Charge_Number,MATCH($P792,Charge_Names,0)),"000"))</f>
        <v>084.211.125</v>
      </c>
      <c r="C792" s="23" t="e">
        <f t="array" ref="C792">RANK($S792,IF(Combo_Species_Names=$N792,Combo_Gym_Offense),0)</f>
        <v>#VALUE!</v>
      </c>
      <c r="D792" s="24" t="e">
        <f t="array" ref="D792">$S792/MAX(IF(Combo_Species_Names=$N792,Combo_Gym_Offense))</f>
        <v>#VALUE!</v>
      </c>
      <c r="E792" s="23" t="e">
        <f t="array" ref="E792">RANK($Y792,IF(Combo_Species_Names=$N792,Combo_Gym_Defense),0)</f>
        <v>#VALUE!</v>
      </c>
      <c r="F792" s="25" t="e">
        <f t="array" ref="F792">$Y792/MAX(IF(Combo_Species_Names=$N792,Combo_Gym_Defense))</f>
        <v>#VALUE!</v>
      </c>
      <c r="G792" s="23" t="str">
        <f t="array" ref="G792">IF(OR(INDEX(Species_Availability,MATCH($N792,Species_Names,0))="No",INDEX(Species_Evo_Numbers,MATCH($N792,Species_Names,0))&lt;&gt;1),"N/A",RANK($R792,IF(NOT(ISNA(MATCH(Combo_Species_Names,IF(Species_Availability="Yes",IF(Species_Evo_Numbers=1,Species_Names)),0))),Combo_Duel_Ability),0))</f>
        <v>N/A</v>
      </c>
      <c r="H792" s="24" t="str">
        <f t="array" ref="H792">IF(OR(INDEX(Species_Availability,MATCH($N792,Species_Names,0))="No",INDEX(Species_Evo_Numbers,MATCH($N792,Species_Names,0))&lt;&gt;1),"N/A",$R792/MAX(IF(NOT(ISNA(MATCH(Combo_Species_Names,IF(Species_Availability="Yes",IF(Species_Evo_Numbers=1,Species_Names)),0))),Combo_Duel_Ability)))</f>
        <v>N/A</v>
      </c>
      <c r="I792" s="23" t="str">
        <f t="array" ref="I792">IF(OR(INDEX(Species_Availability,MATCH($N792,Species_Names,0))="No",INDEX(Species_Evo_Numbers,MATCH($N792,Species_Names,0))&lt;&gt;1),"N/A",RANK($S792,IF(NOT(ISNA(MATCH(Combo_Species_Names,IF(Species_Availability="Yes",IF(Species_Evo_Numbers=1,Species_Names)),0))),Combo_Gym_Offense),0))</f>
        <v>N/A</v>
      </c>
      <c r="J792" s="24" t="str">
        <f t="array" ref="J792">IF(OR(INDEX(Species_Availability,MATCH($N792,Species_Names,0))="No",INDEX(Species_Evo_Numbers,MATCH($N792,Species_Names,0))&lt;&gt;1),"N/A",$S792/MAX(IF(NOT(ISNA(MATCH(Combo_Species_Names,IF(Species_Availability="Yes",IF(Species_Evo_Numbers=1,Species_Names)),0))),Combo_Gym_Offense)))</f>
        <v>N/A</v>
      </c>
      <c r="K792" s="23" t="str">
        <f t="array" ref="K792">IF(OR(INDEX(Species_Availability,MATCH($N792,Species_Names,0))="No",INDEX(Species_Evo_Numbers,MATCH($N792,Species_Names,0))&lt;&gt;1),"N/A",RANK($Y792,IF(NOT(ISNA(MATCH(Combo_Species_Names,IF(Species_Availability="Yes",IF(Species_Evo_Numbers=1,Species_Names)),0))),Combo_Gym_Defense),0))</f>
        <v>N/A</v>
      </c>
      <c r="L792" s="24" t="str">
        <f t="array" ref="L792">IF(OR(INDEX(Species_Availability,MATCH($N792,Species_Names,0))="No",INDEX(Species_Evo_Numbers,MATCH($N792,Species_Names,0))&lt;&gt;1),"N/A",$Y792/MAX(IF(NOT(ISNA(MATCH(Combo_Species_Names,IF(Species_Availability="Yes",IF(Species_Evo_Numbers=1,Species_Names)),0))),Combo_Gym_Defense)))</f>
        <v>N/A</v>
      </c>
      <c r="M792" s="28">
        <f t="array" ref="M792">INDEX(Species_Pdex_Numbers,MATCH($N792,Species_Names,0))</f>
        <v>84</v>
      </c>
      <c r="N792" s="30" t="s">
        <v>261</v>
      </c>
      <c r="O792" s="31" t="s">
        <v>114</v>
      </c>
      <c r="P792" s="31" t="s">
        <v>292</v>
      </c>
      <c r="Q792" s="17" t="e">
        <f t="shared" si="24"/>
        <v>#VALUE!</v>
      </c>
      <c r="R792" s="32" t="e">
        <f t="array" ref="R792">IF(OR(AND(COUNTBLANK(Combo_Opponent_Type_1)=1,COUNTBLANK(Combo_Opponent_Type_2)=0),AND(AND(COUNTBLANK(Combo_Opponent_Type_1)=0,COUNTBLANK(Combo_Opponent_Type_2)=0),Combo_Opponent_Type_1=Combo_Opponent_Type_2)),
"Check Types",($S792*INDEX(Species_Tankiness,MATCH($N792,Species_Names,0)))/225)</f>
        <v>#VALUE!</v>
      </c>
      <c r="S792" s="32" t="e">
        <f t="array" ref="S792">IF(OR(AND(COUNTBLANK(Combo_Opponent_Type_1)=1,COUNTBLANK(Combo_Opponent_Type_2)=0),AND(AND(COUNTBLANK(Combo_Opponent_Type_1)=0,COUNTBLANK(Combo_Opponent_Type_2)=0),Combo_Opponent_Type_1=Combo_Opponent_Type_2)),
"Check Types",(
IF($W792&gt;=((1-Game_Weave_Human_Error)*$X792),$W792,$X792)*INDEX(Species_Attack,MATCH($N792,Species_Names,0)))/11)</f>
        <v>#VALUE!</v>
      </c>
      <c r="T792" s="33" t="e">
        <f t="shared" si="25"/>
        <v>#VALUE!</v>
      </c>
      <c r="U792" s="33">
        <f t="array" ref="U7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792,Quick_Names,0))),Type_Species)),0),1)*IF(COUNTBLANK(Combo_Opponent_Type_2)=0,INDEX(Type_Damage_Multipliers,MATCH(Combo_Opponent_Type_2,IF(Type_Move=(INDEX(Quick_Type,MATCH($O792,Quick_Names,0))),Type_Species)),0),1)*(IF(OR(INDEX(Quick_Type,MATCH($O792,Quick_Names,0))=INDEX(Species_Type_1,MATCH($N792,Species_Names,0)),INDEX(Quick_Type,MATCH($O792,Quick_Names,0))=INDEX(Species_Type_2,MATCH($N792,Species_Names,0))),Game_STAB_Multiplier,1)))</f>
        <v>1.25</v>
      </c>
      <c r="V792" s="33">
        <f t="array" ref="V79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792,Charge_Names,0))),Type_Species)),0),1)*IF(COUNTBLANK(Combo_Opponent_Type_2)=0,INDEX(Type_Damage_Multipliers,MATCH(Combo_Opponent_Type_2,IF(Type_Move=(INDEX(Charge_Type,MATCH($P792,Charge_Names,0))),Type_Species)),0),1)*
IF(OR(INDEX(Charge_Type,MATCH($P792,Charge_Names,0))=INDEX(Species_Type_1,MATCH($N792,Species_Names,0)),INDEX(Charge_Type,MATCH($P792,Charge_Names,0))=INDEX(Species_Type_2,MATCH($N792,Species_Names,0))),Game_STAB_Multiplier,1))</f>
        <v>1.25</v>
      </c>
      <c r="W792" s="33" t="s">
        <v>876</v>
      </c>
      <c r="X792" s="33" t="s">
        <v>1086</v>
      </c>
      <c r="Y792" s="32" t="e">
        <f t="array" ref="Y792">((($Z792)*
INDEX(Species_Attack,MATCH($N792,Species_Names,0))*
INDEX(Species_Tankiness,MATCH($N792,Species_Names,0)))/1000)</f>
        <v>#VALUE!</v>
      </c>
      <c r="Z792" s="33" t="s">
        <v>654</v>
      </c>
    </row>
    <row r="793" spans="1:26" ht="14.25" customHeight="1" x14ac:dyDescent="0.2">
      <c r="A793" s="86"/>
      <c r="B793" s="22" t="str">
        <f t="array" ref="B793">CONCATENATE(TEXT($M793,"000"),".",TEXT(INDEX(Quick_Number,MATCH($O793,Quick_Names,0)),"000"),".",TEXT(INDEX(Charge_Number,MATCH($P793,Charge_Names,0)),"000"))</f>
        <v>120.219.053</v>
      </c>
      <c r="C793" s="23" t="e">
        <f t="array" ref="C793">RANK($S793,IF(Combo_Species_Names=$N793,Combo_Gym_Offense),0)</f>
        <v>#VALUE!</v>
      </c>
      <c r="D793" s="24" t="e">
        <f t="array" ref="D793">$S793/MAX(IF(Combo_Species_Names=$N793,Combo_Gym_Offense))</f>
        <v>#VALUE!</v>
      </c>
      <c r="E793" s="23" t="e">
        <f t="array" ref="E793">RANK($Y793,IF(Combo_Species_Names=$N793,Combo_Gym_Defense),0)</f>
        <v>#VALUE!</v>
      </c>
      <c r="F793" s="25" t="e">
        <f t="array" ref="F793">$Y793/MAX(IF(Combo_Species_Names=$N793,Combo_Gym_Defense))</f>
        <v>#VALUE!</v>
      </c>
      <c r="G793" s="23" t="str">
        <f t="array" ref="G793">IF(OR(INDEX(Species_Availability,MATCH($N793,Species_Names,0))="No",INDEX(Species_Evo_Numbers,MATCH($N793,Species_Names,0))&lt;&gt;1),"N/A",RANK($R793,IF(NOT(ISNA(MATCH(Combo_Species_Names,IF(Species_Availability="Yes",IF(Species_Evo_Numbers=1,Species_Names)),0))),Combo_Duel_Ability),0))</f>
        <v>N/A</v>
      </c>
      <c r="H793" s="24" t="str">
        <f t="array" ref="H793">IF(OR(INDEX(Species_Availability,MATCH($N793,Species_Names,0))="No",INDEX(Species_Evo_Numbers,MATCH($N793,Species_Names,0))&lt;&gt;1),"N/A",$R793/MAX(IF(NOT(ISNA(MATCH(Combo_Species_Names,IF(Species_Availability="Yes",IF(Species_Evo_Numbers=1,Species_Names)),0))),Combo_Duel_Ability)))</f>
        <v>N/A</v>
      </c>
      <c r="I793" s="23" t="str">
        <f t="array" ref="I793">IF(OR(INDEX(Species_Availability,MATCH($N793,Species_Names,0))="No",INDEX(Species_Evo_Numbers,MATCH($N793,Species_Names,0))&lt;&gt;1),"N/A",RANK($S793,IF(NOT(ISNA(MATCH(Combo_Species_Names,IF(Species_Availability="Yes",IF(Species_Evo_Numbers=1,Species_Names)),0))),Combo_Gym_Offense),0))</f>
        <v>N/A</v>
      </c>
      <c r="J793" s="24" t="str">
        <f t="array" ref="J793">IF(OR(INDEX(Species_Availability,MATCH($N793,Species_Names,0))="No",INDEX(Species_Evo_Numbers,MATCH($N793,Species_Names,0))&lt;&gt;1),"N/A",$S793/MAX(IF(NOT(ISNA(MATCH(Combo_Species_Names,IF(Species_Availability="Yes",IF(Species_Evo_Numbers=1,Species_Names)),0))),Combo_Gym_Offense)))</f>
        <v>N/A</v>
      </c>
      <c r="K793" s="23" t="str">
        <f t="array" ref="K793">IF(OR(INDEX(Species_Availability,MATCH($N793,Species_Names,0))="No",INDEX(Species_Evo_Numbers,MATCH($N793,Species_Names,0))&lt;&gt;1),"N/A",RANK($Y793,IF(NOT(ISNA(MATCH(Combo_Species_Names,IF(Species_Availability="Yes",IF(Species_Evo_Numbers=1,Species_Names)),0))),Combo_Gym_Defense),0))</f>
        <v>N/A</v>
      </c>
      <c r="L793" s="24" t="str">
        <f t="array" ref="L793">IF(OR(INDEX(Species_Availability,MATCH($N793,Species_Names,0))="No",INDEX(Species_Evo_Numbers,MATCH($N793,Species_Names,0))&lt;&gt;1),"N/A",$Y793/MAX(IF(NOT(ISNA(MATCH(Combo_Species_Names,IF(Species_Availability="Yes",IF(Species_Evo_Numbers=1,Species_Names)),0))),Combo_Gym_Defense)))</f>
        <v>N/A</v>
      </c>
      <c r="M793" s="28">
        <f t="array" ref="M793">INDEX(Species_Pdex_Numbers,MATCH($N793,Species_Names,0))</f>
        <v>120</v>
      </c>
      <c r="N793" s="30" t="s">
        <v>334</v>
      </c>
      <c r="O793" s="31" t="s">
        <v>119</v>
      </c>
      <c r="P793" s="31" t="s">
        <v>289</v>
      </c>
      <c r="Q793" s="17" t="e">
        <f t="shared" si="24"/>
        <v>#VALUE!</v>
      </c>
      <c r="R793" s="32" t="e">
        <f t="array" ref="R793">IF(OR(AND(COUNTBLANK(Combo_Opponent_Type_1)=1,COUNTBLANK(Combo_Opponent_Type_2)=0),AND(AND(COUNTBLANK(Combo_Opponent_Type_1)=0,COUNTBLANK(Combo_Opponent_Type_2)=0),Combo_Opponent_Type_1=Combo_Opponent_Type_2)),
"Check Types",($S793*INDEX(Species_Tankiness,MATCH($N793,Species_Names,0)))/225)</f>
        <v>#VALUE!</v>
      </c>
      <c r="S793" s="32" t="e">
        <f t="array" ref="S793">IF(OR(AND(COUNTBLANK(Combo_Opponent_Type_1)=1,COUNTBLANK(Combo_Opponent_Type_2)=0),AND(AND(COUNTBLANK(Combo_Opponent_Type_1)=0,COUNTBLANK(Combo_Opponent_Type_2)=0),Combo_Opponent_Type_1=Combo_Opponent_Type_2)),
"Check Types",(
IF($W793&gt;=((1-Game_Weave_Human_Error)*$X793),$W793,$X793)*INDEX(Species_Attack,MATCH($N793,Species_Names,0)))/11)</f>
        <v>#VALUE!</v>
      </c>
      <c r="T793" s="33" t="e">
        <f t="shared" si="25"/>
        <v>#VALUE!</v>
      </c>
      <c r="U793" s="33">
        <f t="array" ref="U7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793,Quick_Names,0))),Type_Species)),0),1)*IF(COUNTBLANK(Combo_Opponent_Type_2)=0,INDEX(Type_Damage_Multipliers,MATCH(Combo_Opponent_Type_2,IF(Type_Move=(INDEX(Quick_Type,MATCH($O793,Quick_Names,0))),Type_Species)),0),1)*(IF(OR(INDEX(Quick_Type,MATCH($O793,Quick_Names,0))=INDEX(Species_Type_1,MATCH($N793,Species_Names,0)),INDEX(Quick_Type,MATCH($O793,Quick_Names,0))=INDEX(Species_Type_2,MATCH($N793,Species_Names,0))),Game_STAB_Multiplier,1)))</f>
        <v>1</v>
      </c>
      <c r="V793" s="33">
        <f t="array" ref="V79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793,Charge_Names,0))),Type_Species)),0),1)*IF(COUNTBLANK(Combo_Opponent_Type_2)=0,INDEX(Type_Damage_Multipliers,MATCH(Combo_Opponent_Type_2,IF(Type_Move=(INDEX(Charge_Type,MATCH($P793,Charge_Names,0))),Type_Species)),0),1)*
IF(OR(INDEX(Charge_Type,MATCH($P793,Charge_Names,0))=INDEX(Species_Type_1,MATCH($N793,Species_Names,0)),INDEX(Charge_Type,MATCH($P793,Charge_Names,0))=INDEX(Species_Type_2,MATCH($N793,Species_Names,0))),Game_STAB_Multiplier,1))</f>
        <v>1.25</v>
      </c>
      <c r="W793" s="33" t="s">
        <v>600</v>
      </c>
      <c r="X793" s="33" t="s">
        <v>1087</v>
      </c>
      <c r="Y793" s="32" t="e">
        <f t="array" ref="Y793">((($Z793)*
INDEX(Species_Attack,MATCH($N793,Species_Names,0))*
INDEX(Species_Tankiness,MATCH($N793,Species_Names,0)))/1000)</f>
        <v>#VALUE!</v>
      </c>
      <c r="Z793" s="33" t="s">
        <v>1088</v>
      </c>
    </row>
    <row r="794" spans="1:26" ht="14.25" customHeight="1" x14ac:dyDescent="0.2">
      <c r="A794" s="86"/>
      <c r="B794" s="22" t="str">
        <f t="array" ref="B794">CONCATENATE(TEXT($M794,"000"),".",TEXT(INDEX(Quick_Number,MATCH($O794,Quick_Names,0)),"000"),".",TEXT(INDEX(Charge_Number,MATCH($P794,Charge_Names,0)),"000"))</f>
        <v>098.216.105</v>
      </c>
      <c r="C794" s="23" t="e">
        <f t="array" ref="C794">RANK($S794,IF(Combo_Species_Names=$N794,Combo_Gym_Offense),0)</f>
        <v>#VALUE!</v>
      </c>
      <c r="D794" s="24" t="e">
        <f t="array" ref="D794">$S794/MAX(IF(Combo_Species_Names=$N794,Combo_Gym_Offense))</f>
        <v>#VALUE!</v>
      </c>
      <c r="E794" s="23" t="e">
        <f t="array" ref="E794">RANK($Y794,IF(Combo_Species_Names=$N794,Combo_Gym_Defense),0)</f>
        <v>#VALUE!</v>
      </c>
      <c r="F794" s="25" t="e">
        <f t="array" ref="F794">$Y794/MAX(IF(Combo_Species_Names=$N794,Combo_Gym_Defense))</f>
        <v>#VALUE!</v>
      </c>
      <c r="G794" s="23" t="str">
        <f t="array" ref="G794">IF(OR(INDEX(Species_Availability,MATCH($N794,Species_Names,0))="No",INDEX(Species_Evo_Numbers,MATCH($N794,Species_Names,0))&lt;&gt;1),"N/A",RANK($R794,IF(NOT(ISNA(MATCH(Combo_Species_Names,IF(Species_Availability="Yes",IF(Species_Evo_Numbers=1,Species_Names)),0))),Combo_Duel_Ability),0))</f>
        <v>N/A</v>
      </c>
      <c r="H794" s="24" t="str">
        <f t="array" ref="H794">IF(OR(INDEX(Species_Availability,MATCH($N794,Species_Names,0))="No",INDEX(Species_Evo_Numbers,MATCH($N794,Species_Names,0))&lt;&gt;1),"N/A",$R794/MAX(IF(NOT(ISNA(MATCH(Combo_Species_Names,IF(Species_Availability="Yes",IF(Species_Evo_Numbers=1,Species_Names)),0))),Combo_Duel_Ability)))</f>
        <v>N/A</v>
      </c>
      <c r="I794" s="23" t="str">
        <f t="array" ref="I794">IF(OR(INDEX(Species_Availability,MATCH($N794,Species_Names,0))="No",INDEX(Species_Evo_Numbers,MATCH($N794,Species_Names,0))&lt;&gt;1),"N/A",RANK($S794,IF(NOT(ISNA(MATCH(Combo_Species_Names,IF(Species_Availability="Yes",IF(Species_Evo_Numbers=1,Species_Names)),0))),Combo_Gym_Offense),0))</f>
        <v>N/A</v>
      </c>
      <c r="J794" s="24" t="str">
        <f t="array" ref="J794">IF(OR(INDEX(Species_Availability,MATCH($N794,Species_Names,0))="No",INDEX(Species_Evo_Numbers,MATCH($N794,Species_Names,0))&lt;&gt;1),"N/A",$S794/MAX(IF(NOT(ISNA(MATCH(Combo_Species_Names,IF(Species_Availability="Yes",IF(Species_Evo_Numbers=1,Species_Names)),0))),Combo_Gym_Offense)))</f>
        <v>N/A</v>
      </c>
      <c r="K794" s="23" t="str">
        <f t="array" ref="K794">IF(OR(INDEX(Species_Availability,MATCH($N794,Species_Names,0))="No",INDEX(Species_Evo_Numbers,MATCH($N794,Species_Names,0))&lt;&gt;1),"N/A",RANK($Y794,IF(NOT(ISNA(MATCH(Combo_Species_Names,IF(Species_Availability="Yes",IF(Species_Evo_Numbers=1,Species_Names)),0))),Combo_Gym_Defense),0))</f>
        <v>N/A</v>
      </c>
      <c r="L794" s="24" t="str">
        <f t="array" ref="L794">IF(OR(INDEX(Species_Availability,MATCH($N794,Species_Names,0))="No",INDEX(Species_Evo_Numbers,MATCH($N794,Species_Names,0))&lt;&gt;1),"N/A",$Y794/MAX(IF(NOT(ISNA(MATCH(Combo_Species_Names,IF(Species_Availability="Yes",IF(Species_Evo_Numbers=1,Species_Names)),0))),Combo_Gym_Defense)))</f>
        <v>N/A</v>
      </c>
      <c r="M794" s="28">
        <f t="array" ref="M794">INDEX(Species_Pdex_Numbers,MATCH($N794,Species_Names,0))</f>
        <v>98</v>
      </c>
      <c r="N794" s="30" t="s">
        <v>295</v>
      </c>
      <c r="O794" s="31" t="s">
        <v>89</v>
      </c>
      <c r="P794" s="31" t="s">
        <v>281</v>
      </c>
      <c r="Q794" s="17" t="e">
        <f t="shared" si="24"/>
        <v>#VALUE!</v>
      </c>
      <c r="R794" s="32" t="e">
        <f t="array" ref="R794">IF(OR(AND(COUNTBLANK(Combo_Opponent_Type_1)=1,COUNTBLANK(Combo_Opponent_Type_2)=0),AND(AND(COUNTBLANK(Combo_Opponent_Type_1)=0,COUNTBLANK(Combo_Opponent_Type_2)=0),Combo_Opponent_Type_1=Combo_Opponent_Type_2)),
"Check Types",($S794*INDEX(Species_Tankiness,MATCH($N794,Species_Names,0)))/225)</f>
        <v>#VALUE!</v>
      </c>
      <c r="S794" s="32" t="e">
        <f t="array" ref="S794">IF(OR(AND(COUNTBLANK(Combo_Opponent_Type_1)=1,COUNTBLANK(Combo_Opponent_Type_2)=0),AND(AND(COUNTBLANK(Combo_Opponent_Type_1)=0,COUNTBLANK(Combo_Opponent_Type_2)=0),Combo_Opponent_Type_1=Combo_Opponent_Type_2)),
"Check Types",(
IF($W794&gt;=((1-Game_Weave_Human_Error)*$X794),$W794,$X794)*INDEX(Species_Attack,MATCH($N794,Species_Names,0)))/11)</f>
        <v>#VALUE!</v>
      </c>
      <c r="T794" s="33" t="e">
        <f t="shared" si="25"/>
        <v>#VALUE!</v>
      </c>
      <c r="U794" s="33">
        <f t="array" ref="U7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794,Quick_Names,0))),Type_Species)),0),1)*IF(COUNTBLANK(Combo_Opponent_Type_2)=0,INDEX(Type_Damage_Multipliers,MATCH(Combo_Opponent_Type_2,IF(Type_Move=(INDEX(Quick_Type,MATCH($O794,Quick_Names,0))),Type_Species)),0),1)*(IF(OR(INDEX(Quick_Type,MATCH($O794,Quick_Names,0))=INDEX(Species_Type_1,MATCH($N794,Species_Names,0)),INDEX(Quick_Type,MATCH($O794,Quick_Names,0))=INDEX(Species_Type_2,MATCH($N794,Species_Names,0))),Game_STAB_Multiplier,1)))</f>
        <v>1</v>
      </c>
      <c r="V794" s="33">
        <f t="array" ref="V79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794,Charge_Names,0))),Type_Species)),0),1)*IF(COUNTBLANK(Combo_Opponent_Type_2)=0,INDEX(Type_Damage_Multipliers,MATCH(Combo_Opponent_Type_2,IF(Type_Move=(INDEX(Charge_Type,MATCH($P794,Charge_Names,0))),Type_Species)),0),1)*
IF(OR(INDEX(Charge_Type,MATCH($P794,Charge_Names,0))=INDEX(Species_Type_1,MATCH($N794,Species_Names,0)),INDEX(Charge_Type,MATCH($P794,Charge_Names,0))=INDEX(Species_Type_2,MATCH($N794,Species_Names,0))),Game_STAB_Multiplier,1))</f>
        <v>1.25</v>
      </c>
      <c r="W794" s="33" t="s">
        <v>518</v>
      </c>
      <c r="X794" s="33" t="s">
        <v>787</v>
      </c>
      <c r="Y794" s="32" t="e">
        <f t="array" ref="Y794">((($Z794)*
INDEX(Species_Attack,MATCH($N794,Species_Names,0))*
INDEX(Species_Tankiness,MATCH($N794,Species_Names,0)))/1000)</f>
        <v>#VALUE!</v>
      </c>
      <c r="Z794" s="33" t="s">
        <v>411</v>
      </c>
    </row>
    <row r="795" spans="1:26" ht="14.25" customHeight="1" x14ac:dyDescent="0.2">
      <c r="A795" s="86"/>
      <c r="B795" s="22" t="str">
        <f t="array" ref="B795">CONCATENATE(TEXT($M795,"000"),".",TEXT(INDEX(Quick_Number,MATCH($O795,Quick_Names,0)),"000"),".",TEXT(INDEX(Charge_Number,MATCH($P795,Charge_Names,0)),"000"))</f>
        <v>090.221.105</v>
      </c>
      <c r="C795" s="23" t="e">
        <f t="array" ref="C795">RANK($S795,IF(Combo_Species_Names=$N795,Combo_Gym_Offense),0)</f>
        <v>#VALUE!</v>
      </c>
      <c r="D795" s="24" t="e">
        <f t="array" ref="D795">$S795/MAX(IF(Combo_Species_Names=$N795,Combo_Gym_Offense))</f>
        <v>#VALUE!</v>
      </c>
      <c r="E795" s="23" t="e">
        <f t="array" ref="E795">RANK($Y795,IF(Combo_Species_Names=$N795,Combo_Gym_Defense),0)</f>
        <v>#VALUE!</v>
      </c>
      <c r="F795" s="25" t="e">
        <f t="array" ref="F795">$Y795/MAX(IF(Combo_Species_Names=$N795,Combo_Gym_Defense))</f>
        <v>#VALUE!</v>
      </c>
      <c r="G795" s="23" t="str">
        <f t="array" ref="G795">IF(OR(INDEX(Species_Availability,MATCH($N795,Species_Names,0))="No",INDEX(Species_Evo_Numbers,MATCH($N795,Species_Names,0))&lt;&gt;1),"N/A",RANK($R795,IF(NOT(ISNA(MATCH(Combo_Species_Names,IF(Species_Availability="Yes",IF(Species_Evo_Numbers=1,Species_Names)),0))),Combo_Duel_Ability),0))</f>
        <v>N/A</v>
      </c>
      <c r="H795" s="24" t="str">
        <f t="array" ref="H795">IF(OR(INDEX(Species_Availability,MATCH($N795,Species_Names,0))="No",INDEX(Species_Evo_Numbers,MATCH($N795,Species_Names,0))&lt;&gt;1),"N/A",$R795/MAX(IF(NOT(ISNA(MATCH(Combo_Species_Names,IF(Species_Availability="Yes",IF(Species_Evo_Numbers=1,Species_Names)),0))),Combo_Duel_Ability)))</f>
        <v>N/A</v>
      </c>
      <c r="I795" s="23" t="str">
        <f t="array" ref="I795">IF(OR(INDEX(Species_Availability,MATCH($N795,Species_Names,0))="No",INDEX(Species_Evo_Numbers,MATCH($N795,Species_Names,0))&lt;&gt;1),"N/A",RANK($S795,IF(NOT(ISNA(MATCH(Combo_Species_Names,IF(Species_Availability="Yes",IF(Species_Evo_Numbers=1,Species_Names)),0))),Combo_Gym_Offense),0))</f>
        <v>N/A</v>
      </c>
      <c r="J795" s="24" t="str">
        <f t="array" ref="J795">IF(OR(INDEX(Species_Availability,MATCH($N795,Species_Names,0))="No",INDEX(Species_Evo_Numbers,MATCH($N795,Species_Names,0))&lt;&gt;1),"N/A",$S795/MAX(IF(NOT(ISNA(MATCH(Combo_Species_Names,IF(Species_Availability="Yes",IF(Species_Evo_Numbers=1,Species_Names)),0))),Combo_Gym_Offense)))</f>
        <v>N/A</v>
      </c>
      <c r="K795" s="23" t="str">
        <f t="array" ref="K795">IF(OR(INDEX(Species_Availability,MATCH($N795,Species_Names,0))="No",INDEX(Species_Evo_Numbers,MATCH($N795,Species_Names,0))&lt;&gt;1),"N/A",RANK($Y795,IF(NOT(ISNA(MATCH(Combo_Species_Names,IF(Species_Availability="Yes",IF(Species_Evo_Numbers=1,Species_Names)),0))),Combo_Gym_Defense),0))</f>
        <v>N/A</v>
      </c>
      <c r="L795" s="24" t="str">
        <f t="array" ref="L795">IF(OR(INDEX(Species_Availability,MATCH($N795,Species_Names,0))="No",INDEX(Species_Evo_Numbers,MATCH($N795,Species_Names,0))&lt;&gt;1),"N/A",$Y795/MAX(IF(NOT(ISNA(MATCH(Combo_Species_Names,IF(Species_Availability="Yes",IF(Species_Evo_Numbers=1,Species_Names)),0))),Combo_Gym_Defense)))</f>
        <v>N/A</v>
      </c>
      <c r="M795" s="28">
        <f t="array" ref="M795">INDEX(Species_Pdex_Numbers,MATCH($N795,Species_Names,0))</f>
        <v>90</v>
      </c>
      <c r="N795" s="30" t="s">
        <v>274</v>
      </c>
      <c r="O795" s="31" t="s">
        <v>91</v>
      </c>
      <c r="P795" s="31" t="s">
        <v>281</v>
      </c>
      <c r="Q795" s="17" t="e">
        <f t="shared" si="24"/>
        <v>#VALUE!</v>
      </c>
      <c r="R795" s="32" t="e">
        <f t="array" ref="R795">IF(OR(AND(COUNTBLANK(Combo_Opponent_Type_1)=1,COUNTBLANK(Combo_Opponent_Type_2)=0),AND(AND(COUNTBLANK(Combo_Opponent_Type_1)=0,COUNTBLANK(Combo_Opponent_Type_2)=0),Combo_Opponent_Type_1=Combo_Opponent_Type_2)),
"Check Types",($S795*INDEX(Species_Tankiness,MATCH($N795,Species_Names,0)))/225)</f>
        <v>#VALUE!</v>
      </c>
      <c r="S795" s="32" t="e">
        <f t="array" ref="S795">IF(OR(AND(COUNTBLANK(Combo_Opponent_Type_1)=1,COUNTBLANK(Combo_Opponent_Type_2)=0),AND(AND(COUNTBLANK(Combo_Opponent_Type_1)=0,COUNTBLANK(Combo_Opponent_Type_2)=0),Combo_Opponent_Type_1=Combo_Opponent_Type_2)),
"Check Types",(
IF($W795&gt;=((1-Game_Weave_Human_Error)*$X795),$W795,$X795)*INDEX(Species_Attack,MATCH($N795,Species_Names,0)))/11)</f>
        <v>#VALUE!</v>
      </c>
      <c r="T795" s="33" t="e">
        <f t="shared" si="25"/>
        <v>#VALUE!</v>
      </c>
      <c r="U795" s="33">
        <f t="array" ref="U7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795,Quick_Names,0))),Type_Species)),0),1)*IF(COUNTBLANK(Combo_Opponent_Type_2)=0,INDEX(Type_Damage_Multipliers,MATCH(Combo_Opponent_Type_2,IF(Type_Move=(INDEX(Quick_Type,MATCH($O795,Quick_Names,0))),Type_Species)),0),1)*(IF(OR(INDEX(Quick_Type,MATCH($O795,Quick_Names,0))=INDEX(Species_Type_1,MATCH($N795,Species_Names,0)),INDEX(Quick_Type,MATCH($O795,Quick_Names,0))=INDEX(Species_Type_2,MATCH($N795,Species_Names,0))),Game_STAB_Multiplier,1)))</f>
        <v>1</v>
      </c>
      <c r="V795" s="33">
        <f t="array" ref="V79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795,Charge_Names,0))),Type_Species)),0),1)*IF(COUNTBLANK(Combo_Opponent_Type_2)=0,INDEX(Type_Damage_Multipliers,MATCH(Combo_Opponent_Type_2,IF(Type_Move=(INDEX(Charge_Type,MATCH($P795,Charge_Names,0))),Type_Species)),0),1)*
IF(OR(INDEX(Charge_Type,MATCH($P795,Charge_Names,0))=INDEX(Species_Type_1,MATCH($N795,Species_Names,0)),INDEX(Charge_Type,MATCH($P795,Charge_Names,0))=INDEX(Species_Type_2,MATCH($N795,Species_Names,0))),Game_STAB_Multiplier,1))</f>
        <v>1.25</v>
      </c>
      <c r="W795" s="33" t="s">
        <v>658</v>
      </c>
      <c r="X795" s="33" t="s">
        <v>1050</v>
      </c>
      <c r="Y795" s="32" t="e">
        <f t="array" ref="Y795">((($Z795)*
INDEX(Species_Attack,MATCH($N795,Species_Names,0))*
INDEX(Species_Tankiness,MATCH($N795,Species_Names,0)))/1000)</f>
        <v>#VALUE!</v>
      </c>
      <c r="Z795" s="33" t="s">
        <v>699</v>
      </c>
    </row>
    <row r="796" spans="1:26" ht="14.25" customHeight="1" x14ac:dyDescent="0.2">
      <c r="A796" s="86"/>
      <c r="B796" s="22" t="str">
        <f t="array" ref="B796">CONCATENATE(TEXT($M796,"000"),".",TEXT(INDEX(Quick_Number,MATCH($O796,Quick_Names,0)),"000"),".",TEXT(INDEX(Charge_Number,MATCH($P796,Charge_Names,0)),"000"))</f>
        <v>090.221.053</v>
      </c>
      <c r="C796" s="23" t="e">
        <f t="array" ref="C796">RANK($S796,IF(Combo_Species_Names=$N796,Combo_Gym_Offense),0)</f>
        <v>#VALUE!</v>
      </c>
      <c r="D796" s="24" t="e">
        <f t="array" ref="D796">$S796/MAX(IF(Combo_Species_Names=$N796,Combo_Gym_Offense))</f>
        <v>#VALUE!</v>
      </c>
      <c r="E796" s="23" t="e">
        <f t="array" ref="E796">RANK($Y796,IF(Combo_Species_Names=$N796,Combo_Gym_Defense),0)</f>
        <v>#VALUE!</v>
      </c>
      <c r="F796" s="25" t="e">
        <f t="array" ref="F796">$Y796/MAX(IF(Combo_Species_Names=$N796,Combo_Gym_Defense))</f>
        <v>#VALUE!</v>
      </c>
      <c r="G796" s="23" t="str">
        <f t="array" ref="G796">IF(OR(INDEX(Species_Availability,MATCH($N796,Species_Names,0))="No",INDEX(Species_Evo_Numbers,MATCH($N796,Species_Names,0))&lt;&gt;1),"N/A",RANK($R796,IF(NOT(ISNA(MATCH(Combo_Species_Names,IF(Species_Availability="Yes",IF(Species_Evo_Numbers=1,Species_Names)),0))),Combo_Duel_Ability),0))</f>
        <v>N/A</v>
      </c>
      <c r="H796" s="24" t="str">
        <f t="array" ref="H796">IF(OR(INDEX(Species_Availability,MATCH($N796,Species_Names,0))="No",INDEX(Species_Evo_Numbers,MATCH($N796,Species_Names,0))&lt;&gt;1),"N/A",$R796/MAX(IF(NOT(ISNA(MATCH(Combo_Species_Names,IF(Species_Availability="Yes",IF(Species_Evo_Numbers=1,Species_Names)),0))),Combo_Duel_Ability)))</f>
        <v>N/A</v>
      </c>
      <c r="I796" s="23" t="str">
        <f t="array" ref="I796">IF(OR(INDEX(Species_Availability,MATCH($N796,Species_Names,0))="No",INDEX(Species_Evo_Numbers,MATCH($N796,Species_Names,0))&lt;&gt;1),"N/A",RANK($S796,IF(NOT(ISNA(MATCH(Combo_Species_Names,IF(Species_Availability="Yes",IF(Species_Evo_Numbers=1,Species_Names)),0))),Combo_Gym_Offense),0))</f>
        <v>N/A</v>
      </c>
      <c r="J796" s="24" t="str">
        <f t="array" ref="J796">IF(OR(INDEX(Species_Availability,MATCH($N796,Species_Names,0))="No",INDEX(Species_Evo_Numbers,MATCH($N796,Species_Names,0))&lt;&gt;1),"N/A",$S796/MAX(IF(NOT(ISNA(MATCH(Combo_Species_Names,IF(Species_Availability="Yes",IF(Species_Evo_Numbers=1,Species_Names)),0))),Combo_Gym_Offense)))</f>
        <v>N/A</v>
      </c>
      <c r="K796" s="23" t="str">
        <f t="array" ref="K796">IF(OR(INDEX(Species_Availability,MATCH($N796,Species_Names,0))="No",INDEX(Species_Evo_Numbers,MATCH($N796,Species_Names,0))&lt;&gt;1),"N/A",RANK($Y796,IF(NOT(ISNA(MATCH(Combo_Species_Names,IF(Species_Availability="Yes",IF(Species_Evo_Numbers=1,Species_Names)),0))),Combo_Gym_Defense),0))</f>
        <v>N/A</v>
      </c>
      <c r="L796" s="24" t="str">
        <f t="array" ref="L796">IF(OR(INDEX(Species_Availability,MATCH($N796,Species_Names,0))="No",INDEX(Species_Evo_Numbers,MATCH($N796,Species_Names,0))&lt;&gt;1),"N/A",$Y796/MAX(IF(NOT(ISNA(MATCH(Combo_Species_Names,IF(Species_Availability="Yes",IF(Species_Evo_Numbers=1,Species_Names)),0))),Combo_Gym_Defense)))</f>
        <v>N/A</v>
      </c>
      <c r="M796" s="28">
        <f t="array" ref="M796">INDEX(Species_Pdex_Numbers,MATCH($N796,Species_Names,0))</f>
        <v>90</v>
      </c>
      <c r="N796" s="30" t="s">
        <v>274</v>
      </c>
      <c r="O796" s="31" t="s">
        <v>91</v>
      </c>
      <c r="P796" s="31" t="s">
        <v>289</v>
      </c>
      <c r="Q796" s="17" t="e">
        <f t="shared" si="24"/>
        <v>#VALUE!</v>
      </c>
      <c r="R796" s="32" t="e">
        <f t="array" ref="R796">IF(OR(AND(COUNTBLANK(Combo_Opponent_Type_1)=1,COUNTBLANK(Combo_Opponent_Type_2)=0),AND(AND(COUNTBLANK(Combo_Opponent_Type_1)=0,COUNTBLANK(Combo_Opponent_Type_2)=0),Combo_Opponent_Type_1=Combo_Opponent_Type_2)),
"Check Types",($S796*INDEX(Species_Tankiness,MATCH($N796,Species_Names,0)))/225)</f>
        <v>#VALUE!</v>
      </c>
      <c r="S796" s="32" t="e">
        <f t="array" ref="S796">IF(OR(AND(COUNTBLANK(Combo_Opponent_Type_1)=1,COUNTBLANK(Combo_Opponent_Type_2)=0),AND(AND(COUNTBLANK(Combo_Opponent_Type_1)=0,COUNTBLANK(Combo_Opponent_Type_2)=0),Combo_Opponent_Type_1=Combo_Opponent_Type_2)),
"Check Types",(
IF($W796&gt;=((1-Game_Weave_Human_Error)*$X796),$W796,$X796)*INDEX(Species_Attack,MATCH($N796,Species_Names,0)))/11)</f>
        <v>#VALUE!</v>
      </c>
      <c r="T796" s="33" t="e">
        <f t="shared" si="25"/>
        <v>#VALUE!</v>
      </c>
      <c r="U796" s="33">
        <f t="array" ref="U7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796,Quick_Names,0))),Type_Species)),0),1)*IF(COUNTBLANK(Combo_Opponent_Type_2)=0,INDEX(Type_Damage_Multipliers,MATCH(Combo_Opponent_Type_2,IF(Type_Move=(INDEX(Quick_Type,MATCH($O796,Quick_Names,0))),Type_Species)),0),1)*(IF(OR(INDEX(Quick_Type,MATCH($O796,Quick_Names,0))=INDEX(Species_Type_1,MATCH($N796,Species_Names,0)),INDEX(Quick_Type,MATCH($O796,Quick_Names,0))=INDEX(Species_Type_2,MATCH($N796,Species_Names,0))),Game_STAB_Multiplier,1)))</f>
        <v>1</v>
      </c>
      <c r="V796" s="33">
        <f t="array" ref="V79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796,Charge_Names,0))),Type_Species)),0),1)*IF(COUNTBLANK(Combo_Opponent_Type_2)=0,INDEX(Type_Damage_Multipliers,MATCH(Combo_Opponent_Type_2,IF(Type_Move=(INDEX(Charge_Type,MATCH($P796,Charge_Names,0))),Type_Species)),0),1)*
IF(OR(INDEX(Charge_Type,MATCH($P796,Charge_Names,0))=INDEX(Species_Type_1,MATCH($N796,Species_Names,0)),INDEX(Charge_Type,MATCH($P796,Charge_Names,0))=INDEX(Species_Type_2,MATCH($N796,Species_Names,0))),Game_STAB_Multiplier,1))</f>
        <v>1.25</v>
      </c>
      <c r="W796" s="33" t="s">
        <v>658</v>
      </c>
      <c r="X796" s="33" t="s">
        <v>1089</v>
      </c>
      <c r="Y796" s="32" t="e">
        <f t="array" ref="Y796">((($Z796)*
INDEX(Species_Attack,MATCH($N796,Species_Names,0))*
INDEX(Species_Tankiness,MATCH($N796,Species_Names,0)))/1000)</f>
        <v>#VALUE!</v>
      </c>
      <c r="Z796" s="33" t="s">
        <v>887</v>
      </c>
    </row>
    <row r="797" spans="1:26" ht="14.25" customHeight="1" x14ac:dyDescent="0.2">
      <c r="A797" s="86"/>
      <c r="B797" s="22" t="str">
        <f t="array" ref="B797">CONCATENATE(TEXT($M797,"000"),".",TEXT(INDEX(Quick_Number,MATCH($O797,Quick_Names,0)),"000"),".",TEXT(INDEX(Charge_Number,MATCH($P797,Charge_Names,0)),"000"))</f>
        <v>090.221.111</v>
      </c>
      <c r="C797" s="23" t="e">
        <f t="array" ref="C797">RANK($S797,IF(Combo_Species_Names=$N797,Combo_Gym_Offense),0)</f>
        <v>#VALUE!</v>
      </c>
      <c r="D797" s="24" t="e">
        <f t="array" ref="D797">$S797/MAX(IF(Combo_Species_Names=$N797,Combo_Gym_Offense))</f>
        <v>#VALUE!</v>
      </c>
      <c r="E797" s="23" t="e">
        <f t="array" ref="E797">RANK($Y797,IF(Combo_Species_Names=$N797,Combo_Gym_Defense),0)</f>
        <v>#VALUE!</v>
      </c>
      <c r="F797" s="25" t="e">
        <f t="array" ref="F797">$Y797/MAX(IF(Combo_Species_Names=$N797,Combo_Gym_Defense))</f>
        <v>#VALUE!</v>
      </c>
      <c r="G797" s="23" t="str">
        <f t="array" ref="G797">IF(OR(INDEX(Species_Availability,MATCH($N797,Species_Names,0))="No",INDEX(Species_Evo_Numbers,MATCH($N797,Species_Names,0))&lt;&gt;1),"N/A",RANK($R797,IF(NOT(ISNA(MATCH(Combo_Species_Names,IF(Species_Availability="Yes",IF(Species_Evo_Numbers=1,Species_Names)),0))),Combo_Duel_Ability),0))</f>
        <v>N/A</v>
      </c>
      <c r="H797" s="24" t="str">
        <f t="array" ref="H797">IF(OR(INDEX(Species_Availability,MATCH($N797,Species_Names,0))="No",INDEX(Species_Evo_Numbers,MATCH($N797,Species_Names,0))&lt;&gt;1),"N/A",$R797/MAX(IF(NOT(ISNA(MATCH(Combo_Species_Names,IF(Species_Availability="Yes",IF(Species_Evo_Numbers=1,Species_Names)),0))),Combo_Duel_Ability)))</f>
        <v>N/A</v>
      </c>
      <c r="I797" s="23" t="str">
        <f t="array" ref="I797">IF(OR(INDEX(Species_Availability,MATCH($N797,Species_Names,0))="No",INDEX(Species_Evo_Numbers,MATCH($N797,Species_Names,0))&lt;&gt;1),"N/A",RANK($S797,IF(NOT(ISNA(MATCH(Combo_Species_Names,IF(Species_Availability="Yes",IF(Species_Evo_Numbers=1,Species_Names)),0))),Combo_Gym_Offense),0))</f>
        <v>N/A</v>
      </c>
      <c r="J797" s="24" t="str">
        <f t="array" ref="J797">IF(OR(INDEX(Species_Availability,MATCH($N797,Species_Names,0))="No",INDEX(Species_Evo_Numbers,MATCH($N797,Species_Names,0))&lt;&gt;1),"N/A",$S797/MAX(IF(NOT(ISNA(MATCH(Combo_Species_Names,IF(Species_Availability="Yes",IF(Species_Evo_Numbers=1,Species_Names)),0))),Combo_Gym_Offense)))</f>
        <v>N/A</v>
      </c>
      <c r="K797" s="23" t="str">
        <f t="array" ref="K797">IF(OR(INDEX(Species_Availability,MATCH($N797,Species_Names,0))="No",INDEX(Species_Evo_Numbers,MATCH($N797,Species_Names,0))&lt;&gt;1),"N/A",RANK($Y797,IF(NOT(ISNA(MATCH(Combo_Species_Names,IF(Species_Availability="Yes",IF(Species_Evo_Numbers=1,Species_Names)),0))),Combo_Gym_Defense),0))</f>
        <v>N/A</v>
      </c>
      <c r="L797" s="24" t="str">
        <f t="array" ref="L797">IF(OR(INDEX(Species_Availability,MATCH($N797,Species_Names,0))="No",INDEX(Species_Evo_Numbers,MATCH($N797,Species_Names,0))&lt;&gt;1),"N/A",$Y797/MAX(IF(NOT(ISNA(MATCH(Combo_Species_Names,IF(Species_Availability="Yes",IF(Species_Evo_Numbers=1,Species_Names)),0))),Combo_Gym_Defense)))</f>
        <v>N/A</v>
      </c>
      <c r="M797" s="28">
        <f t="array" ref="M797">INDEX(Species_Pdex_Numbers,MATCH($N797,Species_Names,0))</f>
        <v>90</v>
      </c>
      <c r="N797" s="30" t="s">
        <v>274</v>
      </c>
      <c r="O797" s="31" t="s">
        <v>91</v>
      </c>
      <c r="P797" s="31" t="s">
        <v>318</v>
      </c>
      <c r="Q797" s="17" t="e">
        <f t="shared" si="24"/>
        <v>#VALUE!</v>
      </c>
      <c r="R797" s="32" t="e">
        <f t="array" ref="R797">IF(OR(AND(COUNTBLANK(Combo_Opponent_Type_1)=1,COUNTBLANK(Combo_Opponent_Type_2)=0),AND(AND(COUNTBLANK(Combo_Opponent_Type_1)=0,COUNTBLANK(Combo_Opponent_Type_2)=0),Combo_Opponent_Type_1=Combo_Opponent_Type_2)),
"Check Types",($S797*INDEX(Species_Tankiness,MATCH($N797,Species_Names,0)))/225)</f>
        <v>#VALUE!</v>
      </c>
      <c r="S797" s="32" t="e">
        <f t="array" ref="S797">IF(OR(AND(COUNTBLANK(Combo_Opponent_Type_1)=1,COUNTBLANK(Combo_Opponent_Type_2)=0),AND(AND(COUNTBLANK(Combo_Opponent_Type_1)=0,COUNTBLANK(Combo_Opponent_Type_2)=0),Combo_Opponent_Type_1=Combo_Opponent_Type_2)),
"Check Types",(
IF($W797&gt;=((1-Game_Weave_Human_Error)*$X797),$W797,$X797)*INDEX(Species_Attack,MATCH($N797,Species_Names,0)))/11)</f>
        <v>#VALUE!</v>
      </c>
      <c r="T797" s="33" t="e">
        <f t="shared" si="25"/>
        <v>#VALUE!</v>
      </c>
      <c r="U797" s="33">
        <f t="array" ref="U7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797,Quick_Names,0))),Type_Species)),0),1)*IF(COUNTBLANK(Combo_Opponent_Type_2)=0,INDEX(Type_Damage_Multipliers,MATCH(Combo_Opponent_Type_2,IF(Type_Move=(INDEX(Quick_Type,MATCH($O797,Quick_Names,0))),Type_Species)),0),1)*(IF(OR(INDEX(Quick_Type,MATCH($O797,Quick_Names,0))=INDEX(Species_Type_1,MATCH($N797,Species_Names,0)),INDEX(Quick_Type,MATCH($O797,Quick_Names,0))=INDEX(Species_Type_2,MATCH($N797,Species_Names,0))),Game_STAB_Multiplier,1)))</f>
        <v>1</v>
      </c>
      <c r="V797" s="33">
        <f t="array" ref="V79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797,Charge_Names,0))),Type_Species)),0),1)*IF(COUNTBLANK(Combo_Opponent_Type_2)=0,INDEX(Type_Damage_Multipliers,MATCH(Combo_Opponent_Type_2,IF(Type_Move=(INDEX(Charge_Type,MATCH($P797,Charge_Names,0))),Type_Species)),0),1)*
IF(OR(INDEX(Charge_Type,MATCH($P797,Charge_Names,0))=INDEX(Species_Type_1,MATCH($N797,Species_Names,0)),INDEX(Charge_Type,MATCH($P797,Charge_Names,0))=INDEX(Species_Type_2,MATCH($N797,Species_Names,0))),Game_STAB_Multiplier,1))</f>
        <v>1</v>
      </c>
      <c r="W797" s="33" t="s">
        <v>658</v>
      </c>
      <c r="X797" s="33" t="s">
        <v>1090</v>
      </c>
      <c r="Y797" s="32" t="e">
        <f t="array" ref="Y797">((($Z797)*
INDEX(Species_Attack,MATCH($N797,Species_Names,0))*
INDEX(Species_Tankiness,MATCH($N797,Species_Names,0)))/1000)</f>
        <v>#VALUE!</v>
      </c>
      <c r="Z797" s="33" t="s">
        <v>533</v>
      </c>
    </row>
    <row r="798" spans="1:26" ht="14.25" customHeight="1" x14ac:dyDescent="0.2">
      <c r="A798" s="86"/>
      <c r="B798" s="22" t="str">
        <f t="array" ref="B798">CONCATENATE(TEXT($M798,"000"),".",TEXT(INDEX(Quick_Number,MATCH($O798,Quick_Names,0)),"000"),".",TEXT(INDEX(Charge_Number,MATCH($P798,Charge_Names,0)),"000"))</f>
        <v>090.217.105</v>
      </c>
      <c r="C798" s="23" t="e">
        <f t="array" ref="C798">RANK($S798,IF(Combo_Species_Names=$N798,Combo_Gym_Offense),0)</f>
        <v>#VALUE!</v>
      </c>
      <c r="D798" s="24" t="e">
        <f t="array" ref="D798">$S798/MAX(IF(Combo_Species_Names=$N798,Combo_Gym_Offense))</f>
        <v>#VALUE!</v>
      </c>
      <c r="E798" s="23" t="e">
        <f t="array" ref="E798">RANK($Y798,IF(Combo_Species_Names=$N798,Combo_Gym_Defense),0)</f>
        <v>#VALUE!</v>
      </c>
      <c r="F798" s="25" t="e">
        <f t="array" ref="F798">$Y798/MAX(IF(Combo_Species_Names=$N798,Combo_Gym_Defense))</f>
        <v>#VALUE!</v>
      </c>
      <c r="G798" s="23" t="str">
        <f t="array" ref="G798">IF(OR(INDEX(Species_Availability,MATCH($N798,Species_Names,0))="No",INDEX(Species_Evo_Numbers,MATCH($N798,Species_Names,0))&lt;&gt;1),"N/A",RANK($R798,IF(NOT(ISNA(MATCH(Combo_Species_Names,IF(Species_Availability="Yes",IF(Species_Evo_Numbers=1,Species_Names)),0))),Combo_Duel_Ability),0))</f>
        <v>N/A</v>
      </c>
      <c r="H798" s="24" t="str">
        <f t="array" ref="H798">IF(OR(INDEX(Species_Availability,MATCH($N798,Species_Names,0))="No",INDEX(Species_Evo_Numbers,MATCH($N798,Species_Names,0))&lt;&gt;1),"N/A",$R798/MAX(IF(NOT(ISNA(MATCH(Combo_Species_Names,IF(Species_Availability="Yes",IF(Species_Evo_Numbers=1,Species_Names)),0))),Combo_Duel_Ability)))</f>
        <v>N/A</v>
      </c>
      <c r="I798" s="23" t="str">
        <f t="array" ref="I798">IF(OR(INDEX(Species_Availability,MATCH($N798,Species_Names,0))="No",INDEX(Species_Evo_Numbers,MATCH($N798,Species_Names,0))&lt;&gt;1),"N/A",RANK($S798,IF(NOT(ISNA(MATCH(Combo_Species_Names,IF(Species_Availability="Yes",IF(Species_Evo_Numbers=1,Species_Names)),0))),Combo_Gym_Offense),0))</f>
        <v>N/A</v>
      </c>
      <c r="J798" s="24" t="str">
        <f t="array" ref="J798">IF(OR(INDEX(Species_Availability,MATCH($N798,Species_Names,0))="No",INDEX(Species_Evo_Numbers,MATCH($N798,Species_Names,0))&lt;&gt;1),"N/A",$S798/MAX(IF(NOT(ISNA(MATCH(Combo_Species_Names,IF(Species_Availability="Yes",IF(Species_Evo_Numbers=1,Species_Names)),0))),Combo_Gym_Offense)))</f>
        <v>N/A</v>
      </c>
      <c r="K798" s="23" t="str">
        <f t="array" ref="K798">IF(OR(INDEX(Species_Availability,MATCH($N798,Species_Names,0))="No",INDEX(Species_Evo_Numbers,MATCH($N798,Species_Names,0))&lt;&gt;1),"N/A",RANK($Y798,IF(NOT(ISNA(MATCH(Combo_Species_Names,IF(Species_Availability="Yes",IF(Species_Evo_Numbers=1,Species_Names)),0))),Combo_Gym_Defense),0))</f>
        <v>N/A</v>
      </c>
      <c r="L798" s="24" t="str">
        <f t="array" ref="L798">IF(OR(INDEX(Species_Availability,MATCH($N798,Species_Names,0))="No",INDEX(Species_Evo_Numbers,MATCH($N798,Species_Names,0))&lt;&gt;1),"N/A",$Y798/MAX(IF(NOT(ISNA(MATCH(Combo_Species_Names,IF(Species_Availability="Yes",IF(Species_Evo_Numbers=1,Species_Names)),0))),Combo_Gym_Defense)))</f>
        <v>N/A</v>
      </c>
      <c r="M798" s="28">
        <f t="array" ref="M798">INDEX(Species_Pdex_Numbers,MATCH($N798,Species_Names,0))</f>
        <v>90</v>
      </c>
      <c r="N798" s="30" t="s">
        <v>274</v>
      </c>
      <c r="O798" s="31" t="s">
        <v>95</v>
      </c>
      <c r="P798" s="31" t="s">
        <v>281</v>
      </c>
      <c r="Q798" s="17" t="e">
        <f t="shared" si="24"/>
        <v>#VALUE!</v>
      </c>
      <c r="R798" s="32" t="e">
        <f t="array" ref="R798">IF(OR(AND(COUNTBLANK(Combo_Opponent_Type_1)=1,COUNTBLANK(Combo_Opponent_Type_2)=0),AND(AND(COUNTBLANK(Combo_Opponent_Type_1)=0,COUNTBLANK(Combo_Opponent_Type_2)=0),Combo_Opponent_Type_1=Combo_Opponent_Type_2)),
"Check Types",($S798*INDEX(Species_Tankiness,MATCH($N798,Species_Names,0)))/225)</f>
        <v>#VALUE!</v>
      </c>
      <c r="S798" s="32" t="e">
        <f t="array" ref="S798">IF(OR(AND(COUNTBLANK(Combo_Opponent_Type_1)=1,COUNTBLANK(Combo_Opponent_Type_2)=0),AND(AND(COUNTBLANK(Combo_Opponent_Type_1)=0,COUNTBLANK(Combo_Opponent_Type_2)=0),Combo_Opponent_Type_1=Combo_Opponent_Type_2)),
"Check Types",(
IF($W798&gt;=((1-Game_Weave_Human_Error)*$X798),$W798,$X798)*INDEX(Species_Attack,MATCH($N798,Species_Names,0)))/11)</f>
        <v>#VALUE!</v>
      </c>
      <c r="T798" s="33" t="e">
        <f t="shared" si="25"/>
        <v>#VALUE!</v>
      </c>
      <c r="U798" s="33">
        <f t="array" ref="U7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798,Quick_Names,0))),Type_Species)),0),1)*IF(COUNTBLANK(Combo_Opponent_Type_2)=0,INDEX(Type_Damage_Multipliers,MATCH(Combo_Opponent_Type_2,IF(Type_Move=(INDEX(Quick_Type,MATCH($O798,Quick_Names,0))),Type_Species)),0),1)*(IF(OR(INDEX(Quick_Type,MATCH($O798,Quick_Names,0))=INDEX(Species_Type_1,MATCH($N798,Species_Names,0)),INDEX(Quick_Type,MATCH($O798,Quick_Names,0))=INDEX(Species_Type_2,MATCH($N798,Species_Names,0))),Game_STAB_Multiplier,1)))</f>
        <v>1</v>
      </c>
      <c r="V798" s="33">
        <f t="array" ref="V79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798,Charge_Names,0))),Type_Species)),0),1)*IF(COUNTBLANK(Combo_Opponent_Type_2)=0,INDEX(Type_Damage_Multipliers,MATCH(Combo_Opponent_Type_2,IF(Type_Move=(INDEX(Charge_Type,MATCH($P798,Charge_Names,0))),Type_Species)),0),1)*
IF(OR(INDEX(Charge_Type,MATCH($P798,Charge_Names,0))=INDEX(Species_Type_1,MATCH($N798,Species_Names,0)),INDEX(Charge_Type,MATCH($P798,Charge_Names,0))=INDEX(Species_Type_2,MATCH($N798,Species_Names,0))),Game_STAB_Multiplier,1))</f>
        <v>1.25</v>
      </c>
      <c r="W798" s="33" t="s">
        <v>805</v>
      </c>
      <c r="X798" s="33" t="s">
        <v>763</v>
      </c>
      <c r="Y798" s="32" t="e">
        <f t="array" ref="Y798">((($Z798)*
INDEX(Species_Attack,MATCH($N798,Species_Names,0))*
INDEX(Species_Tankiness,MATCH($N798,Species_Names,0)))/1000)</f>
        <v>#VALUE!</v>
      </c>
      <c r="Z798" s="33" t="s">
        <v>764</v>
      </c>
    </row>
    <row r="799" spans="1:26" ht="14.25" customHeight="1" x14ac:dyDescent="0.2">
      <c r="A799" s="86"/>
      <c r="B799" s="22" t="str">
        <f t="array" ref="B799">CONCATENATE(TEXT($M799,"000"),".",TEXT(INDEX(Quick_Number,MATCH($O799,Quick_Names,0)),"000"),".",TEXT(INDEX(Charge_Number,MATCH($P799,Charge_Names,0)),"000"))</f>
        <v>090.217.053</v>
      </c>
      <c r="C799" s="23" t="e">
        <f t="array" ref="C799">RANK($S799,IF(Combo_Species_Names=$N799,Combo_Gym_Offense),0)</f>
        <v>#VALUE!</v>
      </c>
      <c r="D799" s="24" t="e">
        <f t="array" ref="D799">$S799/MAX(IF(Combo_Species_Names=$N799,Combo_Gym_Offense))</f>
        <v>#VALUE!</v>
      </c>
      <c r="E799" s="23" t="e">
        <f t="array" ref="E799">RANK($Y799,IF(Combo_Species_Names=$N799,Combo_Gym_Defense),0)</f>
        <v>#VALUE!</v>
      </c>
      <c r="F799" s="25" t="e">
        <f t="array" ref="F799">$Y799/MAX(IF(Combo_Species_Names=$N799,Combo_Gym_Defense))</f>
        <v>#VALUE!</v>
      </c>
      <c r="G799" s="23" t="str">
        <f t="array" ref="G799">IF(OR(INDEX(Species_Availability,MATCH($N799,Species_Names,0))="No",INDEX(Species_Evo_Numbers,MATCH($N799,Species_Names,0))&lt;&gt;1),"N/A",RANK($R799,IF(NOT(ISNA(MATCH(Combo_Species_Names,IF(Species_Availability="Yes",IF(Species_Evo_Numbers=1,Species_Names)),0))),Combo_Duel_Ability),0))</f>
        <v>N/A</v>
      </c>
      <c r="H799" s="24" t="str">
        <f t="array" ref="H799">IF(OR(INDEX(Species_Availability,MATCH($N799,Species_Names,0))="No",INDEX(Species_Evo_Numbers,MATCH($N799,Species_Names,0))&lt;&gt;1),"N/A",$R799/MAX(IF(NOT(ISNA(MATCH(Combo_Species_Names,IF(Species_Availability="Yes",IF(Species_Evo_Numbers=1,Species_Names)),0))),Combo_Duel_Ability)))</f>
        <v>N/A</v>
      </c>
      <c r="I799" s="23" t="str">
        <f t="array" ref="I799">IF(OR(INDEX(Species_Availability,MATCH($N799,Species_Names,0))="No",INDEX(Species_Evo_Numbers,MATCH($N799,Species_Names,0))&lt;&gt;1),"N/A",RANK($S799,IF(NOT(ISNA(MATCH(Combo_Species_Names,IF(Species_Availability="Yes",IF(Species_Evo_Numbers=1,Species_Names)),0))),Combo_Gym_Offense),0))</f>
        <v>N/A</v>
      </c>
      <c r="J799" s="24" t="str">
        <f t="array" ref="J799">IF(OR(INDEX(Species_Availability,MATCH($N799,Species_Names,0))="No",INDEX(Species_Evo_Numbers,MATCH($N799,Species_Names,0))&lt;&gt;1),"N/A",$S799/MAX(IF(NOT(ISNA(MATCH(Combo_Species_Names,IF(Species_Availability="Yes",IF(Species_Evo_Numbers=1,Species_Names)),0))),Combo_Gym_Offense)))</f>
        <v>N/A</v>
      </c>
      <c r="K799" s="23" t="str">
        <f t="array" ref="K799">IF(OR(INDEX(Species_Availability,MATCH($N799,Species_Names,0))="No",INDEX(Species_Evo_Numbers,MATCH($N799,Species_Names,0))&lt;&gt;1),"N/A",RANK($Y799,IF(NOT(ISNA(MATCH(Combo_Species_Names,IF(Species_Availability="Yes",IF(Species_Evo_Numbers=1,Species_Names)),0))),Combo_Gym_Defense),0))</f>
        <v>N/A</v>
      </c>
      <c r="L799" s="24" t="str">
        <f t="array" ref="L799">IF(OR(INDEX(Species_Availability,MATCH($N799,Species_Names,0))="No",INDEX(Species_Evo_Numbers,MATCH($N799,Species_Names,0))&lt;&gt;1),"N/A",$Y799/MAX(IF(NOT(ISNA(MATCH(Combo_Species_Names,IF(Species_Availability="Yes",IF(Species_Evo_Numbers=1,Species_Names)),0))),Combo_Gym_Defense)))</f>
        <v>N/A</v>
      </c>
      <c r="M799" s="28">
        <f t="array" ref="M799">INDEX(Species_Pdex_Numbers,MATCH($N799,Species_Names,0))</f>
        <v>90</v>
      </c>
      <c r="N799" s="30" t="s">
        <v>274</v>
      </c>
      <c r="O799" s="31" t="s">
        <v>95</v>
      </c>
      <c r="P799" s="31" t="s">
        <v>289</v>
      </c>
      <c r="Q799" s="17" t="e">
        <f t="shared" si="24"/>
        <v>#VALUE!</v>
      </c>
      <c r="R799" s="32" t="e">
        <f t="array" ref="R799">IF(OR(AND(COUNTBLANK(Combo_Opponent_Type_1)=1,COUNTBLANK(Combo_Opponent_Type_2)=0),AND(AND(COUNTBLANK(Combo_Opponent_Type_1)=0,COUNTBLANK(Combo_Opponent_Type_2)=0),Combo_Opponent_Type_1=Combo_Opponent_Type_2)),
"Check Types",($S799*INDEX(Species_Tankiness,MATCH($N799,Species_Names,0)))/225)</f>
        <v>#VALUE!</v>
      </c>
      <c r="S799" s="32" t="e">
        <f t="array" ref="S799">IF(OR(AND(COUNTBLANK(Combo_Opponent_Type_1)=1,COUNTBLANK(Combo_Opponent_Type_2)=0),AND(AND(COUNTBLANK(Combo_Opponent_Type_1)=0,COUNTBLANK(Combo_Opponent_Type_2)=0),Combo_Opponent_Type_1=Combo_Opponent_Type_2)),
"Check Types",(
IF($W799&gt;=((1-Game_Weave_Human_Error)*$X799),$W799,$X799)*INDEX(Species_Attack,MATCH($N799,Species_Names,0)))/11)</f>
        <v>#VALUE!</v>
      </c>
      <c r="T799" s="33" t="e">
        <f t="shared" si="25"/>
        <v>#VALUE!</v>
      </c>
      <c r="U799" s="33">
        <f t="array" ref="U7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799,Quick_Names,0))),Type_Species)),0),1)*IF(COUNTBLANK(Combo_Opponent_Type_2)=0,INDEX(Type_Damage_Multipliers,MATCH(Combo_Opponent_Type_2,IF(Type_Move=(INDEX(Quick_Type,MATCH($O799,Quick_Names,0))),Type_Species)),0),1)*(IF(OR(INDEX(Quick_Type,MATCH($O799,Quick_Names,0))=INDEX(Species_Type_1,MATCH($N799,Species_Names,0)),INDEX(Quick_Type,MATCH($O799,Quick_Names,0))=INDEX(Species_Type_2,MATCH($N799,Species_Names,0))),Game_STAB_Multiplier,1)))</f>
        <v>1</v>
      </c>
      <c r="V799" s="33">
        <f t="array" ref="V79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799,Charge_Names,0))),Type_Species)),0),1)*IF(COUNTBLANK(Combo_Opponent_Type_2)=0,INDEX(Type_Damage_Multipliers,MATCH(Combo_Opponent_Type_2,IF(Type_Move=(INDEX(Charge_Type,MATCH($P799,Charge_Names,0))),Type_Species)),0),1)*
IF(OR(INDEX(Charge_Type,MATCH($P799,Charge_Names,0))=INDEX(Species_Type_1,MATCH($N799,Species_Names,0)),INDEX(Charge_Type,MATCH($P799,Charge_Names,0))=INDEX(Species_Type_2,MATCH($N799,Species_Names,0))),Game_STAB_Multiplier,1))</f>
        <v>1.25</v>
      </c>
      <c r="W799" s="33" t="s">
        <v>805</v>
      </c>
      <c r="X799" s="33" t="s">
        <v>1024</v>
      </c>
      <c r="Y799" s="32" t="e">
        <f t="array" ref="Y799">((($Z799)*
INDEX(Species_Attack,MATCH($N799,Species_Names,0))*
INDEX(Species_Tankiness,MATCH($N799,Species_Names,0)))/1000)</f>
        <v>#VALUE!</v>
      </c>
      <c r="Z799" s="33" t="s">
        <v>510</v>
      </c>
    </row>
    <row r="800" spans="1:26" ht="14.25" customHeight="1" x14ac:dyDescent="0.2">
      <c r="A800" s="86"/>
      <c r="B800" s="22" t="str">
        <f t="array" ref="B800">CONCATENATE(TEXT($M800,"000"),".",TEXT(INDEX(Quick_Number,MATCH($O800,Quick_Names,0)),"000"),".",TEXT(INDEX(Charge_Number,MATCH($P800,Charge_Names,0)),"000"))</f>
        <v>090.217.111</v>
      </c>
      <c r="C800" s="23" t="e">
        <f t="array" ref="C800">RANK($S800,IF(Combo_Species_Names=$N800,Combo_Gym_Offense),0)</f>
        <v>#VALUE!</v>
      </c>
      <c r="D800" s="24" t="e">
        <f t="array" ref="D800">$S800/MAX(IF(Combo_Species_Names=$N800,Combo_Gym_Offense))</f>
        <v>#VALUE!</v>
      </c>
      <c r="E800" s="23" t="e">
        <f t="array" ref="E800">RANK($Y800,IF(Combo_Species_Names=$N800,Combo_Gym_Defense),0)</f>
        <v>#VALUE!</v>
      </c>
      <c r="F800" s="25" t="e">
        <f t="array" ref="F800">$Y800/MAX(IF(Combo_Species_Names=$N800,Combo_Gym_Defense))</f>
        <v>#VALUE!</v>
      </c>
      <c r="G800" s="23" t="str">
        <f t="array" ref="G800">IF(OR(INDEX(Species_Availability,MATCH($N800,Species_Names,0))="No",INDEX(Species_Evo_Numbers,MATCH($N800,Species_Names,0))&lt;&gt;1),"N/A",RANK($R800,IF(NOT(ISNA(MATCH(Combo_Species_Names,IF(Species_Availability="Yes",IF(Species_Evo_Numbers=1,Species_Names)),0))),Combo_Duel_Ability),0))</f>
        <v>N/A</v>
      </c>
      <c r="H800" s="24" t="str">
        <f t="array" ref="H800">IF(OR(INDEX(Species_Availability,MATCH($N800,Species_Names,0))="No",INDEX(Species_Evo_Numbers,MATCH($N800,Species_Names,0))&lt;&gt;1),"N/A",$R800/MAX(IF(NOT(ISNA(MATCH(Combo_Species_Names,IF(Species_Availability="Yes",IF(Species_Evo_Numbers=1,Species_Names)),0))),Combo_Duel_Ability)))</f>
        <v>N/A</v>
      </c>
      <c r="I800" s="23" t="str">
        <f t="array" ref="I800">IF(OR(INDEX(Species_Availability,MATCH($N800,Species_Names,0))="No",INDEX(Species_Evo_Numbers,MATCH($N800,Species_Names,0))&lt;&gt;1),"N/A",RANK($S800,IF(NOT(ISNA(MATCH(Combo_Species_Names,IF(Species_Availability="Yes",IF(Species_Evo_Numbers=1,Species_Names)),0))),Combo_Gym_Offense),0))</f>
        <v>N/A</v>
      </c>
      <c r="J800" s="24" t="str">
        <f t="array" ref="J800">IF(OR(INDEX(Species_Availability,MATCH($N800,Species_Names,0))="No",INDEX(Species_Evo_Numbers,MATCH($N800,Species_Names,0))&lt;&gt;1),"N/A",$S800/MAX(IF(NOT(ISNA(MATCH(Combo_Species_Names,IF(Species_Availability="Yes",IF(Species_Evo_Numbers=1,Species_Names)),0))),Combo_Gym_Offense)))</f>
        <v>N/A</v>
      </c>
      <c r="K800" s="23" t="str">
        <f t="array" ref="K800">IF(OR(INDEX(Species_Availability,MATCH($N800,Species_Names,0))="No",INDEX(Species_Evo_Numbers,MATCH($N800,Species_Names,0))&lt;&gt;1),"N/A",RANK($Y800,IF(NOT(ISNA(MATCH(Combo_Species_Names,IF(Species_Availability="Yes",IF(Species_Evo_Numbers=1,Species_Names)),0))),Combo_Gym_Defense),0))</f>
        <v>N/A</v>
      </c>
      <c r="L800" s="24" t="str">
        <f t="array" ref="L800">IF(OR(INDEX(Species_Availability,MATCH($N800,Species_Names,0))="No",INDEX(Species_Evo_Numbers,MATCH($N800,Species_Names,0))&lt;&gt;1),"N/A",$Y800/MAX(IF(NOT(ISNA(MATCH(Combo_Species_Names,IF(Species_Availability="Yes",IF(Species_Evo_Numbers=1,Species_Names)),0))),Combo_Gym_Defense)))</f>
        <v>N/A</v>
      </c>
      <c r="M800" s="28">
        <f t="array" ref="M800">INDEX(Species_Pdex_Numbers,MATCH($N800,Species_Names,0))</f>
        <v>90</v>
      </c>
      <c r="N800" s="30" t="s">
        <v>274</v>
      </c>
      <c r="O800" s="31" t="s">
        <v>95</v>
      </c>
      <c r="P800" s="31" t="s">
        <v>318</v>
      </c>
      <c r="Q800" s="17" t="e">
        <f t="shared" si="24"/>
        <v>#VALUE!</v>
      </c>
      <c r="R800" s="32" t="e">
        <f t="array" ref="R800">IF(OR(AND(COUNTBLANK(Combo_Opponent_Type_1)=1,COUNTBLANK(Combo_Opponent_Type_2)=0),AND(AND(COUNTBLANK(Combo_Opponent_Type_1)=0,COUNTBLANK(Combo_Opponent_Type_2)=0),Combo_Opponent_Type_1=Combo_Opponent_Type_2)),
"Check Types",($S800*INDEX(Species_Tankiness,MATCH($N800,Species_Names,0)))/225)</f>
        <v>#VALUE!</v>
      </c>
      <c r="S800" s="32" t="e">
        <f t="array" ref="S800">IF(OR(AND(COUNTBLANK(Combo_Opponent_Type_1)=1,COUNTBLANK(Combo_Opponent_Type_2)=0),AND(AND(COUNTBLANK(Combo_Opponent_Type_1)=0,COUNTBLANK(Combo_Opponent_Type_2)=0),Combo_Opponent_Type_1=Combo_Opponent_Type_2)),
"Check Types",(
IF($W800&gt;=((1-Game_Weave_Human_Error)*$X800),$W800,$X800)*INDEX(Species_Attack,MATCH($N800,Species_Names,0)))/11)</f>
        <v>#VALUE!</v>
      </c>
      <c r="T800" s="33" t="e">
        <f t="shared" si="25"/>
        <v>#VALUE!</v>
      </c>
      <c r="U800" s="33">
        <f t="array" ref="U8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800,Quick_Names,0))),Type_Species)),0),1)*IF(COUNTBLANK(Combo_Opponent_Type_2)=0,INDEX(Type_Damage_Multipliers,MATCH(Combo_Opponent_Type_2,IF(Type_Move=(INDEX(Quick_Type,MATCH($O800,Quick_Names,0))),Type_Species)),0),1)*(IF(OR(INDEX(Quick_Type,MATCH($O800,Quick_Names,0))=INDEX(Species_Type_1,MATCH($N800,Species_Names,0)),INDEX(Quick_Type,MATCH($O800,Quick_Names,0))=INDEX(Species_Type_2,MATCH($N800,Species_Names,0))),Game_STAB_Multiplier,1)))</f>
        <v>1</v>
      </c>
      <c r="V800" s="33">
        <f t="array" ref="V80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800,Charge_Names,0))),Type_Species)),0),1)*IF(COUNTBLANK(Combo_Opponent_Type_2)=0,INDEX(Type_Damage_Multipliers,MATCH(Combo_Opponent_Type_2,IF(Type_Move=(INDEX(Charge_Type,MATCH($P800,Charge_Names,0))),Type_Species)),0),1)*
IF(OR(INDEX(Charge_Type,MATCH($P800,Charge_Names,0))=INDEX(Species_Type_1,MATCH($N800,Species_Names,0)),INDEX(Charge_Type,MATCH($P800,Charge_Names,0))=INDEX(Species_Type_2,MATCH($N800,Species_Names,0))),Game_STAB_Multiplier,1))</f>
        <v>1</v>
      </c>
      <c r="W800" s="33" t="s">
        <v>805</v>
      </c>
      <c r="X800" s="33" t="s">
        <v>1026</v>
      </c>
      <c r="Y800" s="32" t="e">
        <f t="array" ref="Y800">((($Z800)*
INDEX(Species_Attack,MATCH($N800,Species_Names,0))*
INDEX(Species_Tankiness,MATCH($N800,Species_Names,0)))/1000)</f>
        <v>#VALUE!</v>
      </c>
      <c r="Z800" s="33" t="s">
        <v>445</v>
      </c>
    </row>
    <row r="801" spans="1:26" ht="14.25" customHeight="1" x14ac:dyDescent="0.2">
      <c r="A801" s="86"/>
      <c r="B801" s="22" t="str">
        <f t="array" ref="B801">CONCATENATE(TEXT($M801,"000"),".",TEXT(INDEX(Quick_Number,MATCH($O801,Quick_Names,0)),"000"),".",TEXT(INDEX(Charge_Number,MATCH($P801,Charge_Names,0)),"000"))</f>
        <v>084.219.045</v>
      </c>
      <c r="C801" s="23" t="e">
        <f t="array" ref="C801">RANK($S801,IF(Combo_Species_Names=$N801,Combo_Gym_Offense),0)</f>
        <v>#VALUE!</v>
      </c>
      <c r="D801" s="24" t="e">
        <f t="array" ref="D801">$S801/MAX(IF(Combo_Species_Names=$N801,Combo_Gym_Offense))</f>
        <v>#VALUE!</v>
      </c>
      <c r="E801" s="23" t="e">
        <f t="array" ref="E801">RANK($Y801,IF(Combo_Species_Names=$N801,Combo_Gym_Defense),0)</f>
        <v>#VALUE!</v>
      </c>
      <c r="F801" s="25" t="e">
        <f t="array" ref="F801">$Y801/MAX(IF(Combo_Species_Names=$N801,Combo_Gym_Defense))</f>
        <v>#VALUE!</v>
      </c>
      <c r="G801" s="23" t="str">
        <f t="array" ref="G801">IF(OR(INDEX(Species_Availability,MATCH($N801,Species_Names,0))="No",INDEX(Species_Evo_Numbers,MATCH($N801,Species_Names,0))&lt;&gt;1),"N/A",RANK($R801,IF(NOT(ISNA(MATCH(Combo_Species_Names,IF(Species_Availability="Yes",IF(Species_Evo_Numbers=1,Species_Names)),0))),Combo_Duel_Ability),0))</f>
        <v>N/A</v>
      </c>
      <c r="H801" s="24" t="str">
        <f t="array" ref="H801">IF(OR(INDEX(Species_Availability,MATCH($N801,Species_Names,0))="No",INDEX(Species_Evo_Numbers,MATCH($N801,Species_Names,0))&lt;&gt;1),"N/A",$R801/MAX(IF(NOT(ISNA(MATCH(Combo_Species_Names,IF(Species_Availability="Yes",IF(Species_Evo_Numbers=1,Species_Names)),0))),Combo_Duel_Ability)))</f>
        <v>N/A</v>
      </c>
      <c r="I801" s="23" t="str">
        <f t="array" ref="I801">IF(OR(INDEX(Species_Availability,MATCH($N801,Species_Names,0))="No",INDEX(Species_Evo_Numbers,MATCH($N801,Species_Names,0))&lt;&gt;1),"N/A",RANK($S801,IF(NOT(ISNA(MATCH(Combo_Species_Names,IF(Species_Availability="Yes",IF(Species_Evo_Numbers=1,Species_Names)),0))),Combo_Gym_Offense),0))</f>
        <v>N/A</v>
      </c>
      <c r="J801" s="24" t="str">
        <f t="array" ref="J801">IF(OR(INDEX(Species_Availability,MATCH($N801,Species_Names,0))="No",INDEX(Species_Evo_Numbers,MATCH($N801,Species_Names,0))&lt;&gt;1),"N/A",$S801/MAX(IF(NOT(ISNA(MATCH(Combo_Species_Names,IF(Species_Availability="Yes",IF(Species_Evo_Numbers=1,Species_Names)),0))),Combo_Gym_Offense)))</f>
        <v>N/A</v>
      </c>
      <c r="K801" s="23" t="str">
        <f t="array" ref="K801">IF(OR(INDEX(Species_Availability,MATCH($N801,Species_Names,0))="No",INDEX(Species_Evo_Numbers,MATCH($N801,Species_Names,0))&lt;&gt;1),"N/A",RANK($Y801,IF(NOT(ISNA(MATCH(Combo_Species_Names,IF(Species_Availability="Yes",IF(Species_Evo_Numbers=1,Species_Names)),0))),Combo_Gym_Defense),0))</f>
        <v>N/A</v>
      </c>
      <c r="L801" s="24" t="str">
        <f t="array" ref="L801">IF(OR(INDEX(Species_Availability,MATCH($N801,Species_Names,0))="No",INDEX(Species_Evo_Numbers,MATCH($N801,Species_Names,0))&lt;&gt;1),"N/A",$Y801/MAX(IF(NOT(ISNA(MATCH(Combo_Species_Names,IF(Species_Availability="Yes",IF(Species_Evo_Numbers=1,Species_Names)),0))),Combo_Gym_Defense)))</f>
        <v>N/A</v>
      </c>
      <c r="M801" s="28">
        <f t="array" ref="M801">INDEX(Species_Pdex_Numbers,MATCH($N801,Species_Names,0))</f>
        <v>84</v>
      </c>
      <c r="N801" s="30" t="s">
        <v>261</v>
      </c>
      <c r="O801" s="31" t="s">
        <v>119</v>
      </c>
      <c r="P801" s="31" t="s">
        <v>287</v>
      </c>
      <c r="Q801" s="17" t="e">
        <f t="shared" si="24"/>
        <v>#VALUE!</v>
      </c>
      <c r="R801" s="32" t="e">
        <f t="array" ref="R801">IF(OR(AND(COUNTBLANK(Combo_Opponent_Type_1)=1,COUNTBLANK(Combo_Opponent_Type_2)=0),AND(AND(COUNTBLANK(Combo_Opponent_Type_1)=0,COUNTBLANK(Combo_Opponent_Type_2)=0),Combo_Opponent_Type_1=Combo_Opponent_Type_2)),
"Check Types",($S801*INDEX(Species_Tankiness,MATCH($N801,Species_Names,0)))/225)</f>
        <v>#VALUE!</v>
      </c>
      <c r="S801" s="32" t="e">
        <f t="array" ref="S801">IF(OR(AND(COUNTBLANK(Combo_Opponent_Type_1)=1,COUNTBLANK(Combo_Opponent_Type_2)=0),AND(AND(COUNTBLANK(Combo_Opponent_Type_1)=0,COUNTBLANK(Combo_Opponent_Type_2)=0),Combo_Opponent_Type_1=Combo_Opponent_Type_2)),
"Check Types",(
IF($W801&gt;=((1-Game_Weave_Human_Error)*$X801),$W801,$X801)*INDEX(Species_Attack,MATCH($N801,Species_Names,0)))/11)</f>
        <v>#VALUE!</v>
      </c>
      <c r="T801" s="33" t="e">
        <f t="shared" si="25"/>
        <v>#VALUE!</v>
      </c>
      <c r="U801" s="33">
        <f t="array" ref="U8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801,Quick_Names,0))),Type_Species)),0),1)*IF(COUNTBLANK(Combo_Opponent_Type_2)=0,INDEX(Type_Damage_Multipliers,MATCH(Combo_Opponent_Type_2,IF(Type_Move=(INDEX(Quick_Type,MATCH($O801,Quick_Names,0))),Type_Species)),0),1)*(IF(OR(INDEX(Quick_Type,MATCH($O801,Quick_Names,0))=INDEX(Species_Type_1,MATCH($N801,Species_Names,0)),INDEX(Quick_Type,MATCH($O801,Quick_Names,0))=INDEX(Species_Type_2,MATCH($N801,Species_Names,0))),Game_STAB_Multiplier,1)))</f>
        <v>1.25</v>
      </c>
      <c r="V801" s="33">
        <f t="array" ref="V80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801,Charge_Names,0))),Type_Species)),0),1)*IF(COUNTBLANK(Combo_Opponent_Type_2)=0,INDEX(Type_Damage_Multipliers,MATCH(Combo_Opponent_Type_2,IF(Type_Move=(INDEX(Charge_Type,MATCH($P801,Charge_Names,0))),Type_Species)),0),1)*
IF(OR(INDEX(Charge_Type,MATCH($P801,Charge_Names,0))=INDEX(Species_Type_1,MATCH($N801,Species_Names,0)),INDEX(Charge_Type,MATCH($P801,Charge_Names,0))=INDEX(Species_Type_2,MATCH($N801,Species_Names,0))),Game_STAB_Multiplier,1))</f>
        <v>1.25</v>
      </c>
      <c r="W801" s="33" t="s">
        <v>564</v>
      </c>
      <c r="X801" s="33" t="s">
        <v>1091</v>
      </c>
      <c r="Y801" s="32" t="e">
        <f t="array" ref="Y801">((($Z801)*
INDEX(Species_Attack,MATCH($N801,Species_Names,0))*
INDEX(Species_Tankiness,MATCH($N801,Species_Names,0)))/1000)</f>
        <v>#VALUE!</v>
      </c>
      <c r="Z801" s="33" t="s">
        <v>1045</v>
      </c>
    </row>
    <row r="802" spans="1:26" ht="14.25" customHeight="1" x14ac:dyDescent="0.2">
      <c r="A802" s="86"/>
      <c r="B802" s="22" t="str">
        <f t="array" ref="B802">CONCATENATE(TEXT($M802,"000"),".",TEXT(INDEX(Quick_Number,MATCH($O802,Quick_Names,0)),"000"),".",TEXT(INDEX(Charge_Number,MATCH($P802,Charge_Names,0)),"000"))</f>
        <v>084.219.125</v>
      </c>
      <c r="C802" s="23" t="e">
        <f t="array" ref="C802">RANK($S802,IF(Combo_Species_Names=$N802,Combo_Gym_Offense),0)</f>
        <v>#VALUE!</v>
      </c>
      <c r="D802" s="24" t="e">
        <f t="array" ref="D802">$S802/MAX(IF(Combo_Species_Names=$N802,Combo_Gym_Offense))</f>
        <v>#VALUE!</v>
      </c>
      <c r="E802" s="23" t="e">
        <f t="array" ref="E802">RANK($Y802,IF(Combo_Species_Names=$N802,Combo_Gym_Defense),0)</f>
        <v>#VALUE!</v>
      </c>
      <c r="F802" s="25" t="e">
        <f t="array" ref="F802">$Y802/MAX(IF(Combo_Species_Names=$N802,Combo_Gym_Defense))</f>
        <v>#VALUE!</v>
      </c>
      <c r="G802" s="23" t="str">
        <f t="array" ref="G802">IF(OR(INDEX(Species_Availability,MATCH($N802,Species_Names,0))="No",INDEX(Species_Evo_Numbers,MATCH($N802,Species_Names,0))&lt;&gt;1),"N/A",RANK($R802,IF(NOT(ISNA(MATCH(Combo_Species_Names,IF(Species_Availability="Yes",IF(Species_Evo_Numbers=1,Species_Names)),0))),Combo_Duel_Ability),0))</f>
        <v>N/A</v>
      </c>
      <c r="H802" s="24" t="str">
        <f t="array" ref="H802">IF(OR(INDEX(Species_Availability,MATCH($N802,Species_Names,0))="No",INDEX(Species_Evo_Numbers,MATCH($N802,Species_Names,0))&lt;&gt;1),"N/A",$R802/MAX(IF(NOT(ISNA(MATCH(Combo_Species_Names,IF(Species_Availability="Yes",IF(Species_Evo_Numbers=1,Species_Names)),0))),Combo_Duel_Ability)))</f>
        <v>N/A</v>
      </c>
      <c r="I802" s="23" t="str">
        <f t="array" ref="I802">IF(OR(INDEX(Species_Availability,MATCH($N802,Species_Names,0))="No",INDEX(Species_Evo_Numbers,MATCH($N802,Species_Names,0))&lt;&gt;1),"N/A",RANK($S802,IF(NOT(ISNA(MATCH(Combo_Species_Names,IF(Species_Availability="Yes",IF(Species_Evo_Numbers=1,Species_Names)),0))),Combo_Gym_Offense),0))</f>
        <v>N/A</v>
      </c>
      <c r="J802" s="24" t="str">
        <f t="array" ref="J802">IF(OR(INDEX(Species_Availability,MATCH($N802,Species_Names,0))="No",INDEX(Species_Evo_Numbers,MATCH($N802,Species_Names,0))&lt;&gt;1),"N/A",$S802/MAX(IF(NOT(ISNA(MATCH(Combo_Species_Names,IF(Species_Availability="Yes",IF(Species_Evo_Numbers=1,Species_Names)),0))),Combo_Gym_Offense)))</f>
        <v>N/A</v>
      </c>
      <c r="K802" s="23" t="str">
        <f t="array" ref="K802">IF(OR(INDEX(Species_Availability,MATCH($N802,Species_Names,0))="No",INDEX(Species_Evo_Numbers,MATCH($N802,Species_Names,0))&lt;&gt;1),"N/A",RANK($Y802,IF(NOT(ISNA(MATCH(Combo_Species_Names,IF(Species_Availability="Yes",IF(Species_Evo_Numbers=1,Species_Names)),0))),Combo_Gym_Defense),0))</f>
        <v>N/A</v>
      </c>
      <c r="L802" s="24" t="str">
        <f t="array" ref="L802">IF(OR(INDEX(Species_Availability,MATCH($N802,Species_Names,0))="No",INDEX(Species_Evo_Numbers,MATCH($N802,Species_Names,0))&lt;&gt;1),"N/A",$Y802/MAX(IF(NOT(ISNA(MATCH(Combo_Species_Names,IF(Species_Availability="Yes",IF(Species_Evo_Numbers=1,Species_Names)),0))),Combo_Gym_Defense)))</f>
        <v>N/A</v>
      </c>
      <c r="M802" s="28">
        <f t="array" ref="M802">INDEX(Species_Pdex_Numbers,MATCH($N802,Species_Names,0))</f>
        <v>84</v>
      </c>
      <c r="N802" s="30" t="s">
        <v>261</v>
      </c>
      <c r="O802" s="31" t="s">
        <v>119</v>
      </c>
      <c r="P802" s="31" t="s">
        <v>292</v>
      </c>
      <c r="Q802" s="17" t="e">
        <f t="shared" si="24"/>
        <v>#VALUE!</v>
      </c>
      <c r="R802" s="32" t="e">
        <f t="array" ref="R802">IF(OR(AND(COUNTBLANK(Combo_Opponent_Type_1)=1,COUNTBLANK(Combo_Opponent_Type_2)=0),AND(AND(COUNTBLANK(Combo_Opponent_Type_1)=0,COUNTBLANK(Combo_Opponent_Type_2)=0),Combo_Opponent_Type_1=Combo_Opponent_Type_2)),
"Check Types",($S802*INDEX(Species_Tankiness,MATCH($N802,Species_Names,0)))/225)</f>
        <v>#VALUE!</v>
      </c>
      <c r="S802" s="32" t="e">
        <f t="array" ref="S802">IF(OR(AND(COUNTBLANK(Combo_Opponent_Type_1)=1,COUNTBLANK(Combo_Opponent_Type_2)=0),AND(AND(COUNTBLANK(Combo_Opponent_Type_1)=0,COUNTBLANK(Combo_Opponent_Type_2)=0),Combo_Opponent_Type_1=Combo_Opponent_Type_2)),
"Check Types",(
IF($W802&gt;=((1-Game_Weave_Human_Error)*$X802),$W802,$X802)*INDEX(Species_Attack,MATCH($N802,Species_Names,0)))/11)</f>
        <v>#VALUE!</v>
      </c>
      <c r="T802" s="33" t="e">
        <f t="shared" si="25"/>
        <v>#VALUE!</v>
      </c>
      <c r="U802" s="33">
        <f t="array" ref="U8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802,Quick_Names,0))),Type_Species)),0),1)*IF(COUNTBLANK(Combo_Opponent_Type_2)=0,INDEX(Type_Damage_Multipliers,MATCH(Combo_Opponent_Type_2,IF(Type_Move=(INDEX(Quick_Type,MATCH($O802,Quick_Names,0))),Type_Species)),0),1)*(IF(OR(INDEX(Quick_Type,MATCH($O802,Quick_Names,0))=INDEX(Species_Type_1,MATCH($N802,Species_Names,0)),INDEX(Quick_Type,MATCH($O802,Quick_Names,0))=INDEX(Species_Type_2,MATCH($N802,Species_Names,0))),Game_STAB_Multiplier,1)))</f>
        <v>1.25</v>
      </c>
      <c r="V802" s="33">
        <f t="array" ref="V80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802,Charge_Names,0))),Type_Species)),0),1)*IF(COUNTBLANK(Combo_Opponent_Type_2)=0,INDEX(Type_Damage_Multipliers,MATCH(Combo_Opponent_Type_2,IF(Type_Move=(INDEX(Charge_Type,MATCH($P802,Charge_Names,0))),Type_Species)),0),1)*
IF(OR(INDEX(Charge_Type,MATCH($P802,Charge_Names,0))=INDEX(Species_Type_1,MATCH($N802,Species_Names,0)),INDEX(Charge_Type,MATCH($P802,Charge_Names,0))=INDEX(Species_Type_2,MATCH($N802,Species_Names,0))),Game_STAB_Multiplier,1))</f>
        <v>1.25</v>
      </c>
      <c r="W802" s="33" t="s">
        <v>564</v>
      </c>
      <c r="X802" s="33" t="s">
        <v>409</v>
      </c>
      <c r="Y802" s="32" t="e">
        <f t="array" ref="Y802">((($Z802)*
INDEX(Species_Attack,MATCH($N802,Species_Names,0))*
INDEX(Species_Tankiness,MATCH($N802,Species_Names,0)))/1000)</f>
        <v>#VALUE!</v>
      </c>
      <c r="Z802" s="33" t="s">
        <v>1045</v>
      </c>
    </row>
    <row r="803" spans="1:26" ht="14.25" customHeight="1" x14ac:dyDescent="0.2">
      <c r="A803" s="86"/>
      <c r="B803" s="22" t="str">
        <f t="array" ref="B803">CONCATENATE(TEXT($M803,"000"),".",TEXT(INDEX(Quick_Number,MATCH($O803,Quick_Names,0)),"000"),".",TEXT(INDEX(Charge_Number,MATCH($P803,Charge_Names,0)),"000"))</f>
        <v>092.212.016</v>
      </c>
      <c r="C803" s="23" t="e">
        <f t="array" ref="C803">RANK($S803,IF(Combo_Species_Names=$N803,Combo_Gym_Offense),0)</f>
        <v>#VALUE!</v>
      </c>
      <c r="D803" s="24" t="e">
        <f t="array" ref="D803">$S803/MAX(IF(Combo_Species_Names=$N803,Combo_Gym_Offense))</f>
        <v>#VALUE!</v>
      </c>
      <c r="E803" s="23" t="e">
        <f t="array" ref="E803">RANK($Y803,IF(Combo_Species_Names=$N803,Combo_Gym_Defense),0)</f>
        <v>#VALUE!</v>
      </c>
      <c r="F803" s="25" t="e">
        <f t="array" ref="F803">$Y803/MAX(IF(Combo_Species_Names=$N803,Combo_Gym_Defense))</f>
        <v>#VALUE!</v>
      </c>
      <c r="G803" s="23" t="str">
        <f t="array" ref="G803">IF(OR(INDEX(Species_Availability,MATCH($N803,Species_Names,0))="No",INDEX(Species_Evo_Numbers,MATCH($N803,Species_Names,0))&lt;&gt;1),"N/A",RANK($R803,IF(NOT(ISNA(MATCH(Combo_Species_Names,IF(Species_Availability="Yes",IF(Species_Evo_Numbers=1,Species_Names)),0))),Combo_Duel_Ability),0))</f>
        <v>N/A</v>
      </c>
      <c r="H803" s="24" t="str">
        <f t="array" ref="H803">IF(OR(INDEX(Species_Availability,MATCH($N803,Species_Names,0))="No",INDEX(Species_Evo_Numbers,MATCH($N803,Species_Names,0))&lt;&gt;1),"N/A",$R803/MAX(IF(NOT(ISNA(MATCH(Combo_Species_Names,IF(Species_Availability="Yes",IF(Species_Evo_Numbers=1,Species_Names)),0))),Combo_Duel_Ability)))</f>
        <v>N/A</v>
      </c>
      <c r="I803" s="23" t="str">
        <f t="array" ref="I803">IF(OR(INDEX(Species_Availability,MATCH($N803,Species_Names,0))="No",INDEX(Species_Evo_Numbers,MATCH($N803,Species_Names,0))&lt;&gt;1),"N/A",RANK($S803,IF(NOT(ISNA(MATCH(Combo_Species_Names,IF(Species_Availability="Yes",IF(Species_Evo_Numbers=1,Species_Names)),0))),Combo_Gym_Offense),0))</f>
        <v>N/A</v>
      </c>
      <c r="J803" s="24" t="str">
        <f t="array" ref="J803">IF(OR(INDEX(Species_Availability,MATCH($N803,Species_Names,0))="No",INDEX(Species_Evo_Numbers,MATCH($N803,Species_Names,0))&lt;&gt;1),"N/A",$S803/MAX(IF(NOT(ISNA(MATCH(Combo_Species_Names,IF(Species_Availability="Yes",IF(Species_Evo_Numbers=1,Species_Names)),0))),Combo_Gym_Offense)))</f>
        <v>N/A</v>
      </c>
      <c r="K803" s="23" t="str">
        <f t="array" ref="K803">IF(OR(INDEX(Species_Availability,MATCH($N803,Species_Names,0))="No",INDEX(Species_Evo_Numbers,MATCH($N803,Species_Names,0))&lt;&gt;1),"N/A",RANK($Y803,IF(NOT(ISNA(MATCH(Combo_Species_Names,IF(Species_Availability="Yes",IF(Species_Evo_Numbers=1,Species_Names)),0))),Combo_Gym_Defense),0))</f>
        <v>N/A</v>
      </c>
      <c r="L803" s="24" t="str">
        <f t="array" ref="L803">IF(OR(INDEX(Species_Availability,MATCH($N803,Species_Names,0))="No",INDEX(Species_Evo_Numbers,MATCH($N803,Species_Names,0))&lt;&gt;1),"N/A",$Y803/MAX(IF(NOT(ISNA(MATCH(Combo_Species_Names,IF(Species_Availability="Yes",IF(Species_Evo_Numbers=1,Species_Names)),0))),Combo_Gym_Defense)))</f>
        <v>N/A</v>
      </c>
      <c r="M803" s="28">
        <f t="array" ref="M803">INDEX(Species_Pdex_Numbers,MATCH($N803,Species_Names,0))</f>
        <v>92</v>
      </c>
      <c r="N803" s="30" t="s">
        <v>279</v>
      </c>
      <c r="O803" s="31" t="s">
        <v>105</v>
      </c>
      <c r="P803" s="31" t="s">
        <v>258</v>
      </c>
      <c r="Q803" s="17" t="e">
        <f t="shared" si="24"/>
        <v>#VALUE!</v>
      </c>
      <c r="R803" s="32" t="e">
        <f t="array" ref="R803">IF(OR(AND(COUNTBLANK(Combo_Opponent_Type_1)=1,COUNTBLANK(Combo_Opponent_Type_2)=0),AND(AND(COUNTBLANK(Combo_Opponent_Type_1)=0,COUNTBLANK(Combo_Opponent_Type_2)=0),Combo_Opponent_Type_1=Combo_Opponent_Type_2)),
"Check Types",($S803*INDEX(Species_Tankiness,MATCH($N803,Species_Names,0)))/225)</f>
        <v>#VALUE!</v>
      </c>
      <c r="S803" s="32" t="e">
        <f t="array" ref="S803">IF(OR(AND(COUNTBLANK(Combo_Opponent_Type_1)=1,COUNTBLANK(Combo_Opponent_Type_2)=0),AND(AND(COUNTBLANK(Combo_Opponent_Type_1)=0,COUNTBLANK(Combo_Opponent_Type_2)=0),Combo_Opponent_Type_1=Combo_Opponent_Type_2)),
"Check Types",(
IF($W803&gt;=((1-Game_Weave_Human_Error)*$X803),$W803,$X803)*INDEX(Species_Attack,MATCH($N803,Species_Names,0)))/11)</f>
        <v>#VALUE!</v>
      </c>
      <c r="T803" s="33" t="e">
        <f t="shared" si="25"/>
        <v>#VALUE!</v>
      </c>
      <c r="U803" s="33">
        <f t="array" ref="U8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803,Quick_Names,0))),Type_Species)),0),1)*IF(COUNTBLANK(Combo_Opponent_Type_2)=0,INDEX(Type_Damage_Multipliers,MATCH(Combo_Opponent_Type_2,IF(Type_Move=(INDEX(Quick_Type,MATCH($O803,Quick_Names,0))),Type_Species)),0),1)*(IF(OR(INDEX(Quick_Type,MATCH($O803,Quick_Names,0))=INDEX(Species_Type_1,MATCH($N803,Species_Names,0)),INDEX(Quick_Type,MATCH($O803,Quick_Names,0))=INDEX(Species_Type_2,MATCH($N803,Species_Names,0))),Game_STAB_Multiplier,1)))</f>
        <v>1.25</v>
      </c>
      <c r="V803" s="33">
        <f t="array" ref="V80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803,Charge_Names,0))),Type_Species)),0),1)*IF(COUNTBLANK(Combo_Opponent_Type_2)=0,INDEX(Type_Damage_Multipliers,MATCH(Combo_Opponent_Type_2,IF(Type_Move=(INDEX(Charge_Type,MATCH($P803,Charge_Names,0))),Type_Species)),0),1)*
IF(OR(INDEX(Charge_Type,MATCH($P803,Charge_Names,0))=INDEX(Species_Type_1,MATCH($N803,Species_Names,0)),INDEX(Charge_Type,MATCH($P803,Charge_Names,0))=INDEX(Species_Type_2,MATCH($N803,Species_Names,0))),Game_STAB_Multiplier,1))</f>
        <v>1</v>
      </c>
      <c r="W803" s="33" t="s">
        <v>622</v>
      </c>
      <c r="X803" s="33" t="s">
        <v>1016</v>
      </c>
      <c r="Y803" s="32" t="e">
        <f t="array" ref="Y803">((($Z803)*
INDEX(Species_Attack,MATCH($N803,Species_Names,0))*
INDEX(Species_Tankiness,MATCH($N803,Species_Names,0)))/1000)</f>
        <v>#VALUE!</v>
      </c>
      <c r="Z803" s="33" t="s">
        <v>705</v>
      </c>
    </row>
    <row r="804" spans="1:26" ht="14.25" customHeight="1" x14ac:dyDescent="0.2">
      <c r="A804" s="86"/>
      <c r="B804" s="22" t="str">
        <f t="array" ref="B804">CONCATENATE(TEXT($M804,"000"),".",TEXT(INDEX(Quick_Number,MATCH($O804,Quick_Names,0)),"000"),".",TEXT(INDEX(Charge_Number,MATCH($P804,Charge_Names,0)),"000"))</f>
        <v>092.212.069</v>
      </c>
      <c r="C804" s="23" t="e">
        <f t="array" ref="C804">RANK($S804,IF(Combo_Species_Names=$N804,Combo_Gym_Offense),0)</f>
        <v>#VALUE!</v>
      </c>
      <c r="D804" s="24" t="e">
        <f t="array" ref="D804">$S804/MAX(IF(Combo_Species_Names=$N804,Combo_Gym_Offense))</f>
        <v>#VALUE!</v>
      </c>
      <c r="E804" s="23" t="e">
        <f t="array" ref="E804">RANK($Y804,IF(Combo_Species_Names=$N804,Combo_Gym_Defense),0)</f>
        <v>#VALUE!</v>
      </c>
      <c r="F804" s="25" t="e">
        <f t="array" ref="F804">$Y804/MAX(IF(Combo_Species_Names=$N804,Combo_Gym_Defense))</f>
        <v>#VALUE!</v>
      </c>
      <c r="G804" s="23" t="str">
        <f t="array" ref="G804">IF(OR(INDEX(Species_Availability,MATCH($N804,Species_Names,0))="No",INDEX(Species_Evo_Numbers,MATCH($N804,Species_Names,0))&lt;&gt;1),"N/A",RANK($R804,IF(NOT(ISNA(MATCH(Combo_Species_Names,IF(Species_Availability="Yes",IF(Species_Evo_Numbers=1,Species_Names)),0))),Combo_Duel_Ability),0))</f>
        <v>N/A</v>
      </c>
      <c r="H804" s="24" t="str">
        <f t="array" ref="H804">IF(OR(INDEX(Species_Availability,MATCH($N804,Species_Names,0))="No",INDEX(Species_Evo_Numbers,MATCH($N804,Species_Names,0))&lt;&gt;1),"N/A",$R804/MAX(IF(NOT(ISNA(MATCH(Combo_Species_Names,IF(Species_Availability="Yes",IF(Species_Evo_Numbers=1,Species_Names)),0))),Combo_Duel_Ability)))</f>
        <v>N/A</v>
      </c>
      <c r="I804" s="23" t="str">
        <f t="array" ref="I804">IF(OR(INDEX(Species_Availability,MATCH($N804,Species_Names,0))="No",INDEX(Species_Evo_Numbers,MATCH($N804,Species_Names,0))&lt;&gt;1),"N/A",RANK($S804,IF(NOT(ISNA(MATCH(Combo_Species_Names,IF(Species_Availability="Yes",IF(Species_Evo_Numbers=1,Species_Names)),0))),Combo_Gym_Offense),0))</f>
        <v>N/A</v>
      </c>
      <c r="J804" s="24" t="str">
        <f t="array" ref="J804">IF(OR(INDEX(Species_Availability,MATCH($N804,Species_Names,0))="No",INDEX(Species_Evo_Numbers,MATCH($N804,Species_Names,0))&lt;&gt;1),"N/A",$S804/MAX(IF(NOT(ISNA(MATCH(Combo_Species_Names,IF(Species_Availability="Yes",IF(Species_Evo_Numbers=1,Species_Names)),0))),Combo_Gym_Offense)))</f>
        <v>N/A</v>
      </c>
      <c r="K804" s="23" t="str">
        <f t="array" ref="K804">IF(OR(INDEX(Species_Availability,MATCH($N804,Species_Names,0))="No",INDEX(Species_Evo_Numbers,MATCH($N804,Species_Names,0))&lt;&gt;1),"N/A",RANK($Y804,IF(NOT(ISNA(MATCH(Combo_Species_Names,IF(Species_Availability="Yes",IF(Species_Evo_Numbers=1,Species_Names)),0))),Combo_Gym_Defense),0))</f>
        <v>N/A</v>
      </c>
      <c r="L804" s="24" t="str">
        <f t="array" ref="L804">IF(OR(INDEX(Species_Availability,MATCH($N804,Species_Names,0))="No",INDEX(Species_Evo_Numbers,MATCH($N804,Species_Names,0))&lt;&gt;1),"N/A",$Y804/MAX(IF(NOT(ISNA(MATCH(Combo_Species_Names,IF(Species_Availability="Yes",IF(Species_Evo_Numbers=1,Species_Names)),0))),Combo_Gym_Defense)))</f>
        <v>N/A</v>
      </c>
      <c r="M804" s="28">
        <f t="array" ref="M804">INDEX(Species_Pdex_Numbers,MATCH($N804,Species_Names,0))</f>
        <v>92</v>
      </c>
      <c r="N804" s="30" t="s">
        <v>279</v>
      </c>
      <c r="O804" s="31" t="s">
        <v>105</v>
      </c>
      <c r="P804" s="31" t="s">
        <v>300</v>
      </c>
      <c r="Q804" s="17" t="e">
        <f t="shared" si="24"/>
        <v>#VALUE!</v>
      </c>
      <c r="R804" s="32" t="e">
        <f t="array" ref="R804">IF(OR(AND(COUNTBLANK(Combo_Opponent_Type_1)=1,COUNTBLANK(Combo_Opponent_Type_2)=0),AND(AND(COUNTBLANK(Combo_Opponent_Type_1)=0,COUNTBLANK(Combo_Opponent_Type_2)=0),Combo_Opponent_Type_1=Combo_Opponent_Type_2)),
"Check Types",($S804*INDEX(Species_Tankiness,MATCH($N804,Species_Names,0)))/225)</f>
        <v>#VALUE!</v>
      </c>
      <c r="S804" s="32" t="e">
        <f t="array" ref="S804">IF(OR(AND(COUNTBLANK(Combo_Opponent_Type_1)=1,COUNTBLANK(Combo_Opponent_Type_2)=0),AND(AND(COUNTBLANK(Combo_Opponent_Type_1)=0,COUNTBLANK(Combo_Opponent_Type_2)=0),Combo_Opponent_Type_1=Combo_Opponent_Type_2)),
"Check Types",(
IF($W804&gt;=((1-Game_Weave_Human_Error)*$X804),$W804,$X804)*INDEX(Species_Attack,MATCH($N804,Species_Names,0)))/11)</f>
        <v>#VALUE!</v>
      </c>
      <c r="T804" s="33" t="e">
        <f t="shared" si="25"/>
        <v>#VALUE!</v>
      </c>
      <c r="U804" s="33">
        <f t="array" ref="U8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804,Quick_Names,0))),Type_Species)),0),1)*IF(COUNTBLANK(Combo_Opponent_Type_2)=0,INDEX(Type_Damage_Multipliers,MATCH(Combo_Opponent_Type_2,IF(Type_Move=(INDEX(Quick_Type,MATCH($O804,Quick_Names,0))),Type_Species)),0),1)*(IF(OR(INDEX(Quick_Type,MATCH($O804,Quick_Names,0))=INDEX(Species_Type_1,MATCH($N804,Species_Names,0)),INDEX(Quick_Type,MATCH($O804,Quick_Names,0))=INDEX(Species_Type_2,MATCH($N804,Species_Names,0))),Game_STAB_Multiplier,1)))</f>
        <v>1.25</v>
      </c>
      <c r="V804" s="33">
        <f t="array" ref="V80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804,Charge_Names,0))),Type_Species)),0),1)*IF(COUNTBLANK(Combo_Opponent_Type_2)=0,INDEX(Type_Damage_Multipliers,MATCH(Combo_Opponent_Type_2,IF(Type_Move=(INDEX(Charge_Type,MATCH($P804,Charge_Names,0))),Type_Species)),0),1)*
IF(OR(INDEX(Charge_Type,MATCH($P804,Charge_Names,0))=INDEX(Species_Type_1,MATCH($N804,Species_Names,0)),INDEX(Charge_Type,MATCH($P804,Charge_Names,0))=INDEX(Species_Type_2,MATCH($N804,Species_Names,0))),Game_STAB_Multiplier,1))</f>
        <v>1.25</v>
      </c>
      <c r="W804" s="33" t="s">
        <v>622</v>
      </c>
      <c r="X804" s="33" t="s">
        <v>419</v>
      </c>
      <c r="Y804" s="32" t="e">
        <f t="array" ref="Y804">((($Z804)*
INDEX(Species_Attack,MATCH($N804,Species_Names,0))*
INDEX(Species_Tankiness,MATCH($N804,Species_Names,0)))/1000)</f>
        <v>#VALUE!</v>
      </c>
      <c r="Z804" s="33" t="s">
        <v>705</v>
      </c>
    </row>
    <row r="805" spans="1:26" ht="14.25" customHeight="1" x14ac:dyDescent="0.2">
      <c r="A805" s="86"/>
      <c r="B805" s="22" t="str">
        <f t="array" ref="B805">CONCATENATE(TEXT($M805,"000"),".",TEXT(INDEX(Quick_Number,MATCH($O805,Quick_Names,0)),"000"),".",TEXT(INDEX(Charge_Number,MATCH($P805,Charge_Names,0)),"000"))</f>
        <v>098.216.053</v>
      </c>
      <c r="C805" s="23" t="e">
        <f t="array" ref="C805">RANK($S805,IF(Combo_Species_Names=$N805,Combo_Gym_Offense),0)</f>
        <v>#VALUE!</v>
      </c>
      <c r="D805" s="24" t="e">
        <f t="array" ref="D805">$S805/MAX(IF(Combo_Species_Names=$N805,Combo_Gym_Offense))</f>
        <v>#VALUE!</v>
      </c>
      <c r="E805" s="23" t="e">
        <f t="array" ref="E805">RANK($Y805,IF(Combo_Species_Names=$N805,Combo_Gym_Defense),0)</f>
        <v>#VALUE!</v>
      </c>
      <c r="F805" s="25" t="e">
        <f t="array" ref="F805">$Y805/MAX(IF(Combo_Species_Names=$N805,Combo_Gym_Defense))</f>
        <v>#VALUE!</v>
      </c>
      <c r="G805" s="23" t="str">
        <f t="array" ref="G805">IF(OR(INDEX(Species_Availability,MATCH($N805,Species_Names,0))="No",INDEX(Species_Evo_Numbers,MATCH($N805,Species_Names,0))&lt;&gt;1),"N/A",RANK($R805,IF(NOT(ISNA(MATCH(Combo_Species_Names,IF(Species_Availability="Yes",IF(Species_Evo_Numbers=1,Species_Names)),0))),Combo_Duel_Ability),0))</f>
        <v>N/A</v>
      </c>
      <c r="H805" s="24" t="str">
        <f t="array" ref="H805">IF(OR(INDEX(Species_Availability,MATCH($N805,Species_Names,0))="No",INDEX(Species_Evo_Numbers,MATCH($N805,Species_Names,0))&lt;&gt;1),"N/A",$R805/MAX(IF(NOT(ISNA(MATCH(Combo_Species_Names,IF(Species_Availability="Yes",IF(Species_Evo_Numbers=1,Species_Names)),0))),Combo_Duel_Ability)))</f>
        <v>N/A</v>
      </c>
      <c r="I805" s="23" t="str">
        <f t="array" ref="I805">IF(OR(INDEX(Species_Availability,MATCH($N805,Species_Names,0))="No",INDEX(Species_Evo_Numbers,MATCH($N805,Species_Names,0))&lt;&gt;1),"N/A",RANK($S805,IF(NOT(ISNA(MATCH(Combo_Species_Names,IF(Species_Availability="Yes",IF(Species_Evo_Numbers=1,Species_Names)),0))),Combo_Gym_Offense),0))</f>
        <v>N/A</v>
      </c>
      <c r="J805" s="24" t="str">
        <f t="array" ref="J805">IF(OR(INDEX(Species_Availability,MATCH($N805,Species_Names,0))="No",INDEX(Species_Evo_Numbers,MATCH($N805,Species_Names,0))&lt;&gt;1),"N/A",$S805/MAX(IF(NOT(ISNA(MATCH(Combo_Species_Names,IF(Species_Availability="Yes",IF(Species_Evo_Numbers=1,Species_Names)),0))),Combo_Gym_Offense)))</f>
        <v>N/A</v>
      </c>
      <c r="K805" s="23" t="str">
        <f t="array" ref="K805">IF(OR(INDEX(Species_Availability,MATCH($N805,Species_Names,0))="No",INDEX(Species_Evo_Numbers,MATCH($N805,Species_Names,0))&lt;&gt;1),"N/A",RANK($Y805,IF(NOT(ISNA(MATCH(Combo_Species_Names,IF(Species_Availability="Yes",IF(Species_Evo_Numbers=1,Species_Names)),0))),Combo_Gym_Defense),0))</f>
        <v>N/A</v>
      </c>
      <c r="L805" s="24" t="str">
        <f t="array" ref="L805">IF(OR(INDEX(Species_Availability,MATCH($N805,Species_Names,0))="No",INDEX(Species_Evo_Numbers,MATCH($N805,Species_Names,0))&lt;&gt;1),"N/A",$Y805/MAX(IF(NOT(ISNA(MATCH(Combo_Species_Names,IF(Species_Availability="Yes",IF(Species_Evo_Numbers=1,Species_Names)),0))),Combo_Gym_Defense)))</f>
        <v>N/A</v>
      </c>
      <c r="M805" s="28">
        <f t="array" ref="M805">INDEX(Species_Pdex_Numbers,MATCH($N805,Species_Names,0))</f>
        <v>98</v>
      </c>
      <c r="N805" s="30" t="s">
        <v>295</v>
      </c>
      <c r="O805" s="31" t="s">
        <v>89</v>
      </c>
      <c r="P805" s="31" t="s">
        <v>289</v>
      </c>
      <c r="Q805" s="17" t="e">
        <f t="shared" si="24"/>
        <v>#VALUE!</v>
      </c>
      <c r="R805" s="32" t="e">
        <f t="array" ref="R805">IF(OR(AND(COUNTBLANK(Combo_Opponent_Type_1)=1,COUNTBLANK(Combo_Opponent_Type_2)=0),AND(AND(COUNTBLANK(Combo_Opponent_Type_1)=0,COUNTBLANK(Combo_Opponent_Type_2)=0),Combo_Opponent_Type_1=Combo_Opponent_Type_2)),
"Check Types",($S805*INDEX(Species_Tankiness,MATCH($N805,Species_Names,0)))/225)</f>
        <v>#VALUE!</v>
      </c>
      <c r="S805" s="32" t="e">
        <f t="array" ref="S805">IF(OR(AND(COUNTBLANK(Combo_Opponent_Type_1)=1,COUNTBLANK(Combo_Opponent_Type_2)=0),AND(AND(COUNTBLANK(Combo_Opponent_Type_1)=0,COUNTBLANK(Combo_Opponent_Type_2)=0),Combo_Opponent_Type_1=Combo_Opponent_Type_2)),
"Check Types",(
IF($W805&gt;=((1-Game_Weave_Human_Error)*$X805),$W805,$X805)*INDEX(Species_Attack,MATCH($N805,Species_Names,0)))/11)</f>
        <v>#VALUE!</v>
      </c>
      <c r="T805" s="33" t="e">
        <f t="shared" si="25"/>
        <v>#VALUE!</v>
      </c>
      <c r="U805" s="33">
        <f t="array" ref="U8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805,Quick_Names,0))),Type_Species)),0),1)*IF(COUNTBLANK(Combo_Opponent_Type_2)=0,INDEX(Type_Damage_Multipliers,MATCH(Combo_Opponent_Type_2,IF(Type_Move=(INDEX(Quick_Type,MATCH($O805,Quick_Names,0))),Type_Species)),0),1)*(IF(OR(INDEX(Quick_Type,MATCH($O805,Quick_Names,0))=INDEX(Species_Type_1,MATCH($N805,Species_Names,0)),INDEX(Quick_Type,MATCH($O805,Quick_Names,0))=INDEX(Species_Type_2,MATCH($N805,Species_Names,0))),Game_STAB_Multiplier,1)))</f>
        <v>1</v>
      </c>
      <c r="V805" s="33">
        <f t="array" ref="V80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805,Charge_Names,0))),Type_Species)),0),1)*IF(COUNTBLANK(Combo_Opponent_Type_2)=0,INDEX(Type_Damage_Multipliers,MATCH(Combo_Opponent_Type_2,IF(Type_Move=(INDEX(Charge_Type,MATCH($P805,Charge_Names,0))),Type_Species)),0),1)*
IF(OR(INDEX(Charge_Type,MATCH($P805,Charge_Names,0))=INDEX(Species_Type_1,MATCH($N805,Species_Names,0)),INDEX(Charge_Type,MATCH($P805,Charge_Names,0))=INDEX(Species_Type_2,MATCH($N805,Species_Names,0))),Game_STAB_Multiplier,1))</f>
        <v>1.25</v>
      </c>
      <c r="W805" s="33" t="s">
        <v>518</v>
      </c>
      <c r="X805" s="33" t="s">
        <v>795</v>
      </c>
      <c r="Y805" s="32" t="e">
        <f t="array" ref="Y805">((($Z805)*
INDEX(Species_Attack,MATCH($N805,Species_Names,0))*
INDEX(Species_Tankiness,MATCH($N805,Species_Names,0)))/1000)</f>
        <v>#VALUE!</v>
      </c>
      <c r="Z805" s="33" t="s">
        <v>1009</v>
      </c>
    </row>
    <row r="806" spans="1:26" ht="14.25" customHeight="1" x14ac:dyDescent="0.2">
      <c r="A806" s="86"/>
      <c r="B806" s="22" t="str">
        <f t="array" ref="B806">CONCATENATE(TEXT($M806,"000"),".",TEXT(INDEX(Quick_Number,MATCH($O806,Quick_Names,0)),"000"),".",TEXT(INDEX(Charge_Number,MATCH($P806,Charge_Names,0)),"000"))</f>
        <v>098.216.020</v>
      </c>
      <c r="C806" s="23" t="e">
        <f t="array" ref="C806">RANK($S806,IF(Combo_Species_Names=$N806,Combo_Gym_Offense),0)</f>
        <v>#VALUE!</v>
      </c>
      <c r="D806" s="24" t="e">
        <f t="array" ref="D806">$S806/MAX(IF(Combo_Species_Names=$N806,Combo_Gym_Offense))</f>
        <v>#VALUE!</v>
      </c>
      <c r="E806" s="23" t="e">
        <f t="array" ref="E806">RANK($Y806,IF(Combo_Species_Names=$N806,Combo_Gym_Defense),0)</f>
        <v>#VALUE!</v>
      </c>
      <c r="F806" s="25" t="e">
        <f t="array" ref="F806">$Y806/MAX(IF(Combo_Species_Names=$N806,Combo_Gym_Defense))</f>
        <v>#VALUE!</v>
      </c>
      <c r="G806" s="23" t="str">
        <f t="array" ref="G806">IF(OR(INDEX(Species_Availability,MATCH($N806,Species_Names,0))="No",INDEX(Species_Evo_Numbers,MATCH($N806,Species_Names,0))&lt;&gt;1),"N/A",RANK($R806,IF(NOT(ISNA(MATCH(Combo_Species_Names,IF(Species_Availability="Yes",IF(Species_Evo_Numbers=1,Species_Names)),0))),Combo_Duel_Ability),0))</f>
        <v>N/A</v>
      </c>
      <c r="H806" s="24" t="str">
        <f t="array" ref="H806">IF(OR(INDEX(Species_Availability,MATCH($N806,Species_Names,0))="No",INDEX(Species_Evo_Numbers,MATCH($N806,Species_Names,0))&lt;&gt;1),"N/A",$R806/MAX(IF(NOT(ISNA(MATCH(Combo_Species_Names,IF(Species_Availability="Yes",IF(Species_Evo_Numbers=1,Species_Names)),0))),Combo_Duel_Ability)))</f>
        <v>N/A</v>
      </c>
      <c r="I806" s="23" t="str">
        <f t="array" ref="I806">IF(OR(INDEX(Species_Availability,MATCH($N806,Species_Names,0))="No",INDEX(Species_Evo_Numbers,MATCH($N806,Species_Names,0))&lt;&gt;1),"N/A",RANK($S806,IF(NOT(ISNA(MATCH(Combo_Species_Names,IF(Species_Availability="Yes",IF(Species_Evo_Numbers=1,Species_Names)),0))),Combo_Gym_Offense),0))</f>
        <v>N/A</v>
      </c>
      <c r="J806" s="24" t="str">
        <f t="array" ref="J806">IF(OR(INDEX(Species_Availability,MATCH($N806,Species_Names,0))="No",INDEX(Species_Evo_Numbers,MATCH($N806,Species_Names,0))&lt;&gt;1),"N/A",$S806/MAX(IF(NOT(ISNA(MATCH(Combo_Species_Names,IF(Species_Availability="Yes",IF(Species_Evo_Numbers=1,Species_Names)),0))),Combo_Gym_Offense)))</f>
        <v>N/A</v>
      </c>
      <c r="K806" s="23" t="str">
        <f t="array" ref="K806">IF(OR(INDEX(Species_Availability,MATCH($N806,Species_Names,0))="No",INDEX(Species_Evo_Numbers,MATCH($N806,Species_Names,0))&lt;&gt;1),"N/A",RANK($Y806,IF(NOT(ISNA(MATCH(Combo_Species_Names,IF(Species_Availability="Yes",IF(Species_Evo_Numbers=1,Species_Names)),0))),Combo_Gym_Defense),0))</f>
        <v>N/A</v>
      </c>
      <c r="L806" s="24" t="str">
        <f t="array" ref="L806">IF(OR(INDEX(Species_Availability,MATCH($N806,Species_Names,0))="No",INDEX(Species_Evo_Numbers,MATCH($N806,Species_Names,0))&lt;&gt;1),"N/A",$Y806/MAX(IF(NOT(ISNA(MATCH(Combo_Species_Names,IF(Species_Availability="Yes",IF(Species_Evo_Numbers=1,Species_Names)),0))),Combo_Gym_Defense)))</f>
        <v>N/A</v>
      </c>
      <c r="M806" s="28">
        <f t="array" ref="M806">INDEX(Species_Pdex_Numbers,MATCH($N806,Species_Names,0))</f>
        <v>98</v>
      </c>
      <c r="N806" s="30" t="s">
        <v>295</v>
      </c>
      <c r="O806" s="31" t="s">
        <v>89</v>
      </c>
      <c r="P806" s="31" t="s">
        <v>267</v>
      </c>
      <c r="Q806" s="17" t="e">
        <f t="shared" si="24"/>
        <v>#VALUE!</v>
      </c>
      <c r="R806" s="32" t="e">
        <f t="array" ref="R806">IF(OR(AND(COUNTBLANK(Combo_Opponent_Type_1)=1,COUNTBLANK(Combo_Opponent_Type_2)=0),AND(AND(COUNTBLANK(Combo_Opponent_Type_1)=0,COUNTBLANK(Combo_Opponent_Type_2)=0),Combo_Opponent_Type_1=Combo_Opponent_Type_2)),
"Check Types",($S806*INDEX(Species_Tankiness,MATCH($N806,Species_Names,0)))/225)</f>
        <v>#VALUE!</v>
      </c>
      <c r="S806" s="32" t="e">
        <f t="array" ref="S806">IF(OR(AND(COUNTBLANK(Combo_Opponent_Type_1)=1,COUNTBLANK(Combo_Opponent_Type_2)=0),AND(AND(COUNTBLANK(Combo_Opponent_Type_1)=0,COUNTBLANK(Combo_Opponent_Type_2)=0),Combo_Opponent_Type_1=Combo_Opponent_Type_2)),
"Check Types",(
IF($W806&gt;=((1-Game_Weave_Human_Error)*$X806),$W806,$X806)*INDEX(Species_Attack,MATCH($N806,Species_Names,0)))/11)</f>
        <v>#VALUE!</v>
      </c>
      <c r="T806" s="33" t="e">
        <f t="shared" si="25"/>
        <v>#VALUE!</v>
      </c>
      <c r="U806" s="33">
        <f t="array" ref="U8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806,Quick_Names,0))),Type_Species)),0),1)*IF(COUNTBLANK(Combo_Opponent_Type_2)=0,INDEX(Type_Damage_Multipliers,MATCH(Combo_Opponent_Type_2,IF(Type_Move=(INDEX(Quick_Type,MATCH($O806,Quick_Names,0))),Type_Species)),0),1)*(IF(OR(INDEX(Quick_Type,MATCH($O806,Quick_Names,0))=INDEX(Species_Type_1,MATCH($N806,Species_Names,0)),INDEX(Quick_Type,MATCH($O806,Quick_Names,0))=INDEX(Species_Type_2,MATCH($N806,Species_Names,0))),Game_STAB_Multiplier,1)))</f>
        <v>1</v>
      </c>
      <c r="V806" s="33">
        <f t="array" ref="V80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806,Charge_Names,0))),Type_Species)),0),1)*IF(COUNTBLANK(Combo_Opponent_Type_2)=0,INDEX(Type_Damage_Multipliers,MATCH(Combo_Opponent_Type_2,IF(Type_Move=(INDEX(Charge_Type,MATCH($P806,Charge_Names,0))),Type_Species)),0),1)*
IF(OR(INDEX(Charge_Type,MATCH($P806,Charge_Names,0))=INDEX(Species_Type_1,MATCH($N806,Species_Names,0)),INDEX(Charge_Type,MATCH($P806,Charge_Names,0))=INDEX(Species_Type_2,MATCH($N806,Species_Names,0))),Game_STAB_Multiplier,1))</f>
        <v>1</v>
      </c>
      <c r="W806" s="33" t="s">
        <v>518</v>
      </c>
      <c r="X806" s="33" t="s">
        <v>895</v>
      </c>
      <c r="Y806" s="32" t="e">
        <f t="array" ref="Y806">((($Z806)*
INDEX(Species_Attack,MATCH($N806,Species_Names,0))*
INDEX(Species_Tankiness,MATCH($N806,Species_Names,0)))/1000)</f>
        <v>#VALUE!</v>
      </c>
      <c r="Z806" s="33" t="s">
        <v>896</v>
      </c>
    </row>
    <row r="807" spans="1:26" ht="14.25" customHeight="1" x14ac:dyDescent="0.2">
      <c r="A807" s="86"/>
      <c r="B807" s="22" t="str">
        <f t="array" ref="B807">CONCATENATE(TEXT($M807,"000"),".",TEXT(INDEX(Quick_Number,MATCH($O807,Quick_Names,0)),"000"),".",TEXT(INDEX(Charge_Number,MATCH($P807,Charge_Names,0)),"000"))</f>
        <v>032.211.126</v>
      </c>
      <c r="C807" s="23" t="e">
        <f t="array" ref="C807">RANK($S807,IF(Combo_Species_Names=$N807,Combo_Gym_Offense),0)</f>
        <v>#VALUE!</v>
      </c>
      <c r="D807" s="24" t="e">
        <f t="array" ref="D807">$S807/MAX(IF(Combo_Species_Names=$N807,Combo_Gym_Offense))</f>
        <v>#VALUE!</v>
      </c>
      <c r="E807" s="23" t="e">
        <f t="array" ref="E807">RANK($Y807,IF(Combo_Species_Names=$N807,Combo_Gym_Defense),0)</f>
        <v>#VALUE!</v>
      </c>
      <c r="F807" s="25" t="e">
        <f t="array" ref="F807">$Y807/MAX(IF(Combo_Species_Names=$N807,Combo_Gym_Defense))</f>
        <v>#VALUE!</v>
      </c>
      <c r="G807" s="23" t="str">
        <f t="array" ref="G807">IF(OR(INDEX(Species_Availability,MATCH($N807,Species_Names,0))="No",INDEX(Species_Evo_Numbers,MATCH($N807,Species_Names,0))&lt;&gt;1),"N/A",RANK($R807,IF(NOT(ISNA(MATCH(Combo_Species_Names,IF(Species_Availability="Yes",IF(Species_Evo_Numbers=1,Species_Names)),0))),Combo_Duel_Ability),0))</f>
        <v>N/A</v>
      </c>
      <c r="H807" s="24" t="str">
        <f t="array" ref="H807">IF(OR(INDEX(Species_Availability,MATCH($N807,Species_Names,0))="No",INDEX(Species_Evo_Numbers,MATCH($N807,Species_Names,0))&lt;&gt;1),"N/A",$R807/MAX(IF(NOT(ISNA(MATCH(Combo_Species_Names,IF(Species_Availability="Yes",IF(Species_Evo_Numbers=1,Species_Names)),0))),Combo_Duel_Ability)))</f>
        <v>N/A</v>
      </c>
      <c r="I807" s="23" t="str">
        <f t="array" ref="I807">IF(OR(INDEX(Species_Availability,MATCH($N807,Species_Names,0))="No",INDEX(Species_Evo_Numbers,MATCH($N807,Species_Names,0))&lt;&gt;1),"N/A",RANK($S807,IF(NOT(ISNA(MATCH(Combo_Species_Names,IF(Species_Availability="Yes",IF(Species_Evo_Numbers=1,Species_Names)),0))),Combo_Gym_Offense),0))</f>
        <v>N/A</v>
      </c>
      <c r="J807" s="24" t="str">
        <f t="array" ref="J807">IF(OR(INDEX(Species_Availability,MATCH($N807,Species_Names,0))="No",INDEX(Species_Evo_Numbers,MATCH($N807,Species_Names,0))&lt;&gt;1),"N/A",$S807/MAX(IF(NOT(ISNA(MATCH(Combo_Species_Names,IF(Species_Availability="Yes",IF(Species_Evo_Numbers=1,Species_Names)),0))),Combo_Gym_Offense)))</f>
        <v>N/A</v>
      </c>
      <c r="K807" s="23" t="str">
        <f t="array" ref="K807">IF(OR(INDEX(Species_Availability,MATCH($N807,Species_Names,0))="No",INDEX(Species_Evo_Numbers,MATCH($N807,Species_Names,0))&lt;&gt;1),"N/A",RANK($Y807,IF(NOT(ISNA(MATCH(Combo_Species_Names,IF(Species_Availability="Yes",IF(Species_Evo_Numbers=1,Species_Names)),0))),Combo_Gym_Defense),0))</f>
        <v>N/A</v>
      </c>
      <c r="L807" s="24" t="str">
        <f t="array" ref="L807">IF(OR(INDEX(Species_Availability,MATCH($N807,Species_Names,0))="No",INDEX(Species_Evo_Numbers,MATCH($N807,Species_Names,0))&lt;&gt;1),"N/A",$Y807/MAX(IF(NOT(ISNA(MATCH(Combo_Species_Names,IF(Species_Availability="Yes",IF(Species_Evo_Numbers=1,Species_Names)),0))),Combo_Gym_Defense)))</f>
        <v>N/A</v>
      </c>
      <c r="M807" s="28">
        <f t="array" ref="M807">INDEX(Species_Pdex_Numbers,MATCH($N807,Species_Names,0))</f>
        <v>32</v>
      </c>
      <c r="N807" s="30" t="s">
        <v>154</v>
      </c>
      <c r="O807" s="31" t="s">
        <v>114</v>
      </c>
      <c r="P807" s="31" t="s">
        <v>275</v>
      </c>
      <c r="Q807" s="17" t="e">
        <f t="shared" si="24"/>
        <v>#VALUE!</v>
      </c>
      <c r="R807" s="32" t="e">
        <f t="array" ref="R807">IF(OR(AND(COUNTBLANK(Combo_Opponent_Type_1)=1,COUNTBLANK(Combo_Opponent_Type_2)=0),AND(AND(COUNTBLANK(Combo_Opponent_Type_1)=0,COUNTBLANK(Combo_Opponent_Type_2)=0),Combo_Opponent_Type_1=Combo_Opponent_Type_2)),
"Check Types",($S807*INDEX(Species_Tankiness,MATCH($N807,Species_Names,0)))/225)</f>
        <v>#VALUE!</v>
      </c>
      <c r="S807" s="32" t="e">
        <f t="array" ref="S807">IF(OR(AND(COUNTBLANK(Combo_Opponent_Type_1)=1,COUNTBLANK(Combo_Opponent_Type_2)=0),AND(AND(COUNTBLANK(Combo_Opponent_Type_1)=0,COUNTBLANK(Combo_Opponent_Type_2)=0),Combo_Opponent_Type_1=Combo_Opponent_Type_2)),
"Check Types",(
IF($W807&gt;=((1-Game_Weave_Human_Error)*$X807),$W807,$X807)*INDEX(Species_Attack,MATCH($N807,Species_Names,0)))/11)</f>
        <v>#VALUE!</v>
      </c>
      <c r="T807" s="33" t="e">
        <f t="shared" si="25"/>
        <v>#VALUE!</v>
      </c>
      <c r="U807" s="33">
        <f t="array" ref="U8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807,Quick_Names,0))),Type_Species)),0),1)*IF(COUNTBLANK(Combo_Opponent_Type_2)=0,INDEX(Type_Damage_Multipliers,MATCH(Combo_Opponent_Type_2,IF(Type_Move=(INDEX(Quick_Type,MATCH($O807,Quick_Names,0))),Type_Species)),0),1)*(IF(OR(INDEX(Quick_Type,MATCH($O807,Quick_Names,0))=INDEX(Species_Type_1,MATCH($N807,Species_Names,0)),INDEX(Quick_Type,MATCH($O807,Quick_Names,0))=INDEX(Species_Type_2,MATCH($N807,Species_Names,0))),Game_STAB_Multiplier,1)))</f>
        <v>1</v>
      </c>
      <c r="V807" s="33">
        <f t="array" ref="V80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807,Charge_Names,0))),Type_Species)),0),1)*IF(COUNTBLANK(Combo_Opponent_Type_2)=0,INDEX(Type_Damage_Multipliers,MATCH(Combo_Opponent_Type_2,IF(Type_Move=(INDEX(Charge_Type,MATCH($P807,Charge_Names,0))),Type_Species)),0),1)*
IF(OR(INDEX(Charge_Type,MATCH($P807,Charge_Names,0))=INDEX(Species_Type_1,MATCH($N807,Species_Names,0)),INDEX(Charge_Type,MATCH($P807,Charge_Names,0))=INDEX(Species_Type_2,MATCH($N807,Species_Names,0))),Game_STAB_Multiplier,1))</f>
        <v>1</v>
      </c>
      <c r="W807" s="33" t="s">
        <v>779</v>
      </c>
      <c r="X807" s="33" t="s">
        <v>1072</v>
      </c>
      <c r="Y807" s="32" t="e">
        <f t="array" ref="Y807">((($Z807)*
INDEX(Species_Attack,MATCH($N807,Species_Names,0))*
INDEX(Species_Tankiness,MATCH($N807,Species_Names,0)))/1000)</f>
        <v>#VALUE!</v>
      </c>
      <c r="Z807" s="33" t="s">
        <v>947</v>
      </c>
    </row>
    <row r="808" spans="1:26" ht="14.25" customHeight="1" x14ac:dyDescent="0.2">
      <c r="A808" s="86"/>
      <c r="B808" s="22" t="str">
        <f t="array" ref="B808">CONCATENATE(TEXT($M808,"000"),".",TEXT(INDEX(Quick_Number,MATCH($O808,Quick_Names,0)),"000"),".",TEXT(INDEX(Charge_Number,MATCH($P808,Charge_Names,0)),"000"))</f>
        <v>021.211.038</v>
      </c>
      <c r="C808" s="23" t="e">
        <f t="array" ref="C808">RANK($S808,IF(Combo_Species_Names=$N808,Combo_Gym_Offense),0)</f>
        <v>#VALUE!</v>
      </c>
      <c r="D808" s="24" t="e">
        <f t="array" ref="D808">$S808/MAX(IF(Combo_Species_Names=$N808,Combo_Gym_Offense))</f>
        <v>#VALUE!</v>
      </c>
      <c r="E808" s="23" t="e">
        <f t="array" ref="E808">RANK($Y808,IF(Combo_Species_Names=$N808,Combo_Gym_Defense),0)</f>
        <v>#VALUE!</v>
      </c>
      <c r="F808" s="25" t="e">
        <f t="array" ref="F808">$Y808/MAX(IF(Combo_Species_Names=$N808,Combo_Gym_Defense))</f>
        <v>#VALUE!</v>
      </c>
      <c r="G808" s="23" t="str">
        <f t="array" ref="G808">IF(OR(INDEX(Species_Availability,MATCH($N808,Species_Names,0))="No",INDEX(Species_Evo_Numbers,MATCH($N808,Species_Names,0))&lt;&gt;1),"N/A",RANK($R808,IF(NOT(ISNA(MATCH(Combo_Species_Names,IF(Species_Availability="Yes",IF(Species_Evo_Numbers=1,Species_Names)),0))),Combo_Duel_Ability),0))</f>
        <v>N/A</v>
      </c>
      <c r="H808" s="24" t="str">
        <f t="array" ref="H808">IF(OR(INDEX(Species_Availability,MATCH($N808,Species_Names,0))="No",INDEX(Species_Evo_Numbers,MATCH($N808,Species_Names,0))&lt;&gt;1),"N/A",$R808/MAX(IF(NOT(ISNA(MATCH(Combo_Species_Names,IF(Species_Availability="Yes",IF(Species_Evo_Numbers=1,Species_Names)),0))),Combo_Duel_Ability)))</f>
        <v>N/A</v>
      </c>
      <c r="I808" s="23" t="str">
        <f t="array" ref="I808">IF(OR(INDEX(Species_Availability,MATCH($N808,Species_Names,0))="No",INDEX(Species_Evo_Numbers,MATCH($N808,Species_Names,0))&lt;&gt;1),"N/A",RANK($S808,IF(NOT(ISNA(MATCH(Combo_Species_Names,IF(Species_Availability="Yes",IF(Species_Evo_Numbers=1,Species_Names)),0))),Combo_Gym_Offense),0))</f>
        <v>N/A</v>
      </c>
      <c r="J808" s="24" t="str">
        <f t="array" ref="J808">IF(OR(INDEX(Species_Availability,MATCH($N808,Species_Names,0))="No",INDEX(Species_Evo_Numbers,MATCH($N808,Species_Names,0))&lt;&gt;1),"N/A",$S808/MAX(IF(NOT(ISNA(MATCH(Combo_Species_Names,IF(Species_Availability="Yes",IF(Species_Evo_Numbers=1,Species_Names)),0))),Combo_Gym_Offense)))</f>
        <v>N/A</v>
      </c>
      <c r="K808" s="23" t="str">
        <f t="array" ref="K808">IF(OR(INDEX(Species_Availability,MATCH($N808,Species_Names,0))="No",INDEX(Species_Evo_Numbers,MATCH($N808,Species_Names,0))&lt;&gt;1),"N/A",RANK($Y808,IF(NOT(ISNA(MATCH(Combo_Species_Names,IF(Species_Availability="Yes",IF(Species_Evo_Numbers=1,Species_Names)),0))),Combo_Gym_Defense),0))</f>
        <v>N/A</v>
      </c>
      <c r="L808" s="24" t="str">
        <f t="array" ref="L808">IF(OR(INDEX(Species_Availability,MATCH($N808,Species_Names,0))="No",INDEX(Species_Evo_Numbers,MATCH($N808,Species_Names,0))&lt;&gt;1),"N/A",$Y808/MAX(IF(NOT(ISNA(MATCH(Combo_Species_Names,IF(Species_Availability="Yes",IF(Species_Evo_Numbers=1,Species_Names)),0))),Combo_Gym_Defense)))</f>
        <v>N/A</v>
      </c>
      <c r="M808" s="28">
        <f t="array" ref="M808">INDEX(Species_Pdex_Numbers,MATCH($N808,Species_Names,0))</f>
        <v>21</v>
      </c>
      <c r="N808" s="30" t="s">
        <v>131</v>
      </c>
      <c r="O808" s="31" t="s">
        <v>114</v>
      </c>
      <c r="P808" s="31" t="s">
        <v>230</v>
      </c>
      <c r="Q808" s="17" t="e">
        <f t="shared" si="24"/>
        <v>#VALUE!</v>
      </c>
      <c r="R808" s="32" t="e">
        <f t="array" ref="R808">IF(OR(AND(COUNTBLANK(Combo_Opponent_Type_1)=1,COUNTBLANK(Combo_Opponent_Type_2)=0),AND(AND(COUNTBLANK(Combo_Opponent_Type_1)=0,COUNTBLANK(Combo_Opponent_Type_2)=0),Combo_Opponent_Type_1=Combo_Opponent_Type_2)),
"Check Types",($S808*INDEX(Species_Tankiness,MATCH($N808,Species_Names,0)))/225)</f>
        <v>#VALUE!</v>
      </c>
      <c r="S808" s="32" t="e">
        <f t="array" ref="S808">IF(OR(AND(COUNTBLANK(Combo_Opponent_Type_1)=1,COUNTBLANK(Combo_Opponent_Type_2)=0),AND(AND(COUNTBLANK(Combo_Opponent_Type_1)=0,COUNTBLANK(Combo_Opponent_Type_2)=0),Combo_Opponent_Type_1=Combo_Opponent_Type_2)),
"Check Types",(
IF($W808&gt;=((1-Game_Weave_Human_Error)*$X808),$W808,$X808)*INDEX(Species_Attack,MATCH($N808,Species_Names,0)))/11)</f>
        <v>#VALUE!</v>
      </c>
      <c r="T808" s="33" t="e">
        <f t="shared" si="25"/>
        <v>#VALUE!</v>
      </c>
      <c r="U808" s="33">
        <f t="array" ref="U8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808,Quick_Names,0))),Type_Species)),0),1)*IF(COUNTBLANK(Combo_Opponent_Type_2)=0,INDEX(Type_Damage_Multipliers,MATCH(Combo_Opponent_Type_2,IF(Type_Move=(INDEX(Quick_Type,MATCH($O808,Quick_Names,0))),Type_Species)),0),1)*(IF(OR(INDEX(Quick_Type,MATCH($O808,Quick_Names,0))=INDEX(Species_Type_1,MATCH($N808,Species_Names,0)),INDEX(Quick_Type,MATCH($O808,Quick_Names,0))=INDEX(Species_Type_2,MATCH($N808,Species_Names,0))),Game_STAB_Multiplier,1)))</f>
        <v>1.25</v>
      </c>
      <c r="V808" s="33">
        <f t="array" ref="V80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808,Charge_Names,0))),Type_Species)),0),1)*IF(COUNTBLANK(Combo_Opponent_Type_2)=0,INDEX(Type_Damage_Multipliers,MATCH(Combo_Opponent_Type_2,IF(Type_Move=(INDEX(Charge_Type,MATCH($P808,Charge_Names,0))),Type_Species)),0),1)*
IF(OR(INDEX(Charge_Type,MATCH($P808,Charge_Names,0))=INDEX(Species_Type_1,MATCH($N808,Species_Names,0)),INDEX(Charge_Type,MATCH($P808,Charge_Names,0))=INDEX(Species_Type_2,MATCH($N808,Species_Names,0))),Game_STAB_Multiplier,1))</f>
        <v>1.25</v>
      </c>
      <c r="W808" s="33" t="s">
        <v>876</v>
      </c>
      <c r="X808" s="33" t="s">
        <v>748</v>
      </c>
      <c r="Y808" s="32" t="e">
        <f t="array" ref="Y808">((($Z808)*
INDEX(Species_Attack,MATCH($N808,Species_Names,0))*
INDEX(Species_Tankiness,MATCH($N808,Species_Names,0)))/1000)</f>
        <v>#VALUE!</v>
      </c>
      <c r="Z808" s="33" t="s">
        <v>728</v>
      </c>
    </row>
    <row r="809" spans="1:26" ht="14.25" customHeight="1" x14ac:dyDescent="0.2">
      <c r="A809" s="86"/>
      <c r="B809" s="22" t="str">
        <f t="array" ref="B809">CONCATENATE(TEXT($M809,"000"),".",TEXT(INDEX(Quick_Number,MATCH($O809,Quick_Names,0)),"000"),".",TEXT(INDEX(Charge_Number,MATCH($P809,Charge_Names,0)),"000"))</f>
        <v>120.219.125</v>
      </c>
      <c r="C809" s="23" t="e">
        <f t="array" ref="C809">RANK($S809,IF(Combo_Species_Names=$N809,Combo_Gym_Offense),0)</f>
        <v>#VALUE!</v>
      </c>
      <c r="D809" s="24" t="e">
        <f t="array" ref="D809">$S809/MAX(IF(Combo_Species_Names=$N809,Combo_Gym_Offense))</f>
        <v>#VALUE!</v>
      </c>
      <c r="E809" s="23" t="e">
        <f t="array" ref="E809">RANK($Y809,IF(Combo_Species_Names=$N809,Combo_Gym_Defense),0)</f>
        <v>#VALUE!</v>
      </c>
      <c r="F809" s="25" t="e">
        <f t="array" ref="F809">$Y809/MAX(IF(Combo_Species_Names=$N809,Combo_Gym_Defense))</f>
        <v>#VALUE!</v>
      </c>
      <c r="G809" s="23" t="str">
        <f t="array" ref="G809">IF(OR(INDEX(Species_Availability,MATCH($N809,Species_Names,0))="No",INDEX(Species_Evo_Numbers,MATCH($N809,Species_Names,0))&lt;&gt;1),"N/A",RANK($R809,IF(NOT(ISNA(MATCH(Combo_Species_Names,IF(Species_Availability="Yes",IF(Species_Evo_Numbers=1,Species_Names)),0))),Combo_Duel_Ability),0))</f>
        <v>N/A</v>
      </c>
      <c r="H809" s="24" t="str">
        <f t="array" ref="H809">IF(OR(INDEX(Species_Availability,MATCH($N809,Species_Names,0))="No",INDEX(Species_Evo_Numbers,MATCH($N809,Species_Names,0))&lt;&gt;1),"N/A",$R809/MAX(IF(NOT(ISNA(MATCH(Combo_Species_Names,IF(Species_Availability="Yes",IF(Species_Evo_Numbers=1,Species_Names)),0))),Combo_Duel_Ability)))</f>
        <v>N/A</v>
      </c>
      <c r="I809" s="23" t="str">
        <f t="array" ref="I809">IF(OR(INDEX(Species_Availability,MATCH($N809,Species_Names,0))="No",INDEX(Species_Evo_Numbers,MATCH($N809,Species_Names,0))&lt;&gt;1),"N/A",RANK($S809,IF(NOT(ISNA(MATCH(Combo_Species_Names,IF(Species_Availability="Yes",IF(Species_Evo_Numbers=1,Species_Names)),0))),Combo_Gym_Offense),0))</f>
        <v>N/A</v>
      </c>
      <c r="J809" s="24" t="str">
        <f t="array" ref="J809">IF(OR(INDEX(Species_Availability,MATCH($N809,Species_Names,0))="No",INDEX(Species_Evo_Numbers,MATCH($N809,Species_Names,0))&lt;&gt;1),"N/A",$S809/MAX(IF(NOT(ISNA(MATCH(Combo_Species_Names,IF(Species_Availability="Yes",IF(Species_Evo_Numbers=1,Species_Names)),0))),Combo_Gym_Offense)))</f>
        <v>N/A</v>
      </c>
      <c r="K809" s="23" t="str">
        <f t="array" ref="K809">IF(OR(INDEX(Species_Availability,MATCH($N809,Species_Names,0))="No",INDEX(Species_Evo_Numbers,MATCH($N809,Species_Names,0))&lt;&gt;1),"N/A",RANK($Y809,IF(NOT(ISNA(MATCH(Combo_Species_Names,IF(Species_Availability="Yes",IF(Species_Evo_Numbers=1,Species_Names)),0))),Combo_Gym_Defense),0))</f>
        <v>N/A</v>
      </c>
      <c r="L809" s="24" t="str">
        <f t="array" ref="L809">IF(OR(INDEX(Species_Availability,MATCH($N809,Species_Names,0))="No",INDEX(Species_Evo_Numbers,MATCH($N809,Species_Names,0))&lt;&gt;1),"N/A",$Y809/MAX(IF(NOT(ISNA(MATCH(Combo_Species_Names,IF(Species_Availability="Yes",IF(Species_Evo_Numbers=1,Species_Names)),0))),Combo_Gym_Defense)))</f>
        <v>N/A</v>
      </c>
      <c r="M809" s="28">
        <f t="array" ref="M809">INDEX(Species_Pdex_Numbers,MATCH($N809,Species_Names,0))</f>
        <v>120</v>
      </c>
      <c r="N809" s="30" t="s">
        <v>334</v>
      </c>
      <c r="O809" s="31" t="s">
        <v>119</v>
      </c>
      <c r="P809" s="31" t="s">
        <v>292</v>
      </c>
      <c r="Q809" s="17" t="e">
        <f t="shared" si="24"/>
        <v>#VALUE!</v>
      </c>
      <c r="R809" s="32" t="e">
        <f t="array" ref="R809">IF(OR(AND(COUNTBLANK(Combo_Opponent_Type_1)=1,COUNTBLANK(Combo_Opponent_Type_2)=0),AND(AND(COUNTBLANK(Combo_Opponent_Type_1)=0,COUNTBLANK(Combo_Opponent_Type_2)=0),Combo_Opponent_Type_1=Combo_Opponent_Type_2)),
"Check Types",($S809*INDEX(Species_Tankiness,MATCH($N809,Species_Names,0)))/225)</f>
        <v>#VALUE!</v>
      </c>
      <c r="S809" s="32" t="e">
        <f t="array" ref="S809">IF(OR(AND(COUNTBLANK(Combo_Opponent_Type_1)=1,COUNTBLANK(Combo_Opponent_Type_2)=0),AND(AND(COUNTBLANK(Combo_Opponent_Type_1)=0,COUNTBLANK(Combo_Opponent_Type_2)=0),Combo_Opponent_Type_1=Combo_Opponent_Type_2)),
"Check Types",(
IF($W809&gt;=((1-Game_Weave_Human_Error)*$X809),$W809,$X809)*INDEX(Species_Attack,MATCH($N809,Species_Names,0)))/11)</f>
        <v>#VALUE!</v>
      </c>
      <c r="T809" s="33" t="e">
        <f t="shared" si="25"/>
        <v>#VALUE!</v>
      </c>
      <c r="U809" s="33">
        <f t="array" ref="U8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809,Quick_Names,0))),Type_Species)),0),1)*IF(COUNTBLANK(Combo_Opponent_Type_2)=0,INDEX(Type_Damage_Multipliers,MATCH(Combo_Opponent_Type_2,IF(Type_Move=(INDEX(Quick_Type,MATCH($O809,Quick_Names,0))),Type_Species)),0),1)*(IF(OR(INDEX(Quick_Type,MATCH($O809,Quick_Names,0))=INDEX(Species_Type_1,MATCH($N809,Species_Names,0)),INDEX(Quick_Type,MATCH($O809,Quick_Names,0))=INDEX(Species_Type_2,MATCH($N809,Species_Names,0))),Game_STAB_Multiplier,1)))</f>
        <v>1</v>
      </c>
      <c r="V809" s="33">
        <f t="array" ref="V80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809,Charge_Names,0))),Type_Species)),0),1)*IF(COUNTBLANK(Combo_Opponent_Type_2)=0,INDEX(Type_Damage_Multipliers,MATCH(Combo_Opponent_Type_2,IF(Type_Move=(INDEX(Charge_Type,MATCH($P809,Charge_Names,0))),Type_Species)),0),1)*
IF(OR(INDEX(Charge_Type,MATCH($P809,Charge_Names,0))=INDEX(Species_Type_1,MATCH($N809,Species_Names,0)),INDEX(Charge_Type,MATCH($P809,Charge_Names,0))=INDEX(Species_Type_2,MATCH($N809,Species_Names,0))),Game_STAB_Multiplier,1))</f>
        <v>1</v>
      </c>
      <c r="W809" s="33" t="s">
        <v>600</v>
      </c>
      <c r="X809" s="33" t="s">
        <v>1092</v>
      </c>
      <c r="Y809" s="32" t="e">
        <f t="array" ref="Y809">((($Z809)*
INDEX(Species_Attack,MATCH($N809,Species_Names,0))*
INDEX(Species_Tankiness,MATCH($N809,Species_Names,0)))/1000)</f>
        <v>#VALUE!</v>
      </c>
      <c r="Z809" s="33" t="s">
        <v>926</v>
      </c>
    </row>
    <row r="810" spans="1:26" ht="14.25" customHeight="1" x14ac:dyDescent="0.2">
      <c r="A810" s="86"/>
      <c r="B810" s="22" t="str">
        <f t="array" ref="B810">CONCATENATE(TEXT($M810,"000"),".",TEXT(INDEX(Quick_Number,MATCH($O810,Quick_Names,0)),"000"),".",TEXT(INDEX(Charge_Number,MATCH($P810,Charge_Names,0)),"000"))</f>
        <v>019.221.131</v>
      </c>
      <c r="C810" s="23" t="e">
        <f t="array" ref="C810">RANK($S810,IF(Combo_Species_Names=$N810,Combo_Gym_Offense),0)</f>
        <v>#VALUE!</v>
      </c>
      <c r="D810" s="24" t="e">
        <f t="array" ref="D810">$S810/MAX(IF(Combo_Species_Names=$N810,Combo_Gym_Offense))</f>
        <v>#VALUE!</v>
      </c>
      <c r="E810" s="23" t="e">
        <f t="array" ref="E810">RANK($Y810,IF(Combo_Species_Names=$N810,Combo_Gym_Defense),0)</f>
        <v>#VALUE!</v>
      </c>
      <c r="F810" s="25" t="e">
        <f t="array" ref="F810">$Y810/MAX(IF(Combo_Species_Names=$N810,Combo_Gym_Defense))</f>
        <v>#VALUE!</v>
      </c>
      <c r="G810" s="23" t="str">
        <f t="array" ref="G810">IF(OR(INDEX(Species_Availability,MATCH($N810,Species_Names,0))="No",INDEX(Species_Evo_Numbers,MATCH($N810,Species_Names,0))&lt;&gt;1),"N/A",RANK($R810,IF(NOT(ISNA(MATCH(Combo_Species_Names,IF(Species_Availability="Yes",IF(Species_Evo_Numbers=1,Species_Names)),0))),Combo_Duel_Ability),0))</f>
        <v>N/A</v>
      </c>
      <c r="H810" s="24" t="str">
        <f t="array" ref="H810">IF(OR(INDEX(Species_Availability,MATCH($N810,Species_Names,0))="No",INDEX(Species_Evo_Numbers,MATCH($N810,Species_Names,0))&lt;&gt;1),"N/A",$R810/MAX(IF(NOT(ISNA(MATCH(Combo_Species_Names,IF(Species_Availability="Yes",IF(Species_Evo_Numbers=1,Species_Names)),0))),Combo_Duel_Ability)))</f>
        <v>N/A</v>
      </c>
      <c r="I810" s="23" t="str">
        <f t="array" ref="I810">IF(OR(INDEX(Species_Availability,MATCH($N810,Species_Names,0))="No",INDEX(Species_Evo_Numbers,MATCH($N810,Species_Names,0))&lt;&gt;1),"N/A",RANK($S810,IF(NOT(ISNA(MATCH(Combo_Species_Names,IF(Species_Availability="Yes",IF(Species_Evo_Numbers=1,Species_Names)),0))),Combo_Gym_Offense),0))</f>
        <v>N/A</v>
      </c>
      <c r="J810" s="24" t="str">
        <f t="array" ref="J810">IF(OR(INDEX(Species_Availability,MATCH($N810,Species_Names,0))="No",INDEX(Species_Evo_Numbers,MATCH($N810,Species_Names,0))&lt;&gt;1),"N/A",$S810/MAX(IF(NOT(ISNA(MATCH(Combo_Species_Names,IF(Species_Availability="Yes",IF(Species_Evo_Numbers=1,Species_Names)),0))),Combo_Gym_Offense)))</f>
        <v>N/A</v>
      </c>
      <c r="K810" s="23" t="str">
        <f t="array" ref="K810">IF(OR(INDEX(Species_Availability,MATCH($N810,Species_Names,0))="No",INDEX(Species_Evo_Numbers,MATCH($N810,Species_Names,0))&lt;&gt;1),"N/A",RANK($Y810,IF(NOT(ISNA(MATCH(Combo_Species_Names,IF(Species_Availability="Yes",IF(Species_Evo_Numbers=1,Species_Names)),0))),Combo_Gym_Defense),0))</f>
        <v>N/A</v>
      </c>
      <c r="L810" s="24" t="str">
        <f t="array" ref="L810">IF(OR(INDEX(Species_Availability,MATCH($N810,Species_Names,0))="No",INDEX(Species_Evo_Numbers,MATCH($N810,Species_Names,0))&lt;&gt;1),"N/A",$Y810/MAX(IF(NOT(ISNA(MATCH(Combo_Species_Names,IF(Species_Availability="Yes",IF(Species_Evo_Numbers=1,Species_Names)),0))),Combo_Gym_Defense)))</f>
        <v>N/A</v>
      </c>
      <c r="M810" s="28">
        <f t="array" ref="M810">INDEX(Species_Pdex_Numbers,MATCH($N810,Species_Names,0))</f>
        <v>19</v>
      </c>
      <c r="N810" s="30" t="s">
        <v>128</v>
      </c>
      <c r="O810" s="31" t="s">
        <v>91</v>
      </c>
      <c r="P810" s="31" t="s">
        <v>151</v>
      </c>
      <c r="Q810" s="17" t="e">
        <f t="shared" si="24"/>
        <v>#VALUE!</v>
      </c>
      <c r="R810" s="32" t="e">
        <f t="array" ref="R810">IF(OR(AND(COUNTBLANK(Combo_Opponent_Type_1)=1,COUNTBLANK(Combo_Opponent_Type_2)=0),AND(AND(COUNTBLANK(Combo_Opponent_Type_1)=0,COUNTBLANK(Combo_Opponent_Type_2)=0),Combo_Opponent_Type_1=Combo_Opponent_Type_2)),
"Check Types",($S810*INDEX(Species_Tankiness,MATCH($N810,Species_Names,0)))/225)</f>
        <v>#VALUE!</v>
      </c>
      <c r="S810" s="32" t="e">
        <f t="array" ref="S810">IF(OR(AND(COUNTBLANK(Combo_Opponent_Type_1)=1,COUNTBLANK(Combo_Opponent_Type_2)=0),AND(AND(COUNTBLANK(Combo_Opponent_Type_1)=0,COUNTBLANK(Combo_Opponent_Type_2)=0),Combo_Opponent_Type_1=Combo_Opponent_Type_2)),
"Check Types",(
IF($W810&gt;=((1-Game_Weave_Human_Error)*$X810),$W810,$X810)*INDEX(Species_Attack,MATCH($N810,Species_Names,0)))/11)</f>
        <v>#VALUE!</v>
      </c>
      <c r="T810" s="33" t="e">
        <f t="shared" si="25"/>
        <v>#VALUE!</v>
      </c>
      <c r="U810" s="33">
        <f t="array" ref="U8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810,Quick_Names,0))),Type_Species)),0),1)*IF(COUNTBLANK(Combo_Opponent_Type_2)=0,INDEX(Type_Damage_Multipliers,MATCH(Combo_Opponent_Type_2,IF(Type_Move=(INDEX(Quick_Type,MATCH($O810,Quick_Names,0))),Type_Species)),0),1)*(IF(OR(INDEX(Quick_Type,MATCH($O810,Quick_Names,0))=INDEX(Species_Type_1,MATCH($N810,Species_Names,0)),INDEX(Quick_Type,MATCH($O810,Quick_Names,0))=INDEX(Species_Type_2,MATCH($N810,Species_Names,0))),Game_STAB_Multiplier,1)))</f>
        <v>1.25</v>
      </c>
      <c r="V810" s="33">
        <f t="array" ref="V81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810,Charge_Names,0))),Type_Species)),0),1)*IF(COUNTBLANK(Combo_Opponent_Type_2)=0,INDEX(Type_Damage_Multipliers,MATCH(Combo_Opponent_Type_2,IF(Type_Move=(INDEX(Charge_Type,MATCH($P810,Charge_Names,0))),Type_Species)),0),1)*
IF(OR(INDEX(Charge_Type,MATCH($P810,Charge_Names,0))=INDEX(Species_Type_1,MATCH($N810,Species_Names,0)),INDEX(Charge_Type,MATCH($P810,Charge_Names,0))=INDEX(Species_Type_2,MATCH($N810,Species_Names,0))),Game_STAB_Multiplier,1))</f>
        <v>1.25</v>
      </c>
      <c r="W810" s="33" t="s">
        <v>700</v>
      </c>
      <c r="X810" s="33" t="s">
        <v>998</v>
      </c>
      <c r="Y810" s="32" t="e">
        <f t="array" ref="Y810">((($Z810)*
INDEX(Species_Attack,MATCH($N810,Species_Names,0))*
INDEX(Species_Tankiness,MATCH($N810,Species_Names,0)))/1000)</f>
        <v>#VALUE!</v>
      </c>
      <c r="Z810" s="33" t="s">
        <v>999</v>
      </c>
    </row>
    <row r="811" spans="1:26" ht="14.25" customHeight="1" x14ac:dyDescent="0.2">
      <c r="A811" s="86"/>
      <c r="B811" s="22" t="str">
        <f t="array" ref="B811">CONCATENATE(TEXT($M811,"000"),".",TEXT(INDEX(Quick_Number,MATCH($O811,Quick_Names,0)),"000"),".",TEXT(INDEX(Charge_Number,MATCH($P811,Charge_Names,0)),"000"))</f>
        <v>037.219.101</v>
      </c>
      <c r="C811" s="23" t="e">
        <f t="array" ref="C811">RANK($S811,IF(Combo_Species_Names=$N811,Combo_Gym_Offense),0)</f>
        <v>#VALUE!</v>
      </c>
      <c r="D811" s="24" t="e">
        <f t="array" ref="D811">$S811/MAX(IF(Combo_Species_Names=$N811,Combo_Gym_Offense))</f>
        <v>#VALUE!</v>
      </c>
      <c r="E811" s="23" t="e">
        <f t="array" ref="E811">RANK($Y811,IF(Combo_Species_Names=$N811,Combo_Gym_Defense),0)</f>
        <v>#VALUE!</v>
      </c>
      <c r="F811" s="25" t="e">
        <f t="array" ref="F811">$Y811/MAX(IF(Combo_Species_Names=$N811,Combo_Gym_Defense))</f>
        <v>#VALUE!</v>
      </c>
      <c r="G811" s="23" t="str">
        <f t="array" ref="G811">IF(OR(INDEX(Species_Availability,MATCH($N811,Species_Names,0))="No",INDEX(Species_Evo_Numbers,MATCH($N811,Species_Names,0))&lt;&gt;1),"N/A",RANK($R811,IF(NOT(ISNA(MATCH(Combo_Species_Names,IF(Species_Availability="Yes",IF(Species_Evo_Numbers=1,Species_Names)),0))),Combo_Duel_Ability),0))</f>
        <v>N/A</v>
      </c>
      <c r="H811" s="24" t="str">
        <f t="array" ref="H811">IF(OR(INDEX(Species_Availability,MATCH($N811,Species_Names,0))="No",INDEX(Species_Evo_Numbers,MATCH($N811,Species_Names,0))&lt;&gt;1),"N/A",$R811/MAX(IF(NOT(ISNA(MATCH(Combo_Species_Names,IF(Species_Availability="Yes",IF(Species_Evo_Numbers=1,Species_Names)),0))),Combo_Duel_Ability)))</f>
        <v>N/A</v>
      </c>
      <c r="I811" s="23" t="str">
        <f t="array" ref="I811">IF(OR(INDEX(Species_Availability,MATCH($N811,Species_Names,0))="No",INDEX(Species_Evo_Numbers,MATCH($N811,Species_Names,0))&lt;&gt;1),"N/A",RANK($S811,IF(NOT(ISNA(MATCH(Combo_Species_Names,IF(Species_Availability="Yes",IF(Species_Evo_Numbers=1,Species_Names)),0))),Combo_Gym_Offense),0))</f>
        <v>N/A</v>
      </c>
      <c r="J811" s="24" t="str">
        <f t="array" ref="J811">IF(OR(INDEX(Species_Availability,MATCH($N811,Species_Names,0))="No",INDEX(Species_Evo_Numbers,MATCH($N811,Species_Names,0))&lt;&gt;1),"N/A",$S811/MAX(IF(NOT(ISNA(MATCH(Combo_Species_Names,IF(Species_Availability="Yes",IF(Species_Evo_Numbers=1,Species_Names)),0))),Combo_Gym_Offense)))</f>
        <v>N/A</v>
      </c>
      <c r="K811" s="23" t="str">
        <f t="array" ref="K811">IF(OR(INDEX(Species_Availability,MATCH($N811,Species_Names,0))="No",INDEX(Species_Evo_Numbers,MATCH($N811,Species_Names,0))&lt;&gt;1),"N/A",RANK($Y811,IF(NOT(ISNA(MATCH(Combo_Species_Names,IF(Species_Availability="Yes",IF(Species_Evo_Numbers=1,Species_Names)),0))),Combo_Gym_Defense),0))</f>
        <v>N/A</v>
      </c>
      <c r="L811" s="24" t="str">
        <f t="array" ref="L811">IF(OR(INDEX(Species_Availability,MATCH($N811,Species_Names,0))="No",INDEX(Species_Evo_Numbers,MATCH($N811,Species_Names,0))&lt;&gt;1),"N/A",$Y811/MAX(IF(NOT(ISNA(MATCH(Combo_Species_Names,IF(Species_Availability="Yes",IF(Species_Evo_Numbers=1,Species_Names)),0))),Combo_Gym_Defense)))</f>
        <v>N/A</v>
      </c>
      <c r="M811" s="28">
        <f t="array" ref="M811">INDEX(Species_Pdex_Numbers,MATCH($N811,Species_Names,0))</f>
        <v>37</v>
      </c>
      <c r="N811" s="30" t="s">
        <v>166</v>
      </c>
      <c r="O811" s="31" t="s">
        <v>119</v>
      </c>
      <c r="P811" s="31" t="s">
        <v>308</v>
      </c>
      <c r="Q811" s="17" t="e">
        <f t="shared" si="24"/>
        <v>#VALUE!</v>
      </c>
      <c r="R811" s="32" t="e">
        <f t="array" ref="R811">IF(OR(AND(COUNTBLANK(Combo_Opponent_Type_1)=1,COUNTBLANK(Combo_Opponent_Type_2)=0),AND(AND(COUNTBLANK(Combo_Opponent_Type_1)=0,COUNTBLANK(Combo_Opponent_Type_2)=0),Combo_Opponent_Type_1=Combo_Opponent_Type_2)),
"Check Types",($S811*INDEX(Species_Tankiness,MATCH($N811,Species_Names,0)))/225)</f>
        <v>#VALUE!</v>
      </c>
      <c r="S811" s="32" t="e">
        <f t="array" ref="S811">IF(OR(AND(COUNTBLANK(Combo_Opponent_Type_1)=1,COUNTBLANK(Combo_Opponent_Type_2)=0),AND(AND(COUNTBLANK(Combo_Opponent_Type_1)=0,COUNTBLANK(Combo_Opponent_Type_2)=0),Combo_Opponent_Type_1=Combo_Opponent_Type_2)),
"Check Types",(
IF($W811&gt;=((1-Game_Weave_Human_Error)*$X811),$W811,$X811)*INDEX(Species_Attack,MATCH($N811,Species_Names,0)))/11)</f>
        <v>#VALUE!</v>
      </c>
      <c r="T811" s="33" t="e">
        <f t="shared" si="25"/>
        <v>#VALUE!</v>
      </c>
      <c r="U811" s="33">
        <f t="array" ref="U8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811,Quick_Names,0))),Type_Species)),0),1)*IF(COUNTBLANK(Combo_Opponent_Type_2)=0,INDEX(Type_Damage_Multipliers,MATCH(Combo_Opponent_Type_2,IF(Type_Move=(INDEX(Quick_Type,MATCH($O811,Quick_Names,0))),Type_Species)),0),1)*(IF(OR(INDEX(Quick_Type,MATCH($O811,Quick_Names,0))=INDEX(Species_Type_1,MATCH($N811,Species_Names,0)),INDEX(Quick_Type,MATCH($O811,Quick_Names,0))=INDEX(Species_Type_2,MATCH($N811,Species_Names,0))),Game_STAB_Multiplier,1)))</f>
        <v>1</v>
      </c>
      <c r="V811" s="33">
        <f t="array" ref="V81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811,Charge_Names,0))),Type_Species)),0),1)*IF(COUNTBLANK(Combo_Opponent_Type_2)=0,INDEX(Type_Damage_Multipliers,MATCH(Combo_Opponent_Type_2,IF(Type_Move=(INDEX(Charge_Type,MATCH($P811,Charge_Names,0))),Type_Species)),0),1)*
IF(OR(INDEX(Charge_Type,MATCH($P811,Charge_Names,0))=INDEX(Species_Type_1,MATCH($N811,Species_Names,0)),INDEX(Charge_Type,MATCH($P811,Charge_Names,0))=INDEX(Species_Type_2,MATCH($N811,Species_Names,0))),Game_STAB_Multiplier,1))</f>
        <v>1.25</v>
      </c>
      <c r="W811" s="33" t="s">
        <v>600</v>
      </c>
      <c r="X811" s="33" t="s">
        <v>1093</v>
      </c>
      <c r="Y811" s="32" t="e">
        <f t="array" ref="Y811">((($Z811)*
INDEX(Species_Attack,MATCH($N811,Species_Names,0))*
INDEX(Species_Tankiness,MATCH($N811,Species_Names,0)))/1000)</f>
        <v>#VALUE!</v>
      </c>
      <c r="Z811" s="33" t="s">
        <v>411</v>
      </c>
    </row>
    <row r="812" spans="1:26" ht="14.25" customHeight="1" x14ac:dyDescent="0.2">
      <c r="A812" s="86"/>
      <c r="B812" s="22" t="str">
        <f t="array" ref="B812">CONCATENATE(TEXT($M812,"000"),".",TEXT(INDEX(Quick_Number,MATCH($O812,Quick_Names,0)),"000"),".",TEXT(INDEX(Charge_Number,MATCH($P812,Charge_Names,0)),"000"))</f>
        <v>041.219.090</v>
      </c>
      <c r="C812" s="23" t="e">
        <f t="array" ref="C812">RANK($S812,IF(Combo_Species_Names=$N812,Combo_Gym_Offense),0)</f>
        <v>#VALUE!</v>
      </c>
      <c r="D812" s="24" t="e">
        <f t="array" ref="D812">$S812/MAX(IF(Combo_Species_Names=$N812,Combo_Gym_Offense))</f>
        <v>#VALUE!</v>
      </c>
      <c r="E812" s="23" t="e">
        <f t="array" ref="E812">RANK($Y812,IF(Combo_Species_Names=$N812,Combo_Gym_Defense),0)</f>
        <v>#VALUE!</v>
      </c>
      <c r="F812" s="25" t="e">
        <f t="array" ref="F812">$Y812/MAX(IF(Combo_Species_Names=$N812,Combo_Gym_Defense))</f>
        <v>#VALUE!</v>
      </c>
      <c r="G812" s="23" t="str">
        <f t="array" ref="G812">IF(OR(INDEX(Species_Availability,MATCH($N812,Species_Names,0))="No",INDEX(Species_Evo_Numbers,MATCH($N812,Species_Names,0))&lt;&gt;1),"N/A",RANK($R812,IF(NOT(ISNA(MATCH(Combo_Species_Names,IF(Species_Availability="Yes",IF(Species_Evo_Numbers=1,Species_Names)),0))),Combo_Duel_Ability),0))</f>
        <v>N/A</v>
      </c>
      <c r="H812" s="24" t="str">
        <f t="array" ref="H812">IF(OR(INDEX(Species_Availability,MATCH($N812,Species_Names,0))="No",INDEX(Species_Evo_Numbers,MATCH($N812,Species_Names,0))&lt;&gt;1),"N/A",$R812/MAX(IF(NOT(ISNA(MATCH(Combo_Species_Names,IF(Species_Availability="Yes",IF(Species_Evo_Numbers=1,Species_Names)),0))),Combo_Duel_Ability)))</f>
        <v>N/A</v>
      </c>
      <c r="I812" s="23" t="str">
        <f t="array" ref="I812">IF(OR(INDEX(Species_Availability,MATCH($N812,Species_Names,0))="No",INDEX(Species_Evo_Numbers,MATCH($N812,Species_Names,0))&lt;&gt;1),"N/A",RANK($S812,IF(NOT(ISNA(MATCH(Combo_Species_Names,IF(Species_Availability="Yes",IF(Species_Evo_Numbers=1,Species_Names)),0))),Combo_Gym_Offense),0))</f>
        <v>N/A</v>
      </c>
      <c r="J812" s="24" t="str">
        <f t="array" ref="J812">IF(OR(INDEX(Species_Availability,MATCH($N812,Species_Names,0))="No",INDEX(Species_Evo_Numbers,MATCH($N812,Species_Names,0))&lt;&gt;1),"N/A",$S812/MAX(IF(NOT(ISNA(MATCH(Combo_Species_Names,IF(Species_Availability="Yes",IF(Species_Evo_Numbers=1,Species_Names)),0))),Combo_Gym_Offense)))</f>
        <v>N/A</v>
      </c>
      <c r="K812" s="23" t="str">
        <f t="array" ref="K812">IF(OR(INDEX(Species_Availability,MATCH($N812,Species_Names,0))="No",INDEX(Species_Evo_Numbers,MATCH($N812,Species_Names,0))&lt;&gt;1),"N/A",RANK($Y812,IF(NOT(ISNA(MATCH(Combo_Species_Names,IF(Species_Availability="Yes",IF(Species_Evo_Numbers=1,Species_Names)),0))),Combo_Gym_Defense),0))</f>
        <v>N/A</v>
      </c>
      <c r="L812" s="24" t="str">
        <f t="array" ref="L812">IF(OR(INDEX(Species_Availability,MATCH($N812,Species_Names,0))="No",INDEX(Species_Evo_Numbers,MATCH($N812,Species_Names,0))&lt;&gt;1),"N/A",$Y812/MAX(IF(NOT(ISNA(MATCH(Combo_Species_Names,IF(Species_Availability="Yes",IF(Species_Evo_Numbers=1,Species_Names)),0))),Combo_Gym_Defense)))</f>
        <v>N/A</v>
      </c>
      <c r="M812" s="28">
        <f t="array" ref="M812">INDEX(Species_Pdex_Numbers,MATCH($N812,Species_Names,0))</f>
        <v>41</v>
      </c>
      <c r="N812" s="30" t="s">
        <v>173</v>
      </c>
      <c r="O812" s="31" t="s">
        <v>119</v>
      </c>
      <c r="P812" s="31" t="s">
        <v>180</v>
      </c>
      <c r="Q812" s="17" t="e">
        <f t="shared" si="24"/>
        <v>#VALUE!</v>
      </c>
      <c r="R812" s="32" t="e">
        <f t="array" ref="R812">IF(OR(AND(COUNTBLANK(Combo_Opponent_Type_1)=1,COUNTBLANK(Combo_Opponent_Type_2)=0),AND(AND(COUNTBLANK(Combo_Opponent_Type_1)=0,COUNTBLANK(Combo_Opponent_Type_2)=0),Combo_Opponent_Type_1=Combo_Opponent_Type_2)),
"Check Types",($S812*INDEX(Species_Tankiness,MATCH($N812,Species_Names,0)))/225)</f>
        <v>#VALUE!</v>
      </c>
      <c r="S812" s="32" t="e">
        <f t="array" ref="S812">IF(OR(AND(COUNTBLANK(Combo_Opponent_Type_1)=1,COUNTBLANK(Combo_Opponent_Type_2)=0),AND(AND(COUNTBLANK(Combo_Opponent_Type_1)=0,COUNTBLANK(Combo_Opponent_Type_2)=0),Combo_Opponent_Type_1=Combo_Opponent_Type_2)),
"Check Types",(
IF($W812&gt;=((1-Game_Weave_Human_Error)*$X812),$W812,$X812)*INDEX(Species_Attack,MATCH($N812,Species_Names,0)))/11)</f>
        <v>#VALUE!</v>
      </c>
      <c r="T812" s="33" t="e">
        <f t="shared" si="25"/>
        <v>#VALUE!</v>
      </c>
      <c r="U812" s="33">
        <f t="array" ref="U8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812,Quick_Names,0))),Type_Species)),0),1)*IF(COUNTBLANK(Combo_Opponent_Type_2)=0,INDEX(Type_Damage_Multipliers,MATCH(Combo_Opponent_Type_2,IF(Type_Move=(INDEX(Quick_Type,MATCH($O812,Quick_Names,0))),Type_Species)),0),1)*(IF(OR(INDEX(Quick_Type,MATCH($O812,Quick_Names,0))=INDEX(Species_Type_1,MATCH($N812,Species_Names,0)),INDEX(Quick_Type,MATCH($O812,Quick_Names,0))=INDEX(Species_Type_2,MATCH($N812,Species_Names,0))),Game_STAB_Multiplier,1)))</f>
        <v>1</v>
      </c>
      <c r="V812" s="33">
        <f t="array" ref="V81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812,Charge_Names,0))),Type_Species)),0),1)*IF(COUNTBLANK(Combo_Opponent_Type_2)=0,INDEX(Type_Damage_Multipliers,MATCH(Combo_Opponent_Type_2,IF(Type_Move=(INDEX(Charge_Type,MATCH($P812,Charge_Names,0))),Type_Species)),0),1)*
IF(OR(INDEX(Charge_Type,MATCH($P812,Charge_Names,0))=INDEX(Species_Type_1,MATCH($N812,Species_Names,0)),INDEX(Charge_Type,MATCH($P812,Charge_Names,0))=INDEX(Species_Type_2,MATCH($N812,Species_Names,0))),Game_STAB_Multiplier,1))</f>
        <v>1.25</v>
      </c>
      <c r="W812" s="33" t="s">
        <v>600</v>
      </c>
      <c r="X812" s="33" t="s">
        <v>694</v>
      </c>
      <c r="Y812" s="32" t="e">
        <f t="array" ref="Y812">((($Z812)*
INDEX(Species_Attack,MATCH($N812,Species_Names,0))*
INDEX(Species_Tankiness,MATCH($N812,Species_Names,0)))/1000)</f>
        <v>#VALUE!</v>
      </c>
      <c r="Z812" s="33" t="s">
        <v>699</v>
      </c>
    </row>
    <row r="813" spans="1:26" ht="14.25" customHeight="1" x14ac:dyDescent="0.2">
      <c r="A813" s="86"/>
      <c r="B813" s="22" t="str">
        <f t="array" ref="B813">CONCATENATE(TEXT($M813,"000"),".",TEXT(INDEX(Quick_Number,MATCH($O813,Quick_Names,0)),"000"),".",TEXT(INDEX(Charge_Number,MATCH($P813,Charge_Names,0)),"000"))</f>
        <v>021.219.038</v>
      </c>
      <c r="C813" s="23" t="e">
        <f t="array" ref="C813">RANK($S813,IF(Combo_Species_Names=$N813,Combo_Gym_Offense),0)</f>
        <v>#VALUE!</v>
      </c>
      <c r="D813" s="24" t="e">
        <f t="array" ref="D813">$S813/MAX(IF(Combo_Species_Names=$N813,Combo_Gym_Offense))</f>
        <v>#VALUE!</v>
      </c>
      <c r="E813" s="23" t="e">
        <f t="array" ref="E813">RANK($Y813,IF(Combo_Species_Names=$N813,Combo_Gym_Defense),0)</f>
        <v>#VALUE!</v>
      </c>
      <c r="F813" s="25" t="e">
        <f t="array" ref="F813">$Y813/MAX(IF(Combo_Species_Names=$N813,Combo_Gym_Defense))</f>
        <v>#VALUE!</v>
      </c>
      <c r="G813" s="23" t="str">
        <f t="array" ref="G813">IF(OR(INDEX(Species_Availability,MATCH($N813,Species_Names,0))="No",INDEX(Species_Evo_Numbers,MATCH($N813,Species_Names,0))&lt;&gt;1),"N/A",RANK($R813,IF(NOT(ISNA(MATCH(Combo_Species_Names,IF(Species_Availability="Yes",IF(Species_Evo_Numbers=1,Species_Names)),0))),Combo_Duel_Ability),0))</f>
        <v>N/A</v>
      </c>
      <c r="H813" s="24" t="str">
        <f t="array" ref="H813">IF(OR(INDEX(Species_Availability,MATCH($N813,Species_Names,0))="No",INDEX(Species_Evo_Numbers,MATCH($N813,Species_Names,0))&lt;&gt;1),"N/A",$R813/MAX(IF(NOT(ISNA(MATCH(Combo_Species_Names,IF(Species_Availability="Yes",IF(Species_Evo_Numbers=1,Species_Names)),0))),Combo_Duel_Ability)))</f>
        <v>N/A</v>
      </c>
      <c r="I813" s="23" t="str">
        <f t="array" ref="I813">IF(OR(INDEX(Species_Availability,MATCH($N813,Species_Names,0))="No",INDEX(Species_Evo_Numbers,MATCH($N813,Species_Names,0))&lt;&gt;1),"N/A",RANK($S813,IF(NOT(ISNA(MATCH(Combo_Species_Names,IF(Species_Availability="Yes",IF(Species_Evo_Numbers=1,Species_Names)),0))),Combo_Gym_Offense),0))</f>
        <v>N/A</v>
      </c>
      <c r="J813" s="24" t="str">
        <f t="array" ref="J813">IF(OR(INDEX(Species_Availability,MATCH($N813,Species_Names,0))="No",INDEX(Species_Evo_Numbers,MATCH($N813,Species_Names,0))&lt;&gt;1),"N/A",$S813/MAX(IF(NOT(ISNA(MATCH(Combo_Species_Names,IF(Species_Availability="Yes",IF(Species_Evo_Numbers=1,Species_Names)),0))),Combo_Gym_Offense)))</f>
        <v>N/A</v>
      </c>
      <c r="K813" s="23" t="str">
        <f t="array" ref="K813">IF(OR(INDEX(Species_Availability,MATCH($N813,Species_Names,0))="No",INDEX(Species_Evo_Numbers,MATCH($N813,Species_Names,0))&lt;&gt;1),"N/A",RANK($Y813,IF(NOT(ISNA(MATCH(Combo_Species_Names,IF(Species_Availability="Yes",IF(Species_Evo_Numbers=1,Species_Names)),0))),Combo_Gym_Defense),0))</f>
        <v>N/A</v>
      </c>
      <c r="L813" s="24" t="str">
        <f t="array" ref="L813">IF(OR(INDEX(Species_Availability,MATCH($N813,Species_Names,0))="No",INDEX(Species_Evo_Numbers,MATCH($N813,Species_Names,0))&lt;&gt;1),"N/A",$Y813/MAX(IF(NOT(ISNA(MATCH(Combo_Species_Names,IF(Species_Availability="Yes",IF(Species_Evo_Numbers=1,Species_Names)),0))),Combo_Gym_Defense)))</f>
        <v>N/A</v>
      </c>
      <c r="M813" s="28">
        <f t="array" ref="M813">INDEX(Species_Pdex_Numbers,MATCH($N813,Species_Names,0))</f>
        <v>21</v>
      </c>
      <c r="N813" s="30" t="s">
        <v>131</v>
      </c>
      <c r="O813" s="31" t="s">
        <v>119</v>
      </c>
      <c r="P813" s="31" t="s">
        <v>230</v>
      </c>
      <c r="Q813" s="17" t="e">
        <f t="shared" si="24"/>
        <v>#VALUE!</v>
      </c>
      <c r="R813" s="32" t="e">
        <f t="array" ref="R813">IF(OR(AND(COUNTBLANK(Combo_Opponent_Type_1)=1,COUNTBLANK(Combo_Opponent_Type_2)=0),AND(AND(COUNTBLANK(Combo_Opponent_Type_1)=0,COUNTBLANK(Combo_Opponent_Type_2)=0),Combo_Opponent_Type_1=Combo_Opponent_Type_2)),
"Check Types",($S813*INDEX(Species_Tankiness,MATCH($N813,Species_Names,0)))/225)</f>
        <v>#VALUE!</v>
      </c>
      <c r="S813" s="32" t="e">
        <f t="array" ref="S813">IF(OR(AND(COUNTBLANK(Combo_Opponent_Type_1)=1,COUNTBLANK(Combo_Opponent_Type_2)=0),AND(AND(COUNTBLANK(Combo_Opponent_Type_1)=0,COUNTBLANK(Combo_Opponent_Type_2)=0),Combo_Opponent_Type_1=Combo_Opponent_Type_2)),
"Check Types",(
IF($W813&gt;=((1-Game_Weave_Human_Error)*$X813),$W813,$X813)*INDEX(Species_Attack,MATCH($N813,Species_Names,0)))/11)</f>
        <v>#VALUE!</v>
      </c>
      <c r="T813" s="33" t="e">
        <f t="shared" si="25"/>
        <v>#VALUE!</v>
      </c>
      <c r="U813" s="33">
        <f t="array" ref="U8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813,Quick_Names,0))),Type_Species)),0),1)*IF(COUNTBLANK(Combo_Opponent_Type_2)=0,INDEX(Type_Damage_Multipliers,MATCH(Combo_Opponent_Type_2,IF(Type_Move=(INDEX(Quick_Type,MATCH($O813,Quick_Names,0))),Type_Species)),0),1)*(IF(OR(INDEX(Quick_Type,MATCH($O813,Quick_Names,0))=INDEX(Species_Type_1,MATCH($N813,Species_Names,0)),INDEX(Quick_Type,MATCH($O813,Quick_Names,0))=INDEX(Species_Type_2,MATCH($N813,Species_Names,0))),Game_STAB_Multiplier,1)))</f>
        <v>1.25</v>
      </c>
      <c r="V813" s="33">
        <f t="array" ref="V81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813,Charge_Names,0))),Type_Species)),0),1)*IF(COUNTBLANK(Combo_Opponent_Type_2)=0,INDEX(Type_Damage_Multipliers,MATCH(Combo_Opponent_Type_2,IF(Type_Move=(INDEX(Charge_Type,MATCH($P813,Charge_Names,0))),Type_Species)),0),1)*
IF(OR(INDEX(Charge_Type,MATCH($P813,Charge_Names,0))=INDEX(Species_Type_1,MATCH($N813,Species_Names,0)),INDEX(Charge_Type,MATCH($P813,Charge_Names,0))=INDEX(Species_Type_2,MATCH($N813,Species_Names,0))),Game_STAB_Multiplier,1))</f>
        <v>1.25</v>
      </c>
      <c r="W813" s="33" t="s">
        <v>564</v>
      </c>
      <c r="X813" s="33" t="s">
        <v>1079</v>
      </c>
      <c r="Y813" s="32" t="e">
        <f t="array" ref="Y813">((($Z813)*
INDEX(Species_Attack,MATCH($N813,Species_Names,0))*
INDEX(Species_Tankiness,MATCH($N813,Species_Names,0)))/1000)</f>
        <v>#VALUE!</v>
      </c>
      <c r="Z813" s="33" t="s">
        <v>1080</v>
      </c>
    </row>
    <row r="814" spans="1:26" ht="14.25" customHeight="1" x14ac:dyDescent="0.2">
      <c r="A814" s="86"/>
      <c r="B814" s="22" t="str">
        <f t="array" ref="B814">CONCATENATE(TEXT($M814,"000"),".",TEXT(INDEX(Quick_Number,MATCH($O814,Quick_Names,0)),"000"),".",TEXT(INDEX(Charge_Number,MATCH($P814,Charge_Names,0)),"000"))</f>
        <v>041.202.121</v>
      </c>
      <c r="C814" s="23" t="e">
        <f t="array" ref="C814">RANK($S814,IF(Combo_Species_Names=$N814,Combo_Gym_Offense),0)</f>
        <v>#VALUE!</v>
      </c>
      <c r="D814" s="24" t="e">
        <f t="array" ref="D814">$S814/MAX(IF(Combo_Species_Names=$N814,Combo_Gym_Offense))</f>
        <v>#VALUE!</v>
      </c>
      <c r="E814" s="23" t="e">
        <f t="array" ref="E814">RANK($Y814,IF(Combo_Species_Names=$N814,Combo_Gym_Defense),0)</f>
        <v>#VALUE!</v>
      </c>
      <c r="F814" s="25" t="e">
        <f t="array" ref="F814">$Y814/MAX(IF(Combo_Species_Names=$N814,Combo_Gym_Defense))</f>
        <v>#VALUE!</v>
      </c>
      <c r="G814" s="23" t="str">
        <f t="array" ref="G814">IF(OR(INDEX(Species_Availability,MATCH($N814,Species_Names,0))="No",INDEX(Species_Evo_Numbers,MATCH($N814,Species_Names,0))&lt;&gt;1),"N/A",RANK($R814,IF(NOT(ISNA(MATCH(Combo_Species_Names,IF(Species_Availability="Yes",IF(Species_Evo_Numbers=1,Species_Names)),0))),Combo_Duel_Ability),0))</f>
        <v>N/A</v>
      </c>
      <c r="H814" s="24" t="str">
        <f t="array" ref="H814">IF(OR(INDEX(Species_Availability,MATCH($N814,Species_Names,0))="No",INDEX(Species_Evo_Numbers,MATCH($N814,Species_Names,0))&lt;&gt;1),"N/A",$R814/MAX(IF(NOT(ISNA(MATCH(Combo_Species_Names,IF(Species_Availability="Yes",IF(Species_Evo_Numbers=1,Species_Names)),0))),Combo_Duel_Ability)))</f>
        <v>N/A</v>
      </c>
      <c r="I814" s="23" t="str">
        <f t="array" ref="I814">IF(OR(INDEX(Species_Availability,MATCH($N814,Species_Names,0))="No",INDEX(Species_Evo_Numbers,MATCH($N814,Species_Names,0))&lt;&gt;1),"N/A",RANK($S814,IF(NOT(ISNA(MATCH(Combo_Species_Names,IF(Species_Availability="Yes",IF(Species_Evo_Numbers=1,Species_Names)),0))),Combo_Gym_Offense),0))</f>
        <v>N/A</v>
      </c>
      <c r="J814" s="24" t="str">
        <f t="array" ref="J814">IF(OR(INDEX(Species_Availability,MATCH($N814,Species_Names,0))="No",INDEX(Species_Evo_Numbers,MATCH($N814,Species_Names,0))&lt;&gt;1),"N/A",$S814/MAX(IF(NOT(ISNA(MATCH(Combo_Species_Names,IF(Species_Availability="Yes",IF(Species_Evo_Numbers=1,Species_Names)),0))),Combo_Gym_Offense)))</f>
        <v>N/A</v>
      </c>
      <c r="K814" s="23" t="str">
        <f t="array" ref="K814">IF(OR(INDEX(Species_Availability,MATCH($N814,Species_Names,0))="No",INDEX(Species_Evo_Numbers,MATCH($N814,Species_Names,0))&lt;&gt;1),"N/A",RANK($Y814,IF(NOT(ISNA(MATCH(Combo_Species_Names,IF(Species_Availability="Yes",IF(Species_Evo_Numbers=1,Species_Names)),0))),Combo_Gym_Defense),0))</f>
        <v>N/A</v>
      </c>
      <c r="L814" s="24" t="str">
        <f t="array" ref="L814">IF(OR(INDEX(Species_Availability,MATCH($N814,Species_Names,0))="No",INDEX(Species_Evo_Numbers,MATCH($N814,Species_Names,0))&lt;&gt;1),"N/A",$Y814/MAX(IF(NOT(ISNA(MATCH(Combo_Species_Names,IF(Species_Availability="Yes",IF(Species_Evo_Numbers=1,Species_Names)),0))),Combo_Gym_Defense)))</f>
        <v>N/A</v>
      </c>
      <c r="M814" s="28">
        <f t="array" ref="M814">INDEX(Species_Pdex_Numbers,MATCH($N814,Species_Names,0))</f>
        <v>41</v>
      </c>
      <c r="N814" s="30" t="s">
        <v>173</v>
      </c>
      <c r="O814" s="31" t="s">
        <v>59</v>
      </c>
      <c r="P814" s="31" t="s">
        <v>294</v>
      </c>
      <c r="Q814" s="17" t="e">
        <f t="shared" si="24"/>
        <v>#VALUE!</v>
      </c>
      <c r="R814" s="32" t="e">
        <f t="array" ref="R814">IF(OR(AND(COUNTBLANK(Combo_Opponent_Type_1)=1,COUNTBLANK(Combo_Opponent_Type_2)=0),AND(AND(COUNTBLANK(Combo_Opponent_Type_1)=0,COUNTBLANK(Combo_Opponent_Type_2)=0),Combo_Opponent_Type_1=Combo_Opponent_Type_2)),
"Check Types",($S814*INDEX(Species_Tankiness,MATCH($N814,Species_Names,0)))/225)</f>
        <v>#VALUE!</v>
      </c>
      <c r="S814" s="32" t="e">
        <f t="array" ref="S814">IF(OR(AND(COUNTBLANK(Combo_Opponent_Type_1)=1,COUNTBLANK(Combo_Opponent_Type_2)=0),AND(AND(COUNTBLANK(Combo_Opponent_Type_1)=0,COUNTBLANK(Combo_Opponent_Type_2)=0),Combo_Opponent_Type_1=Combo_Opponent_Type_2)),
"Check Types",(
IF($W814&gt;=((1-Game_Weave_Human_Error)*$X814),$W814,$X814)*INDEX(Species_Attack,MATCH($N814,Species_Names,0)))/11)</f>
        <v>#VALUE!</v>
      </c>
      <c r="T814" s="33" t="e">
        <f t="shared" si="25"/>
        <v>#VALUE!</v>
      </c>
      <c r="U814" s="33">
        <f t="array" ref="U8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814,Quick_Names,0))),Type_Species)),0),1)*IF(COUNTBLANK(Combo_Opponent_Type_2)=0,INDEX(Type_Damage_Multipliers,MATCH(Combo_Opponent_Type_2,IF(Type_Move=(INDEX(Quick_Type,MATCH($O814,Quick_Names,0))),Type_Species)),0),1)*(IF(OR(INDEX(Quick_Type,MATCH($O814,Quick_Names,0))=INDEX(Species_Type_1,MATCH($N814,Species_Names,0)),INDEX(Quick_Type,MATCH($O814,Quick_Names,0))=INDEX(Species_Type_2,MATCH($N814,Species_Names,0))),Game_STAB_Multiplier,1)))</f>
        <v>1</v>
      </c>
      <c r="V814" s="33">
        <f t="array" ref="V81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814,Charge_Names,0))),Type_Species)),0),1)*IF(COUNTBLANK(Combo_Opponent_Type_2)=0,INDEX(Type_Damage_Multipliers,MATCH(Combo_Opponent_Type_2,IF(Type_Move=(INDEX(Charge_Type,MATCH($P814,Charge_Names,0))),Type_Species)),0),1)*
IF(OR(INDEX(Charge_Type,MATCH($P814,Charge_Names,0))=INDEX(Species_Type_1,MATCH($N814,Species_Names,0)),INDEX(Charge_Type,MATCH($P814,Charge_Names,0))=INDEX(Species_Type_2,MATCH($N814,Species_Names,0))),Game_STAB_Multiplier,1))</f>
        <v>1.25</v>
      </c>
      <c r="W814" s="33" t="s">
        <v>453</v>
      </c>
      <c r="X814" s="33" t="s">
        <v>796</v>
      </c>
      <c r="Y814" s="32" t="e">
        <f t="array" ref="Y814">((($Z814)*
INDEX(Species_Attack,MATCH($N814,Species_Names,0))*
INDEX(Species_Tankiness,MATCH($N814,Species_Names,0)))/1000)</f>
        <v>#VALUE!</v>
      </c>
      <c r="Z814" s="33" t="s">
        <v>680</v>
      </c>
    </row>
    <row r="815" spans="1:26" ht="14.25" customHeight="1" x14ac:dyDescent="0.2">
      <c r="A815" s="86"/>
      <c r="B815" s="22" t="str">
        <f t="array" ref="B815">CONCATENATE(TEXT($M815,"000"),".",TEXT(INDEX(Quick_Number,MATCH($O815,Quick_Names,0)),"000"),".",TEXT(INDEX(Charge_Number,MATCH($P815,Charge_Names,0)),"000"))</f>
        <v>041.202.050</v>
      </c>
      <c r="C815" s="23" t="e">
        <f t="array" ref="C815">RANK($S815,IF(Combo_Species_Names=$N815,Combo_Gym_Offense),0)</f>
        <v>#VALUE!</v>
      </c>
      <c r="D815" s="24" t="e">
        <f t="array" ref="D815">$S815/MAX(IF(Combo_Species_Names=$N815,Combo_Gym_Offense))</f>
        <v>#VALUE!</v>
      </c>
      <c r="E815" s="23" t="e">
        <f t="array" ref="E815">RANK($Y815,IF(Combo_Species_Names=$N815,Combo_Gym_Defense),0)</f>
        <v>#VALUE!</v>
      </c>
      <c r="F815" s="25" t="e">
        <f t="array" ref="F815">$Y815/MAX(IF(Combo_Species_Names=$N815,Combo_Gym_Defense))</f>
        <v>#VALUE!</v>
      </c>
      <c r="G815" s="23" t="str">
        <f t="array" ref="G815">IF(OR(INDEX(Species_Availability,MATCH($N815,Species_Names,0))="No",INDEX(Species_Evo_Numbers,MATCH($N815,Species_Names,0))&lt;&gt;1),"N/A",RANK($R815,IF(NOT(ISNA(MATCH(Combo_Species_Names,IF(Species_Availability="Yes",IF(Species_Evo_Numbers=1,Species_Names)),0))),Combo_Duel_Ability),0))</f>
        <v>N/A</v>
      </c>
      <c r="H815" s="24" t="str">
        <f t="array" ref="H815">IF(OR(INDEX(Species_Availability,MATCH($N815,Species_Names,0))="No",INDEX(Species_Evo_Numbers,MATCH($N815,Species_Names,0))&lt;&gt;1),"N/A",$R815/MAX(IF(NOT(ISNA(MATCH(Combo_Species_Names,IF(Species_Availability="Yes",IF(Species_Evo_Numbers=1,Species_Names)),0))),Combo_Duel_Ability)))</f>
        <v>N/A</v>
      </c>
      <c r="I815" s="23" t="str">
        <f t="array" ref="I815">IF(OR(INDEX(Species_Availability,MATCH($N815,Species_Names,0))="No",INDEX(Species_Evo_Numbers,MATCH($N815,Species_Names,0))&lt;&gt;1),"N/A",RANK($S815,IF(NOT(ISNA(MATCH(Combo_Species_Names,IF(Species_Availability="Yes",IF(Species_Evo_Numbers=1,Species_Names)),0))),Combo_Gym_Offense),0))</f>
        <v>N/A</v>
      </c>
      <c r="J815" s="24" t="str">
        <f t="array" ref="J815">IF(OR(INDEX(Species_Availability,MATCH($N815,Species_Names,0))="No",INDEX(Species_Evo_Numbers,MATCH($N815,Species_Names,0))&lt;&gt;1),"N/A",$S815/MAX(IF(NOT(ISNA(MATCH(Combo_Species_Names,IF(Species_Availability="Yes",IF(Species_Evo_Numbers=1,Species_Names)),0))),Combo_Gym_Offense)))</f>
        <v>N/A</v>
      </c>
      <c r="K815" s="23" t="str">
        <f t="array" ref="K815">IF(OR(INDEX(Species_Availability,MATCH($N815,Species_Names,0))="No",INDEX(Species_Evo_Numbers,MATCH($N815,Species_Names,0))&lt;&gt;1),"N/A",RANK($Y815,IF(NOT(ISNA(MATCH(Combo_Species_Names,IF(Species_Availability="Yes",IF(Species_Evo_Numbers=1,Species_Names)),0))),Combo_Gym_Defense),0))</f>
        <v>N/A</v>
      </c>
      <c r="L815" s="24" t="str">
        <f t="array" ref="L815">IF(OR(INDEX(Species_Availability,MATCH($N815,Species_Names,0))="No",INDEX(Species_Evo_Numbers,MATCH($N815,Species_Names,0))&lt;&gt;1),"N/A",$Y815/MAX(IF(NOT(ISNA(MATCH(Combo_Species_Names,IF(Species_Availability="Yes",IF(Species_Evo_Numbers=1,Species_Names)),0))),Combo_Gym_Defense)))</f>
        <v>N/A</v>
      </c>
      <c r="M815" s="28">
        <f t="array" ref="M815">INDEX(Species_Pdex_Numbers,MATCH($N815,Species_Names,0))</f>
        <v>41</v>
      </c>
      <c r="N815" s="30" t="s">
        <v>173</v>
      </c>
      <c r="O815" s="31" t="s">
        <v>59</v>
      </c>
      <c r="P815" s="31" t="s">
        <v>285</v>
      </c>
      <c r="Q815" s="17" t="e">
        <f t="shared" si="24"/>
        <v>#VALUE!</v>
      </c>
      <c r="R815" s="32" t="e">
        <f t="array" ref="R815">IF(OR(AND(COUNTBLANK(Combo_Opponent_Type_1)=1,COUNTBLANK(Combo_Opponent_Type_2)=0),AND(AND(COUNTBLANK(Combo_Opponent_Type_1)=0,COUNTBLANK(Combo_Opponent_Type_2)=0),Combo_Opponent_Type_1=Combo_Opponent_Type_2)),
"Check Types",($S815*INDEX(Species_Tankiness,MATCH($N815,Species_Names,0)))/225)</f>
        <v>#VALUE!</v>
      </c>
      <c r="S815" s="32" t="e">
        <f t="array" ref="S815">IF(OR(AND(COUNTBLANK(Combo_Opponent_Type_1)=1,COUNTBLANK(Combo_Opponent_Type_2)=0),AND(AND(COUNTBLANK(Combo_Opponent_Type_1)=0,COUNTBLANK(Combo_Opponent_Type_2)=0),Combo_Opponent_Type_1=Combo_Opponent_Type_2)),
"Check Types",(
IF($W815&gt;=((1-Game_Weave_Human_Error)*$X815),$W815,$X815)*INDEX(Species_Attack,MATCH($N815,Species_Names,0)))/11)</f>
        <v>#VALUE!</v>
      </c>
      <c r="T815" s="33" t="e">
        <f t="shared" si="25"/>
        <v>#VALUE!</v>
      </c>
      <c r="U815" s="33">
        <f t="array" ref="U8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815,Quick_Names,0))),Type_Species)),0),1)*IF(COUNTBLANK(Combo_Opponent_Type_2)=0,INDEX(Type_Damage_Multipliers,MATCH(Combo_Opponent_Type_2,IF(Type_Move=(INDEX(Quick_Type,MATCH($O815,Quick_Names,0))),Type_Species)),0),1)*(IF(OR(INDEX(Quick_Type,MATCH($O815,Quick_Names,0))=INDEX(Species_Type_1,MATCH($N815,Species_Names,0)),INDEX(Quick_Type,MATCH($O815,Quick_Names,0))=INDEX(Species_Type_2,MATCH($N815,Species_Names,0))),Game_STAB_Multiplier,1)))</f>
        <v>1</v>
      </c>
      <c r="V815" s="33">
        <f t="array" ref="V81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815,Charge_Names,0))),Type_Species)),0),1)*IF(COUNTBLANK(Combo_Opponent_Type_2)=0,INDEX(Type_Damage_Multipliers,MATCH(Combo_Opponent_Type_2,IF(Type_Move=(INDEX(Charge_Type,MATCH($P815,Charge_Names,0))),Type_Species)),0),1)*
IF(OR(INDEX(Charge_Type,MATCH($P815,Charge_Names,0))=INDEX(Species_Type_1,MATCH($N815,Species_Names,0)),INDEX(Charge_Type,MATCH($P815,Charge_Names,0))=INDEX(Species_Type_2,MATCH($N815,Species_Names,0))),Game_STAB_Multiplier,1))</f>
        <v>1.25</v>
      </c>
      <c r="W815" s="33" t="s">
        <v>453</v>
      </c>
      <c r="X815" s="33" t="s">
        <v>796</v>
      </c>
      <c r="Y815" s="32" t="e">
        <f t="array" ref="Y815">((($Z815)*
INDEX(Species_Attack,MATCH($N815,Species_Names,0))*
INDEX(Species_Tankiness,MATCH($N815,Species_Names,0)))/1000)</f>
        <v>#VALUE!</v>
      </c>
      <c r="Z815" s="33" t="s">
        <v>755</v>
      </c>
    </row>
    <row r="816" spans="1:26" ht="14.25" customHeight="1" x14ac:dyDescent="0.2">
      <c r="A816" s="86"/>
      <c r="B816" s="22" t="str">
        <f t="array" ref="B816">CONCATENATE(TEXT($M816,"000"),".",TEXT(INDEX(Quick_Number,MATCH($O816,Quick_Names,0)),"000"),".",TEXT(INDEX(Charge_Number,MATCH($P816,Charge_Names,0)),"000"))</f>
        <v>092.203.016</v>
      </c>
      <c r="C816" s="23" t="e">
        <f t="array" ref="C816">RANK($S816,IF(Combo_Species_Names=$N816,Combo_Gym_Offense),0)</f>
        <v>#VALUE!</v>
      </c>
      <c r="D816" s="24" t="e">
        <f t="array" ref="D816">$S816/MAX(IF(Combo_Species_Names=$N816,Combo_Gym_Offense))</f>
        <v>#VALUE!</v>
      </c>
      <c r="E816" s="23" t="e">
        <f t="array" ref="E816">RANK($Y816,IF(Combo_Species_Names=$N816,Combo_Gym_Defense),0)</f>
        <v>#VALUE!</v>
      </c>
      <c r="F816" s="25" t="e">
        <f t="array" ref="F816">$Y816/MAX(IF(Combo_Species_Names=$N816,Combo_Gym_Defense))</f>
        <v>#VALUE!</v>
      </c>
      <c r="G816" s="23" t="str">
        <f t="array" ref="G816">IF(OR(INDEX(Species_Availability,MATCH($N816,Species_Names,0))="No",INDEX(Species_Evo_Numbers,MATCH($N816,Species_Names,0))&lt;&gt;1),"N/A",RANK($R816,IF(NOT(ISNA(MATCH(Combo_Species_Names,IF(Species_Availability="Yes",IF(Species_Evo_Numbers=1,Species_Names)),0))),Combo_Duel_Ability),0))</f>
        <v>N/A</v>
      </c>
      <c r="H816" s="24" t="str">
        <f t="array" ref="H816">IF(OR(INDEX(Species_Availability,MATCH($N816,Species_Names,0))="No",INDEX(Species_Evo_Numbers,MATCH($N816,Species_Names,0))&lt;&gt;1),"N/A",$R816/MAX(IF(NOT(ISNA(MATCH(Combo_Species_Names,IF(Species_Availability="Yes",IF(Species_Evo_Numbers=1,Species_Names)),0))),Combo_Duel_Ability)))</f>
        <v>N/A</v>
      </c>
      <c r="I816" s="23" t="str">
        <f t="array" ref="I816">IF(OR(INDEX(Species_Availability,MATCH($N816,Species_Names,0))="No",INDEX(Species_Evo_Numbers,MATCH($N816,Species_Names,0))&lt;&gt;1),"N/A",RANK($S816,IF(NOT(ISNA(MATCH(Combo_Species_Names,IF(Species_Availability="Yes",IF(Species_Evo_Numbers=1,Species_Names)),0))),Combo_Gym_Offense),0))</f>
        <v>N/A</v>
      </c>
      <c r="J816" s="24" t="str">
        <f t="array" ref="J816">IF(OR(INDEX(Species_Availability,MATCH($N816,Species_Names,0))="No",INDEX(Species_Evo_Numbers,MATCH($N816,Species_Names,0))&lt;&gt;1),"N/A",$S816/MAX(IF(NOT(ISNA(MATCH(Combo_Species_Names,IF(Species_Availability="Yes",IF(Species_Evo_Numbers=1,Species_Names)),0))),Combo_Gym_Offense)))</f>
        <v>N/A</v>
      </c>
      <c r="K816" s="23" t="str">
        <f t="array" ref="K816">IF(OR(INDEX(Species_Availability,MATCH($N816,Species_Names,0))="No",INDEX(Species_Evo_Numbers,MATCH($N816,Species_Names,0))&lt;&gt;1),"N/A",RANK($Y816,IF(NOT(ISNA(MATCH(Combo_Species_Names,IF(Species_Availability="Yes",IF(Species_Evo_Numbers=1,Species_Names)),0))),Combo_Gym_Defense),0))</f>
        <v>N/A</v>
      </c>
      <c r="L816" s="24" t="str">
        <f t="array" ref="L816">IF(OR(INDEX(Species_Availability,MATCH($N816,Species_Names,0))="No",INDEX(Species_Evo_Numbers,MATCH($N816,Species_Names,0))&lt;&gt;1),"N/A",$Y816/MAX(IF(NOT(ISNA(MATCH(Combo_Species_Names,IF(Species_Availability="Yes",IF(Species_Evo_Numbers=1,Species_Names)),0))),Combo_Gym_Defense)))</f>
        <v>N/A</v>
      </c>
      <c r="M816" s="28">
        <f t="array" ref="M816">INDEX(Species_Pdex_Numbers,MATCH($N816,Species_Names,0))</f>
        <v>92</v>
      </c>
      <c r="N816" s="30" t="s">
        <v>279</v>
      </c>
      <c r="O816" s="31" t="s">
        <v>103</v>
      </c>
      <c r="P816" s="31" t="s">
        <v>258</v>
      </c>
      <c r="Q816" s="17" t="e">
        <f t="shared" si="24"/>
        <v>#VALUE!</v>
      </c>
      <c r="R816" s="32" t="e">
        <f t="array" ref="R816">IF(OR(AND(COUNTBLANK(Combo_Opponent_Type_1)=1,COUNTBLANK(Combo_Opponent_Type_2)=0),AND(AND(COUNTBLANK(Combo_Opponent_Type_1)=0,COUNTBLANK(Combo_Opponent_Type_2)=0),Combo_Opponent_Type_1=Combo_Opponent_Type_2)),
"Check Types",($S816*INDEX(Species_Tankiness,MATCH($N816,Species_Names,0)))/225)</f>
        <v>#VALUE!</v>
      </c>
      <c r="S816" s="32" t="e">
        <f t="array" ref="S816">IF(OR(AND(COUNTBLANK(Combo_Opponent_Type_1)=1,COUNTBLANK(Combo_Opponent_Type_2)=0),AND(AND(COUNTBLANK(Combo_Opponent_Type_1)=0,COUNTBLANK(Combo_Opponent_Type_2)=0),Combo_Opponent_Type_1=Combo_Opponent_Type_2)),
"Check Types",(
IF($W816&gt;=((1-Game_Weave_Human_Error)*$X816),$W816,$X816)*INDEX(Species_Attack,MATCH($N816,Species_Names,0)))/11)</f>
        <v>#VALUE!</v>
      </c>
      <c r="T816" s="33" t="e">
        <f t="shared" si="25"/>
        <v>#VALUE!</v>
      </c>
      <c r="U816" s="33">
        <f t="array" ref="U8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816,Quick_Names,0))),Type_Species)),0),1)*IF(COUNTBLANK(Combo_Opponent_Type_2)=0,INDEX(Type_Damage_Multipliers,MATCH(Combo_Opponent_Type_2,IF(Type_Move=(INDEX(Quick_Type,MATCH($O816,Quick_Names,0))),Type_Species)),0),1)*(IF(OR(INDEX(Quick_Type,MATCH($O816,Quick_Names,0))=INDEX(Species_Type_1,MATCH($N816,Species_Names,0)),INDEX(Quick_Type,MATCH($O816,Quick_Names,0))=INDEX(Species_Type_2,MATCH($N816,Species_Names,0))),Game_STAB_Multiplier,1)))</f>
        <v>1</v>
      </c>
      <c r="V816" s="33">
        <f t="array" ref="V81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816,Charge_Names,0))),Type_Species)),0),1)*IF(COUNTBLANK(Combo_Opponent_Type_2)=0,INDEX(Type_Damage_Multipliers,MATCH(Combo_Opponent_Type_2,IF(Type_Move=(INDEX(Charge_Type,MATCH($P816,Charge_Names,0))),Type_Species)),0),1)*
IF(OR(INDEX(Charge_Type,MATCH($P816,Charge_Names,0))=INDEX(Species_Type_1,MATCH($N816,Species_Names,0)),INDEX(Charge_Type,MATCH($P816,Charge_Names,0))=INDEX(Species_Type_2,MATCH($N816,Species_Names,0))),Game_STAB_Multiplier,1))</f>
        <v>1</v>
      </c>
      <c r="W816" s="33" t="s">
        <v>758</v>
      </c>
      <c r="X816" s="33" t="s">
        <v>658</v>
      </c>
      <c r="Y816" s="32" t="e">
        <f t="array" ref="Y816">((($Z816)*
INDEX(Species_Attack,MATCH($N816,Species_Names,0))*
INDEX(Species_Tankiness,MATCH($N816,Species_Names,0)))/1000)</f>
        <v>#VALUE!</v>
      </c>
      <c r="Z816" s="33" t="s">
        <v>867</v>
      </c>
    </row>
    <row r="817" spans="1:26" ht="14.25" customHeight="1" x14ac:dyDescent="0.2">
      <c r="A817" s="86"/>
      <c r="B817" s="22" t="str">
        <f t="array" ref="B817">CONCATENATE(TEXT($M817,"000"),".",TEXT(INDEX(Quick_Number,MATCH($O817,Quick_Names,0)),"000"),".",TEXT(INDEX(Charge_Number,MATCH($P817,Charge_Names,0)),"000"))</f>
        <v>019.221.129</v>
      </c>
      <c r="C817" s="23" t="e">
        <f t="array" ref="C817">RANK($S817,IF(Combo_Species_Names=$N817,Combo_Gym_Offense),0)</f>
        <v>#VALUE!</v>
      </c>
      <c r="D817" s="24" t="e">
        <f t="array" ref="D817">$S817/MAX(IF(Combo_Species_Names=$N817,Combo_Gym_Offense))</f>
        <v>#VALUE!</v>
      </c>
      <c r="E817" s="23" t="e">
        <f t="array" ref="E817">RANK($Y817,IF(Combo_Species_Names=$N817,Combo_Gym_Defense),0)</f>
        <v>#VALUE!</v>
      </c>
      <c r="F817" s="25" t="e">
        <f t="array" ref="F817">$Y817/MAX(IF(Combo_Species_Names=$N817,Combo_Gym_Defense))</f>
        <v>#VALUE!</v>
      </c>
      <c r="G817" s="23" t="str">
        <f t="array" ref="G817">IF(OR(INDEX(Species_Availability,MATCH($N817,Species_Names,0))="No",INDEX(Species_Evo_Numbers,MATCH($N817,Species_Names,0))&lt;&gt;1),"N/A",RANK($R817,IF(NOT(ISNA(MATCH(Combo_Species_Names,IF(Species_Availability="Yes",IF(Species_Evo_Numbers=1,Species_Names)),0))),Combo_Duel_Ability),0))</f>
        <v>N/A</v>
      </c>
      <c r="H817" s="24" t="str">
        <f t="array" ref="H817">IF(OR(INDEX(Species_Availability,MATCH($N817,Species_Names,0))="No",INDEX(Species_Evo_Numbers,MATCH($N817,Species_Names,0))&lt;&gt;1),"N/A",$R817/MAX(IF(NOT(ISNA(MATCH(Combo_Species_Names,IF(Species_Availability="Yes",IF(Species_Evo_Numbers=1,Species_Names)),0))),Combo_Duel_Ability)))</f>
        <v>N/A</v>
      </c>
      <c r="I817" s="23" t="str">
        <f t="array" ref="I817">IF(OR(INDEX(Species_Availability,MATCH($N817,Species_Names,0))="No",INDEX(Species_Evo_Numbers,MATCH($N817,Species_Names,0))&lt;&gt;1),"N/A",RANK($S817,IF(NOT(ISNA(MATCH(Combo_Species_Names,IF(Species_Availability="Yes",IF(Species_Evo_Numbers=1,Species_Names)),0))),Combo_Gym_Offense),0))</f>
        <v>N/A</v>
      </c>
      <c r="J817" s="24" t="str">
        <f t="array" ref="J817">IF(OR(INDEX(Species_Availability,MATCH($N817,Species_Names,0))="No",INDEX(Species_Evo_Numbers,MATCH($N817,Species_Names,0))&lt;&gt;1),"N/A",$S817/MAX(IF(NOT(ISNA(MATCH(Combo_Species_Names,IF(Species_Availability="Yes",IF(Species_Evo_Numbers=1,Species_Names)),0))),Combo_Gym_Offense)))</f>
        <v>N/A</v>
      </c>
      <c r="K817" s="23" t="str">
        <f t="array" ref="K817">IF(OR(INDEX(Species_Availability,MATCH($N817,Species_Names,0))="No",INDEX(Species_Evo_Numbers,MATCH($N817,Species_Names,0))&lt;&gt;1),"N/A",RANK($Y817,IF(NOT(ISNA(MATCH(Combo_Species_Names,IF(Species_Availability="Yes",IF(Species_Evo_Numbers=1,Species_Names)),0))),Combo_Gym_Defense),0))</f>
        <v>N/A</v>
      </c>
      <c r="L817" s="24" t="str">
        <f t="array" ref="L817">IF(OR(INDEX(Species_Availability,MATCH($N817,Species_Names,0))="No",INDEX(Species_Evo_Numbers,MATCH($N817,Species_Names,0))&lt;&gt;1),"N/A",$Y817/MAX(IF(NOT(ISNA(MATCH(Combo_Species_Names,IF(Species_Availability="Yes",IF(Species_Evo_Numbers=1,Species_Names)),0))),Combo_Gym_Defense)))</f>
        <v>N/A</v>
      </c>
      <c r="M817" s="28">
        <f t="array" ref="M817">INDEX(Species_Pdex_Numbers,MATCH($N817,Species_Names,0))</f>
        <v>19</v>
      </c>
      <c r="N817" s="30" t="s">
        <v>128</v>
      </c>
      <c r="O817" s="31" t="s">
        <v>91</v>
      </c>
      <c r="P817" s="31" t="s">
        <v>216</v>
      </c>
      <c r="Q817" s="17" t="e">
        <f t="shared" si="24"/>
        <v>#VALUE!</v>
      </c>
      <c r="R817" s="32" t="e">
        <f t="array" ref="R817">IF(OR(AND(COUNTBLANK(Combo_Opponent_Type_1)=1,COUNTBLANK(Combo_Opponent_Type_2)=0),AND(AND(COUNTBLANK(Combo_Opponent_Type_1)=0,COUNTBLANK(Combo_Opponent_Type_2)=0),Combo_Opponent_Type_1=Combo_Opponent_Type_2)),
"Check Types",($S817*INDEX(Species_Tankiness,MATCH($N817,Species_Names,0)))/225)</f>
        <v>#VALUE!</v>
      </c>
      <c r="S817" s="32" t="e">
        <f t="array" ref="S817">IF(OR(AND(COUNTBLANK(Combo_Opponent_Type_1)=1,COUNTBLANK(Combo_Opponent_Type_2)=0),AND(AND(COUNTBLANK(Combo_Opponent_Type_1)=0,COUNTBLANK(Combo_Opponent_Type_2)=0),Combo_Opponent_Type_1=Combo_Opponent_Type_2)),
"Check Types",(
IF($W817&gt;=((1-Game_Weave_Human_Error)*$X817),$W817,$X817)*INDEX(Species_Attack,MATCH($N817,Species_Names,0)))/11)</f>
        <v>#VALUE!</v>
      </c>
      <c r="T817" s="33" t="e">
        <f t="shared" si="25"/>
        <v>#VALUE!</v>
      </c>
      <c r="U817" s="33">
        <f t="array" ref="U8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817,Quick_Names,0))),Type_Species)),0),1)*IF(COUNTBLANK(Combo_Opponent_Type_2)=0,INDEX(Type_Damage_Multipliers,MATCH(Combo_Opponent_Type_2,IF(Type_Move=(INDEX(Quick_Type,MATCH($O817,Quick_Names,0))),Type_Species)),0),1)*(IF(OR(INDEX(Quick_Type,MATCH($O817,Quick_Names,0))=INDEX(Species_Type_1,MATCH($N817,Species_Names,0)),INDEX(Quick_Type,MATCH($O817,Quick_Names,0))=INDEX(Species_Type_2,MATCH($N817,Species_Names,0))),Game_STAB_Multiplier,1)))</f>
        <v>1.25</v>
      </c>
      <c r="V817" s="33">
        <f t="array" ref="V81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817,Charge_Names,0))),Type_Species)),0),1)*IF(COUNTBLANK(Combo_Opponent_Type_2)=0,INDEX(Type_Damage_Multipliers,MATCH(Combo_Opponent_Type_2,IF(Type_Move=(INDEX(Charge_Type,MATCH($P817,Charge_Names,0))),Type_Species)),0),1)*
IF(OR(INDEX(Charge_Type,MATCH($P817,Charge_Names,0))=INDEX(Species_Type_1,MATCH($N817,Species_Names,0)),INDEX(Charge_Type,MATCH($P817,Charge_Names,0))=INDEX(Species_Type_2,MATCH($N817,Species_Names,0))),Game_STAB_Multiplier,1))</f>
        <v>1.25</v>
      </c>
      <c r="W817" s="33" t="s">
        <v>700</v>
      </c>
      <c r="X817" s="33" t="s">
        <v>659</v>
      </c>
      <c r="Y817" s="32" t="e">
        <f t="array" ref="Y817">((($Z817)*
INDEX(Species_Attack,MATCH($N817,Species_Names,0))*
INDEX(Species_Tankiness,MATCH($N817,Species_Names,0)))/1000)</f>
        <v>#VALUE!</v>
      </c>
      <c r="Z817" s="33" t="s">
        <v>733</v>
      </c>
    </row>
    <row r="818" spans="1:26" ht="14.25" customHeight="1" x14ac:dyDescent="0.2">
      <c r="A818" s="86"/>
      <c r="B818" s="22" t="str">
        <f t="array" ref="B818">CONCATENATE(TEXT($M818,"000"),".",TEXT(INDEX(Quick_Number,MATCH($O818,Quick_Names,0)),"000"),".",TEXT(INDEX(Charge_Number,MATCH($P818,Charge_Names,0)),"000"))</f>
        <v>016.219.045</v>
      </c>
      <c r="C818" s="23" t="e">
        <f t="array" ref="C818">RANK($S818,IF(Combo_Species_Names=$N818,Combo_Gym_Offense),0)</f>
        <v>#VALUE!</v>
      </c>
      <c r="D818" s="24" t="e">
        <f t="array" ref="D818">$S818/MAX(IF(Combo_Species_Names=$N818,Combo_Gym_Offense))</f>
        <v>#VALUE!</v>
      </c>
      <c r="E818" s="23" t="e">
        <f t="array" ref="E818">RANK($Y818,IF(Combo_Species_Names=$N818,Combo_Gym_Defense),0)</f>
        <v>#VALUE!</v>
      </c>
      <c r="F818" s="25" t="e">
        <f t="array" ref="F818">$Y818/MAX(IF(Combo_Species_Names=$N818,Combo_Gym_Defense))</f>
        <v>#VALUE!</v>
      </c>
      <c r="G818" s="23" t="str">
        <f t="array" ref="G818">IF(OR(INDEX(Species_Availability,MATCH($N818,Species_Names,0))="No",INDEX(Species_Evo_Numbers,MATCH($N818,Species_Names,0))&lt;&gt;1),"N/A",RANK($R818,IF(NOT(ISNA(MATCH(Combo_Species_Names,IF(Species_Availability="Yes",IF(Species_Evo_Numbers=1,Species_Names)),0))),Combo_Duel_Ability),0))</f>
        <v>N/A</v>
      </c>
      <c r="H818" s="24" t="str">
        <f t="array" ref="H818">IF(OR(INDEX(Species_Availability,MATCH($N818,Species_Names,0))="No",INDEX(Species_Evo_Numbers,MATCH($N818,Species_Names,0))&lt;&gt;1),"N/A",$R818/MAX(IF(NOT(ISNA(MATCH(Combo_Species_Names,IF(Species_Availability="Yes",IF(Species_Evo_Numbers=1,Species_Names)),0))),Combo_Duel_Ability)))</f>
        <v>N/A</v>
      </c>
      <c r="I818" s="23" t="str">
        <f t="array" ref="I818">IF(OR(INDEX(Species_Availability,MATCH($N818,Species_Names,0))="No",INDEX(Species_Evo_Numbers,MATCH($N818,Species_Names,0))&lt;&gt;1),"N/A",RANK($S818,IF(NOT(ISNA(MATCH(Combo_Species_Names,IF(Species_Availability="Yes",IF(Species_Evo_Numbers=1,Species_Names)),0))),Combo_Gym_Offense),0))</f>
        <v>N/A</v>
      </c>
      <c r="J818" s="24" t="str">
        <f t="array" ref="J818">IF(OR(INDEX(Species_Availability,MATCH($N818,Species_Names,0))="No",INDEX(Species_Evo_Numbers,MATCH($N818,Species_Names,0))&lt;&gt;1),"N/A",$S818/MAX(IF(NOT(ISNA(MATCH(Combo_Species_Names,IF(Species_Availability="Yes",IF(Species_Evo_Numbers=1,Species_Names)),0))),Combo_Gym_Offense)))</f>
        <v>N/A</v>
      </c>
      <c r="K818" s="23" t="str">
        <f t="array" ref="K818">IF(OR(INDEX(Species_Availability,MATCH($N818,Species_Names,0))="No",INDEX(Species_Evo_Numbers,MATCH($N818,Species_Names,0))&lt;&gt;1),"N/A",RANK($Y818,IF(NOT(ISNA(MATCH(Combo_Species_Names,IF(Species_Availability="Yes",IF(Species_Evo_Numbers=1,Species_Names)),0))),Combo_Gym_Defense),0))</f>
        <v>N/A</v>
      </c>
      <c r="L818" s="24" t="str">
        <f t="array" ref="L818">IF(OR(INDEX(Species_Availability,MATCH($N818,Species_Names,0))="No",INDEX(Species_Evo_Numbers,MATCH($N818,Species_Names,0))&lt;&gt;1),"N/A",$Y818/MAX(IF(NOT(ISNA(MATCH(Combo_Species_Names,IF(Species_Availability="Yes",IF(Species_Evo_Numbers=1,Species_Names)),0))),Combo_Gym_Defense)))</f>
        <v>N/A</v>
      </c>
      <c r="M818" s="28">
        <f t="array" ref="M818">INDEX(Species_Pdex_Numbers,MATCH($N818,Species_Names,0))</f>
        <v>16</v>
      </c>
      <c r="N818" s="30" t="s">
        <v>123</v>
      </c>
      <c r="O818" s="31" t="s">
        <v>119</v>
      </c>
      <c r="P818" s="31" t="s">
        <v>287</v>
      </c>
      <c r="Q818" s="17" t="e">
        <f t="shared" si="24"/>
        <v>#VALUE!</v>
      </c>
      <c r="R818" s="32" t="e">
        <f t="array" ref="R818">IF(OR(AND(COUNTBLANK(Combo_Opponent_Type_1)=1,COUNTBLANK(Combo_Opponent_Type_2)=0),AND(AND(COUNTBLANK(Combo_Opponent_Type_1)=0,COUNTBLANK(Combo_Opponent_Type_2)=0),Combo_Opponent_Type_1=Combo_Opponent_Type_2)),
"Check Types",($S818*INDEX(Species_Tankiness,MATCH($N818,Species_Names,0)))/225)</f>
        <v>#VALUE!</v>
      </c>
      <c r="S818" s="32" t="e">
        <f t="array" ref="S818">IF(OR(AND(COUNTBLANK(Combo_Opponent_Type_1)=1,COUNTBLANK(Combo_Opponent_Type_2)=0),AND(AND(COUNTBLANK(Combo_Opponent_Type_1)=0,COUNTBLANK(Combo_Opponent_Type_2)=0),Combo_Opponent_Type_1=Combo_Opponent_Type_2)),
"Check Types",(
IF($W818&gt;=((1-Game_Weave_Human_Error)*$X818),$W818,$X818)*INDEX(Species_Attack,MATCH($N818,Species_Names,0)))/11)</f>
        <v>#VALUE!</v>
      </c>
      <c r="T818" s="33" t="e">
        <f t="shared" si="25"/>
        <v>#VALUE!</v>
      </c>
      <c r="U818" s="33">
        <f t="array" ref="U8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818,Quick_Names,0))),Type_Species)),0),1)*IF(COUNTBLANK(Combo_Opponent_Type_2)=0,INDEX(Type_Damage_Multipliers,MATCH(Combo_Opponent_Type_2,IF(Type_Move=(INDEX(Quick_Type,MATCH($O818,Quick_Names,0))),Type_Species)),0),1)*(IF(OR(INDEX(Quick_Type,MATCH($O818,Quick_Names,0))=INDEX(Species_Type_1,MATCH($N818,Species_Names,0)),INDEX(Quick_Type,MATCH($O818,Quick_Names,0))=INDEX(Species_Type_2,MATCH($N818,Species_Names,0))),Game_STAB_Multiplier,1)))</f>
        <v>1.25</v>
      </c>
      <c r="V818" s="33">
        <f t="array" ref="V81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818,Charge_Names,0))),Type_Species)),0),1)*IF(COUNTBLANK(Combo_Opponent_Type_2)=0,INDEX(Type_Damage_Multipliers,MATCH(Combo_Opponent_Type_2,IF(Type_Move=(INDEX(Charge_Type,MATCH($P818,Charge_Names,0))),Type_Species)),0),1)*
IF(OR(INDEX(Charge_Type,MATCH($P818,Charge_Names,0))=INDEX(Species_Type_1,MATCH($N818,Species_Names,0)),INDEX(Charge_Type,MATCH($P818,Charge_Names,0))=INDEX(Species_Type_2,MATCH($N818,Species_Names,0))),Game_STAB_Multiplier,1))</f>
        <v>1.25</v>
      </c>
      <c r="W818" s="33" t="s">
        <v>564</v>
      </c>
      <c r="X818" s="33" t="s">
        <v>1091</v>
      </c>
      <c r="Y818" s="32" t="e">
        <f t="array" ref="Y818">((($Z818)*
INDEX(Species_Attack,MATCH($N818,Species_Names,0))*
INDEX(Species_Tankiness,MATCH($N818,Species_Names,0)))/1000)</f>
        <v>#VALUE!</v>
      </c>
      <c r="Z818" s="33" t="s">
        <v>1045</v>
      </c>
    </row>
    <row r="819" spans="1:26" ht="14.25" customHeight="1" x14ac:dyDescent="0.2">
      <c r="A819" s="86"/>
      <c r="B819" s="22" t="str">
        <f t="array" ref="B819">CONCATENATE(TEXT($M819,"000"),".",TEXT(INDEX(Quick_Number,MATCH($O819,Quick_Names,0)),"000"),".",TEXT(INDEX(Charge_Number,MATCH($P819,Charge_Names,0)),"000"))</f>
        <v>021.211.045</v>
      </c>
      <c r="C819" s="23" t="e">
        <f t="array" ref="C819">RANK($S819,IF(Combo_Species_Names=$N819,Combo_Gym_Offense),0)</f>
        <v>#VALUE!</v>
      </c>
      <c r="D819" s="24" t="e">
        <f t="array" ref="D819">$S819/MAX(IF(Combo_Species_Names=$N819,Combo_Gym_Offense))</f>
        <v>#VALUE!</v>
      </c>
      <c r="E819" s="23" t="e">
        <f t="array" ref="E819">RANK($Y819,IF(Combo_Species_Names=$N819,Combo_Gym_Defense),0)</f>
        <v>#VALUE!</v>
      </c>
      <c r="F819" s="25" t="e">
        <f t="array" ref="F819">$Y819/MAX(IF(Combo_Species_Names=$N819,Combo_Gym_Defense))</f>
        <v>#VALUE!</v>
      </c>
      <c r="G819" s="23" t="str">
        <f t="array" ref="G819">IF(OR(INDEX(Species_Availability,MATCH($N819,Species_Names,0))="No",INDEX(Species_Evo_Numbers,MATCH($N819,Species_Names,0))&lt;&gt;1),"N/A",RANK($R819,IF(NOT(ISNA(MATCH(Combo_Species_Names,IF(Species_Availability="Yes",IF(Species_Evo_Numbers=1,Species_Names)),0))),Combo_Duel_Ability),0))</f>
        <v>N/A</v>
      </c>
      <c r="H819" s="24" t="str">
        <f t="array" ref="H819">IF(OR(INDEX(Species_Availability,MATCH($N819,Species_Names,0))="No",INDEX(Species_Evo_Numbers,MATCH($N819,Species_Names,0))&lt;&gt;1),"N/A",$R819/MAX(IF(NOT(ISNA(MATCH(Combo_Species_Names,IF(Species_Availability="Yes",IF(Species_Evo_Numbers=1,Species_Names)),0))),Combo_Duel_Ability)))</f>
        <v>N/A</v>
      </c>
      <c r="I819" s="23" t="str">
        <f t="array" ref="I819">IF(OR(INDEX(Species_Availability,MATCH($N819,Species_Names,0))="No",INDEX(Species_Evo_Numbers,MATCH($N819,Species_Names,0))&lt;&gt;1),"N/A",RANK($S819,IF(NOT(ISNA(MATCH(Combo_Species_Names,IF(Species_Availability="Yes",IF(Species_Evo_Numbers=1,Species_Names)),0))),Combo_Gym_Offense),0))</f>
        <v>N/A</v>
      </c>
      <c r="J819" s="24" t="str">
        <f t="array" ref="J819">IF(OR(INDEX(Species_Availability,MATCH($N819,Species_Names,0))="No",INDEX(Species_Evo_Numbers,MATCH($N819,Species_Names,0))&lt;&gt;1),"N/A",$S819/MAX(IF(NOT(ISNA(MATCH(Combo_Species_Names,IF(Species_Availability="Yes",IF(Species_Evo_Numbers=1,Species_Names)),0))),Combo_Gym_Offense)))</f>
        <v>N/A</v>
      </c>
      <c r="K819" s="23" t="str">
        <f t="array" ref="K819">IF(OR(INDEX(Species_Availability,MATCH($N819,Species_Names,0))="No",INDEX(Species_Evo_Numbers,MATCH($N819,Species_Names,0))&lt;&gt;1),"N/A",RANK($Y819,IF(NOT(ISNA(MATCH(Combo_Species_Names,IF(Species_Availability="Yes",IF(Species_Evo_Numbers=1,Species_Names)),0))),Combo_Gym_Defense),0))</f>
        <v>N/A</v>
      </c>
      <c r="L819" s="24" t="str">
        <f t="array" ref="L819">IF(OR(INDEX(Species_Availability,MATCH($N819,Species_Names,0))="No",INDEX(Species_Evo_Numbers,MATCH($N819,Species_Names,0))&lt;&gt;1),"N/A",$Y819/MAX(IF(NOT(ISNA(MATCH(Combo_Species_Names,IF(Species_Availability="Yes",IF(Species_Evo_Numbers=1,Species_Names)),0))),Combo_Gym_Defense)))</f>
        <v>N/A</v>
      </c>
      <c r="M819" s="28">
        <f t="array" ref="M819">INDEX(Species_Pdex_Numbers,MATCH($N819,Species_Names,0))</f>
        <v>21</v>
      </c>
      <c r="N819" s="30" t="s">
        <v>131</v>
      </c>
      <c r="O819" s="31" t="s">
        <v>114</v>
      </c>
      <c r="P819" s="31" t="s">
        <v>287</v>
      </c>
      <c r="Q819" s="17" t="e">
        <f t="shared" si="24"/>
        <v>#VALUE!</v>
      </c>
      <c r="R819" s="32" t="e">
        <f t="array" ref="R819">IF(OR(AND(COUNTBLANK(Combo_Opponent_Type_1)=1,COUNTBLANK(Combo_Opponent_Type_2)=0),AND(AND(COUNTBLANK(Combo_Opponent_Type_1)=0,COUNTBLANK(Combo_Opponent_Type_2)=0),Combo_Opponent_Type_1=Combo_Opponent_Type_2)),
"Check Types",($S819*INDEX(Species_Tankiness,MATCH($N819,Species_Names,0)))/225)</f>
        <v>#VALUE!</v>
      </c>
      <c r="S819" s="32" t="e">
        <f t="array" ref="S819">IF(OR(AND(COUNTBLANK(Combo_Opponent_Type_1)=1,COUNTBLANK(Combo_Opponent_Type_2)=0),AND(AND(COUNTBLANK(Combo_Opponent_Type_1)=0,COUNTBLANK(Combo_Opponent_Type_2)=0),Combo_Opponent_Type_1=Combo_Opponent_Type_2)),
"Check Types",(
IF($W819&gt;=((1-Game_Weave_Human_Error)*$X819),$W819,$X819)*INDEX(Species_Attack,MATCH($N819,Species_Names,0)))/11)</f>
        <v>#VALUE!</v>
      </c>
      <c r="T819" s="33" t="e">
        <f t="shared" si="25"/>
        <v>#VALUE!</v>
      </c>
      <c r="U819" s="33">
        <f t="array" ref="U8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819,Quick_Names,0))),Type_Species)),0),1)*IF(COUNTBLANK(Combo_Opponent_Type_2)=0,INDEX(Type_Damage_Multipliers,MATCH(Combo_Opponent_Type_2,IF(Type_Move=(INDEX(Quick_Type,MATCH($O819,Quick_Names,0))),Type_Species)),0),1)*(IF(OR(INDEX(Quick_Type,MATCH($O819,Quick_Names,0))=INDEX(Species_Type_1,MATCH($N819,Species_Names,0)),INDEX(Quick_Type,MATCH($O819,Quick_Names,0))=INDEX(Species_Type_2,MATCH($N819,Species_Names,0))),Game_STAB_Multiplier,1)))</f>
        <v>1.25</v>
      </c>
      <c r="V819" s="33">
        <f t="array" ref="V81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819,Charge_Names,0))),Type_Species)),0),1)*IF(COUNTBLANK(Combo_Opponent_Type_2)=0,INDEX(Type_Damage_Multipliers,MATCH(Combo_Opponent_Type_2,IF(Type_Move=(INDEX(Charge_Type,MATCH($P819,Charge_Names,0))),Type_Species)),0),1)*
IF(OR(INDEX(Charge_Type,MATCH($P819,Charge_Names,0))=INDEX(Species_Type_1,MATCH($N819,Species_Names,0)),INDEX(Charge_Type,MATCH($P819,Charge_Names,0))=INDEX(Species_Type_2,MATCH($N819,Species_Names,0))),Game_STAB_Multiplier,1))</f>
        <v>1.25</v>
      </c>
      <c r="W819" s="33" t="s">
        <v>876</v>
      </c>
      <c r="X819" s="33" t="s">
        <v>899</v>
      </c>
      <c r="Y819" s="32" t="e">
        <f t="array" ref="Y819">((($Z819)*
INDEX(Species_Attack,MATCH($N819,Species_Names,0))*
INDEX(Species_Tankiness,MATCH($N819,Species_Names,0)))/1000)</f>
        <v>#VALUE!</v>
      </c>
      <c r="Z819" s="33" t="s">
        <v>654</v>
      </c>
    </row>
    <row r="820" spans="1:26" ht="14.25" customHeight="1" x14ac:dyDescent="0.2">
      <c r="A820" s="86"/>
      <c r="B820" s="22" t="str">
        <f t="array" ref="B820">CONCATENATE(TEXT($M820,"000"),".",TEXT(INDEX(Quick_Number,MATCH($O820,Quick_Names,0)),"000"),".",TEXT(INDEX(Charge_Number,MATCH($P820,Charge_Names,0)),"000"))</f>
        <v>021.211.080</v>
      </c>
      <c r="C820" s="23" t="e">
        <f t="array" ref="C820">RANK($S820,IF(Combo_Species_Names=$N820,Combo_Gym_Offense),0)</f>
        <v>#VALUE!</v>
      </c>
      <c r="D820" s="24" t="e">
        <f t="array" ref="D820">$S820/MAX(IF(Combo_Species_Names=$N820,Combo_Gym_Offense))</f>
        <v>#VALUE!</v>
      </c>
      <c r="E820" s="23" t="e">
        <f t="array" ref="E820">RANK($Y820,IF(Combo_Species_Names=$N820,Combo_Gym_Defense),0)</f>
        <v>#VALUE!</v>
      </c>
      <c r="F820" s="25" t="e">
        <f t="array" ref="F820">$Y820/MAX(IF(Combo_Species_Names=$N820,Combo_Gym_Defense))</f>
        <v>#VALUE!</v>
      </c>
      <c r="G820" s="23" t="str">
        <f t="array" ref="G820">IF(OR(INDEX(Species_Availability,MATCH($N820,Species_Names,0))="No",INDEX(Species_Evo_Numbers,MATCH($N820,Species_Names,0))&lt;&gt;1),"N/A",RANK($R820,IF(NOT(ISNA(MATCH(Combo_Species_Names,IF(Species_Availability="Yes",IF(Species_Evo_Numbers=1,Species_Names)),0))),Combo_Duel_Ability),0))</f>
        <v>N/A</v>
      </c>
      <c r="H820" s="24" t="str">
        <f t="array" ref="H820">IF(OR(INDEX(Species_Availability,MATCH($N820,Species_Names,0))="No",INDEX(Species_Evo_Numbers,MATCH($N820,Species_Names,0))&lt;&gt;1),"N/A",$R820/MAX(IF(NOT(ISNA(MATCH(Combo_Species_Names,IF(Species_Availability="Yes",IF(Species_Evo_Numbers=1,Species_Names)),0))),Combo_Duel_Ability)))</f>
        <v>N/A</v>
      </c>
      <c r="I820" s="23" t="str">
        <f t="array" ref="I820">IF(OR(INDEX(Species_Availability,MATCH($N820,Species_Names,0))="No",INDEX(Species_Evo_Numbers,MATCH($N820,Species_Names,0))&lt;&gt;1),"N/A",RANK($S820,IF(NOT(ISNA(MATCH(Combo_Species_Names,IF(Species_Availability="Yes",IF(Species_Evo_Numbers=1,Species_Names)),0))),Combo_Gym_Offense),0))</f>
        <v>N/A</v>
      </c>
      <c r="J820" s="24" t="str">
        <f t="array" ref="J820">IF(OR(INDEX(Species_Availability,MATCH($N820,Species_Names,0))="No",INDEX(Species_Evo_Numbers,MATCH($N820,Species_Names,0))&lt;&gt;1),"N/A",$S820/MAX(IF(NOT(ISNA(MATCH(Combo_Species_Names,IF(Species_Availability="Yes",IF(Species_Evo_Numbers=1,Species_Names)),0))),Combo_Gym_Offense)))</f>
        <v>N/A</v>
      </c>
      <c r="K820" s="23" t="str">
        <f t="array" ref="K820">IF(OR(INDEX(Species_Availability,MATCH($N820,Species_Names,0))="No",INDEX(Species_Evo_Numbers,MATCH($N820,Species_Names,0))&lt;&gt;1),"N/A",RANK($Y820,IF(NOT(ISNA(MATCH(Combo_Species_Names,IF(Species_Availability="Yes",IF(Species_Evo_Numbers=1,Species_Names)),0))),Combo_Gym_Defense),0))</f>
        <v>N/A</v>
      </c>
      <c r="L820" s="24" t="str">
        <f t="array" ref="L820">IF(OR(INDEX(Species_Availability,MATCH($N820,Species_Names,0))="No",INDEX(Species_Evo_Numbers,MATCH($N820,Species_Names,0))&lt;&gt;1),"N/A",$Y820/MAX(IF(NOT(ISNA(MATCH(Combo_Species_Names,IF(Species_Availability="Yes",IF(Species_Evo_Numbers=1,Species_Names)),0))),Combo_Gym_Defense)))</f>
        <v>N/A</v>
      </c>
      <c r="M820" s="28">
        <f t="array" ref="M820">INDEX(Species_Pdex_Numbers,MATCH($N820,Species_Names,0))</f>
        <v>21</v>
      </c>
      <c r="N820" s="30" t="s">
        <v>131</v>
      </c>
      <c r="O820" s="31" t="s">
        <v>114</v>
      </c>
      <c r="P820" s="31" t="s">
        <v>302</v>
      </c>
      <c r="Q820" s="17" t="e">
        <f t="shared" si="24"/>
        <v>#VALUE!</v>
      </c>
      <c r="R820" s="32" t="e">
        <f t="array" ref="R820">IF(OR(AND(COUNTBLANK(Combo_Opponent_Type_1)=1,COUNTBLANK(Combo_Opponent_Type_2)=0),AND(AND(COUNTBLANK(Combo_Opponent_Type_1)=0,COUNTBLANK(Combo_Opponent_Type_2)=0),Combo_Opponent_Type_1=Combo_Opponent_Type_2)),
"Check Types",($S820*INDEX(Species_Tankiness,MATCH($N820,Species_Names,0)))/225)</f>
        <v>#VALUE!</v>
      </c>
      <c r="S820" s="32" t="e">
        <f t="array" ref="S820">IF(OR(AND(COUNTBLANK(Combo_Opponent_Type_1)=1,COUNTBLANK(Combo_Opponent_Type_2)=0),AND(AND(COUNTBLANK(Combo_Opponent_Type_1)=0,COUNTBLANK(Combo_Opponent_Type_2)=0),Combo_Opponent_Type_1=Combo_Opponent_Type_2)),
"Check Types",(
IF($W820&gt;=((1-Game_Weave_Human_Error)*$X820),$W820,$X820)*INDEX(Species_Attack,MATCH($N820,Species_Names,0)))/11)</f>
        <v>#VALUE!</v>
      </c>
      <c r="T820" s="33" t="e">
        <f t="shared" si="25"/>
        <v>#VALUE!</v>
      </c>
      <c r="U820" s="33">
        <f t="array" ref="U8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820,Quick_Names,0))),Type_Species)),0),1)*IF(COUNTBLANK(Combo_Opponent_Type_2)=0,INDEX(Type_Damage_Multipliers,MATCH(Combo_Opponent_Type_2,IF(Type_Move=(INDEX(Quick_Type,MATCH($O820,Quick_Names,0))),Type_Species)),0),1)*(IF(OR(INDEX(Quick_Type,MATCH($O820,Quick_Names,0))=INDEX(Species_Type_1,MATCH($N820,Species_Names,0)),INDEX(Quick_Type,MATCH($O820,Quick_Names,0))=INDEX(Species_Type_2,MATCH($N820,Species_Names,0))),Game_STAB_Multiplier,1)))</f>
        <v>1.25</v>
      </c>
      <c r="V820" s="33">
        <f t="array" ref="V82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820,Charge_Names,0))),Type_Species)),0),1)*IF(COUNTBLANK(Combo_Opponent_Type_2)=0,INDEX(Type_Damage_Multipliers,MATCH(Combo_Opponent_Type_2,IF(Type_Move=(INDEX(Charge_Type,MATCH($P820,Charge_Names,0))),Type_Species)),0),1)*
IF(OR(INDEX(Charge_Type,MATCH($P820,Charge_Names,0))=INDEX(Species_Type_1,MATCH($N820,Species_Names,0)),INDEX(Charge_Type,MATCH($P820,Charge_Names,0))=INDEX(Species_Type_2,MATCH($N820,Species_Names,0))),Game_STAB_Multiplier,1))</f>
        <v>1</v>
      </c>
      <c r="W820" s="33" t="s">
        <v>876</v>
      </c>
      <c r="X820" s="33" t="s">
        <v>469</v>
      </c>
      <c r="Y820" s="32" t="e">
        <f t="array" ref="Y820">((($Z820)*
INDEX(Species_Attack,MATCH($N820,Species_Names,0))*
INDEX(Species_Tankiness,MATCH($N820,Species_Names,0)))/1000)</f>
        <v>#VALUE!</v>
      </c>
      <c r="Z820" s="33" t="s">
        <v>641</v>
      </c>
    </row>
    <row r="821" spans="1:26" ht="14.25" customHeight="1" x14ac:dyDescent="0.2">
      <c r="A821" s="86"/>
      <c r="B821" s="22" t="str">
        <f t="array" ref="B821">CONCATENATE(TEXT($M821,"000"),".",TEXT(INDEX(Quick_Number,MATCH($O821,Quick_Names,0)),"000"),".",TEXT(INDEX(Charge_Number,MATCH($P821,Charge_Names,0)),"000"))</f>
        <v>016.219.121</v>
      </c>
      <c r="C821" s="23" t="e">
        <f t="array" ref="C821">RANK($S821,IF(Combo_Species_Names=$N821,Combo_Gym_Offense),0)</f>
        <v>#VALUE!</v>
      </c>
      <c r="D821" s="24" t="e">
        <f t="array" ref="D821">$S821/MAX(IF(Combo_Species_Names=$N821,Combo_Gym_Offense))</f>
        <v>#VALUE!</v>
      </c>
      <c r="E821" s="23" t="e">
        <f t="array" ref="E821">RANK($Y821,IF(Combo_Species_Names=$N821,Combo_Gym_Defense),0)</f>
        <v>#VALUE!</v>
      </c>
      <c r="F821" s="25" t="e">
        <f t="array" ref="F821">$Y821/MAX(IF(Combo_Species_Names=$N821,Combo_Gym_Defense))</f>
        <v>#VALUE!</v>
      </c>
      <c r="G821" s="23" t="str">
        <f t="array" ref="G821">IF(OR(INDEX(Species_Availability,MATCH($N821,Species_Names,0))="No",INDEX(Species_Evo_Numbers,MATCH($N821,Species_Names,0))&lt;&gt;1),"N/A",RANK($R821,IF(NOT(ISNA(MATCH(Combo_Species_Names,IF(Species_Availability="Yes",IF(Species_Evo_Numbers=1,Species_Names)),0))),Combo_Duel_Ability),0))</f>
        <v>N/A</v>
      </c>
      <c r="H821" s="24" t="str">
        <f t="array" ref="H821">IF(OR(INDEX(Species_Availability,MATCH($N821,Species_Names,0))="No",INDEX(Species_Evo_Numbers,MATCH($N821,Species_Names,0))&lt;&gt;1),"N/A",$R821/MAX(IF(NOT(ISNA(MATCH(Combo_Species_Names,IF(Species_Availability="Yes",IF(Species_Evo_Numbers=1,Species_Names)),0))),Combo_Duel_Ability)))</f>
        <v>N/A</v>
      </c>
      <c r="I821" s="23" t="str">
        <f t="array" ref="I821">IF(OR(INDEX(Species_Availability,MATCH($N821,Species_Names,0))="No",INDEX(Species_Evo_Numbers,MATCH($N821,Species_Names,0))&lt;&gt;1),"N/A",RANK($S821,IF(NOT(ISNA(MATCH(Combo_Species_Names,IF(Species_Availability="Yes",IF(Species_Evo_Numbers=1,Species_Names)),0))),Combo_Gym_Offense),0))</f>
        <v>N/A</v>
      </c>
      <c r="J821" s="24" t="str">
        <f t="array" ref="J821">IF(OR(INDEX(Species_Availability,MATCH($N821,Species_Names,0))="No",INDEX(Species_Evo_Numbers,MATCH($N821,Species_Names,0))&lt;&gt;1),"N/A",$S821/MAX(IF(NOT(ISNA(MATCH(Combo_Species_Names,IF(Species_Availability="Yes",IF(Species_Evo_Numbers=1,Species_Names)),0))),Combo_Gym_Offense)))</f>
        <v>N/A</v>
      </c>
      <c r="K821" s="23" t="str">
        <f t="array" ref="K821">IF(OR(INDEX(Species_Availability,MATCH($N821,Species_Names,0))="No",INDEX(Species_Evo_Numbers,MATCH($N821,Species_Names,0))&lt;&gt;1),"N/A",RANK($Y821,IF(NOT(ISNA(MATCH(Combo_Species_Names,IF(Species_Availability="Yes",IF(Species_Evo_Numbers=1,Species_Names)),0))),Combo_Gym_Defense),0))</f>
        <v>N/A</v>
      </c>
      <c r="L821" s="24" t="str">
        <f t="array" ref="L821">IF(OR(INDEX(Species_Availability,MATCH($N821,Species_Names,0))="No",INDEX(Species_Evo_Numbers,MATCH($N821,Species_Names,0))&lt;&gt;1),"N/A",$Y821/MAX(IF(NOT(ISNA(MATCH(Combo_Species_Names,IF(Species_Availability="Yes",IF(Species_Evo_Numbers=1,Species_Names)),0))),Combo_Gym_Defense)))</f>
        <v>N/A</v>
      </c>
      <c r="M821" s="28">
        <f t="array" ref="M821">INDEX(Species_Pdex_Numbers,MATCH($N821,Species_Names,0))</f>
        <v>16</v>
      </c>
      <c r="N821" s="30" t="s">
        <v>123</v>
      </c>
      <c r="O821" s="31" t="s">
        <v>119</v>
      </c>
      <c r="P821" s="31" t="s">
        <v>294</v>
      </c>
      <c r="Q821" s="17" t="e">
        <f t="shared" si="24"/>
        <v>#VALUE!</v>
      </c>
      <c r="R821" s="32" t="e">
        <f t="array" ref="R821">IF(OR(AND(COUNTBLANK(Combo_Opponent_Type_1)=1,COUNTBLANK(Combo_Opponent_Type_2)=0),AND(AND(COUNTBLANK(Combo_Opponent_Type_1)=0,COUNTBLANK(Combo_Opponent_Type_2)=0),Combo_Opponent_Type_1=Combo_Opponent_Type_2)),
"Check Types",($S821*INDEX(Species_Tankiness,MATCH($N821,Species_Names,0)))/225)</f>
        <v>#VALUE!</v>
      </c>
      <c r="S821" s="32" t="e">
        <f t="array" ref="S821">IF(OR(AND(COUNTBLANK(Combo_Opponent_Type_1)=1,COUNTBLANK(Combo_Opponent_Type_2)=0),AND(AND(COUNTBLANK(Combo_Opponent_Type_1)=0,COUNTBLANK(Combo_Opponent_Type_2)=0),Combo_Opponent_Type_1=Combo_Opponent_Type_2)),
"Check Types",(
IF($W821&gt;=((1-Game_Weave_Human_Error)*$X821),$W821,$X821)*INDEX(Species_Attack,MATCH($N821,Species_Names,0)))/11)</f>
        <v>#VALUE!</v>
      </c>
      <c r="T821" s="33" t="e">
        <f t="shared" si="25"/>
        <v>#VALUE!</v>
      </c>
      <c r="U821" s="33">
        <f t="array" ref="U8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821,Quick_Names,0))),Type_Species)),0),1)*IF(COUNTBLANK(Combo_Opponent_Type_2)=0,INDEX(Type_Damage_Multipliers,MATCH(Combo_Opponent_Type_2,IF(Type_Move=(INDEX(Quick_Type,MATCH($O821,Quick_Names,0))),Type_Species)),0),1)*(IF(OR(INDEX(Quick_Type,MATCH($O821,Quick_Names,0))=INDEX(Species_Type_1,MATCH($N821,Species_Names,0)),INDEX(Quick_Type,MATCH($O821,Quick_Names,0))=INDEX(Species_Type_2,MATCH($N821,Species_Names,0))),Game_STAB_Multiplier,1)))</f>
        <v>1.25</v>
      </c>
      <c r="V821" s="33">
        <f t="array" ref="V82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821,Charge_Names,0))),Type_Species)),0),1)*IF(COUNTBLANK(Combo_Opponent_Type_2)=0,INDEX(Type_Damage_Multipliers,MATCH(Combo_Opponent_Type_2,IF(Type_Move=(INDEX(Charge_Type,MATCH($P821,Charge_Names,0))),Type_Species)),0),1)*
IF(OR(INDEX(Charge_Type,MATCH($P821,Charge_Names,0))=INDEX(Species_Type_1,MATCH($N821,Species_Names,0)),INDEX(Charge_Type,MATCH($P821,Charge_Names,0))=INDEX(Species_Type_2,MATCH($N821,Species_Names,0))),Game_STAB_Multiplier,1))</f>
        <v>1.25</v>
      </c>
      <c r="W821" s="33" t="s">
        <v>564</v>
      </c>
      <c r="X821" s="33" t="s">
        <v>1094</v>
      </c>
      <c r="Y821" s="32" t="e">
        <f t="array" ref="Y821">((($Z821)*
INDEX(Species_Attack,MATCH($N821,Species_Names,0))*
INDEX(Species_Tankiness,MATCH($N821,Species_Names,0)))/1000)</f>
        <v>#VALUE!</v>
      </c>
      <c r="Z821" s="33" t="s">
        <v>901</v>
      </c>
    </row>
    <row r="822" spans="1:26" ht="14.25" customHeight="1" x14ac:dyDescent="0.2">
      <c r="A822" s="86"/>
      <c r="B822" s="22" t="str">
        <f t="array" ref="B822">CONCATENATE(TEXT($M822,"000"),".",TEXT(INDEX(Quick_Number,MATCH($O822,Quick_Names,0)),"000"),".",TEXT(INDEX(Charge_Number,MATCH($P822,Charge_Names,0)),"000"))</f>
        <v>011.201.133</v>
      </c>
      <c r="C822" s="23" t="e">
        <f t="array" ref="C822">RANK($S822,IF(Combo_Species_Names=$N822,Combo_Gym_Offense),0)</f>
        <v>#VALUE!</v>
      </c>
      <c r="D822" s="24" t="e">
        <f t="array" ref="D822">$S822/MAX(IF(Combo_Species_Names=$N822,Combo_Gym_Offense))</f>
        <v>#VALUE!</v>
      </c>
      <c r="E822" s="23" t="e">
        <f t="array" ref="E822">RANK($Y822,IF(Combo_Species_Names=$N822,Combo_Gym_Defense),0)</f>
        <v>#VALUE!</v>
      </c>
      <c r="F822" s="25" t="e">
        <f t="array" ref="F822">$Y822/MAX(IF(Combo_Species_Names=$N822,Combo_Gym_Defense))</f>
        <v>#VALUE!</v>
      </c>
      <c r="G822" s="23" t="str">
        <f t="array" ref="G822">IF(OR(INDEX(Species_Availability,MATCH($N822,Species_Names,0))="No",INDEX(Species_Evo_Numbers,MATCH($N822,Species_Names,0))&lt;&gt;1),"N/A",RANK($R822,IF(NOT(ISNA(MATCH(Combo_Species_Names,IF(Species_Availability="Yes",IF(Species_Evo_Numbers=1,Species_Names)),0))),Combo_Duel_Ability),0))</f>
        <v>N/A</v>
      </c>
      <c r="H822" s="24" t="str">
        <f t="array" ref="H822">IF(OR(INDEX(Species_Availability,MATCH($N822,Species_Names,0))="No",INDEX(Species_Evo_Numbers,MATCH($N822,Species_Names,0))&lt;&gt;1),"N/A",$R822/MAX(IF(NOT(ISNA(MATCH(Combo_Species_Names,IF(Species_Availability="Yes",IF(Species_Evo_Numbers=1,Species_Names)),0))),Combo_Duel_Ability)))</f>
        <v>N/A</v>
      </c>
      <c r="I822" s="23" t="str">
        <f t="array" ref="I822">IF(OR(INDEX(Species_Availability,MATCH($N822,Species_Names,0))="No",INDEX(Species_Evo_Numbers,MATCH($N822,Species_Names,0))&lt;&gt;1),"N/A",RANK($S822,IF(NOT(ISNA(MATCH(Combo_Species_Names,IF(Species_Availability="Yes",IF(Species_Evo_Numbers=1,Species_Names)),0))),Combo_Gym_Offense),0))</f>
        <v>N/A</v>
      </c>
      <c r="J822" s="24" t="str">
        <f t="array" ref="J822">IF(OR(INDEX(Species_Availability,MATCH($N822,Species_Names,0))="No",INDEX(Species_Evo_Numbers,MATCH($N822,Species_Names,0))&lt;&gt;1),"N/A",$S822/MAX(IF(NOT(ISNA(MATCH(Combo_Species_Names,IF(Species_Availability="Yes",IF(Species_Evo_Numbers=1,Species_Names)),0))),Combo_Gym_Offense)))</f>
        <v>N/A</v>
      </c>
      <c r="K822" s="23" t="str">
        <f t="array" ref="K822">IF(OR(INDEX(Species_Availability,MATCH($N822,Species_Names,0))="No",INDEX(Species_Evo_Numbers,MATCH($N822,Species_Names,0))&lt;&gt;1),"N/A",RANK($Y822,IF(NOT(ISNA(MATCH(Combo_Species_Names,IF(Species_Availability="Yes",IF(Species_Evo_Numbers=1,Species_Names)),0))),Combo_Gym_Defense),0))</f>
        <v>N/A</v>
      </c>
      <c r="L822" s="24" t="str">
        <f t="array" ref="L822">IF(OR(INDEX(Species_Availability,MATCH($N822,Species_Names,0))="No",INDEX(Species_Evo_Numbers,MATCH($N822,Species_Names,0))&lt;&gt;1),"N/A",$Y822/MAX(IF(NOT(ISNA(MATCH(Combo_Species_Names,IF(Species_Availability="Yes",IF(Species_Evo_Numbers=1,Species_Names)),0))),Combo_Gym_Defense)))</f>
        <v>N/A</v>
      </c>
      <c r="M822" s="28">
        <f t="array" ref="M822">INDEX(Species_Pdex_Numbers,MATCH($N822,Species_Names,0))</f>
        <v>11</v>
      </c>
      <c r="N822" s="30" t="s">
        <v>99</v>
      </c>
      <c r="O822" s="31" t="s">
        <v>82</v>
      </c>
      <c r="P822" s="31" t="s">
        <v>307</v>
      </c>
      <c r="Q822" s="17" t="e">
        <f t="shared" si="24"/>
        <v>#VALUE!</v>
      </c>
      <c r="R822" s="32" t="e">
        <f t="array" ref="R822">IF(OR(AND(COUNTBLANK(Combo_Opponent_Type_1)=1,COUNTBLANK(Combo_Opponent_Type_2)=0),AND(AND(COUNTBLANK(Combo_Opponent_Type_1)=0,COUNTBLANK(Combo_Opponent_Type_2)=0),Combo_Opponent_Type_1=Combo_Opponent_Type_2)),
"Check Types",($S822*INDEX(Species_Tankiness,MATCH($N822,Species_Names,0)))/225)</f>
        <v>#VALUE!</v>
      </c>
      <c r="S822" s="32" t="e">
        <f t="array" ref="S822">IF(OR(AND(COUNTBLANK(Combo_Opponent_Type_1)=1,COUNTBLANK(Combo_Opponent_Type_2)=0),AND(AND(COUNTBLANK(Combo_Opponent_Type_1)=0,COUNTBLANK(Combo_Opponent_Type_2)=0),Combo_Opponent_Type_1=Combo_Opponent_Type_2)),
"Check Types",(
IF($W822&gt;=((1-Game_Weave_Human_Error)*$X822),$W822,$X822)*INDEX(Species_Attack,MATCH($N822,Species_Names,0)))/11)</f>
        <v>#VALUE!</v>
      </c>
      <c r="T822" s="33" t="e">
        <f t="shared" si="25"/>
        <v>#VALUE!</v>
      </c>
      <c r="U822" s="33">
        <f t="array" ref="U8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822,Quick_Names,0))),Type_Species)),0),1)*IF(COUNTBLANK(Combo_Opponent_Type_2)=0,INDEX(Type_Damage_Multipliers,MATCH(Combo_Opponent_Type_2,IF(Type_Move=(INDEX(Quick_Type,MATCH($O822,Quick_Names,0))),Type_Species)),0),1)*(IF(OR(INDEX(Quick_Type,MATCH($O822,Quick_Names,0))=INDEX(Species_Type_1,MATCH($N822,Species_Names,0)),INDEX(Quick_Type,MATCH($O822,Quick_Names,0))=INDEX(Species_Type_2,MATCH($N822,Species_Names,0))),Game_STAB_Multiplier,1)))</f>
        <v>1.25</v>
      </c>
      <c r="V822" s="33">
        <f t="array" ref="V82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822,Charge_Names,0))),Type_Species)),0),1)*IF(COUNTBLANK(Combo_Opponent_Type_2)=0,INDEX(Type_Damage_Multipliers,MATCH(Combo_Opponent_Type_2,IF(Type_Move=(INDEX(Charge_Type,MATCH($P822,Charge_Names,0))),Type_Species)),0),1)*
IF(OR(INDEX(Charge_Type,MATCH($P822,Charge_Names,0))=INDEX(Species_Type_1,MATCH($N822,Species_Names,0)),INDEX(Charge_Type,MATCH($P822,Charge_Names,0))=INDEX(Species_Type_2,MATCH($N822,Species_Names,0))),Game_STAB_Multiplier,1))</f>
        <v>1</v>
      </c>
      <c r="W822" s="33" t="s">
        <v>436</v>
      </c>
      <c r="X822" s="33" t="s">
        <v>1095</v>
      </c>
      <c r="Y822" s="32" t="e">
        <f t="array" ref="Y822">((($Z822)*
INDEX(Species_Attack,MATCH($N822,Species_Names,0))*
INDEX(Species_Tankiness,MATCH($N822,Species_Names,0)))/1000)</f>
        <v>#VALUE!</v>
      </c>
      <c r="Z822" s="33" t="s">
        <v>1096</v>
      </c>
    </row>
    <row r="823" spans="1:26" ht="14.25" customHeight="1" x14ac:dyDescent="0.2">
      <c r="A823" s="86"/>
      <c r="B823" s="22" t="str">
        <f t="array" ref="B823">CONCATENATE(TEXT($M823,"000"),".",TEXT(INDEX(Quick_Number,MATCH($O823,Quick_Names,0)),"000"),".",TEXT(INDEX(Charge_Number,MATCH($P823,Charge_Names,0)),"000"))</f>
        <v>092.203.069</v>
      </c>
      <c r="C823" s="23" t="e">
        <f t="array" ref="C823">RANK($S823,IF(Combo_Species_Names=$N823,Combo_Gym_Offense),0)</f>
        <v>#VALUE!</v>
      </c>
      <c r="D823" s="24" t="e">
        <f t="array" ref="D823">$S823/MAX(IF(Combo_Species_Names=$N823,Combo_Gym_Offense))</f>
        <v>#VALUE!</v>
      </c>
      <c r="E823" s="23" t="e">
        <f t="array" ref="E823">RANK($Y823,IF(Combo_Species_Names=$N823,Combo_Gym_Defense),0)</f>
        <v>#VALUE!</v>
      </c>
      <c r="F823" s="25" t="e">
        <f t="array" ref="F823">$Y823/MAX(IF(Combo_Species_Names=$N823,Combo_Gym_Defense))</f>
        <v>#VALUE!</v>
      </c>
      <c r="G823" s="23" t="str">
        <f t="array" ref="G823">IF(OR(INDEX(Species_Availability,MATCH($N823,Species_Names,0))="No",INDEX(Species_Evo_Numbers,MATCH($N823,Species_Names,0))&lt;&gt;1),"N/A",RANK($R823,IF(NOT(ISNA(MATCH(Combo_Species_Names,IF(Species_Availability="Yes",IF(Species_Evo_Numbers=1,Species_Names)),0))),Combo_Duel_Ability),0))</f>
        <v>N/A</v>
      </c>
      <c r="H823" s="24" t="str">
        <f t="array" ref="H823">IF(OR(INDEX(Species_Availability,MATCH($N823,Species_Names,0))="No",INDEX(Species_Evo_Numbers,MATCH($N823,Species_Names,0))&lt;&gt;1),"N/A",$R823/MAX(IF(NOT(ISNA(MATCH(Combo_Species_Names,IF(Species_Availability="Yes",IF(Species_Evo_Numbers=1,Species_Names)),0))),Combo_Duel_Ability)))</f>
        <v>N/A</v>
      </c>
      <c r="I823" s="23" t="str">
        <f t="array" ref="I823">IF(OR(INDEX(Species_Availability,MATCH($N823,Species_Names,0))="No",INDEX(Species_Evo_Numbers,MATCH($N823,Species_Names,0))&lt;&gt;1),"N/A",RANK($S823,IF(NOT(ISNA(MATCH(Combo_Species_Names,IF(Species_Availability="Yes",IF(Species_Evo_Numbers=1,Species_Names)),0))),Combo_Gym_Offense),0))</f>
        <v>N/A</v>
      </c>
      <c r="J823" s="24" t="str">
        <f t="array" ref="J823">IF(OR(INDEX(Species_Availability,MATCH($N823,Species_Names,0))="No",INDEX(Species_Evo_Numbers,MATCH($N823,Species_Names,0))&lt;&gt;1),"N/A",$S823/MAX(IF(NOT(ISNA(MATCH(Combo_Species_Names,IF(Species_Availability="Yes",IF(Species_Evo_Numbers=1,Species_Names)),0))),Combo_Gym_Offense)))</f>
        <v>N/A</v>
      </c>
      <c r="K823" s="23" t="str">
        <f t="array" ref="K823">IF(OR(INDEX(Species_Availability,MATCH($N823,Species_Names,0))="No",INDEX(Species_Evo_Numbers,MATCH($N823,Species_Names,0))&lt;&gt;1),"N/A",RANK($Y823,IF(NOT(ISNA(MATCH(Combo_Species_Names,IF(Species_Availability="Yes",IF(Species_Evo_Numbers=1,Species_Names)),0))),Combo_Gym_Defense),0))</f>
        <v>N/A</v>
      </c>
      <c r="L823" s="24" t="str">
        <f t="array" ref="L823">IF(OR(INDEX(Species_Availability,MATCH($N823,Species_Names,0))="No",INDEX(Species_Evo_Numbers,MATCH($N823,Species_Names,0))&lt;&gt;1),"N/A",$Y823/MAX(IF(NOT(ISNA(MATCH(Combo_Species_Names,IF(Species_Availability="Yes",IF(Species_Evo_Numbers=1,Species_Names)),0))),Combo_Gym_Defense)))</f>
        <v>N/A</v>
      </c>
      <c r="M823" s="28">
        <f t="array" ref="M823">INDEX(Species_Pdex_Numbers,MATCH($N823,Species_Names,0))</f>
        <v>92</v>
      </c>
      <c r="N823" s="30" t="s">
        <v>279</v>
      </c>
      <c r="O823" s="31" t="s">
        <v>103</v>
      </c>
      <c r="P823" s="31" t="s">
        <v>300</v>
      </c>
      <c r="Q823" s="17" t="e">
        <f t="shared" si="24"/>
        <v>#VALUE!</v>
      </c>
      <c r="R823" s="32" t="e">
        <f t="array" ref="R823">IF(OR(AND(COUNTBLANK(Combo_Opponent_Type_1)=1,COUNTBLANK(Combo_Opponent_Type_2)=0),AND(AND(COUNTBLANK(Combo_Opponent_Type_1)=0,COUNTBLANK(Combo_Opponent_Type_2)=0),Combo_Opponent_Type_1=Combo_Opponent_Type_2)),
"Check Types",($S823*INDEX(Species_Tankiness,MATCH($N823,Species_Names,0)))/225)</f>
        <v>#VALUE!</v>
      </c>
      <c r="S823" s="32" t="e">
        <f t="array" ref="S823">IF(OR(AND(COUNTBLANK(Combo_Opponent_Type_1)=1,COUNTBLANK(Combo_Opponent_Type_2)=0),AND(AND(COUNTBLANK(Combo_Opponent_Type_1)=0,COUNTBLANK(Combo_Opponent_Type_2)=0),Combo_Opponent_Type_1=Combo_Opponent_Type_2)),
"Check Types",(
IF($W823&gt;=((1-Game_Weave_Human_Error)*$X823),$W823,$X823)*INDEX(Species_Attack,MATCH($N823,Species_Names,0)))/11)</f>
        <v>#VALUE!</v>
      </c>
      <c r="T823" s="33" t="e">
        <f t="shared" si="25"/>
        <v>#VALUE!</v>
      </c>
      <c r="U823" s="33">
        <f t="array" ref="U8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823,Quick_Names,0))),Type_Species)),0),1)*IF(COUNTBLANK(Combo_Opponent_Type_2)=0,INDEX(Type_Damage_Multipliers,MATCH(Combo_Opponent_Type_2,IF(Type_Move=(INDEX(Quick_Type,MATCH($O823,Quick_Names,0))),Type_Species)),0),1)*(IF(OR(INDEX(Quick_Type,MATCH($O823,Quick_Names,0))=INDEX(Species_Type_1,MATCH($N823,Species_Names,0)),INDEX(Quick_Type,MATCH($O823,Quick_Names,0))=INDEX(Species_Type_2,MATCH($N823,Species_Names,0))),Game_STAB_Multiplier,1)))</f>
        <v>1</v>
      </c>
      <c r="V823" s="33">
        <f t="array" ref="V82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823,Charge_Names,0))),Type_Species)),0),1)*IF(COUNTBLANK(Combo_Opponent_Type_2)=0,INDEX(Type_Damage_Multipliers,MATCH(Combo_Opponent_Type_2,IF(Type_Move=(INDEX(Charge_Type,MATCH($P823,Charge_Names,0))),Type_Species)),0),1)*
IF(OR(INDEX(Charge_Type,MATCH($P823,Charge_Names,0))=INDEX(Species_Type_1,MATCH($N823,Species_Names,0)),INDEX(Charge_Type,MATCH($P823,Charge_Names,0))=INDEX(Species_Type_2,MATCH($N823,Species_Names,0))),Game_STAB_Multiplier,1))</f>
        <v>1.25</v>
      </c>
      <c r="W823" s="33" t="s">
        <v>758</v>
      </c>
      <c r="X823" s="33" t="s">
        <v>678</v>
      </c>
      <c r="Y823" s="32" t="e">
        <f t="array" ref="Y823">((($Z823)*
INDEX(Species_Attack,MATCH($N823,Species_Names,0))*
INDEX(Species_Tankiness,MATCH($N823,Species_Names,0)))/1000)</f>
        <v>#VALUE!</v>
      </c>
      <c r="Z823" s="33" t="s">
        <v>1019</v>
      </c>
    </row>
    <row r="824" spans="1:26" ht="14.25" customHeight="1" x14ac:dyDescent="0.2">
      <c r="A824" s="86"/>
      <c r="B824" s="22" t="str">
        <f t="array" ref="B824">CONCATENATE(TEXT($M824,"000"),".",TEXT(INDEX(Quick_Number,MATCH($O824,Quick_Names,0)),"000"),".",TEXT(INDEX(Charge_Number,MATCH($P824,Charge_Names,0)),"000"))</f>
        <v>021.219.045</v>
      </c>
      <c r="C824" s="23" t="e">
        <f t="array" ref="C824">RANK($S824,IF(Combo_Species_Names=$N824,Combo_Gym_Offense),0)</f>
        <v>#VALUE!</v>
      </c>
      <c r="D824" s="24" t="e">
        <f t="array" ref="D824">$S824/MAX(IF(Combo_Species_Names=$N824,Combo_Gym_Offense))</f>
        <v>#VALUE!</v>
      </c>
      <c r="E824" s="23" t="e">
        <f t="array" ref="E824">RANK($Y824,IF(Combo_Species_Names=$N824,Combo_Gym_Defense),0)</f>
        <v>#VALUE!</v>
      </c>
      <c r="F824" s="25" t="e">
        <f t="array" ref="F824">$Y824/MAX(IF(Combo_Species_Names=$N824,Combo_Gym_Defense))</f>
        <v>#VALUE!</v>
      </c>
      <c r="G824" s="23" t="str">
        <f t="array" ref="G824">IF(OR(INDEX(Species_Availability,MATCH($N824,Species_Names,0))="No",INDEX(Species_Evo_Numbers,MATCH($N824,Species_Names,0))&lt;&gt;1),"N/A",RANK($R824,IF(NOT(ISNA(MATCH(Combo_Species_Names,IF(Species_Availability="Yes",IF(Species_Evo_Numbers=1,Species_Names)),0))),Combo_Duel_Ability),0))</f>
        <v>N/A</v>
      </c>
      <c r="H824" s="24" t="str">
        <f t="array" ref="H824">IF(OR(INDEX(Species_Availability,MATCH($N824,Species_Names,0))="No",INDEX(Species_Evo_Numbers,MATCH($N824,Species_Names,0))&lt;&gt;1),"N/A",$R824/MAX(IF(NOT(ISNA(MATCH(Combo_Species_Names,IF(Species_Availability="Yes",IF(Species_Evo_Numbers=1,Species_Names)),0))),Combo_Duel_Ability)))</f>
        <v>N/A</v>
      </c>
      <c r="I824" s="23" t="str">
        <f t="array" ref="I824">IF(OR(INDEX(Species_Availability,MATCH($N824,Species_Names,0))="No",INDEX(Species_Evo_Numbers,MATCH($N824,Species_Names,0))&lt;&gt;1),"N/A",RANK($S824,IF(NOT(ISNA(MATCH(Combo_Species_Names,IF(Species_Availability="Yes",IF(Species_Evo_Numbers=1,Species_Names)),0))),Combo_Gym_Offense),0))</f>
        <v>N/A</v>
      </c>
      <c r="J824" s="24" t="str">
        <f t="array" ref="J824">IF(OR(INDEX(Species_Availability,MATCH($N824,Species_Names,0))="No",INDEX(Species_Evo_Numbers,MATCH($N824,Species_Names,0))&lt;&gt;1),"N/A",$S824/MAX(IF(NOT(ISNA(MATCH(Combo_Species_Names,IF(Species_Availability="Yes",IF(Species_Evo_Numbers=1,Species_Names)),0))),Combo_Gym_Offense)))</f>
        <v>N/A</v>
      </c>
      <c r="K824" s="23" t="str">
        <f t="array" ref="K824">IF(OR(INDEX(Species_Availability,MATCH($N824,Species_Names,0))="No",INDEX(Species_Evo_Numbers,MATCH($N824,Species_Names,0))&lt;&gt;1),"N/A",RANK($Y824,IF(NOT(ISNA(MATCH(Combo_Species_Names,IF(Species_Availability="Yes",IF(Species_Evo_Numbers=1,Species_Names)),0))),Combo_Gym_Defense),0))</f>
        <v>N/A</v>
      </c>
      <c r="L824" s="24" t="str">
        <f t="array" ref="L824">IF(OR(INDEX(Species_Availability,MATCH($N824,Species_Names,0))="No",INDEX(Species_Evo_Numbers,MATCH($N824,Species_Names,0))&lt;&gt;1),"N/A",$Y824/MAX(IF(NOT(ISNA(MATCH(Combo_Species_Names,IF(Species_Availability="Yes",IF(Species_Evo_Numbers=1,Species_Names)),0))),Combo_Gym_Defense)))</f>
        <v>N/A</v>
      </c>
      <c r="M824" s="28">
        <f t="array" ref="M824">INDEX(Species_Pdex_Numbers,MATCH($N824,Species_Names,0))</f>
        <v>21</v>
      </c>
      <c r="N824" s="30" t="s">
        <v>131</v>
      </c>
      <c r="O824" s="31" t="s">
        <v>119</v>
      </c>
      <c r="P824" s="31" t="s">
        <v>287</v>
      </c>
      <c r="Q824" s="17" t="e">
        <f t="shared" si="24"/>
        <v>#VALUE!</v>
      </c>
      <c r="R824" s="32" t="e">
        <f t="array" ref="R824">IF(OR(AND(COUNTBLANK(Combo_Opponent_Type_1)=1,COUNTBLANK(Combo_Opponent_Type_2)=0),AND(AND(COUNTBLANK(Combo_Opponent_Type_1)=0,COUNTBLANK(Combo_Opponent_Type_2)=0),Combo_Opponent_Type_1=Combo_Opponent_Type_2)),
"Check Types",($S824*INDEX(Species_Tankiness,MATCH($N824,Species_Names,0)))/225)</f>
        <v>#VALUE!</v>
      </c>
      <c r="S824" s="32" t="e">
        <f t="array" ref="S824">IF(OR(AND(COUNTBLANK(Combo_Opponent_Type_1)=1,COUNTBLANK(Combo_Opponent_Type_2)=0),AND(AND(COUNTBLANK(Combo_Opponent_Type_1)=0,COUNTBLANK(Combo_Opponent_Type_2)=0),Combo_Opponent_Type_1=Combo_Opponent_Type_2)),
"Check Types",(
IF($W824&gt;=((1-Game_Weave_Human_Error)*$X824),$W824,$X824)*INDEX(Species_Attack,MATCH($N824,Species_Names,0)))/11)</f>
        <v>#VALUE!</v>
      </c>
      <c r="T824" s="33" t="e">
        <f t="shared" si="25"/>
        <v>#VALUE!</v>
      </c>
      <c r="U824" s="33">
        <f t="array" ref="U8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824,Quick_Names,0))),Type_Species)),0),1)*IF(COUNTBLANK(Combo_Opponent_Type_2)=0,INDEX(Type_Damage_Multipliers,MATCH(Combo_Opponent_Type_2,IF(Type_Move=(INDEX(Quick_Type,MATCH($O824,Quick_Names,0))),Type_Species)),0),1)*(IF(OR(INDEX(Quick_Type,MATCH($O824,Quick_Names,0))=INDEX(Species_Type_1,MATCH($N824,Species_Names,0)),INDEX(Quick_Type,MATCH($O824,Quick_Names,0))=INDEX(Species_Type_2,MATCH($N824,Species_Names,0))),Game_STAB_Multiplier,1)))</f>
        <v>1.25</v>
      </c>
      <c r="V824" s="33">
        <f t="array" ref="V82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824,Charge_Names,0))),Type_Species)),0),1)*IF(COUNTBLANK(Combo_Opponent_Type_2)=0,INDEX(Type_Damage_Multipliers,MATCH(Combo_Opponent_Type_2,IF(Type_Move=(INDEX(Charge_Type,MATCH($P824,Charge_Names,0))),Type_Species)),0),1)*
IF(OR(INDEX(Charge_Type,MATCH($P824,Charge_Names,0))=INDEX(Species_Type_1,MATCH($N824,Species_Names,0)),INDEX(Charge_Type,MATCH($P824,Charge_Names,0))=INDEX(Species_Type_2,MATCH($N824,Species_Names,0))),Game_STAB_Multiplier,1))</f>
        <v>1.25</v>
      </c>
      <c r="W824" s="33" t="s">
        <v>564</v>
      </c>
      <c r="X824" s="33" t="s">
        <v>1091</v>
      </c>
      <c r="Y824" s="32" t="e">
        <f t="array" ref="Y824">((($Z824)*
INDEX(Species_Attack,MATCH($N824,Species_Names,0))*
INDEX(Species_Tankiness,MATCH($N824,Species_Names,0)))/1000)</f>
        <v>#VALUE!</v>
      </c>
      <c r="Z824" s="33" t="s">
        <v>1045</v>
      </c>
    </row>
    <row r="825" spans="1:26" ht="14.25" customHeight="1" x14ac:dyDescent="0.2">
      <c r="A825" s="86"/>
      <c r="B825" s="22" t="str">
        <f t="array" ref="B825">CONCATENATE(TEXT($M825,"000"),".",TEXT(INDEX(Quick_Number,MATCH($O825,Quick_Names,0)),"000"),".",TEXT(INDEX(Charge_Number,MATCH($P825,Charge_Names,0)),"000"))</f>
        <v>019.221.026</v>
      </c>
      <c r="C825" s="23" t="e">
        <f t="array" ref="C825">RANK($S825,IF(Combo_Species_Names=$N825,Combo_Gym_Offense),0)</f>
        <v>#VALUE!</v>
      </c>
      <c r="D825" s="24" t="e">
        <f t="array" ref="D825">$S825/MAX(IF(Combo_Species_Names=$N825,Combo_Gym_Offense))</f>
        <v>#VALUE!</v>
      </c>
      <c r="E825" s="23" t="e">
        <f t="array" ref="E825">RANK($Y825,IF(Combo_Species_Names=$N825,Combo_Gym_Defense),0)</f>
        <v>#VALUE!</v>
      </c>
      <c r="F825" s="25" t="e">
        <f t="array" ref="F825">$Y825/MAX(IF(Combo_Species_Names=$N825,Combo_Gym_Defense))</f>
        <v>#VALUE!</v>
      </c>
      <c r="G825" s="23" t="str">
        <f t="array" ref="G825">IF(OR(INDEX(Species_Availability,MATCH($N825,Species_Names,0))="No",INDEX(Species_Evo_Numbers,MATCH($N825,Species_Names,0))&lt;&gt;1),"N/A",RANK($R825,IF(NOT(ISNA(MATCH(Combo_Species_Names,IF(Species_Availability="Yes",IF(Species_Evo_Numbers=1,Species_Names)),0))),Combo_Duel_Ability),0))</f>
        <v>N/A</v>
      </c>
      <c r="H825" s="24" t="str">
        <f t="array" ref="H825">IF(OR(INDEX(Species_Availability,MATCH($N825,Species_Names,0))="No",INDEX(Species_Evo_Numbers,MATCH($N825,Species_Names,0))&lt;&gt;1),"N/A",$R825/MAX(IF(NOT(ISNA(MATCH(Combo_Species_Names,IF(Species_Availability="Yes",IF(Species_Evo_Numbers=1,Species_Names)),0))),Combo_Duel_Ability)))</f>
        <v>N/A</v>
      </c>
      <c r="I825" s="23" t="str">
        <f t="array" ref="I825">IF(OR(INDEX(Species_Availability,MATCH($N825,Species_Names,0))="No",INDEX(Species_Evo_Numbers,MATCH($N825,Species_Names,0))&lt;&gt;1),"N/A",RANK($S825,IF(NOT(ISNA(MATCH(Combo_Species_Names,IF(Species_Availability="Yes",IF(Species_Evo_Numbers=1,Species_Names)),0))),Combo_Gym_Offense),0))</f>
        <v>N/A</v>
      </c>
      <c r="J825" s="24" t="str">
        <f t="array" ref="J825">IF(OR(INDEX(Species_Availability,MATCH($N825,Species_Names,0))="No",INDEX(Species_Evo_Numbers,MATCH($N825,Species_Names,0))&lt;&gt;1),"N/A",$S825/MAX(IF(NOT(ISNA(MATCH(Combo_Species_Names,IF(Species_Availability="Yes",IF(Species_Evo_Numbers=1,Species_Names)),0))),Combo_Gym_Offense)))</f>
        <v>N/A</v>
      </c>
      <c r="K825" s="23" t="str">
        <f t="array" ref="K825">IF(OR(INDEX(Species_Availability,MATCH($N825,Species_Names,0))="No",INDEX(Species_Evo_Numbers,MATCH($N825,Species_Names,0))&lt;&gt;1),"N/A",RANK($Y825,IF(NOT(ISNA(MATCH(Combo_Species_Names,IF(Species_Availability="Yes",IF(Species_Evo_Numbers=1,Species_Names)),0))),Combo_Gym_Defense),0))</f>
        <v>N/A</v>
      </c>
      <c r="L825" s="24" t="str">
        <f t="array" ref="L825">IF(OR(INDEX(Species_Availability,MATCH($N825,Species_Names,0))="No",INDEX(Species_Evo_Numbers,MATCH($N825,Species_Names,0))&lt;&gt;1),"N/A",$Y825/MAX(IF(NOT(ISNA(MATCH(Combo_Species_Names,IF(Species_Availability="Yes",IF(Species_Evo_Numbers=1,Species_Names)),0))),Combo_Gym_Defense)))</f>
        <v>N/A</v>
      </c>
      <c r="M825" s="28">
        <f t="array" ref="M825">INDEX(Species_Pdex_Numbers,MATCH($N825,Species_Names,0))</f>
        <v>19</v>
      </c>
      <c r="N825" s="30" t="s">
        <v>128</v>
      </c>
      <c r="O825" s="31" t="s">
        <v>91</v>
      </c>
      <c r="P825" s="31" t="s">
        <v>264</v>
      </c>
      <c r="Q825" s="17" t="e">
        <f t="shared" si="24"/>
        <v>#VALUE!</v>
      </c>
      <c r="R825" s="32" t="e">
        <f t="array" ref="R825">IF(OR(AND(COUNTBLANK(Combo_Opponent_Type_1)=1,COUNTBLANK(Combo_Opponent_Type_2)=0),AND(AND(COUNTBLANK(Combo_Opponent_Type_1)=0,COUNTBLANK(Combo_Opponent_Type_2)=0),Combo_Opponent_Type_1=Combo_Opponent_Type_2)),
"Check Types",($S825*INDEX(Species_Tankiness,MATCH($N825,Species_Names,0)))/225)</f>
        <v>#VALUE!</v>
      </c>
      <c r="S825" s="32" t="e">
        <f t="array" ref="S825">IF(OR(AND(COUNTBLANK(Combo_Opponent_Type_1)=1,COUNTBLANK(Combo_Opponent_Type_2)=0),AND(AND(COUNTBLANK(Combo_Opponent_Type_1)=0,COUNTBLANK(Combo_Opponent_Type_2)=0),Combo_Opponent_Type_1=Combo_Opponent_Type_2)),
"Check Types",(
IF($W825&gt;=((1-Game_Weave_Human_Error)*$X825),$W825,$X825)*INDEX(Species_Attack,MATCH($N825,Species_Names,0)))/11)</f>
        <v>#VALUE!</v>
      </c>
      <c r="T825" s="33" t="e">
        <f t="shared" si="25"/>
        <v>#VALUE!</v>
      </c>
      <c r="U825" s="33">
        <f t="array" ref="U8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825,Quick_Names,0))),Type_Species)),0),1)*IF(COUNTBLANK(Combo_Opponent_Type_2)=0,INDEX(Type_Damage_Multipliers,MATCH(Combo_Opponent_Type_2,IF(Type_Move=(INDEX(Quick_Type,MATCH($O825,Quick_Names,0))),Type_Species)),0),1)*(IF(OR(INDEX(Quick_Type,MATCH($O825,Quick_Names,0))=INDEX(Species_Type_1,MATCH($N825,Species_Names,0)),INDEX(Quick_Type,MATCH($O825,Quick_Names,0))=INDEX(Species_Type_2,MATCH($N825,Species_Names,0))),Game_STAB_Multiplier,1)))</f>
        <v>1.25</v>
      </c>
      <c r="V825" s="33">
        <f t="array" ref="V82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825,Charge_Names,0))),Type_Species)),0),1)*IF(COUNTBLANK(Combo_Opponent_Type_2)=0,INDEX(Type_Damage_Multipliers,MATCH(Combo_Opponent_Type_2,IF(Type_Move=(INDEX(Charge_Type,MATCH($P825,Charge_Names,0))),Type_Species)),0),1)*
IF(OR(INDEX(Charge_Type,MATCH($P825,Charge_Names,0))=INDEX(Species_Type_1,MATCH($N825,Species_Names,0)),INDEX(Charge_Type,MATCH($P825,Charge_Names,0))=INDEX(Species_Type_2,MATCH($N825,Species_Names,0))),Game_STAB_Multiplier,1))</f>
        <v>1</v>
      </c>
      <c r="W825" s="33" t="s">
        <v>700</v>
      </c>
      <c r="X825" s="33" t="s">
        <v>877</v>
      </c>
      <c r="Y825" s="32" t="e">
        <f t="array" ref="Y825">((($Z825)*
INDEX(Species_Attack,MATCH($N825,Species_Names,0))*
INDEX(Species_Tankiness,MATCH($N825,Species_Names,0)))/1000)</f>
        <v>#VALUE!</v>
      </c>
      <c r="Z825" s="33" t="s">
        <v>716</v>
      </c>
    </row>
    <row r="826" spans="1:26" ht="14.25" customHeight="1" x14ac:dyDescent="0.2">
      <c r="A826" s="86"/>
      <c r="B826" s="22" t="str">
        <f t="array" ref="B826">CONCATENATE(TEXT($M826,"000"),".",TEXT(INDEX(Quick_Number,MATCH($O826,Quick_Names,0)),"000"),".",TEXT(INDEX(Charge_Number,MATCH($P826,Charge_Names,0)),"000"))</f>
        <v>014.201.133</v>
      </c>
      <c r="C826" s="23" t="e">
        <f t="array" ref="C826">RANK($S826,IF(Combo_Species_Names=$N826,Combo_Gym_Offense),0)</f>
        <v>#VALUE!</v>
      </c>
      <c r="D826" s="24" t="e">
        <f t="array" ref="D826">$S826/MAX(IF(Combo_Species_Names=$N826,Combo_Gym_Offense))</f>
        <v>#VALUE!</v>
      </c>
      <c r="E826" s="23" t="e">
        <f t="array" ref="E826">RANK($Y826,IF(Combo_Species_Names=$N826,Combo_Gym_Defense),0)</f>
        <v>#VALUE!</v>
      </c>
      <c r="F826" s="25" t="e">
        <f t="array" ref="F826">$Y826/MAX(IF(Combo_Species_Names=$N826,Combo_Gym_Defense))</f>
        <v>#VALUE!</v>
      </c>
      <c r="G826" s="23" t="str">
        <f t="array" ref="G826">IF(OR(INDEX(Species_Availability,MATCH($N826,Species_Names,0))="No",INDEX(Species_Evo_Numbers,MATCH($N826,Species_Names,0))&lt;&gt;1),"N/A",RANK($R826,IF(NOT(ISNA(MATCH(Combo_Species_Names,IF(Species_Availability="Yes",IF(Species_Evo_Numbers=1,Species_Names)),0))),Combo_Duel_Ability),0))</f>
        <v>N/A</v>
      </c>
      <c r="H826" s="24" t="str">
        <f t="array" ref="H826">IF(OR(INDEX(Species_Availability,MATCH($N826,Species_Names,0))="No",INDEX(Species_Evo_Numbers,MATCH($N826,Species_Names,0))&lt;&gt;1),"N/A",$R826/MAX(IF(NOT(ISNA(MATCH(Combo_Species_Names,IF(Species_Availability="Yes",IF(Species_Evo_Numbers=1,Species_Names)),0))),Combo_Duel_Ability)))</f>
        <v>N/A</v>
      </c>
      <c r="I826" s="23" t="str">
        <f t="array" ref="I826">IF(OR(INDEX(Species_Availability,MATCH($N826,Species_Names,0))="No",INDEX(Species_Evo_Numbers,MATCH($N826,Species_Names,0))&lt;&gt;1),"N/A",RANK($S826,IF(NOT(ISNA(MATCH(Combo_Species_Names,IF(Species_Availability="Yes",IF(Species_Evo_Numbers=1,Species_Names)),0))),Combo_Gym_Offense),0))</f>
        <v>N/A</v>
      </c>
      <c r="J826" s="24" t="str">
        <f t="array" ref="J826">IF(OR(INDEX(Species_Availability,MATCH($N826,Species_Names,0))="No",INDEX(Species_Evo_Numbers,MATCH($N826,Species_Names,0))&lt;&gt;1),"N/A",$S826/MAX(IF(NOT(ISNA(MATCH(Combo_Species_Names,IF(Species_Availability="Yes",IF(Species_Evo_Numbers=1,Species_Names)),0))),Combo_Gym_Offense)))</f>
        <v>N/A</v>
      </c>
      <c r="K826" s="23" t="str">
        <f t="array" ref="K826">IF(OR(INDEX(Species_Availability,MATCH($N826,Species_Names,0))="No",INDEX(Species_Evo_Numbers,MATCH($N826,Species_Names,0))&lt;&gt;1),"N/A",RANK($Y826,IF(NOT(ISNA(MATCH(Combo_Species_Names,IF(Species_Availability="Yes",IF(Species_Evo_Numbers=1,Species_Names)),0))),Combo_Gym_Defense),0))</f>
        <v>N/A</v>
      </c>
      <c r="L826" s="24" t="str">
        <f t="array" ref="L826">IF(OR(INDEX(Species_Availability,MATCH($N826,Species_Names,0))="No",INDEX(Species_Evo_Numbers,MATCH($N826,Species_Names,0))&lt;&gt;1),"N/A",$Y826/MAX(IF(NOT(ISNA(MATCH(Combo_Species_Names,IF(Species_Availability="Yes",IF(Species_Evo_Numbers=1,Species_Names)),0))),Combo_Gym_Defense)))</f>
        <v>N/A</v>
      </c>
      <c r="M826" s="28">
        <f t="array" ref="M826">INDEX(Species_Pdex_Numbers,MATCH($N826,Species_Names,0))</f>
        <v>14</v>
      </c>
      <c r="N826" s="30" t="s">
        <v>116</v>
      </c>
      <c r="O826" s="31" t="s">
        <v>82</v>
      </c>
      <c r="P826" s="31" t="s">
        <v>307</v>
      </c>
      <c r="Q826" s="17" t="e">
        <f t="shared" si="24"/>
        <v>#VALUE!</v>
      </c>
      <c r="R826" s="32" t="e">
        <f t="array" ref="R826">IF(OR(AND(COUNTBLANK(Combo_Opponent_Type_1)=1,COUNTBLANK(Combo_Opponent_Type_2)=0),AND(AND(COUNTBLANK(Combo_Opponent_Type_1)=0,COUNTBLANK(Combo_Opponent_Type_2)=0),Combo_Opponent_Type_1=Combo_Opponent_Type_2)),
"Check Types",($S826*INDEX(Species_Tankiness,MATCH($N826,Species_Names,0)))/225)</f>
        <v>#VALUE!</v>
      </c>
      <c r="S826" s="32" t="e">
        <f t="array" ref="S826">IF(OR(AND(COUNTBLANK(Combo_Opponent_Type_1)=1,COUNTBLANK(Combo_Opponent_Type_2)=0),AND(AND(COUNTBLANK(Combo_Opponent_Type_1)=0,COUNTBLANK(Combo_Opponent_Type_2)=0),Combo_Opponent_Type_1=Combo_Opponent_Type_2)),
"Check Types",(
IF($W826&gt;=((1-Game_Weave_Human_Error)*$X826),$W826,$X826)*INDEX(Species_Attack,MATCH($N826,Species_Names,0)))/11)</f>
        <v>#VALUE!</v>
      </c>
      <c r="T826" s="33" t="e">
        <f t="shared" si="25"/>
        <v>#VALUE!</v>
      </c>
      <c r="U826" s="33">
        <f t="array" ref="U8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826,Quick_Names,0))),Type_Species)),0),1)*IF(COUNTBLANK(Combo_Opponent_Type_2)=0,INDEX(Type_Damage_Multipliers,MATCH(Combo_Opponent_Type_2,IF(Type_Move=(INDEX(Quick_Type,MATCH($O826,Quick_Names,0))),Type_Species)),0),1)*(IF(OR(INDEX(Quick_Type,MATCH($O826,Quick_Names,0))=INDEX(Species_Type_1,MATCH($N826,Species_Names,0)),INDEX(Quick_Type,MATCH($O826,Quick_Names,0))=INDEX(Species_Type_2,MATCH($N826,Species_Names,0))),Game_STAB_Multiplier,1)))</f>
        <v>1.25</v>
      </c>
      <c r="V826" s="33">
        <f t="array" ref="V82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826,Charge_Names,0))),Type_Species)),0),1)*IF(COUNTBLANK(Combo_Opponent_Type_2)=0,INDEX(Type_Damage_Multipliers,MATCH(Combo_Opponent_Type_2,IF(Type_Move=(INDEX(Charge_Type,MATCH($P826,Charge_Names,0))),Type_Species)),0),1)*
IF(OR(INDEX(Charge_Type,MATCH($P826,Charge_Names,0))=INDEX(Species_Type_1,MATCH($N826,Species_Names,0)),INDEX(Charge_Type,MATCH($P826,Charge_Names,0))=INDEX(Species_Type_2,MATCH($N826,Species_Names,0))),Game_STAB_Multiplier,1))</f>
        <v>1</v>
      </c>
      <c r="W826" s="33" t="s">
        <v>436</v>
      </c>
      <c r="X826" s="33" t="s">
        <v>1095</v>
      </c>
      <c r="Y826" s="32" t="e">
        <f t="array" ref="Y826">((($Z826)*
INDEX(Species_Attack,MATCH($N826,Species_Names,0))*
INDEX(Species_Tankiness,MATCH($N826,Species_Names,0)))/1000)</f>
        <v>#VALUE!</v>
      </c>
      <c r="Z826" s="33" t="s">
        <v>1096</v>
      </c>
    </row>
    <row r="827" spans="1:26" ht="14.25" customHeight="1" x14ac:dyDescent="0.2">
      <c r="A827" s="86"/>
      <c r="B827" s="22" t="str">
        <f t="array" ref="B827">CONCATENATE(TEXT($M827,"000"),".",TEXT(INDEX(Quick_Number,MATCH($O827,Quick_Names,0)),"000"),".",TEXT(INDEX(Charge_Number,MATCH($P827,Charge_Names,0)),"000"))</f>
        <v>016.219.080</v>
      </c>
      <c r="C827" s="23" t="e">
        <f t="array" ref="C827">RANK($S827,IF(Combo_Species_Names=$N827,Combo_Gym_Offense),0)</f>
        <v>#VALUE!</v>
      </c>
      <c r="D827" s="24" t="e">
        <f t="array" ref="D827">$S827/MAX(IF(Combo_Species_Names=$N827,Combo_Gym_Offense))</f>
        <v>#VALUE!</v>
      </c>
      <c r="E827" s="23" t="e">
        <f t="array" ref="E827">RANK($Y827,IF(Combo_Species_Names=$N827,Combo_Gym_Defense),0)</f>
        <v>#VALUE!</v>
      </c>
      <c r="F827" s="25" t="e">
        <f t="array" ref="F827">$Y827/MAX(IF(Combo_Species_Names=$N827,Combo_Gym_Defense))</f>
        <v>#VALUE!</v>
      </c>
      <c r="G827" s="23" t="str">
        <f t="array" ref="G827">IF(OR(INDEX(Species_Availability,MATCH($N827,Species_Names,0))="No",INDEX(Species_Evo_Numbers,MATCH($N827,Species_Names,0))&lt;&gt;1),"N/A",RANK($R827,IF(NOT(ISNA(MATCH(Combo_Species_Names,IF(Species_Availability="Yes",IF(Species_Evo_Numbers=1,Species_Names)),0))),Combo_Duel_Ability),0))</f>
        <v>N/A</v>
      </c>
      <c r="H827" s="24" t="str">
        <f t="array" ref="H827">IF(OR(INDEX(Species_Availability,MATCH($N827,Species_Names,0))="No",INDEX(Species_Evo_Numbers,MATCH($N827,Species_Names,0))&lt;&gt;1),"N/A",$R827/MAX(IF(NOT(ISNA(MATCH(Combo_Species_Names,IF(Species_Availability="Yes",IF(Species_Evo_Numbers=1,Species_Names)),0))),Combo_Duel_Ability)))</f>
        <v>N/A</v>
      </c>
      <c r="I827" s="23" t="str">
        <f t="array" ref="I827">IF(OR(INDEX(Species_Availability,MATCH($N827,Species_Names,0))="No",INDEX(Species_Evo_Numbers,MATCH($N827,Species_Names,0))&lt;&gt;1),"N/A",RANK($S827,IF(NOT(ISNA(MATCH(Combo_Species_Names,IF(Species_Availability="Yes",IF(Species_Evo_Numbers=1,Species_Names)),0))),Combo_Gym_Offense),0))</f>
        <v>N/A</v>
      </c>
      <c r="J827" s="24" t="str">
        <f t="array" ref="J827">IF(OR(INDEX(Species_Availability,MATCH($N827,Species_Names,0))="No",INDEX(Species_Evo_Numbers,MATCH($N827,Species_Names,0))&lt;&gt;1),"N/A",$S827/MAX(IF(NOT(ISNA(MATCH(Combo_Species_Names,IF(Species_Availability="Yes",IF(Species_Evo_Numbers=1,Species_Names)),0))),Combo_Gym_Offense)))</f>
        <v>N/A</v>
      </c>
      <c r="K827" s="23" t="str">
        <f t="array" ref="K827">IF(OR(INDEX(Species_Availability,MATCH($N827,Species_Names,0))="No",INDEX(Species_Evo_Numbers,MATCH($N827,Species_Names,0))&lt;&gt;1),"N/A",RANK($Y827,IF(NOT(ISNA(MATCH(Combo_Species_Names,IF(Species_Availability="Yes",IF(Species_Evo_Numbers=1,Species_Names)),0))),Combo_Gym_Defense),0))</f>
        <v>N/A</v>
      </c>
      <c r="L827" s="24" t="str">
        <f t="array" ref="L827">IF(OR(INDEX(Species_Availability,MATCH($N827,Species_Names,0))="No",INDEX(Species_Evo_Numbers,MATCH($N827,Species_Names,0))&lt;&gt;1),"N/A",$Y827/MAX(IF(NOT(ISNA(MATCH(Combo_Species_Names,IF(Species_Availability="Yes",IF(Species_Evo_Numbers=1,Species_Names)),0))),Combo_Gym_Defense)))</f>
        <v>N/A</v>
      </c>
      <c r="M827" s="28">
        <f t="array" ref="M827">INDEX(Species_Pdex_Numbers,MATCH($N827,Species_Names,0))</f>
        <v>16</v>
      </c>
      <c r="N827" s="30" t="s">
        <v>123</v>
      </c>
      <c r="O827" s="31" t="s">
        <v>119</v>
      </c>
      <c r="P827" s="31" t="s">
        <v>302</v>
      </c>
      <c r="Q827" s="17" t="e">
        <f t="shared" si="24"/>
        <v>#VALUE!</v>
      </c>
      <c r="R827" s="32" t="e">
        <f t="array" ref="R827">IF(OR(AND(COUNTBLANK(Combo_Opponent_Type_1)=1,COUNTBLANK(Combo_Opponent_Type_2)=0),AND(AND(COUNTBLANK(Combo_Opponent_Type_1)=0,COUNTBLANK(Combo_Opponent_Type_2)=0),Combo_Opponent_Type_1=Combo_Opponent_Type_2)),
"Check Types",($S827*INDEX(Species_Tankiness,MATCH($N827,Species_Names,0)))/225)</f>
        <v>#VALUE!</v>
      </c>
      <c r="S827" s="32" t="e">
        <f t="array" ref="S827">IF(OR(AND(COUNTBLANK(Combo_Opponent_Type_1)=1,COUNTBLANK(Combo_Opponent_Type_2)=0),AND(AND(COUNTBLANK(Combo_Opponent_Type_1)=0,COUNTBLANK(Combo_Opponent_Type_2)=0),Combo_Opponent_Type_1=Combo_Opponent_Type_2)),
"Check Types",(
IF($W827&gt;=((1-Game_Weave_Human_Error)*$X827),$W827,$X827)*INDEX(Species_Attack,MATCH($N827,Species_Names,0)))/11)</f>
        <v>#VALUE!</v>
      </c>
      <c r="T827" s="33" t="e">
        <f t="shared" si="25"/>
        <v>#VALUE!</v>
      </c>
      <c r="U827" s="33">
        <f t="array" ref="U8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827,Quick_Names,0))),Type_Species)),0),1)*IF(COUNTBLANK(Combo_Opponent_Type_2)=0,INDEX(Type_Damage_Multipliers,MATCH(Combo_Opponent_Type_2,IF(Type_Move=(INDEX(Quick_Type,MATCH($O827,Quick_Names,0))),Type_Species)),0),1)*(IF(OR(INDEX(Quick_Type,MATCH($O827,Quick_Names,0))=INDEX(Species_Type_1,MATCH($N827,Species_Names,0)),INDEX(Quick_Type,MATCH($O827,Quick_Names,0))=INDEX(Species_Type_2,MATCH($N827,Species_Names,0))),Game_STAB_Multiplier,1)))</f>
        <v>1.25</v>
      </c>
      <c r="V827" s="33">
        <f t="array" ref="V82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827,Charge_Names,0))),Type_Species)),0),1)*IF(COUNTBLANK(Combo_Opponent_Type_2)=0,INDEX(Type_Damage_Multipliers,MATCH(Combo_Opponent_Type_2,IF(Type_Move=(INDEX(Charge_Type,MATCH($P827,Charge_Names,0))),Type_Species)),0),1)*
IF(OR(INDEX(Charge_Type,MATCH($P827,Charge_Names,0))=INDEX(Species_Type_1,MATCH($N827,Species_Names,0)),INDEX(Charge_Type,MATCH($P827,Charge_Names,0))=INDEX(Species_Type_2,MATCH($N827,Species_Names,0))),Game_STAB_Multiplier,1))</f>
        <v>1</v>
      </c>
      <c r="W827" s="33" t="s">
        <v>564</v>
      </c>
      <c r="X827" s="33" t="s">
        <v>1097</v>
      </c>
      <c r="Y827" s="32" t="e">
        <f t="array" ref="Y827">((($Z827)*
INDEX(Species_Attack,MATCH($N827,Species_Names,0))*
INDEX(Species_Tankiness,MATCH($N827,Species_Names,0)))/1000)</f>
        <v>#VALUE!</v>
      </c>
      <c r="Z827" s="33" t="s">
        <v>1098</v>
      </c>
    </row>
    <row r="828" spans="1:26" ht="14.25" customHeight="1" x14ac:dyDescent="0.2">
      <c r="A828" s="86"/>
      <c r="B828" s="22" t="str">
        <f t="array" ref="B828">CONCATENATE(TEXT($M828,"000"),".",TEXT(INDEX(Quick_Number,MATCH($O828,Quick_Names,0)),"000"),".",TEXT(INDEX(Charge_Number,MATCH($P828,Charge_Names,0)),"000"))</f>
        <v>019.219.131</v>
      </c>
      <c r="C828" s="23" t="e">
        <f t="array" ref="C828">RANK($S828,IF(Combo_Species_Names=$N828,Combo_Gym_Offense),0)</f>
        <v>#VALUE!</v>
      </c>
      <c r="D828" s="24" t="e">
        <f t="array" ref="D828">$S828/MAX(IF(Combo_Species_Names=$N828,Combo_Gym_Offense))</f>
        <v>#VALUE!</v>
      </c>
      <c r="E828" s="23" t="e">
        <f t="array" ref="E828">RANK($Y828,IF(Combo_Species_Names=$N828,Combo_Gym_Defense),0)</f>
        <v>#VALUE!</v>
      </c>
      <c r="F828" s="25" t="e">
        <f t="array" ref="F828">$Y828/MAX(IF(Combo_Species_Names=$N828,Combo_Gym_Defense))</f>
        <v>#VALUE!</v>
      </c>
      <c r="G828" s="23" t="str">
        <f t="array" ref="G828">IF(OR(INDEX(Species_Availability,MATCH($N828,Species_Names,0))="No",INDEX(Species_Evo_Numbers,MATCH($N828,Species_Names,0))&lt;&gt;1),"N/A",RANK($R828,IF(NOT(ISNA(MATCH(Combo_Species_Names,IF(Species_Availability="Yes",IF(Species_Evo_Numbers=1,Species_Names)),0))),Combo_Duel_Ability),0))</f>
        <v>N/A</v>
      </c>
      <c r="H828" s="24" t="str">
        <f t="array" ref="H828">IF(OR(INDEX(Species_Availability,MATCH($N828,Species_Names,0))="No",INDEX(Species_Evo_Numbers,MATCH($N828,Species_Names,0))&lt;&gt;1),"N/A",$R828/MAX(IF(NOT(ISNA(MATCH(Combo_Species_Names,IF(Species_Availability="Yes",IF(Species_Evo_Numbers=1,Species_Names)),0))),Combo_Duel_Ability)))</f>
        <v>N/A</v>
      </c>
      <c r="I828" s="23" t="str">
        <f t="array" ref="I828">IF(OR(INDEX(Species_Availability,MATCH($N828,Species_Names,0))="No",INDEX(Species_Evo_Numbers,MATCH($N828,Species_Names,0))&lt;&gt;1),"N/A",RANK($S828,IF(NOT(ISNA(MATCH(Combo_Species_Names,IF(Species_Availability="Yes",IF(Species_Evo_Numbers=1,Species_Names)),0))),Combo_Gym_Offense),0))</f>
        <v>N/A</v>
      </c>
      <c r="J828" s="24" t="str">
        <f t="array" ref="J828">IF(OR(INDEX(Species_Availability,MATCH($N828,Species_Names,0))="No",INDEX(Species_Evo_Numbers,MATCH($N828,Species_Names,0))&lt;&gt;1),"N/A",$S828/MAX(IF(NOT(ISNA(MATCH(Combo_Species_Names,IF(Species_Availability="Yes",IF(Species_Evo_Numbers=1,Species_Names)),0))),Combo_Gym_Offense)))</f>
        <v>N/A</v>
      </c>
      <c r="K828" s="23" t="str">
        <f t="array" ref="K828">IF(OR(INDEX(Species_Availability,MATCH($N828,Species_Names,0))="No",INDEX(Species_Evo_Numbers,MATCH($N828,Species_Names,0))&lt;&gt;1),"N/A",RANK($Y828,IF(NOT(ISNA(MATCH(Combo_Species_Names,IF(Species_Availability="Yes",IF(Species_Evo_Numbers=1,Species_Names)),0))),Combo_Gym_Defense),0))</f>
        <v>N/A</v>
      </c>
      <c r="L828" s="24" t="str">
        <f t="array" ref="L828">IF(OR(INDEX(Species_Availability,MATCH($N828,Species_Names,0))="No",INDEX(Species_Evo_Numbers,MATCH($N828,Species_Names,0))&lt;&gt;1),"N/A",$Y828/MAX(IF(NOT(ISNA(MATCH(Combo_Species_Names,IF(Species_Availability="Yes",IF(Species_Evo_Numbers=1,Species_Names)),0))),Combo_Gym_Defense)))</f>
        <v>N/A</v>
      </c>
      <c r="M828" s="28">
        <f t="array" ref="M828">INDEX(Species_Pdex_Numbers,MATCH($N828,Species_Names,0))</f>
        <v>19</v>
      </c>
      <c r="N828" s="30" t="s">
        <v>128</v>
      </c>
      <c r="O828" s="31" t="s">
        <v>119</v>
      </c>
      <c r="P828" s="31" t="s">
        <v>151</v>
      </c>
      <c r="Q828" s="17" t="e">
        <f t="shared" si="24"/>
        <v>#VALUE!</v>
      </c>
      <c r="R828" s="32" t="e">
        <f t="array" ref="R828">IF(OR(AND(COUNTBLANK(Combo_Opponent_Type_1)=1,COUNTBLANK(Combo_Opponent_Type_2)=0),AND(AND(COUNTBLANK(Combo_Opponent_Type_1)=0,COUNTBLANK(Combo_Opponent_Type_2)=0),Combo_Opponent_Type_1=Combo_Opponent_Type_2)),
"Check Types",($S828*INDEX(Species_Tankiness,MATCH($N828,Species_Names,0)))/225)</f>
        <v>#VALUE!</v>
      </c>
      <c r="S828" s="32" t="e">
        <f t="array" ref="S828">IF(OR(AND(COUNTBLANK(Combo_Opponent_Type_1)=1,COUNTBLANK(Combo_Opponent_Type_2)=0),AND(AND(COUNTBLANK(Combo_Opponent_Type_1)=0,COUNTBLANK(Combo_Opponent_Type_2)=0),Combo_Opponent_Type_1=Combo_Opponent_Type_2)),
"Check Types",(
IF($W828&gt;=((1-Game_Weave_Human_Error)*$X828),$W828,$X828)*INDEX(Species_Attack,MATCH($N828,Species_Names,0)))/11)</f>
        <v>#VALUE!</v>
      </c>
      <c r="T828" s="33" t="e">
        <f t="shared" si="25"/>
        <v>#VALUE!</v>
      </c>
      <c r="U828" s="33">
        <f t="array" ref="U8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828,Quick_Names,0))),Type_Species)),0),1)*IF(COUNTBLANK(Combo_Opponent_Type_2)=0,INDEX(Type_Damage_Multipliers,MATCH(Combo_Opponent_Type_2,IF(Type_Move=(INDEX(Quick_Type,MATCH($O828,Quick_Names,0))),Type_Species)),0),1)*(IF(OR(INDEX(Quick_Type,MATCH($O828,Quick_Names,0))=INDEX(Species_Type_1,MATCH($N828,Species_Names,0)),INDEX(Quick_Type,MATCH($O828,Quick_Names,0))=INDEX(Species_Type_2,MATCH($N828,Species_Names,0))),Game_STAB_Multiplier,1)))</f>
        <v>1.25</v>
      </c>
      <c r="V828" s="33">
        <f t="array" ref="V82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828,Charge_Names,0))),Type_Species)),0),1)*IF(COUNTBLANK(Combo_Opponent_Type_2)=0,INDEX(Type_Damage_Multipliers,MATCH(Combo_Opponent_Type_2,IF(Type_Move=(INDEX(Charge_Type,MATCH($P828,Charge_Names,0))),Type_Species)),0),1)*
IF(OR(INDEX(Charge_Type,MATCH($P828,Charge_Names,0))=INDEX(Species_Type_1,MATCH($N828,Species_Names,0)),INDEX(Charge_Type,MATCH($P828,Charge_Names,0))=INDEX(Species_Type_2,MATCH($N828,Species_Names,0))),Game_STAB_Multiplier,1))</f>
        <v>1.25</v>
      </c>
      <c r="W828" s="33" t="s">
        <v>564</v>
      </c>
      <c r="X828" s="33" t="s">
        <v>528</v>
      </c>
      <c r="Y828" s="32" t="e">
        <f t="array" ref="Y828">((($Z828)*
INDEX(Species_Attack,MATCH($N828,Species_Names,0))*
INDEX(Species_Tankiness,MATCH($N828,Species_Names,0)))/1000)</f>
        <v>#VALUE!</v>
      </c>
      <c r="Z828" s="33" t="s">
        <v>542</v>
      </c>
    </row>
    <row r="829" spans="1:26" ht="14.25" customHeight="1" x14ac:dyDescent="0.2">
      <c r="A829" s="86"/>
      <c r="B829" s="22" t="str">
        <f t="array" ref="B829">CONCATENATE(TEXT($M829,"000"),".",TEXT(INDEX(Quick_Number,MATCH($O829,Quick_Names,0)),"000"),".",TEXT(INDEX(Charge_Number,MATCH($P829,Charge_Names,0)),"000"))</f>
        <v>021.219.080</v>
      </c>
      <c r="C829" s="23" t="e">
        <f t="array" ref="C829">RANK($S829,IF(Combo_Species_Names=$N829,Combo_Gym_Offense),0)</f>
        <v>#VALUE!</v>
      </c>
      <c r="D829" s="24" t="e">
        <f t="array" ref="D829">$S829/MAX(IF(Combo_Species_Names=$N829,Combo_Gym_Offense))</f>
        <v>#VALUE!</v>
      </c>
      <c r="E829" s="23" t="e">
        <f t="array" ref="E829">RANK($Y829,IF(Combo_Species_Names=$N829,Combo_Gym_Defense),0)</f>
        <v>#VALUE!</v>
      </c>
      <c r="F829" s="25" t="e">
        <f t="array" ref="F829">$Y829/MAX(IF(Combo_Species_Names=$N829,Combo_Gym_Defense))</f>
        <v>#VALUE!</v>
      </c>
      <c r="G829" s="23" t="str">
        <f t="array" ref="G829">IF(OR(INDEX(Species_Availability,MATCH($N829,Species_Names,0))="No",INDEX(Species_Evo_Numbers,MATCH($N829,Species_Names,0))&lt;&gt;1),"N/A",RANK($R829,IF(NOT(ISNA(MATCH(Combo_Species_Names,IF(Species_Availability="Yes",IF(Species_Evo_Numbers=1,Species_Names)),0))),Combo_Duel_Ability),0))</f>
        <v>N/A</v>
      </c>
      <c r="H829" s="24" t="str">
        <f t="array" ref="H829">IF(OR(INDEX(Species_Availability,MATCH($N829,Species_Names,0))="No",INDEX(Species_Evo_Numbers,MATCH($N829,Species_Names,0))&lt;&gt;1),"N/A",$R829/MAX(IF(NOT(ISNA(MATCH(Combo_Species_Names,IF(Species_Availability="Yes",IF(Species_Evo_Numbers=1,Species_Names)),0))),Combo_Duel_Ability)))</f>
        <v>N/A</v>
      </c>
      <c r="I829" s="23" t="str">
        <f t="array" ref="I829">IF(OR(INDEX(Species_Availability,MATCH($N829,Species_Names,0))="No",INDEX(Species_Evo_Numbers,MATCH($N829,Species_Names,0))&lt;&gt;1),"N/A",RANK($S829,IF(NOT(ISNA(MATCH(Combo_Species_Names,IF(Species_Availability="Yes",IF(Species_Evo_Numbers=1,Species_Names)),0))),Combo_Gym_Offense),0))</f>
        <v>N/A</v>
      </c>
      <c r="J829" s="24" t="str">
        <f t="array" ref="J829">IF(OR(INDEX(Species_Availability,MATCH($N829,Species_Names,0))="No",INDEX(Species_Evo_Numbers,MATCH($N829,Species_Names,0))&lt;&gt;1),"N/A",$S829/MAX(IF(NOT(ISNA(MATCH(Combo_Species_Names,IF(Species_Availability="Yes",IF(Species_Evo_Numbers=1,Species_Names)),0))),Combo_Gym_Offense)))</f>
        <v>N/A</v>
      </c>
      <c r="K829" s="23" t="str">
        <f t="array" ref="K829">IF(OR(INDEX(Species_Availability,MATCH($N829,Species_Names,0))="No",INDEX(Species_Evo_Numbers,MATCH($N829,Species_Names,0))&lt;&gt;1),"N/A",RANK($Y829,IF(NOT(ISNA(MATCH(Combo_Species_Names,IF(Species_Availability="Yes",IF(Species_Evo_Numbers=1,Species_Names)),0))),Combo_Gym_Defense),0))</f>
        <v>N/A</v>
      </c>
      <c r="L829" s="24" t="str">
        <f t="array" ref="L829">IF(OR(INDEX(Species_Availability,MATCH($N829,Species_Names,0))="No",INDEX(Species_Evo_Numbers,MATCH($N829,Species_Names,0))&lt;&gt;1),"N/A",$Y829/MAX(IF(NOT(ISNA(MATCH(Combo_Species_Names,IF(Species_Availability="Yes",IF(Species_Evo_Numbers=1,Species_Names)),0))),Combo_Gym_Defense)))</f>
        <v>N/A</v>
      </c>
      <c r="M829" s="28">
        <f t="array" ref="M829">INDEX(Species_Pdex_Numbers,MATCH($N829,Species_Names,0))</f>
        <v>21</v>
      </c>
      <c r="N829" s="30" t="s">
        <v>131</v>
      </c>
      <c r="O829" s="31" t="s">
        <v>119</v>
      </c>
      <c r="P829" s="31" t="s">
        <v>302</v>
      </c>
      <c r="Q829" s="17" t="e">
        <f t="shared" si="24"/>
        <v>#VALUE!</v>
      </c>
      <c r="R829" s="32" t="e">
        <f t="array" ref="R829">IF(OR(AND(COUNTBLANK(Combo_Opponent_Type_1)=1,COUNTBLANK(Combo_Opponent_Type_2)=0),AND(AND(COUNTBLANK(Combo_Opponent_Type_1)=0,COUNTBLANK(Combo_Opponent_Type_2)=0),Combo_Opponent_Type_1=Combo_Opponent_Type_2)),
"Check Types",($S829*INDEX(Species_Tankiness,MATCH($N829,Species_Names,0)))/225)</f>
        <v>#VALUE!</v>
      </c>
      <c r="S829" s="32" t="e">
        <f t="array" ref="S829">IF(OR(AND(COUNTBLANK(Combo_Opponent_Type_1)=1,COUNTBLANK(Combo_Opponent_Type_2)=0),AND(AND(COUNTBLANK(Combo_Opponent_Type_1)=0,COUNTBLANK(Combo_Opponent_Type_2)=0),Combo_Opponent_Type_1=Combo_Opponent_Type_2)),
"Check Types",(
IF($W829&gt;=((1-Game_Weave_Human_Error)*$X829),$W829,$X829)*INDEX(Species_Attack,MATCH($N829,Species_Names,0)))/11)</f>
        <v>#VALUE!</v>
      </c>
      <c r="T829" s="33" t="e">
        <f t="shared" si="25"/>
        <v>#VALUE!</v>
      </c>
      <c r="U829" s="33">
        <f t="array" ref="U8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829,Quick_Names,0))),Type_Species)),0),1)*IF(COUNTBLANK(Combo_Opponent_Type_2)=0,INDEX(Type_Damage_Multipliers,MATCH(Combo_Opponent_Type_2,IF(Type_Move=(INDEX(Quick_Type,MATCH($O829,Quick_Names,0))),Type_Species)),0),1)*(IF(OR(INDEX(Quick_Type,MATCH($O829,Quick_Names,0))=INDEX(Species_Type_1,MATCH($N829,Species_Names,0)),INDEX(Quick_Type,MATCH($O829,Quick_Names,0))=INDEX(Species_Type_2,MATCH($N829,Species_Names,0))),Game_STAB_Multiplier,1)))</f>
        <v>1.25</v>
      </c>
      <c r="V829" s="33">
        <f t="array" ref="V82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829,Charge_Names,0))),Type_Species)),0),1)*IF(COUNTBLANK(Combo_Opponent_Type_2)=0,INDEX(Type_Damage_Multipliers,MATCH(Combo_Opponent_Type_2,IF(Type_Move=(INDEX(Charge_Type,MATCH($P829,Charge_Names,0))),Type_Species)),0),1)*
IF(OR(INDEX(Charge_Type,MATCH($P829,Charge_Names,0))=INDEX(Species_Type_1,MATCH($N829,Species_Names,0)),INDEX(Charge_Type,MATCH($P829,Charge_Names,0))=INDEX(Species_Type_2,MATCH($N829,Species_Names,0))),Game_STAB_Multiplier,1))</f>
        <v>1</v>
      </c>
      <c r="W829" s="33" t="s">
        <v>564</v>
      </c>
      <c r="X829" s="33" t="s">
        <v>1097</v>
      </c>
      <c r="Y829" s="32" t="e">
        <f t="array" ref="Y829">((($Z829)*
INDEX(Species_Attack,MATCH($N829,Species_Names,0))*
INDEX(Species_Tankiness,MATCH($N829,Species_Names,0)))/1000)</f>
        <v>#VALUE!</v>
      </c>
      <c r="Z829" s="33" t="s">
        <v>1098</v>
      </c>
    </row>
    <row r="830" spans="1:26" ht="14.25" customHeight="1" x14ac:dyDescent="0.2">
      <c r="A830" s="86"/>
      <c r="B830" s="22" t="str">
        <f t="array" ref="B830">CONCATENATE(TEXT($M830,"000"),".",TEXT(INDEX(Quick_Number,MATCH($O830,Quick_Names,0)),"000"),".",TEXT(INDEX(Charge_Number,MATCH($P830,Charge_Names,0)),"000"))</f>
        <v>063.234.060</v>
      </c>
      <c r="C830" s="23" t="e">
        <f t="array" ref="C830">RANK($S830,IF(Combo_Species_Names=$N830,Combo_Gym_Offense),0)</f>
        <v>#VALUE!</v>
      </c>
      <c r="D830" s="24" t="e">
        <f t="array" ref="D830">$S830/MAX(IF(Combo_Species_Names=$N830,Combo_Gym_Offense))</f>
        <v>#VALUE!</v>
      </c>
      <c r="E830" s="23" t="e">
        <f t="array" ref="E830">RANK($Y830,IF(Combo_Species_Names=$N830,Combo_Gym_Defense),0)</f>
        <v>#VALUE!</v>
      </c>
      <c r="F830" s="25" t="e">
        <f t="array" ref="F830">$Y830/MAX(IF(Combo_Species_Names=$N830,Combo_Gym_Defense))</f>
        <v>#VALUE!</v>
      </c>
      <c r="G830" s="23" t="str">
        <f t="array" ref="G830">IF(OR(INDEX(Species_Availability,MATCH($N830,Species_Names,0))="No",INDEX(Species_Evo_Numbers,MATCH($N830,Species_Names,0))&lt;&gt;1),"N/A",RANK($R830,IF(NOT(ISNA(MATCH(Combo_Species_Names,IF(Species_Availability="Yes",IF(Species_Evo_Numbers=1,Species_Names)),0))),Combo_Duel_Ability),0))</f>
        <v>N/A</v>
      </c>
      <c r="H830" s="24" t="str">
        <f t="array" ref="H830">IF(OR(INDEX(Species_Availability,MATCH($N830,Species_Names,0))="No",INDEX(Species_Evo_Numbers,MATCH($N830,Species_Names,0))&lt;&gt;1),"N/A",$R830/MAX(IF(NOT(ISNA(MATCH(Combo_Species_Names,IF(Species_Availability="Yes",IF(Species_Evo_Numbers=1,Species_Names)),0))),Combo_Duel_Ability)))</f>
        <v>N/A</v>
      </c>
      <c r="I830" s="23" t="str">
        <f t="array" ref="I830">IF(OR(INDEX(Species_Availability,MATCH($N830,Species_Names,0))="No",INDEX(Species_Evo_Numbers,MATCH($N830,Species_Names,0))&lt;&gt;1),"N/A",RANK($S830,IF(NOT(ISNA(MATCH(Combo_Species_Names,IF(Species_Availability="Yes",IF(Species_Evo_Numbers=1,Species_Names)),0))),Combo_Gym_Offense),0))</f>
        <v>N/A</v>
      </c>
      <c r="J830" s="24" t="str">
        <f t="array" ref="J830">IF(OR(INDEX(Species_Availability,MATCH($N830,Species_Names,0))="No",INDEX(Species_Evo_Numbers,MATCH($N830,Species_Names,0))&lt;&gt;1),"N/A",$S830/MAX(IF(NOT(ISNA(MATCH(Combo_Species_Names,IF(Species_Availability="Yes",IF(Species_Evo_Numbers=1,Species_Names)),0))),Combo_Gym_Offense)))</f>
        <v>N/A</v>
      </c>
      <c r="K830" s="23" t="str">
        <f t="array" ref="K830">IF(OR(INDEX(Species_Availability,MATCH($N830,Species_Names,0))="No",INDEX(Species_Evo_Numbers,MATCH($N830,Species_Names,0))&lt;&gt;1),"N/A",RANK($Y830,IF(NOT(ISNA(MATCH(Combo_Species_Names,IF(Species_Availability="Yes",IF(Species_Evo_Numbers=1,Species_Names)),0))),Combo_Gym_Defense),0))</f>
        <v>N/A</v>
      </c>
      <c r="L830" s="24" t="str">
        <f t="array" ref="L830">IF(OR(INDEX(Species_Availability,MATCH($N830,Species_Names,0))="No",INDEX(Species_Evo_Numbers,MATCH($N830,Species_Names,0))&lt;&gt;1),"N/A",$Y830/MAX(IF(NOT(ISNA(MATCH(Combo_Species_Names,IF(Species_Availability="Yes",IF(Species_Evo_Numbers=1,Species_Names)),0))),Combo_Gym_Defense)))</f>
        <v>N/A</v>
      </c>
      <c r="M830" s="28">
        <f t="array" ref="M830">INDEX(Species_Pdex_Numbers,MATCH($N830,Species_Names,0))</f>
        <v>63</v>
      </c>
      <c r="N830" s="30" t="s">
        <v>217</v>
      </c>
      <c r="O830" s="31" t="s">
        <v>79</v>
      </c>
      <c r="P830" s="31" t="s">
        <v>232</v>
      </c>
      <c r="Q830" s="17" t="e">
        <f t="shared" si="24"/>
        <v>#VALUE!</v>
      </c>
      <c r="R830" s="32" t="e">
        <f t="array" ref="R830">IF(OR(AND(COUNTBLANK(Combo_Opponent_Type_1)=1,COUNTBLANK(Combo_Opponent_Type_2)=0),AND(AND(COUNTBLANK(Combo_Opponent_Type_1)=0,COUNTBLANK(Combo_Opponent_Type_2)=0),Combo_Opponent_Type_1=Combo_Opponent_Type_2)),
"Check Types",($S830*INDEX(Species_Tankiness,MATCH($N830,Species_Names,0)))/225)</f>
        <v>#VALUE!</v>
      </c>
      <c r="S830" s="32" t="e">
        <f t="array" ref="S830">IF(OR(AND(COUNTBLANK(Combo_Opponent_Type_1)=1,COUNTBLANK(Combo_Opponent_Type_2)=0),AND(AND(COUNTBLANK(Combo_Opponent_Type_1)=0,COUNTBLANK(Combo_Opponent_Type_2)=0),Combo_Opponent_Type_1=Combo_Opponent_Type_2)),
"Check Types",(
IF($W830&gt;=((1-Game_Weave_Human_Error)*$X830),$W830,$X830)*INDEX(Species_Attack,MATCH($N830,Species_Names,0)))/11)</f>
        <v>#VALUE!</v>
      </c>
      <c r="T830" s="33" t="e">
        <f t="shared" si="25"/>
        <v>#VALUE!</v>
      </c>
      <c r="U830" s="33">
        <f t="array" ref="U8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830,Quick_Names,0))),Type_Species)),0),1)*IF(COUNTBLANK(Combo_Opponent_Type_2)=0,INDEX(Type_Damage_Multipliers,MATCH(Combo_Opponent_Type_2,IF(Type_Move=(INDEX(Quick_Type,MATCH($O830,Quick_Names,0))),Type_Species)),0),1)*(IF(OR(INDEX(Quick_Type,MATCH($O830,Quick_Names,0))=INDEX(Species_Type_1,MATCH($N830,Species_Names,0)),INDEX(Quick_Type,MATCH($O830,Quick_Names,0))=INDEX(Species_Type_2,MATCH($N830,Species_Names,0))),Game_STAB_Multiplier,1)))</f>
        <v>1.25</v>
      </c>
      <c r="V830" s="33">
        <f t="array" ref="V83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830,Charge_Names,0))),Type_Species)),0),1)*IF(COUNTBLANK(Combo_Opponent_Type_2)=0,INDEX(Type_Damage_Multipliers,MATCH(Combo_Opponent_Type_2,IF(Type_Move=(INDEX(Charge_Type,MATCH($P830,Charge_Names,0))),Type_Species)),0),1)*
IF(OR(INDEX(Charge_Type,MATCH($P830,Charge_Names,0))=INDEX(Species_Type_1,MATCH($N830,Species_Names,0)),INDEX(Charge_Type,MATCH($P830,Charge_Names,0))=INDEX(Species_Type_2,MATCH($N830,Species_Names,0))),Game_STAB_Multiplier,1))</f>
        <v>1.25</v>
      </c>
      <c r="W830" s="33" t="s">
        <v>446</v>
      </c>
      <c r="X830" s="33" t="s">
        <v>636</v>
      </c>
      <c r="Y830" s="32" t="e">
        <f t="array" ref="Y830">((($Z830)*
INDEX(Species_Attack,MATCH($N830,Species_Names,0))*
INDEX(Species_Tankiness,MATCH($N830,Species_Names,0)))/1000)</f>
        <v>#VALUE!</v>
      </c>
      <c r="Z830" s="33" t="s">
        <v>485</v>
      </c>
    </row>
    <row r="831" spans="1:26" ht="14.25" customHeight="1" x14ac:dyDescent="0.2">
      <c r="A831" s="86"/>
      <c r="B831" s="22" t="str">
        <f t="array" ref="B831">CONCATENATE(TEXT($M831,"000"),".",TEXT(INDEX(Quick_Number,MATCH($O831,Quick_Names,0)),"000"),".",TEXT(INDEX(Charge_Number,MATCH($P831,Charge_Names,0)),"000"))</f>
        <v>063.234.099</v>
      </c>
      <c r="C831" s="23" t="e">
        <f t="array" ref="C831">RANK($S831,IF(Combo_Species_Names=$N831,Combo_Gym_Offense),0)</f>
        <v>#VALUE!</v>
      </c>
      <c r="D831" s="24" t="e">
        <f t="array" ref="D831">$S831/MAX(IF(Combo_Species_Names=$N831,Combo_Gym_Offense))</f>
        <v>#VALUE!</v>
      </c>
      <c r="E831" s="23" t="e">
        <f t="array" ref="E831">RANK($Y831,IF(Combo_Species_Names=$N831,Combo_Gym_Defense),0)</f>
        <v>#VALUE!</v>
      </c>
      <c r="F831" s="25" t="e">
        <f t="array" ref="F831">$Y831/MAX(IF(Combo_Species_Names=$N831,Combo_Gym_Defense))</f>
        <v>#VALUE!</v>
      </c>
      <c r="G831" s="23" t="str">
        <f t="array" ref="G831">IF(OR(INDEX(Species_Availability,MATCH($N831,Species_Names,0))="No",INDEX(Species_Evo_Numbers,MATCH($N831,Species_Names,0))&lt;&gt;1),"N/A",RANK($R831,IF(NOT(ISNA(MATCH(Combo_Species_Names,IF(Species_Availability="Yes",IF(Species_Evo_Numbers=1,Species_Names)),0))),Combo_Duel_Ability),0))</f>
        <v>N/A</v>
      </c>
      <c r="H831" s="24" t="str">
        <f t="array" ref="H831">IF(OR(INDEX(Species_Availability,MATCH($N831,Species_Names,0))="No",INDEX(Species_Evo_Numbers,MATCH($N831,Species_Names,0))&lt;&gt;1),"N/A",$R831/MAX(IF(NOT(ISNA(MATCH(Combo_Species_Names,IF(Species_Availability="Yes",IF(Species_Evo_Numbers=1,Species_Names)),0))),Combo_Duel_Ability)))</f>
        <v>N/A</v>
      </c>
      <c r="I831" s="23" t="str">
        <f t="array" ref="I831">IF(OR(INDEX(Species_Availability,MATCH($N831,Species_Names,0))="No",INDEX(Species_Evo_Numbers,MATCH($N831,Species_Names,0))&lt;&gt;1),"N/A",RANK($S831,IF(NOT(ISNA(MATCH(Combo_Species_Names,IF(Species_Availability="Yes",IF(Species_Evo_Numbers=1,Species_Names)),0))),Combo_Gym_Offense),0))</f>
        <v>N/A</v>
      </c>
      <c r="J831" s="24" t="str">
        <f t="array" ref="J831">IF(OR(INDEX(Species_Availability,MATCH($N831,Species_Names,0))="No",INDEX(Species_Evo_Numbers,MATCH($N831,Species_Names,0))&lt;&gt;1),"N/A",$S831/MAX(IF(NOT(ISNA(MATCH(Combo_Species_Names,IF(Species_Availability="Yes",IF(Species_Evo_Numbers=1,Species_Names)),0))),Combo_Gym_Offense)))</f>
        <v>N/A</v>
      </c>
      <c r="K831" s="23" t="str">
        <f t="array" ref="K831">IF(OR(INDEX(Species_Availability,MATCH($N831,Species_Names,0))="No",INDEX(Species_Evo_Numbers,MATCH($N831,Species_Names,0))&lt;&gt;1),"N/A",RANK($Y831,IF(NOT(ISNA(MATCH(Combo_Species_Names,IF(Species_Availability="Yes",IF(Species_Evo_Numbers=1,Species_Names)),0))),Combo_Gym_Defense),0))</f>
        <v>N/A</v>
      </c>
      <c r="L831" s="24" t="str">
        <f t="array" ref="L831">IF(OR(INDEX(Species_Availability,MATCH($N831,Species_Names,0))="No",INDEX(Species_Evo_Numbers,MATCH($N831,Species_Names,0))&lt;&gt;1),"N/A",$Y831/MAX(IF(NOT(ISNA(MATCH(Combo_Species_Names,IF(Species_Availability="Yes",IF(Species_Evo_Numbers=1,Species_Names)),0))),Combo_Gym_Defense)))</f>
        <v>N/A</v>
      </c>
      <c r="M831" s="28">
        <f t="array" ref="M831">INDEX(Species_Pdex_Numbers,MATCH($N831,Species_Names,0))</f>
        <v>63</v>
      </c>
      <c r="N831" s="30" t="s">
        <v>217</v>
      </c>
      <c r="O831" s="31" t="s">
        <v>79</v>
      </c>
      <c r="P831" s="31" t="s">
        <v>236</v>
      </c>
      <c r="Q831" s="17" t="e">
        <f t="shared" si="24"/>
        <v>#VALUE!</v>
      </c>
      <c r="R831" s="32" t="e">
        <f t="array" ref="R831">IF(OR(AND(COUNTBLANK(Combo_Opponent_Type_1)=1,COUNTBLANK(Combo_Opponent_Type_2)=0),AND(AND(COUNTBLANK(Combo_Opponent_Type_1)=0,COUNTBLANK(Combo_Opponent_Type_2)=0),Combo_Opponent_Type_1=Combo_Opponent_Type_2)),
"Check Types",($S831*INDEX(Species_Tankiness,MATCH($N831,Species_Names,0)))/225)</f>
        <v>#VALUE!</v>
      </c>
      <c r="S831" s="32" t="e">
        <f t="array" ref="S831">IF(OR(AND(COUNTBLANK(Combo_Opponent_Type_1)=1,COUNTBLANK(Combo_Opponent_Type_2)=0),AND(AND(COUNTBLANK(Combo_Opponent_Type_1)=0,COUNTBLANK(Combo_Opponent_Type_2)=0),Combo_Opponent_Type_1=Combo_Opponent_Type_2)),
"Check Types",(
IF($W831&gt;=((1-Game_Weave_Human_Error)*$X831),$W831,$X831)*INDEX(Species_Attack,MATCH($N831,Species_Names,0)))/11)</f>
        <v>#VALUE!</v>
      </c>
      <c r="T831" s="33" t="e">
        <f t="shared" si="25"/>
        <v>#VALUE!</v>
      </c>
      <c r="U831" s="33">
        <f t="array" ref="U8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831,Quick_Names,0))),Type_Species)),0),1)*IF(COUNTBLANK(Combo_Opponent_Type_2)=0,INDEX(Type_Damage_Multipliers,MATCH(Combo_Opponent_Type_2,IF(Type_Move=(INDEX(Quick_Type,MATCH($O831,Quick_Names,0))),Type_Species)),0),1)*(IF(OR(INDEX(Quick_Type,MATCH($O831,Quick_Names,0))=INDEX(Species_Type_1,MATCH($N831,Species_Names,0)),INDEX(Quick_Type,MATCH($O831,Quick_Names,0))=INDEX(Species_Type_2,MATCH($N831,Species_Names,0))),Game_STAB_Multiplier,1)))</f>
        <v>1.25</v>
      </c>
      <c r="V831" s="33">
        <f t="array" ref="V83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831,Charge_Names,0))),Type_Species)),0),1)*IF(COUNTBLANK(Combo_Opponent_Type_2)=0,INDEX(Type_Damage_Multipliers,MATCH(Combo_Opponent_Type_2,IF(Type_Move=(INDEX(Charge_Type,MATCH($P831,Charge_Names,0))),Type_Species)),0),1)*
IF(OR(INDEX(Charge_Type,MATCH($P831,Charge_Names,0))=INDEX(Species_Type_1,MATCH($N831,Species_Names,0)),INDEX(Charge_Type,MATCH($P831,Charge_Names,0))=INDEX(Species_Type_2,MATCH($N831,Species_Names,0))),Game_STAB_Multiplier,1))</f>
        <v>1</v>
      </c>
      <c r="W831" s="33" t="s">
        <v>446</v>
      </c>
      <c r="X831" s="33" t="s">
        <v>637</v>
      </c>
      <c r="Y831" s="32" t="e">
        <f t="array" ref="Y831">((($Z831)*
INDEX(Species_Attack,MATCH($N831,Species_Names,0))*
INDEX(Species_Tankiness,MATCH($N831,Species_Names,0)))/1000)</f>
        <v>#VALUE!</v>
      </c>
      <c r="Z831" s="33" t="s">
        <v>638</v>
      </c>
    </row>
    <row r="832" spans="1:26" ht="14.25" customHeight="1" x14ac:dyDescent="0.2">
      <c r="A832" s="86"/>
      <c r="B832" s="22" t="str">
        <f t="array" ref="B832">CONCATENATE(TEXT($M832,"000"),".",TEXT(INDEX(Quick_Number,MATCH($O832,Quick_Names,0)),"000"),".",TEXT(INDEX(Charge_Number,MATCH($P832,Charge_Names,0)),"000"))</f>
        <v>063.234.070</v>
      </c>
      <c r="C832" s="23" t="e">
        <f t="array" ref="C832">RANK($S832,IF(Combo_Species_Names=$N832,Combo_Gym_Offense),0)</f>
        <v>#VALUE!</v>
      </c>
      <c r="D832" s="24" t="e">
        <f t="array" ref="D832">$S832/MAX(IF(Combo_Species_Names=$N832,Combo_Gym_Offense))</f>
        <v>#VALUE!</v>
      </c>
      <c r="E832" s="23" t="e">
        <f t="array" ref="E832">RANK($Y832,IF(Combo_Species_Names=$N832,Combo_Gym_Defense),0)</f>
        <v>#VALUE!</v>
      </c>
      <c r="F832" s="25" t="e">
        <f t="array" ref="F832">$Y832/MAX(IF(Combo_Species_Names=$N832,Combo_Gym_Defense))</f>
        <v>#VALUE!</v>
      </c>
      <c r="G832" s="23" t="str">
        <f t="array" ref="G832">IF(OR(INDEX(Species_Availability,MATCH($N832,Species_Names,0))="No",INDEX(Species_Evo_Numbers,MATCH($N832,Species_Names,0))&lt;&gt;1),"N/A",RANK($R832,IF(NOT(ISNA(MATCH(Combo_Species_Names,IF(Species_Availability="Yes",IF(Species_Evo_Numbers=1,Species_Names)),0))),Combo_Duel_Ability),0))</f>
        <v>N/A</v>
      </c>
      <c r="H832" s="24" t="str">
        <f t="array" ref="H832">IF(OR(INDEX(Species_Availability,MATCH($N832,Species_Names,0))="No",INDEX(Species_Evo_Numbers,MATCH($N832,Species_Names,0))&lt;&gt;1),"N/A",$R832/MAX(IF(NOT(ISNA(MATCH(Combo_Species_Names,IF(Species_Availability="Yes",IF(Species_Evo_Numbers=1,Species_Names)),0))),Combo_Duel_Ability)))</f>
        <v>N/A</v>
      </c>
      <c r="I832" s="23" t="str">
        <f t="array" ref="I832">IF(OR(INDEX(Species_Availability,MATCH($N832,Species_Names,0))="No",INDEX(Species_Evo_Numbers,MATCH($N832,Species_Names,0))&lt;&gt;1),"N/A",RANK($S832,IF(NOT(ISNA(MATCH(Combo_Species_Names,IF(Species_Availability="Yes",IF(Species_Evo_Numbers=1,Species_Names)),0))),Combo_Gym_Offense),0))</f>
        <v>N/A</v>
      </c>
      <c r="J832" s="24" t="str">
        <f t="array" ref="J832">IF(OR(INDEX(Species_Availability,MATCH($N832,Species_Names,0))="No",INDEX(Species_Evo_Numbers,MATCH($N832,Species_Names,0))&lt;&gt;1),"N/A",$S832/MAX(IF(NOT(ISNA(MATCH(Combo_Species_Names,IF(Species_Availability="Yes",IF(Species_Evo_Numbers=1,Species_Names)),0))),Combo_Gym_Offense)))</f>
        <v>N/A</v>
      </c>
      <c r="K832" s="23" t="str">
        <f t="array" ref="K832">IF(OR(INDEX(Species_Availability,MATCH($N832,Species_Names,0))="No",INDEX(Species_Evo_Numbers,MATCH($N832,Species_Names,0))&lt;&gt;1),"N/A",RANK($Y832,IF(NOT(ISNA(MATCH(Combo_Species_Names,IF(Species_Availability="Yes",IF(Species_Evo_Numbers=1,Species_Names)),0))),Combo_Gym_Defense),0))</f>
        <v>N/A</v>
      </c>
      <c r="L832" s="24" t="str">
        <f t="array" ref="L832">IF(OR(INDEX(Species_Availability,MATCH($N832,Species_Names,0))="No",INDEX(Species_Evo_Numbers,MATCH($N832,Species_Names,0))&lt;&gt;1),"N/A",$Y832/MAX(IF(NOT(ISNA(MATCH(Combo_Species_Names,IF(Species_Availability="Yes",IF(Species_Evo_Numbers=1,Species_Names)),0))),Combo_Gym_Defense)))</f>
        <v>N/A</v>
      </c>
      <c r="M832" s="28">
        <f t="array" ref="M832">INDEX(Species_Pdex_Numbers,MATCH($N832,Species_Names,0))</f>
        <v>63</v>
      </c>
      <c r="N832" s="30" t="s">
        <v>217</v>
      </c>
      <c r="O832" s="31" t="s">
        <v>79</v>
      </c>
      <c r="P832" s="31" t="s">
        <v>234</v>
      </c>
      <c r="Q832" s="17" t="e">
        <f t="shared" si="24"/>
        <v>#VALUE!</v>
      </c>
      <c r="R832" s="32" t="e">
        <f t="array" ref="R832">IF(OR(AND(COUNTBLANK(Combo_Opponent_Type_1)=1,COUNTBLANK(Combo_Opponent_Type_2)=0),AND(AND(COUNTBLANK(Combo_Opponent_Type_1)=0,COUNTBLANK(Combo_Opponent_Type_2)=0),Combo_Opponent_Type_1=Combo_Opponent_Type_2)),
"Check Types",($S832*INDEX(Species_Tankiness,MATCH($N832,Species_Names,0)))/225)</f>
        <v>#VALUE!</v>
      </c>
      <c r="S832" s="32" t="e">
        <f t="array" ref="S832">IF(OR(AND(COUNTBLANK(Combo_Opponent_Type_1)=1,COUNTBLANK(Combo_Opponent_Type_2)=0),AND(AND(COUNTBLANK(Combo_Opponent_Type_1)=0,COUNTBLANK(Combo_Opponent_Type_2)=0),Combo_Opponent_Type_1=Combo_Opponent_Type_2)),
"Check Types",(
IF($W832&gt;=((1-Game_Weave_Human_Error)*$X832),$W832,$X832)*INDEX(Species_Attack,MATCH($N832,Species_Names,0)))/11)</f>
        <v>#VALUE!</v>
      </c>
      <c r="T832" s="33" t="e">
        <f t="shared" si="25"/>
        <v>#VALUE!</v>
      </c>
      <c r="U832" s="33">
        <f t="array" ref="U8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832,Quick_Names,0))),Type_Species)),0),1)*IF(COUNTBLANK(Combo_Opponent_Type_2)=0,INDEX(Type_Damage_Multipliers,MATCH(Combo_Opponent_Type_2,IF(Type_Move=(INDEX(Quick_Type,MATCH($O832,Quick_Names,0))),Type_Species)),0),1)*(IF(OR(INDEX(Quick_Type,MATCH($O832,Quick_Names,0))=INDEX(Species_Type_1,MATCH($N832,Species_Names,0)),INDEX(Quick_Type,MATCH($O832,Quick_Names,0))=INDEX(Species_Type_2,MATCH($N832,Species_Names,0))),Game_STAB_Multiplier,1)))</f>
        <v>1.25</v>
      </c>
      <c r="V832" s="33">
        <f t="array" ref="V83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832,Charge_Names,0))),Type_Species)),0),1)*IF(COUNTBLANK(Combo_Opponent_Type_2)=0,INDEX(Type_Damage_Multipliers,MATCH(Combo_Opponent_Type_2,IF(Type_Move=(INDEX(Charge_Type,MATCH($P832,Charge_Names,0))),Type_Species)),0),1)*
IF(OR(INDEX(Charge_Type,MATCH($P832,Charge_Names,0))=INDEX(Species_Type_1,MATCH($N832,Species_Names,0)),INDEX(Charge_Type,MATCH($P832,Charge_Names,0))=INDEX(Species_Type_2,MATCH($N832,Species_Names,0))),Game_STAB_Multiplier,1))</f>
        <v>1</v>
      </c>
      <c r="W832" s="33" t="s">
        <v>446</v>
      </c>
      <c r="X832" s="33" t="s">
        <v>637</v>
      </c>
      <c r="Y832" s="32" t="e">
        <f t="array" ref="Y832">((($Z832)*
INDEX(Species_Attack,MATCH($N832,Species_Names,0))*
INDEX(Species_Tankiness,MATCH($N832,Species_Names,0)))/1000)</f>
        <v>#VALUE!</v>
      </c>
      <c r="Z832" s="33" t="s">
        <v>638</v>
      </c>
    </row>
    <row r="833" spans="1:26" ht="14.25" customHeight="1" x14ac:dyDescent="0.2">
      <c r="A833" s="86"/>
      <c r="B833" s="22" t="str">
        <f t="array" ref="B833">CONCATENATE(TEXT($M833,"000"),".",TEXT(INDEX(Quick_Number,MATCH($O833,Quick_Names,0)),"000"),".",TEXT(INDEX(Charge_Number,MATCH($P833,Charge_Names,0)),"000"))</f>
        <v>014.236.133</v>
      </c>
      <c r="C833" s="23" t="e">
        <f t="array" ref="C833">RANK($S833,IF(Combo_Species_Names=$N833,Combo_Gym_Offense),0)</f>
        <v>#VALUE!</v>
      </c>
      <c r="D833" s="24" t="e">
        <f t="array" ref="D833">$S833/MAX(IF(Combo_Species_Names=$N833,Combo_Gym_Offense))</f>
        <v>#VALUE!</v>
      </c>
      <c r="E833" s="23" t="e">
        <f t="array" ref="E833">RANK($Y833,IF(Combo_Species_Names=$N833,Combo_Gym_Defense),0)</f>
        <v>#VALUE!</v>
      </c>
      <c r="F833" s="25" t="e">
        <f t="array" ref="F833">$Y833/MAX(IF(Combo_Species_Names=$N833,Combo_Gym_Defense))</f>
        <v>#VALUE!</v>
      </c>
      <c r="G833" s="23" t="str">
        <f t="array" ref="G833">IF(OR(INDEX(Species_Availability,MATCH($N833,Species_Names,0))="No",INDEX(Species_Evo_Numbers,MATCH($N833,Species_Names,0))&lt;&gt;1),"N/A",RANK($R833,IF(NOT(ISNA(MATCH(Combo_Species_Names,IF(Species_Availability="Yes",IF(Species_Evo_Numbers=1,Species_Names)),0))),Combo_Duel_Ability),0))</f>
        <v>N/A</v>
      </c>
      <c r="H833" s="24" t="str">
        <f t="array" ref="H833">IF(OR(INDEX(Species_Availability,MATCH($N833,Species_Names,0))="No",INDEX(Species_Evo_Numbers,MATCH($N833,Species_Names,0))&lt;&gt;1),"N/A",$R833/MAX(IF(NOT(ISNA(MATCH(Combo_Species_Names,IF(Species_Availability="Yes",IF(Species_Evo_Numbers=1,Species_Names)),0))),Combo_Duel_Ability)))</f>
        <v>N/A</v>
      </c>
      <c r="I833" s="23" t="str">
        <f t="array" ref="I833">IF(OR(INDEX(Species_Availability,MATCH($N833,Species_Names,0))="No",INDEX(Species_Evo_Numbers,MATCH($N833,Species_Names,0))&lt;&gt;1),"N/A",RANK($S833,IF(NOT(ISNA(MATCH(Combo_Species_Names,IF(Species_Availability="Yes",IF(Species_Evo_Numbers=1,Species_Names)),0))),Combo_Gym_Offense),0))</f>
        <v>N/A</v>
      </c>
      <c r="J833" s="24" t="str">
        <f t="array" ref="J833">IF(OR(INDEX(Species_Availability,MATCH($N833,Species_Names,0))="No",INDEX(Species_Evo_Numbers,MATCH($N833,Species_Names,0))&lt;&gt;1),"N/A",$S833/MAX(IF(NOT(ISNA(MATCH(Combo_Species_Names,IF(Species_Availability="Yes",IF(Species_Evo_Numbers=1,Species_Names)),0))),Combo_Gym_Offense)))</f>
        <v>N/A</v>
      </c>
      <c r="K833" s="23" t="str">
        <f t="array" ref="K833">IF(OR(INDEX(Species_Availability,MATCH($N833,Species_Names,0))="No",INDEX(Species_Evo_Numbers,MATCH($N833,Species_Names,0))&lt;&gt;1),"N/A",RANK($Y833,IF(NOT(ISNA(MATCH(Combo_Species_Names,IF(Species_Availability="Yes",IF(Species_Evo_Numbers=1,Species_Names)),0))),Combo_Gym_Defense),0))</f>
        <v>N/A</v>
      </c>
      <c r="L833" s="24" t="str">
        <f t="array" ref="L833">IF(OR(INDEX(Species_Availability,MATCH($N833,Species_Names,0))="No",INDEX(Species_Evo_Numbers,MATCH($N833,Species_Names,0))&lt;&gt;1),"N/A",$Y833/MAX(IF(NOT(ISNA(MATCH(Combo_Species_Names,IF(Species_Availability="Yes",IF(Species_Evo_Numbers=1,Species_Names)),0))),Combo_Gym_Defense)))</f>
        <v>N/A</v>
      </c>
      <c r="M833" s="28">
        <f t="array" ref="M833">INDEX(Species_Pdex_Numbers,MATCH($N833,Species_Names,0))</f>
        <v>14</v>
      </c>
      <c r="N833" s="30" t="s">
        <v>116</v>
      </c>
      <c r="O833" s="31" t="s">
        <v>101</v>
      </c>
      <c r="P833" s="31" t="s">
        <v>307</v>
      </c>
      <c r="Q833" s="17" t="e">
        <f t="shared" si="24"/>
        <v>#VALUE!</v>
      </c>
      <c r="R833" s="32" t="e">
        <f t="array" ref="R833">IF(OR(AND(COUNTBLANK(Combo_Opponent_Type_1)=1,COUNTBLANK(Combo_Opponent_Type_2)=0),AND(AND(COUNTBLANK(Combo_Opponent_Type_1)=0,COUNTBLANK(Combo_Opponent_Type_2)=0),Combo_Opponent_Type_1=Combo_Opponent_Type_2)),
"Check Types",($S833*INDEX(Species_Tankiness,MATCH($N833,Species_Names,0)))/225)</f>
        <v>#VALUE!</v>
      </c>
      <c r="S833" s="32" t="e">
        <f t="array" ref="S833">IF(OR(AND(COUNTBLANK(Combo_Opponent_Type_1)=1,COUNTBLANK(Combo_Opponent_Type_2)=0),AND(AND(COUNTBLANK(Combo_Opponent_Type_1)=0,COUNTBLANK(Combo_Opponent_Type_2)=0),Combo_Opponent_Type_1=Combo_Opponent_Type_2)),
"Check Types",(
IF($W833&gt;=((1-Game_Weave_Human_Error)*$X833),$W833,$X833)*INDEX(Species_Attack,MATCH($N833,Species_Names,0)))/11)</f>
        <v>#VALUE!</v>
      </c>
      <c r="T833" s="33" t="e">
        <f t="shared" si="25"/>
        <v>#VALUE!</v>
      </c>
      <c r="U833" s="33">
        <f t="array" ref="U8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833,Quick_Names,0))),Type_Species)),0),1)*IF(COUNTBLANK(Combo_Opponent_Type_2)=0,INDEX(Type_Damage_Multipliers,MATCH(Combo_Opponent_Type_2,IF(Type_Move=(INDEX(Quick_Type,MATCH($O833,Quick_Names,0))),Type_Species)),0),1)*(IF(OR(INDEX(Quick_Type,MATCH($O833,Quick_Names,0))=INDEX(Species_Type_1,MATCH($N833,Species_Names,0)),INDEX(Quick_Type,MATCH($O833,Quick_Names,0))=INDEX(Species_Type_2,MATCH($N833,Species_Names,0))),Game_STAB_Multiplier,1)))</f>
        <v>1.25</v>
      </c>
      <c r="V833" s="33">
        <f t="array" ref="V83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833,Charge_Names,0))),Type_Species)),0),1)*IF(COUNTBLANK(Combo_Opponent_Type_2)=0,INDEX(Type_Damage_Multipliers,MATCH(Combo_Opponent_Type_2,IF(Type_Move=(INDEX(Charge_Type,MATCH($P833,Charge_Names,0))),Type_Species)),0),1)*
IF(OR(INDEX(Charge_Type,MATCH($P833,Charge_Names,0))=INDEX(Species_Type_1,MATCH($N833,Species_Names,0)),INDEX(Charge_Type,MATCH($P833,Charge_Names,0))=INDEX(Species_Type_2,MATCH($N833,Species_Names,0))),Game_STAB_Multiplier,1))</f>
        <v>1</v>
      </c>
      <c r="W833" s="33" t="s">
        <v>738</v>
      </c>
      <c r="X833" s="33" t="s">
        <v>1099</v>
      </c>
      <c r="Y833" s="32" t="e">
        <f t="array" ref="Y833">((($Z833)*
INDEX(Species_Attack,MATCH($N833,Species_Names,0))*
INDEX(Species_Tankiness,MATCH($N833,Species_Names,0)))/1000)</f>
        <v>#VALUE!</v>
      </c>
      <c r="Z833" s="33" t="s">
        <v>1100</v>
      </c>
    </row>
    <row r="834" spans="1:26" ht="14.25" customHeight="1" x14ac:dyDescent="0.2">
      <c r="A834" s="86"/>
      <c r="B834" s="22" t="str">
        <f t="array" ref="B834">CONCATENATE(TEXT($M834,"000"),".",TEXT(INDEX(Quick_Number,MATCH($O834,Quick_Names,0)),"000"),".",TEXT(INDEX(Charge_Number,MATCH($P834,Charge_Names,0)),"000"))</f>
        <v>019.219.129</v>
      </c>
      <c r="C834" s="23" t="e">
        <f t="array" ref="C834">RANK($S834,IF(Combo_Species_Names=$N834,Combo_Gym_Offense),0)</f>
        <v>#VALUE!</v>
      </c>
      <c r="D834" s="24" t="e">
        <f t="array" ref="D834">$S834/MAX(IF(Combo_Species_Names=$N834,Combo_Gym_Offense))</f>
        <v>#VALUE!</v>
      </c>
      <c r="E834" s="23" t="e">
        <f t="array" ref="E834">RANK($Y834,IF(Combo_Species_Names=$N834,Combo_Gym_Defense),0)</f>
        <v>#VALUE!</v>
      </c>
      <c r="F834" s="25" t="e">
        <f t="array" ref="F834">$Y834/MAX(IF(Combo_Species_Names=$N834,Combo_Gym_Defense))</f>
        <v>#VALUE!</v>
      </c>
      <c r="G834" s="23" t="str">
        <f t="array" ref="G834">IF(OR(INDEX(Species_Availability,MATCH($N834,Species_Names,0))="No",INDEX(Species_Evo_Numbers,MATCH($N834,Species_Names,0))&lt;&gt;1),"N/A",RANK($R834,IF(NOT(ISNA(MATCH(Combo_Species_Names,IF(Species_Availability="Yes",IF(Species_Evo_Numbers=1,Species_Names)),0))),Combo_Duel_Ability),0))</f>
        <v>N/A</v>
      </c>
      <c r="H834" s="24" t="str">
        <f t="array" ref="H834">IF(OR(INDEX(Species_Availability,MATCH($N834,Species_Names,0))="No",INDEX(Species_Evo_Numbers,MATCH($N834,Species_Names,0))&lt;&gt;1),"N/A",$R834/MAX(IF(NOT(ISNA(MATCH(Combo_Species_Names,IF(Species_Availability="Yes",IF(Species_Evo_Numbers=1,Species_Names)),0))),Combo_Duel_Ability)))</f>
        <v>N/A</v>
      </c>
      <c r="I834" s="23" t="str">
        <f t="array" ref="I834">IF(OR(INDEX(Species_Availability,MATCH($N834,Species_Names,0))="No",INDEX(Species_Evo_Numbers,MATCH($N834,Species_Names,0))&lt;&gt;1),"N/A",RANK($S834,IF(NOT(ISNA(MATCH(Combo_Species_Names,IF(Species_Availability="Yes",IF(Species_Evo_Numbers=1,Species_Names)),0))),Combo_Gym_Offense),0))</f>
        <v>N/A</v>
      </c>
      <c r="J834" s="24" t="str">
        <f t="array" ref="J834">IF(OR(INDEX(Species_Availability,MATCH($N834,Species_Names,0))="No",INDEX(Species_Evo_Numbers,MATCH($N834,Species_Names,0))&lt;&gt;1),"N/A",$S834/MAX(IF(NOT(ISNA(MATCH(Combo_Species_Names,IF(Species_Availability="Yes",IF(Species_Evo_Numbers=1,Species_Names)),0))),Combo_Gym_Offense)))</f>
        <v>N/A</v>
      </c>
      <c r="K834" s="23" t="str">
        <f t="array" ref="K834">IF(OR(INDEX(Species_Availability,MATCH($N834,Species_Names,0))="No",INDEX(Species_Evo_Numbers,MATCH($N834,Species_Names,0))&lt;&gt;1),"N/A",RANK($Y834,IF(NOT(ISNA(MATCH(Combo_Species_Names,IF(Species_Availability="Yes",IF(Species_Evo_Numbers=1,Species_Names)),0))),Combo_Gym_Defense),0))</f>
        <v>N/A</v>
      </c>
      <c r="L834" s="24" t="str">
        <f t="array" ref="L834">IF(OR(INDEX(Species_Availability,MATCH($N834,Species_Names,0))="No",INDEX(Species_Evo_Numbers,MATCH($N834,Species_Names,0))&lt;&gt;1),"N/A",$Y834/MAX(IF(NOT(ISNA(MATCH(Combo_Species_Names,IF(Species_Availability="Yes",IF(Species_Evo_Numbers=1,Species_Names)),0))),Combo_Gym_Defense)))</f>
        <v>N/A</v>
      </c>
      <c r="M834" s="28">
        <f t="array" ref="M834">INDEX(Species_Pdex_Numbers,MATCH($N834,Species_Names,0))</f>
        <v>19</v>
      </c>
      <c r="N834" s="30" t="s">
        <v>128</v>
      </c>
      <c r="O834" s="31" t="s">
        <v>119</v>
      </c>
      <c r="P834" s="31" t="s">
        <v>216</v>
      </c>
      <c r="Q834" s="17" t="e">
        <f t="shared" si="24"/>
        <v>#VALUE!</v>
      </c>
      <c r="R834" s="32" t="e">
        <f t="array" ref="R834">IF(OR(AND(COUNTBLANK(Combo_Opponent_Type_1)=1,COUNTBLANK(Combo_Opponent_Type_2)=0),AND(AND(COUNTBLANK(Combo_Opponent_Type_1)=0,COUNTBLANK(Combo_Opponent_Type_2)=0),Combo_Opponent_Type_1=Combo_Opponent_Type_2)),
"Check Types",($S834*INDEX(Species_Tankiness,MATCH($N834,Species_Names,0)))/225)</f>
        <v>#VALUE!</v>
      </c>
      <c r="S834" s="32" t="e">
        <f t="array" ref="S834">IF(OR(AND(COUNTBLANK(Combo_Opponent_Type_1)=1,COUNTBLANK(Combo_Opponent_Type_2)=0),AND(AND(COUNTBLANK(Combo_Opponent_Type_1)=0,COUNTBLANK(Combo_Opponent_Type_2)=0),Combo_Opponent_Type_1=Combo_Opponent_Type_2)),
"Check Types",(
IF($W834&gt;=((1-Game_Weave_Human_Error)*$X834),$W834,$X834)*INDEX(Species_Attack,MATCH($N834,Species_Names,0)))/11)</f>
        <v>#VALUE!</v>
      </c>
      <c r="T834" s="33" t="e">
        <f t="shared" si="25"/>
        <v>#VALUE!</v>
      </c>
      <c r="U834" s="33">
        <f t="array" ref="U8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834,Quick_Names,0))),Type_Species)),0),1)*IF(COUNTBLANK(Combo_Opponent_Type_2)=0,INDEX(Type_Damage_Multipliers,MATCH(Combo_Opponent_Type_2,IF(Type_Move=(INDEX(Quick_Type,MATCH($O834,Quick_Names,0))),Type_Species)),0),1)*(IF(OR(INDEX(Quick_Type,MATCH($O834,Quick_Names,0))=INDEX(Species_Type_1,MATCH($N834,Species_Names,0)),INDEX(Quick_Type,MATCH($O834,Quick_Names,0))=INDEX(Species_Type_2,MATCH($N834,Species_Names,0))),Game_STAB_Multiplier,1)))</f>
        <v>1.25</v>
      </c>
      <c r="V834" s="33">
        <f t="array" ref="V83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834,Charge_Names,0))),Type_Species)),0),1)*IF(COUNTBLANK(Combo_Opponent_Type_2)=0,INDEX(Type_Damage_Multipliers,MATCH(Combo_Opponent_Type_2,IF(Type_Move=(INDEX(Charge_Type,MATCH($P834,Charge_Names,0))),Type_Species)),0),1)*
IF(OR(INDEX(Charge_Type,MATCH($P834,Charge_Names,0))=INDEX(Species_Type_1,MATCH($N834,Species_Names,0)),INDEX(Charge_Type,MATCH($P834,Charge_Names,0))=INDEX(Species_Type_2,MATCH($N834,Species_Names,0))),Game_STAB_Multiplier,1))</f>
        <v>1.25</v>
      </c>
      <c r="W834" s="33" t="s">
        <v>564</v>
      </c>
      <c r="X834" s="33" t="s">
        <v>826</v>
      </c>
      <c r="Y834" s="32" t="e">
        <f t="array" ref="Y834">((($Z834)*
INDEX(Species_Attack,MATCH($N834,Species_Names,0))*
INDEX(Species_Tankiness,MATCH($N834,Species_Names,0)))/1000)</f>
        <v>#VALUE!</v>
      </c>
      <c r="Z834" s="33" t="s">
        <v>912</v>
      </c>
    </row>
    <row r="835" spans="1:26" ht="14.25" customHeight="1" x14ac:dyDescent="0.2">
      <c r="A835" s="86"/>
      <c r="B835" s="22" t="str">
        <f t="array" ref="B835">CONCATENATE(TEXT($M835,"000"),".",TEXT(INDEX(Quick_Number,MATCH($O835,Quick_Names,0)),"000"),".",TEXT(INDEX(Charge_Number,MATCH($P835,Charge_Names,0)),"000"))</f>
        <v>041.219.050</v>
      </c>
      <c r="C835" s="23" t="e">
        <f t="array" ref="C835">RANK($S835,IF(Combo_Species_Names=$N835,Combo_Gym_Offense),0)</f>
        <v>#VALUE!</v>
      </c>
      <c r="D835" s="24" t="e">
        <f t="array" ref="D835">$S835/MAX(IF(Combo_Species_Names=$N835,Combo_Gym_Offense))</f>
        <v>#VALUE!</v>
      </c>
      <c r="E835" s="23" t="e">
        <f t="array" ref="E835">RANK($Y835,IF(Combo_Species_Names=$N835,Combo_Gym_Defense),0)</f>
        <v>#VALUE!</v>
      </c>
      <c r="F835" s="25" t="e">
        <f t="array" ref="F835">$Y835/MAX(IF(Combo_Species_Names=$N835,Combo_Gym_Defense))</f>
        <v>#VALUE!</v>
      </c>
      <c r="G835" s="23" t="str">
        <f t="array" ref="G835">IF(OR(INDEX(Species_Availability,MATCH($N835,Species_Names,0))="No",INDEX(Species_Evo_Numbers,MATCH($N835,Species_Names,0))&lt;&gt;1),"N/A",RANK($R835,IF(NOT(ISNA(MATCH(Combo_Species_Names,IF(Species_Availability="Yes",IF(Species_Evo_Numbers=1,Species_Names)),0))),Combo_Duel_Ability),0))</f>
        <v>N/A</v>
      </c>
      <c r="H835" s="24" t="str">
        <f t="array" ref="H835">IF(OR(INDEX(Species_Availability,MATCH($N835,Species_Names,0))="No",INDEX(Species_Evo_Numbers,MATCH($N835,Species_Names,0))&lt;&gt;1),"N/A",$R835/MAX(IF(NOT(ISNA(MATCH(Combo_Species_Names,IF(Species_Availability="Yes",IF(Species_Evo_Numbers=1,Species_Names)),0))),Combo_Duel_Ability)))</f>
        <v>N/A</v>
      </c>
      <c r="I835" s="23" t="str">
        <f t="array" ref="I835">IF(OR(INDEX(Species_Availability,MATCH($N835,Species_Names,0))="No",INDEX(Species_Evo_Numbers,MATCH($N835,Species_Names,0))&lt;&gt;1),"N/A",RANK($S835,IF(NOT(ISNA(MATCH(Combo_Species_Names,IF(Species_Availability="Yes",IF(Species_Evo_Numbers=1,Species_Names)),0))),Combo_Gym_Offense),0))</f>
        <v>N/A</v>
      </c>
      <c r="J835" s="24" t="str">
        <f t="array" ref="J835">IF(OR(INDEX(Species_Availability,MATCH($N835,Species_Names,0))="No",INDEX(Species_Evo_Numbers,MATCH($N835,Species_Names,0))&lt;&gt;1),"N/A",$S835/MAX(IF(NOT(ISNA(MATCH(Combo_Species_Names,IF(Species_Availability="Yes",IF(Species_Evo_Numbers=1,Species_Names)),0))),Combo_Gym_Offense)))</f>
        <v>N/A</v>
      </c>
      <c r="K835" s="23" t="str">
        <f t="array" ref="K835">IF(OR(INDEX(Species_Availability,MATCH($N835,Species_Names,0))="No",INDEX(Species_Evo_Numbers,MATCH($N835,Species_Names,0))&lt;&gt;1),"N/A",RANK($Y835,IF(NOT(ISNA(MATCH(Combo_Species_Names,IF(Species_Availability="Yes",IF(Species_Evo_Numbers=1,Species_Names)),0))),Combo_Gym_Defense),0))</f>
        <v>N/A</v>
      </c>
      <c r="L835" s="24" t="str">
        <f t="array" ref="L835">IF(OR(INDEX(Species_Availability,MATCH($N835,Species_Names,0))="No",INDEX(Species_Evo_Numbers,MATCH($N835,Species_Names,0))&lt;&gt;1),"N/A",$Y835/MAX(IF(NOT(ISNA(MATCH(Combo_Species_Names,IF(Species_Availability="Yes",IF(Species_Evo_Numbers=1,Species_Names)),0))),Combo_Gym_Defense)))</f>
        <v>N/A</v>
      </c>
      <c r="M835" s="28">
        <f t="array" ref="M835">INDEX(Species_Pdex_Numbers,MATCH($N835,Species_Names,0))</f>
        <v>41</v>
      </c>
      <c r="N835" s="30" t="s">
        <v>173</v>
      </c>
      <c r="O835" s="31" t="s">
        <v>119</v>
      </c>
      <c r="P835" s="31" t="s">
        <v>285</v>
      </c>
      <c r="Q835" s="17" t="e">
        <f t="shared" si="24"/>
        <v>#VALUE!</v>
      </c>
      <c r="R835" s="32" t="e">
        <f t="array" ref="R835">IF(OR(AND(COUNTBLANK(Combo_Opponent_Type_1)=1,COUNTBLANK(Combo_Opponent_Type_2)=0),AND(AND(COUNTBLANK(Combo_Opponent_Type_1)=0,COUNTBLANK(Combo_Opponent_Type_2)=0),Combo_Opponent_Type_1=Combo_Opponent_Type_2)),
"Check Types",($S835*INDEX(Species_Tankiness,MATCH($N835,Species_Names,0)))/225)</f>
        <v>#VALUE!</v>
      </c>
      <c r="S835" s="32" t="e">
        <f t="array" ref="S835">IF(OR(AND(COUNTBLANK(Combo_Opponent_Type_1)=1,COUNTBLANK(Combo_Opponent_Type_2)=0),AND(AND(COUNTBLANK(Combo_Opponent_Type_1)=0,COUNTBLANK(Combo_Opponent_Type_2)=0),Combo_Opponent_Type_1=Combo_Opponent_Type_2)),
"Check Types",(
IF($W835&gt;=((1-Game_Weave_Human_Error)*$X835),$W835,$X835)*INDEX(Species_Attack,MATCH($N835,Species_Names,0)))/11)</f>
        <v>#VALUE!</v>
      </c>
      <c r="T835" s="33" t="e">
        <f t="shared" si="25"/>
        <v>#VALUE!</v>
      </c>
      <c r="U835" s="33">
        <f t="array" ref="U8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835,Quick_Names,0))),Type_Species)),0),1)*IF(COUNTBLANK(Combo_Opponent_Type_2)=0,INDEX(Type_Damage_Multipliers,MATCH(Combo_Opponent_Type_2,IF(Type_Move=(INDEX(Quick_Type,MATCH($O835,Quick_Names,0))),Type_Species)),0),1)*(IF(OR(INDEX(Quick_Type,MATCH($O835,Quick_Names,0))=INDEX(Species_Type_1,MATCH($N835,Species_Names,0)),INDEX(Quick_Type,MATCH($O835,Quick_Names,0))=INDEX(Species_Type_2,MATCH($N835,Species_Names,0))),Game_STAB_Multiplier,1)))</f>
        <v>1</v>
      </c>
      <c r="V835" s="33">
        <f t="array" ref="V83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835,Charge_Names,0))),Type_Species)),0),1)*IF(COUNTBLANK(Combo_Opponent_Type_2)=0,INDEX(Type_Damage_Multipliers,MATCH(Combo_Opponent_Type_2,IF(Type_Move=(INDEX(Charge_Type,MATCH($P835,Charge_Names,0))),Type_Species)),0),1)*
IF(OR(INDEX(Charge_Type,MATCH($P835,Charge_Names,0))=INDEX(Species_Type_1,MATCH($N835,Species_Names,0)),INDEX(Charge_Type,MATCH($P835,Charge_Names,0))=INDEX(Species_Type_2,MATCH($N835,Species_Names,0))),Game_STAB_Multiplier,1))</f>
        <v>1.25</v>
      </c>
      <c r="W835" s="33" t="s">
        <v>600</v>
      </c>
      <c r="X835" s="33" t="s">
        <v>1101</v>
      </c>
      <c r="Y835" s="32" t="e">
        <f t="array" ref="Y835">((($Z835)*
INDEX(Species_Attack,MATCH($N835,Species_Names,0))*
INDEX(Species_Tankiness,MATCH($N835,Species_Names,0)))/1000)</f>
        <v>#VALUE!</v>
      </c>
      <c r="Z835" s="33" t="s">
        <v>1102</v>
      </c>
    </row>
    <row r="836" spans="1:26" ht="14.25" customHeight="1" x14ac:dyDescent="0.2">
      <c r="A836" s="86"/>
      <c r="B836" s="22" t="str">
        <f t="array" ref="B836">CONCATENATE(TEXT($M836,"000"),".",TEXT(INDEX(Quick_Number,MATCH($O836,Quick_Names,0)),"000"),".",TEXT(INDEX(Charge_Number,MATCH($P836,Charge_Names,0)),"000"))</f>
        <v>041.219.121</v>
      </c>
      <c r="C836" s="23" t="e">
        <f t="array" ref="C836">RANK($S836,IF(Combo_Species_Names=$N836,Combo_Gym_Offense),0)</f>
        <v>#VALUE!</v>
      </c>
      <c r="D836" s="24" t="e">
        <f t="array" ref="D836">$S836/MAX(IF(Combo_Species_Names=$N836,Combo_Gym_Offense))</f>
        <v>#VALUE!</v>
      </c>
      <c r="E836" s="23" t="e">
        <f t="array" ref="E836">RANK($Y836,IF(Combo_Species_Names=$N836,Combo_Gym_Defense),0)</f>
        <v>#VALUE!</v>
      </c>
      <c r="F836" s="25" t="e">
        <f t="array" ref="F836">$Y836/MAX(IF(Combo_Species_Names=$N836,Combo_Gym_Defense))</f>
        <v>#VALUE!</v>
      </c>
      <c r="G836" s="23" t="str">
        <f t="array" ref="G836">IF(OR(INDEX(Species_Availability,MATCH($N836,Species_Names,0))="No",INDEX(Species_Evo_Numbers,MATCH($N836,Species_Names,0))&lt;&gt;1),"N/A",RANK($R836,IF(NOT(ISNA(MATCH(Combo_Species_Names,IF(Species_Availability="Yes",IF(Species_Evo_Numbers=1,Species_Names)),0))),Combo_Duel_Ability),0))</f>
        <v>N/A</v>
      </c>
      <c r="H836" s="24" t="str">
        <f t="array" ref="H836">IF(OR(INDEX(Species_Availability,MATCH($N836,Species_Names,0))="No",INDEX(Species_Evo_Numbers,MATCH($N836,Species_Names,0))&lt;&gt;1),"N/A",$R836/MAX(IF(NOT(ISNA(MATCH(Combo_Species_Names,IF(Species_Availability="Yes",IF(Species_Evo_Numbers=1,Species_Names)),0))),Combo_Duel_Ability)))</f>
        <v>N/A</v>
      </c>
      <c r="I836" s="23" t="str">
        <f t="array" ref="I836">IF(OR(INDEX(Species_Availability,MATCH($N836,Species_Names,0))="No",INDEX(Species_Evo_Numbers,MATCH($N836,Species_Names,0))&lt;&gt;1),"N/A",RANK($S836,IF(NOT(ISNA(MATCH(Combo_Species_Names,IF(Species_Availability="Yes",IF(Species_Evo_Numbers=1,Species_Names)),0))),Combo_Gym_Offense),0))</f>
        <v>N/A</v>
      </c>
      <c r="J836" s="24" t="str">
        <f t="array" ref="J836">IF(OR(INDEX(Species_Availability,MATCH($N836,Species_Names,0))="No",INDEX(Species_Evo_Numbers,MATCH($N836,Species_Names,0))&lt;&gt;1),"N/A",$S836/MAX(IF(NOT(ISNA(MATCH(Combo_Species_Names,IF(Species_Availability="Yes",IF(Species_Evo_Numbers=1,Species_Names)),0))),Combo_Gym_Offense)))</f>
        <v>N/A</v>
      </c>
      <c r="K836" s="23" t="str">
        <f t="array" ref="K836">IF(OR(INDEX(Species_Availability,MATCH($N836,Species_Names,0))="No",INDEX(Species_Evo_Numbers,MATCH($N836,Species_Names,0))&lt;&gt;1),"N/A",RANK($Y836,IF(NOT(ISNA(MATCH(Combo_Species_Names,IF(Species_Availability="Yes",IF(Species_Evo_Numbers=1,Species_Names)),0))),Combo_Gym_Defense),0))</f>
        <v>N/A</v>
      </c>
      <c r="L836" s="24" t="str">
        <f t="array" ref="L836">IF(OR(INDEX(Species_Availability,MATCH($N836,Species_Names,0))="No",INDEX(Species_Evo_Numbers,MATCH($N836,Species_Names,0))&lt;&gt;1),"N/A",$Y836/MAX(IF(NOT(ISNA(MATCH(Combo_Species_Names,IF(Species_Availability="Yes",IF(Species_Evo_Numbers=1,Species_Names)),0))),Combo_Gym_Defense)))</f>
        <v>N/A</v>
      </c>
      <c r="M836" s="28">
        <f t="array" ref="M836">INDEX(Species_Pdex_Numbers,MATCH($N836,Species_Names,0))</f>
        <v>41</v>
      </c>
      <c r="N836" s="30" t="s">
        <v>173</v>
      </c>
      <c r="O836" s="31" t="s">
        <v>119</v>
      </c>
      <c r="P836" s="31" t="s">
        <v>294</v>
      </c>
      <c r="Q836" s="17" t="e">
        <f t="shared" si="24"/>
        <v>#VALUE!</v>
      </c>
      <c r="R836" s="32" t="e">
        <f t="array" ref="R836">IF(OR(AND(COUNTBLANK(Combo_Opponent_Type_1)=1,COUNTBLANK(Combo_Opponent_Type_2)=0),AND(AND(COUNTBLANK(Combo_Opponent_Type_1)=0,COUNTBLANK(Combo_Opponent_Type_2)=0),Combo_Opponent_Type_1=Combo_Opponent_Type_2)),
"Check Types",($S836*INDEX(Species_Tankiness,MATCH($N836,Species_Names,0)))/225)</f>
        <v>#VALUE!</v>
      </c>
      <c r="S836" s="32" t="e">
        <f t="array" ref="S836">IF(OR(AND(COUNTBLANK(Combo_Opponent_Type_1)=1,COUNTBLANK(Combo_Opponent_Type_2)=0),AND(AND(COUNTBLANK(Combo_Opponent_Type_1)=0,COUNTBLANK(Combo_Opponent_Type_2)=0),Combo_Opponent_Type_1=Combo_Opponent_Type_2)),
"Check Types",(
IF($W836&gt;=((1-Game_Weave_Human_Error)*$X836),$W836,$X836)*INDEX(Species_Attack,MATCH($N836,Species_Names,0)))/11)</f>
        <v>#VALUE!</v>
      </c>
      <c r="T836" s="33" t="e">
        <f t="shared" si="25"/>
        <v>#VALUE!</v>
      </c>
      <c r="U836" s="33">
        <f t="array" ref="U8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836,Quick_Names,0))),Type_Species)),0),1)*IF(COUNTBLANK(Combo_Opponent_Type_2)=0,INDEX(Type_Damage_Multipliers,MATCH(Combo_Opponent_Type_2,IF(Type_Move=(INDEX(Quick_Type,MATCH($O836,Quick_Names,0))),Type_Species)),0),1)*(IF(OR(INDEX(Quick_Type,MATCH($O836,Quick_Names,0))=INDEX(Species_Type_1,MATCH($N836,Species_Names,0)),INDEX(Quick_Type,MATCH($O836,Quick_Names,0))=INDEX(Species_Type_2,MATCH($N836,Species_Names,0))),Game_STAB_Multiplier,1)))</f>
        <v>1</v>
      </c>
      <c r="V836" s="33">
        <f t="array" ref="V83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836,Charge_Names,0))),Type_Species)),0),1)*IF(COUNTBLANK(Combo_Opponent_Type_2)=0,INDEX(Type_Damage_Multipliers,MATCH(Combo_Opponent_Type_2,IF(Type_Move=(INDEX(Charge_Type,MATCH($P836,Charge_Names,0))),Type_Species)),0),1)*
IF(OR(INDEX(Charge_Type,MATCH($P836,Charge_Names,0))=INDEX(Species_Type_1,MATCH($N836,Species_Names,0)),INDEX(Charge_Type,MATCH($P836,Charge_Names,0))=INDEX(Species_Type_2,MATCH($N836,Species_Names,0))),Game_STAB_Multiplier,1))</f>
        <v>1.25</v>
      </c>
      <c r="W836" s="33" t="s">
        <v>600</v>
      </c>
      <c r="X836" s="33" t="s">
        <v>976</v>
      </c>
      <c r="Y836" s="32" t="e">
        <f t="array" ref="Y836">((($Z836)*
INDEX(Species_Attack,MATCH($N836,Species_Names,0))*
INDEX(Species_Tankiness,MATCH($N836,Species_Names,0)))/1000)</f>
        <v>#VALUE!</v>
      </c>
      <c r="Z836" s="33" t="s">
        <v>1103</v>
      </c>
    </row>
    <row r="837" spans="1:26" ht="14.25" customHeight="1" x14ac:dyDescent="0.2">
      <c r="A837" s="86"/>
      <c r="B837" s="22" t="str">
        <f t="array" ref="B837">CONCATENATE(TEXT($M837,"000"),".",TEXT(INDEX(Quick_Number,MATCH($O837,Quick_Names,0)),"000"),".",TEXT(INDEX(Charge_Number,MATCH($P837,Charge_Names,0)),"000"))</f>
        <v>011.221.133</v>
      </c>
      <c r="C837" s="23" t="e">
        <f t="array" ref="C837">RANK($S837,IF(Combo_Species_Names=$N837,Combo_Gym_Offense),0)</f>
        <v>#VALUE!</v>
      </c>
      <c r="D837" s="24" t="e">
        <f t="array" ref="D837">$S837/MAX(IF(Combo_Species_Names=$N837,Combo_Gym_Offense))</f>
        <v>#VALUE!</v>
      </c>
      <c r="E837" s="23" t="e">
        <f t="array" ref="E837">RANK($Y837,IF(Combo_Species_Names=$N837,Combo_Gym_Defense),0)</f>
        <v>#VALUE!</v>
      </c>
      <c r="F837" s="25" t="e">
        <f t="array" ref="F837">$Y837/MAX(IF(Combo_Species_Names=$N837,Combo_Gym_Defense))</f>
        <v>#VALUE!</v>
      </c>
      <c r="G837" s="23" t="str">
        <f t="array" ref="G837">IF(OR(INDEX(Species_Availability,MATCH($N837,Species_Names,0))="No",INDEX(Species_Evo_Numbers,MATCH($N837,Species_Names,0))&lt;&gt;1),"N/A",RANK($R837,IF(NOT(ISNA(MATCH(Combo_Species_Names,IF(Species_Availability="Yes",IF(Species_Evo_Numbers=1,Species_Names)),0))),Combo_Duel_Ability),0))</f>
        <v>N/A</v>
      </c>
      <c r="H837" s="24" t="str">
        <f t="array" ref="H837">IF(OR(INDEX(Species_Availability,MATCH($N837,Species_Names,0))="No",INDEX(Species_Evo_Numbers,MATCH($N837,Species_Names,0))&lt;&gt;1),"N/A",$R837/MAX(IF(NOT(ISNA(MATCH(Combo_Species_Names,IF(Species_Availability="Yes",IF(Species_Evo_Numbers=1,Species_Names)),0))),Combo_Duel_Ability)))</f>
        <v>N/A</v>
      </c>
      <c r="I837" s="23" t="str">
        <f t="array" ref="I837">IF(OR(INDEX(Species_Availability,MATCH($N837,Species_Names,0))="No",INDEX(Species_Evo_Numbers,MATCH($N837,Species_Names,0))&lt;&gt;1),"N/A",RANK($S837,IF(NOT(ISNA(MATCH(Combo_Species_Names,IF(Species_Availability="Yes",IF(Species_Evo_Numbers=1,Species_Names)),0))),Combo_Gym_Offense),0))</f>
        <v>N/A</v>
      </c>
      <c r="J837" s="24" t="str">
        <f t="array" ref="J837">IF(OR(INDEX(Species_Availability,MATCH($N837,Species_Names,0))="No",INDEX(Species_Evo_Numbers,MATCH($N837,Species_Names,0))&lt;&gt;1),"N/A",$S837/MAX(IF(NOT(ISNA(MATCH(Combo_Species_Names,IF(Species_Availability="Yes",IF(Species_Evo_Numbers=1,Species_Names)),0))),Combo_Gym_Offense)))</f>
        <v>N/A</v>
      </c>
      <c r="K837" s="23" t="str">
        <f t="array" ref="K837">IF(OR(INDEX(Species_Availability,MATCH($N837,Species_Names,0))="No",INDEX(Species_Evo_Numbers,MATCH($N837,Species_Names,0))&lt;&gt;1),"N/A",RANK($Y837,IF(NOT(ISNA(MATCH(Combo_Species_Names,IF(Species_Availability="Yes",IF(Species_Evo_Numbers=1,Species_Names)),0))),Combo_Gym_Defense),0))</f>
        <v>N/A</v>
      </c>
      <c r="L837" s="24" t="str">
        <f t="array" ref="L837">IF(OR(INDEX(Species_Availability,MATCH($N837,Species_Names,0))="No",INDEX(Species_Evo_Numbers,MATCH($N837,Species_Names,0))&lt;&gt;1),"N/A",$Y837/MAX(IF(NOT(ISNA(MATCH(Combo_Species_Names,IF(Species_Availability="Yes",IF(Species_Evo_Numbers=1,Species_Names)),0))),Combo_Gym_Defense)))</f>
        <v>N/A</v>
      </c>
      <c r="M837" s="28">
        <f t="array" ref="M837">INDEX(Species_Pdex_Numbers,MATCH($N837,Species_Names,0))</f>
        <v>11</v>
      </c>
      <c r="N837" s="30" t="s">
        <v>99</v>
      </c>
      <c r="O837" s="31" t="s">
        <v>91</v>
      </c>
      <c r="P837" s="31" t="s">
        <v>307</v>
      </c>
      <c r="Q837" s="17" t="e">
        <f t="shared" si="24"/>
        <v>#VALUE!</v>
      </c>
      <c r="R837" s="32" t="e">
        <f t="array" ref="R837">IF(OR(AND(COUNTBLANK(Combo_Opponent_Type_1)=1,COUNTBLANK(Combo_Opponent_Type_2)=0),AND(AND(COUNTBLANK(Combo_Opponent_Type_1)=0,COUNTBLANK(Combo_Opponent_Type_2)=0),Combo_Opponent_Type_1=Combo_Opponent_Type_2)),
"Check Types",($S837*INDEX(Species_Tankiness,MATCH($N837,Species_Names,0)))/225)</f>
        <v>#VALUE!</v>
      </c>
      <c r="S837" s="32" t="e">
        <f t="array" ref="S837">IF(OR(AND(COUNTBLANK(Combo_Opponent_Type_1)=1,COUNTBLANK(Combo_Opponent_Type_2)=0),AND(AND(COUNTBLANK(Combo_Opponent_Type_1)=0,COUNTBLANK(Combo_Opponent_Type_2)=0),Combo_Opponent_Type_1=Combo_Opponent_Type_2)),
"Check Types",(
IF($W837&gt;=((1-Game_Weave_Human_Error)*$X837),$W837,$X837)*INDEX(Species_Attack,MATCH($N837,Species_Names,0)))/11)</f>
        <v>#VALUE!</v>
      </c>
      <c r="T837" s="33" t="e">
        <f t="shared" si="25"/>
        <v>#VALUE!</v>
      </c>
      <c r="U837" s="33">
        <f t="array" ref="U8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837,Quick_Names,0))),Type_Species)),0),1)*IF(COUNTBLANK(Combo_Opponent_Type_2)=0,INDEX(Type_Damage_Multipliers,MATCH(Combo_Opponent_Type_2,IF(Type_Move=(INDEX(Quick_Type,MATCH($O837,Quick_Names,0))),Type_Species)),0),1)*(IF(OR(INDEX(Quick_Type,MATCH($O837,Quick_Names,0))=INDEX(Species_Type_1,MATCH($N837,Species_Names,0)),INDEX(Quick_Type,MATCH($O837,Quick_Names,0))=INDEX(Species_Type_2,MATCH($N837,Species_Names,0))),Game_STAB_Multiplier,1)))</f>
        <v>1</v>
      </c>
      <c r="V837" s="33">
        <f t="array" ref="V83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837,Charge_Names,0))),Type_Species)),0),1)*IF(COUNTBLANK(Combo_Opponent_Type_2)=0,INDEX(Type_Damage_Multipliers,MATCH(Combo_Opponent_Type_2,IF(Type_Move=(INDEX(Charge_Type,MATCH($P837,Charge_Names,0))),Type_Species)),0),1)*
IF(OR(INDEX(Charge_Type,MATCH($P837,Charge_Names,0))=INDEX(Species_Type_1,MATCH($N837,Species_Names,0)),INDEX(Charge_Type,MATCH($P837,Charge_Names,0))=INDEX(Species_Type_2,MATCH($N837,Species_Names,0))),Game_STAB_Multiplier,1))</f>
        <v>1</v>
      </c>
      <c r="W837" s="33" t="s">
        <v>658</v>
      </c>
      <c r="X837" s="33" t="s">
        <v>809</v>
      </c>
      <c r="Y837" s="32" t="e">
        <f t="array" ref="Y837">((($Z837)*
INDEX(Species_Attack,MATCH($N837,Species_Names,0))*
INDEX(Species_Tankiness,MATCH($N837,Species_Names,0)))/1000)</f>
        <v>#VALUE!</v>
      </c>
      <c r="Z837" s="33" t="s">
        <v>755</v>
      </c>
    </row>
    <row r="838" spans="1:26" ht="14.25" customHeight="1" x14ac:dyDescent="0.2">
      <c r="A838" s="86"/>
      <c r="B838" s="22" t="str">
        <f t="array" ref="B838">CONCATENATE(TEXT($M838,"000"),".",TEXT(INDEX(Quick_Number,MATCH($O838,Quick_Names,0)),"000"),".",TEXT(INDEX(Charge_Number,MATCH($P838,Charge_Names,0)),"000"))</f>
        <v>010.201.133</v>
      </c>
      <c r="C838" s="23" t="e">
        <f t="array" ref="C838">RANK($S838,IF(Combo_Species_Names=$N838,Combo_Gym_Offense),0)</f>
        <v>#VALUE!</v>
      </c>
      <c r="D838" s="24" t="e">
        <f t="array" ref="D838">$S838/MAX(IF(Combo_Species_Names=$N838,Combo_Gym_Offense))</f>
        <v>#VALUE!</v>
      </c>
      <c r="E838" s="23" t="e">
        <f t="array" ref="E838">RANK($Y838,IF(Combo_Species_Names=$N838,Combo_Gym_Defense),0)</f>
        <v>#VALUE!</v>
      </c>
      <c r="F838" s="25" t="e">
        <f t="array" ref="F838">$Y838/MAX(IF(Combo_Species_Names=$N838,Combo_Gym_Defense))</f>
        <v>#VALUE!</v>
      </c>
      <c r="G838" s="23" t="str">
        <f t="array" ref="G838">IF(OR(INDEX(Species_Availability,MATCH($N838,Species_Names,0))="No",INDEX(Species_Evo_Numbers,MATCH($N838,Species_Names,0))&lt;&gt;1),"N/A",RANK($R838,IF(NOT(ISNA(MATCH(Combo_Species_Names,IF(Species_Availability="Yes",IF(Species_Evo_Numbers=1,Species_Names)),0))),Combo_Duel_Ability),0))</f>
        <v>N/A</v>
      </c>
      <c r="H838" s="24" t="str">
        <f t="array" ref="H838">IF(OR(INDEX(Species_Availability,MATCH($N838,Species_Names,0))="No",INDEX(Species_Evo_Numbers,MATCH($N838,Species_Names,0))&lt;&gt;1),"N/A",$R838/MAX(IF(NOT(ISNA(MATCH(Combo_Species_Names,IF(Species_Availability="Yes",IF(Species_Evo_Numbers=1,Species_Names)),0))),Combo_Duel_Ability)))</f>
        <v>N/A</v>
      </c>
      <c r="I838" s="23" t="str">
        <f t="array" ref="I838">IF(OR(INDEX(Species_Availability,MATCH($N838,Species_Names,0))="No",INDEX(Species_Evo_Numbers,MATCH($N838,Species_Names,0))&lt;&gt;1),"N/A",RANK($S838,IF(NOT(ISNA(MATCH(Combo_Species_Names,IF(Species_Availability="Yes",IF(Species_Evo_Numbers=1,Species_Names)),0))),Combo_Gym_Offense),0))</f>
        <v>N/A</v>
      </c>
      <c r="J838" s="24" t="str">
        <f t="array" ref="J838">IF(OR(INDEX(Species_Availability,MATCH($N838,Species_Names,0))="No",INDEX(Species_Evo_Numbers,MATCH($N838,Species_Names,0))&lt;&gt;1),"N/A",$S838/MAX(IF(NOT(ISNA(MATCH(Combo_Species_Names,IF(Species_Availability="Yes",IF(Species_Evo_Numbers=1,Species_Names)),0))),Combo_Gym_Offense)))</f>
        <v>N/A</v>
      </c>
      <c r="K838" s="23" t="str">
        <f t="array" ref="K838">IF(OR(INDEX(Species_Availability,MATCH($N838,Species_Names,0))="No",INDEX(Species_Evo_Numbers,MATCH($N838,Species_Names,0))&lt;&gt;1),"N/A",RANK($Y838,IF(NOT(ISNA(MATCH(Combo_Species_Names,IF(Species_Availability="Yes",IF(Species_Evo_Numbers=1,Species_Names)),0))),Combo_Gym_Defense),0))</f>
        <v>N/A</v>
      </c>
      <c r="L838" s="24" t="str">
        <f t="array" ref="L838">IF(OR(INDEX(Species_Availability,MATCH($N838,Species_Names,0))="No",INDEX(Species_Evo_Numbers,MATCH($N838,Species_Names,0))&lt;&gt;1),"N/A",$Y838/MAX(IF(NOT(ISNA(MATCH(Combo_Species_Names,IF(Species_Availability="Yes",IF(Species_Evo_Numbers=1,Species_Names)),0))),Combo_Gym_Defense)))</f>
        <v>N/A</v>
      </c>
      <c r="M838" s="28">
        <f t="array" ref="M838">INDEX(Species_Pdex_Numbers,MATCH($N838,Species_Names,0))</f>
        <v>10</v>
      </c>
      <c r="N838" s="30" t="s">
        <v>96</v>
      </c>
      <c r="O838" s="31" t="s">
        <v>82</v>
      </c>
      <c r="P838" s="31" t="s">
        <v>307</v>
      </c>
      <c r="Q838" s="17" t="e">
        <f t="shared" ref="Q838:Q849" si="26">IF(OR(AND(COUNTBLANK(Combo_Opponent_Type_1)=1,COUNTBLANK(Combo_Opponent_Type_2)=0),AND(AND(COUNTBLANK(Combo_Opponent_Type_1)=0,COUNTBLANK(Combo_Opponent_Type_2)=0),Combo_Opponent_Type_1=Combo_Opponent_Type_2)),
"Check Types",IF($W838&gt;=((1-Game_Weave_Human_Error)*$X838),"Quick Only","Weave"))</f>
        <v>#VALUE!</v>
      </c>
      <c r="R838" s="32" t="e">
        <f t="array" ref="R838">IF(OR(AND(COUNTBLANK(Combo_Opponent_Type_1)=1,COUNTBLANK(Combo_Opponent_Type_2)=0),AND(AND(COUNTBLANK(Combo_Opponent_Type_1)=0,COUNTBLANK(Combo_Opponent_Type_2)=0),Combo_Opponent_Type_1=Combo_Opponent_Type_2)),
"Check Types",($S838*INDEX(Species_Tankiness,MATCH($N838,Species_Names,0)))/225)</f>
        <v>#VALUE!</v>
      </c>
      <c r="S838" s="32" t="e">
        <f t="array" ref="S838">IF(OR(AND(COUNTBLANK(Combo_Opponent_Type_1)=1,COUNTBLANK(Combo_Opponent_Type_2)=0),AND(AND(COUNTBLANK(Combo_Opponent_Type_1)=0,COUNTBLANK(Combo_Opponent_Type_2)=0),Combo_Opponent_Type_1=Combo_Opponent_Type_2)),
"Check Types",(
IF($W838&gt;=((1-Game_Weave_Human_Error)*$X838),$W838,$X838)*INDEX(Species_Attack,MATCH($N838,Species_Names,0)))/11)</f>
        <v>#VALUE!</v>
      </c>
      <c r="T838" s="33" t="e">
        <f t="shared" ref="T838:T849" si="27">IF(OR(AND(COUNTBLANK(Combo_Opponent_Type_1)=1,COUNTBLANK(Combo_Opponent_Type_2)=0),AND(AND(COUNTBLANK(Combo_Opponent_Type_1)=0,COUNTBLANK(Combo_Opponent_Type_2)=0),Combo_Opponent_Type_1=Combo_Opponent_Type_2)),
"Check Types",IF($W838&gt;=((1-Game_Weave_Human_Error)*$X838),$W838,$X838))</f>
        <v>#VALUE!</v>
      </c>
      <c r="U838" s="33">
        <f t="array" ref="U8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838,Quick_Names,0))),Type_Species)),0),1)*IF(COUNTBLANK(Combo_Opponent_Type_2)=0,INDEX(Type_Damage_Multipliers,MATCH(Combo_Opponent_Type_2,IF(Type_Move=(INDEX(Quick_Type,MATCH($O838,Quick_Names,0))),Type_Species)),0),1)*(IF(OR(INDEX(Quick_Type,MATCH($O838,Quick_Names,0))=INDEX(Species_Type_1,MATCH($N838,Species_Names,0)),INDEX(Quick_Type,MATCH($O838,Quick_Names,0))=INDEX(Species_Type_2,MATCH($N838,Species_Names,0))),Game_STAB_Multiplier,1)))</f>
        <v>1.25</v>
      </c>
      <c r="V838" s="33">
        <f t="array" ref="V83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838,Charge_Names,0))),Type_Species)),0),1)*IF(COUNTBLANK(Combo_Opponent_Type_2)=0,INDEX(Type_Damage_Multipliers,MATCH(Combo_Opponent_Type_2,IF(Type_Move=(INDEX(Charge_Type,MATCH($P838,Charge_Names,0))),Type_Species)),0),1)*
IF(OR(INDEX(Charge_Type,MATCH($P838,Charge_Names,0))=INDEX(Species_Type_1,MATCH($N838,Species_Names,0)),INDEX(Charge_Type,MATCH($P838,Charge_Names,0))=INDEX(Species_Type_2,MATCH($N838,Species_Names,0))),Game_STAB_Multiplier,1))</f>
        <v>1</v>
      </c>
      <c r="W838" s="33" t="s">
        <v>436</v>
      </c>
      <c r="X838" s="33" t="s">
        <v>1095</v>
      </c>
      <c r="Y838" s="32" t="e">
        <f t="array" ref="Y838">((($Z838)*
INDEX(Species_Attack,MATCH($N838,Species_Names,0))*
INDEX(Species_Tankiness,MATCH($N838,Species_Names,0)))/1000)</f>
        <v>#VALUE!</v>
      </c>
      <c r="Z838" s="33" t="s">
        <v>1096</v>
      </c>
    </row>
    <row r="839" spans="1:26" ht="14.25" customHeight="1" x14ac:dyDescent="0.2">
      <c r="A839" s="86"/>
      <c r="B839" s="22" t="str">
        <f t="array" ref="B839">CONCATENATE(TEXT($M839,"000"),".",TEXT(INDEX(Quick_Number,MATCH($O839,Quick_Names,0)),"000"),".",TEXT(INDEX(Charge_Number,MATCH($P839,Charge_Names,0)),"000"))</f>
        <v>019.219.026</v>
      </c>
      <c r="C839" s="23" t="e">
        <f t="array" ref="C839">RANK($S839,IF(Combo_Species_Names=$N839,Combo_Gym_Offense),0)</f>
        <v>#VALUE!</v>
      </c>
      <c r="D839" s="24" t="e">
        <f t="array" ref="D839">$S839/MAX(IF(Combo_Species_Names=$N839,Combo_Gym_Offense))</f>
        <v>#VALUE!</v>
      </c>
      <c r="E839" s="23" t="e">
        <f t="array" ref="E839">RANK($Y839,IF(Combo_Species_Names=$N839,Combo_Gym_Defense),0)</f>
        <v>#VALUE!</v>
      </c>
      <c r="F839" s="25" t="e">
        <f t="array" ref="F839">$Y839/MAX(IF(Combo_Species_Names=$N839,Combo_Gym_Defense))</f>
        <v>#VALUE!</v>
      </c>
      <c r="G839" s="23" t="str">
        <f t="array" ref="G839">IF(OR(INDEX(Species_Availability,MATCH($N839,Species_Names,0))="No",INDEX(Species_Evo_Numbers,MATCH($N839,Species_Names,0))&lt;&gt;1),"N/A",RANK($R839,IF(NOT(ISNA(MATCH(Combo_Species_Names,IF(Species_Availability="Yes",IF(Species_Evo_Numbers=1,Species_Names)),0))),Combo_Duel_Ability),0))</f>
        <v>N/A</v>
      </c>
      <c r="H839" s="24" t="str">
        <f t="array" ref="H839">IF(OR(INDEX(Species_Availability,MATCH($N839,Species_Names,0))="No",INDEX(Species_Evo_Numbers,MATCH($N839,Species_Names,0))&lt;&gt;1),"N/A",$R839/MAX(IF(NOT(ISNA(MATCH(Combo_Species_Names,IF(Species_Availability="Yes",IF(Species_Evo_Numbers=1,Species_Names)),0))),Combo_Duel_Ability)))</f>
        <v>N/A</v>
      </c>
      <c r="I839" s="23" t="str">
        <f t="array" ref="I839">IF(OR(INDEX(Species_Availability,MATCH($N839,Species_Names,0))="No",INDEX(Species_Evo_Numbers,MATCH($N839,Species_Names,0))&lt;&gt;1),"N/A",RANK($S839,IF(NOT(ISNA(MATCH(Combo_Species_Names,IF(Species_Availability="Yes",IF(Species_Evo_Numbers=1,Species_Names)),0))),Combo_Gym_Offense),0))</f>
        <v>N/A</v>
      </c>
      <c r="J839" s="24" t="str">
        <f t="array" ref="J839">IF(OR(INDEX(Species_Availability,MATCH($N839,Species_Names,0))="No",INDEX(Species_Evo_Numbers,MATCH($N839,Species_Names,0))&lt;&gt;1),"N/A",$S839/MAX(IF(NOT(ISNA(MATCH(Combo_Species_Names,IF(Species_Availability="Yes",IF(Species_Evo_Numbers=1,Species_Names)),0))),Combo_Gym_Offense)))</f>
        <v>N/A</v>
      </c>
      <c r="K839" s="23" t="str">
        <f t="array" ref="K839">IF(OR(INDEX(Species_Availability,MATCH($N839,Species_Names,0))="No",INDEX(Species_Evo_Numbers,MATCH($N839,Species_Names,0))&lt;&gt;1),"N/A",RANK($Y839,IF(NOT(ISNA(MATCH(Combo_Species_Names,IF(Species_Availability="Yes",IF(Species_Evo_Numbers=1,Species_Names)),0))),Combo_Gym_Defense),0))</f>
        <v>N/A</v>
      </c>
      <c r="L839" s="24" t="str">
        <f t="array" ref="L839">IF(OR(INDEX(Species_Availability,MATCH($N839,Species_Names,0))="No",INDEX(Species_Evo_Numbers,MATCH($N839,Species_Names,0))&lt;&gt;1),"N/A",$Y839/MAX(IF(NOT(ISNA(MATCH(Combo_Species_Names,IF(Species_Availability="Yes",IF(Species_Evo_Numbers=1,Species_Names)),0))),Combo_Gym_Defense)))</f>
        <v>N/A</v>
      </c>
      <c r="M839" s="28">
        <f t="array" ref="M839">INDEX(Species_Pdex_Numbers,MATCH($N839,Species_Names,0))</f>
        <v>19</v>
      </c>
      <c r="N839" s="30" t="s">
        <v>128</v>
      </c>
      <c r="O839" s="31" t="s">
        <v>119</v>
      </c>
      <c r="P839" s="31" t="s">
        <v>264</v>
      </c>
      <c r="Q839" s="17" t="e">
        <f t="shared" si="26"/>
        <v>#VALUE!</v>
      </c>
      <c r="R839" s="32" t="e">
        <f t="array" ref="R839">IF(OR(AND(COUNTBLANK(Combo_Opponent_Type_1)=1,COUNTBLANK(Combo_Opponent_Type_2)=0),AND(AND(COUNTBLANK(Combo_Opponent_Type_1)=0,COUNTBLANK(Combo_Opponent_Type_2)=0),Combo_Opponent_Type_1=Combo_Opponent_Type_2)),
"Check Types",($S839*INDEX(Species_Tankiness,MATCH($N839,Species_Names,0)))/225)</f>
        <v>#VALUE!</v>
      </c>
      <c r="S839" s="32" t="e">
        <f t="array" ref="S839">IF(OR(AND(COUNTBLANK(Combo_Opponent_Type_1)=1,COUNTBLANK(Combo_Opponent_Type_2)=0),AND(AND(COUNTBLANK(Combo_Opponent_Type_1)=0,COUNTBLANK(Combo_Opponent_Type_2)=0),Combo_Opponent_Type_1=Combo_Opponent_Type_2)),
"Check Types",(
IF($W839&gt;=((1-Game_Weave_Human_Error)*$X839),$W839,$X839)*INDEX(Species_Attack,MATCH($N839,Species_Names,0)))/11)</f>
        <v>#VALUE!</v>
      </c>
      <c r="T839" s="33" t="e">
        <f t="shared" si="27"/>
        <v>#VALUE!</v>
      </c>
      <c r="U839" s="33">
        <f t="array" ref="U8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839,Quick_Names,0))),Type_Species)),0),1)*IF(COUNTBLANK(Combo_Opponent_Type_2)=0,INDEX(Type_Damage_Multipliers,MATCH(Combo_Opponent_Type_2,IF(Type_Move=(INDEX(Quick_Type,MATCH($O839,Quick_Names,0))),Type_Species)),0),1)*(IF(OR(INDEX(Quick_Type,MATCH($O839,Quick_Names,0))=INDEX(Species_Type_1,MATCH($N839,Species_Names,0)),INDEX(Quick_Type,MATCH($O839,Quick_Names,0))=INDEX(Species_Type_2,MATCH($N839,Species_Names,0))),Game_STAB_Multiplier,1)))</f>
        <v>1.25</v>
      </c>
      <c r="V839" s="33">
        <f t="array" ref="V83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839,Charge_Names,0))),Type_Species)),0),1)*IF(COUNTBLANK(Combo_Opponent_Type_2)=0,INDEX(Type_Damage_Multipliers,MATCH(Combo_Opponent_Type_2,IF(Type_Move=(INDEX(Charge_Type,MATCH($P839,Charge_Names,0))),Type_Species)),0),1)*
IF(OR(INDEX(Charge_Type,MATCH($P839,Charge_Names,0))=INDEX(Species_Type_1,MATCH($N839,Species_Names,0)),INDEX(Charge_Type,MATCH($P839,Charge_Names,0))=INDEX(Species_Type_2,MATCH($N839,Species_Names,0))),Game_STAB_Multiplier,1))</f>
        <v>1</v>
      </c>
      <c r="W839" s="33" t="s">
        <v>564</v>
      </c>
      <c r="X839" s="33" t="s">
        <v>921</v>
      </c>
      <c r="Y839" s="32" t="e">
        <f t="array" ref="Y839">((($Z839)*
INDEX(Species_Attack,MATCH($N839,Species_Names,0))*
INDEX(Species_Tankiness,MATCH($N839,Species_Names,0)))/1000)</f>
        <v>#VALUE!</v>
      </c>
      <c r="Z839" s="33" t="s">
        <v>693</v>
      </c>
    </row>
    <row r="840" spans="1:26" ht="14.25" customHeight="1" x14ac:dyDescent="0.2">
      <c r="A840" s="86"/>
      <c r="B840" s="22" t="str">
        <f t="array" ref="B840">CONCATENATE(TEXT($M840,"000"),".",TEXT(INDEX(Quick_Number,MATCH($O840,Quick_Names,0)),"000"),".",TEXT(INDEX(Charge_Number,MATCH($P840,Charge_Names,0)),"000"))</f>
        <v>013.201.133</v>
      </c>
      <c r="C840" s="23" t="e">
        <f t="array" ref="C840">RANK($S840,IF(Combo_Species_Names=$N840,Combo_Gym_Offense),0)</f>
        <v>#VALUE!</v>
      </c>
      <c r="D840" s="24" t="e">
        <f t="array" ref="D840">$S840/MAX(IF(Combo_Species_Names=$N840,Combo_Gym_Offense))</f>
        <v>#VALUE!</v>
      </c>
      <c r="E840" s="23" t="e">
        <f t="array" ref="E840">RANK($Y840,IF(Combo_Species_Names=$N840,Combo_Gym_Defense),0)</f>
        <v>#VALUE!</v>
      </c>
      <c r="F840" s="25" t="e">
        <f t="array" ref="F840">$Y840/MAX(IF(Combo_Species_Names=$N840,Combo_Gym_Defense))</f>
        <v>#VALUE!</v>
      </c>
      <c r="G840" s="23" t="str">
        <f t="array" ref="G840">IF(OR(INDEX(Species_Availability,MATCH($N840,Species_Names,0))="No",INDEX(Species_Evo_Numbers,MATCH($N840,Species_Names,0))&lt;&gt;1),"N/A",RANK($R840,IF(NOT(ISNA(MATCH(Combo_Species_Names,IF(Species_Availability="Yes",IF(Species_Evo_Numbers=1,Species_Names)),0))),Combo_Duel_Ability),0))</f>
        <v>N/A</v>
      </c>
      <c r="H840" s="24" t="str">
        <f t="array" ref="H840">IF(OR(INDEX(Species_Availability,MATCH($N840,Species_Names,0))="No",INDEX(Species_Evo_Numbers,MATCH($N840,Species_Names,0))&lt;&gt;1),"N/A",$R840/MAX(IF(NOT(ISNA(MATCH(Combo_Species_Names,IF(Species_Availability="Yes",IF(Species_Evo_Numbers=1,Species_Names)),0))),Combo_Duel_Ability)))</f>
        <v>N/A</v>
      </c>
      <c r="I840" s="23" t="str">
        <f t="array" ref="I840">IF(OR(INDEX(Species_Availability,MATCH($N840,Species_Names,0))="No",INDEX(Species_Evo_Numbers,MATCH($N840,Species_Names,0))&lt;&gt;1),"N/A",RANK($S840,IF(NOT(ISNA(MATCH(Combo_Species_Names,IF(Species_Availability="Yes",IF(Species_Evo_Numbers=1,Species_Names)),0))),Combo_Gym_Offense),0))</f>
        <v>N/A</v>
      </c>
      <c r="J840" s="24" t="str">
        <f t="array" ref="J840">IF(OR(INDEX(Species_Availability,MATCH($N840,Species_Names,0))="No",INDEX(Species_Evo_Numbers,MATCH($N840,Species_Names,0))&lt;&gt;1),"N/A",$S840/MAX(IF(NOT(ISNA(MATCH(Combo_Species_Names,IF(Species_Availability="Yes",IF(Species_Evo_Numbers=1,Species_Names)),0))),Combo_Gym_Offense)))</f>
        <v>N/A</v>
      </c>
      <c r="K840" s="23" t="str">
        <f t="array" ref="K840">IF(OR(INDEX(Species_Availability,MATCH($N840,Species_Names,0))="No",INDEX(Species_Evo_Numbers,MATCH($N840,Species_Names,0))&lt;&gt;1),"N/A",RANK($Y840,IF(NOT(ISNA(MATCH(Combo_Species_Names,IF(Species_Availability="Yes",IF(Species_Evo_Numbers=1,Species_Names)),0))),Combo_Gym_Defense),0))</f>
        <v>N/A</v>
      </c>
      <c r="L840" s="24" t="str">
        <f t="array" ref="L840">IF(OR(INDEX(Species_Availability,MATCH($N840,Species_Names,0))="No",INDEX(Species_Evo_Numbers,MATCH($N840,Species_Names,0))&lt;&gt;1),"N/A",$Y840/MAX(IF(NOT(ISNA(MATCH(Combo_Species_Names,IF(Species_Availability="Yes",IF(Species_Evo_Numbers=1,Species_Names)),0))),Combo_Gym_Defense)))</f>
        <v>N/A</v>
      </c>
      <c r="M840" s="28">
        <f t="array" ref="M840">INDEX(Species_Pdex_Numbers,MATCH($N840,Species_Names,0))</f>
        <v>13</v>
      </c>
      <c r="N840" s="30" t="s">
        <v>109</v>
      </c>
      <c r="O840" s="31" t="s">
        <v>82</v>
      </c>
      <c r="P840" s="31" t="s">
        <v>307</v>
      </c>
      <c r="Q840" s="17" t="e">
        <f t="shared" si="26"/>
        <v>#VALUE!</v>
      </c>
      <c r="R840" s="32" t="e">
        <f t="array" ref="R840">IF(OR(AND(COUNTBLANK(Combo_Opponent_Type_1)=1,COUNTBLANK(Combo_Opponent_Type_2)=0),AND(AND(COUNTBLANK(Combo_Opponent_Type_1)=0,COUNTBLANK(Combo_Opponent_Type_2)=0),Combo_Opponent_Type_1=Combo_Opponent_Type_2)),
"Check Types",($S840*INDEX(Species_Tankiness,MATCH($N840,Species_Names,0)))/225)</f>
        <v>#VALUE!</v>
      </c>
      <c r="S840" s="32" t="e">
        <f t="array" ref="S840">IF(OR(AND(COUNTBLANK(Combo_Opponent_Type_1)=1,COUNTBLANK(Combo_Opponent_Type_2)=0),AND(AND(COUNTBLANK(Combo_Opponent_Type_1)=0,COUNTBLANK(Combo_Opponent_Type_2)=0),Combo_Opponent_Type_1=Combo_Opponent_Type_2)),
"Check Types",(
IF($W840&gt;=((1-Game_Weave_Human_Error)*$X840),$W840,$X840)*INDEX(Species_Attack,MATCH($N840,Species_Names,0)))/11)</f>
        <v>#VALUE!</v>
      </c>
      <c r="T840" s="33" t="e">
        <f t="shared" si="27"/>
        <v>#VALUE!</v>
      </c>
      <c r="U840" s="33">
        <f t="array" ref="U8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840,Quick_Names,0))),Type_Species)),0),1)*IF(COUNTBLANK(Combo_Opponent_Type_2)=0,INDEX(Type_Damage_Multipliers,MATCH(Combo_Opponent_Type_2,IF(Type_Move=(INDEX(Quick_Type,MATCH($O840,Quick_Names,0))),Type_Species)),0),1)*(IF(OR(INDEX(Quick_Type,MATCH($O840,Quick_Names,0))=INDEX(Species_Type_1,MATCH($N840,Species_Names,0)),INDEX(Quick_Type,MATCH($O840,Quick_Names,0))=INDEX(Species_Type_2,MATCH($N840,Species_Names,0))),Game_STAB_Multiplier,1)))</f>
        <v>1.25</v>
      </c>
      <c r="V840" s="33">
        <f t="array" ref="V840">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840,Charge_Names,0))),Type_Species)),0),1)*IF(COUNTBLANK(Combo_Opponent_Type_2)=0,INDEX(Type_Damage_Multipliers,MATCH(Combo_Opponent_Type_2,IF(Type_Move=(INDEX(Charge_Type,MATCH($P840,Charge_Names,0))),Type_Species)),0),1)*
IF(OR(INDEX(Charge_Type,MATCH($P840,Charge_Names,0))=INDEX(Species_Type_1,MATCH($N840,Species_Names,0)),INDEX(Charge_Type,MATCH($P840,Charge_Names,0))=INDEX(Species_Type_2,MATCH($N840,Species_Names,0))),Game_STAB_Multiplier,1))</f>
        <v>1</v>
      </c>
      <c r="W840" s="33" t="s">
        <v>436</v>
      </c>
      <c r="X840" s="33" t="s">
        <v>1095</v>
      </c>
      <c r="Y840" s="32" t="e">
        <f t="array" ref="Y840">((($Z840)*
INDEX(Species_Attack,MATCH($N840,Species_Names,0))*
INDEX(Species_Tankiness,MATCH($N840,Species_Names,0)))/1000)</f>
        <v>#VALUE!</v>
      </c>
      <c r="Z840" s="33" t="s">
        <v>1096</v>
      </c>
    </row>
    <row r="841" spans="1:26" ht="14.25" customHeight="1" x14ac:dyDescent="0.2">
      <c r="A841" s="86"/>
      <c r="B841" s="22" t="str">
        <f t="array" ref="B841">CONCATENATE(TEXT($M841,"000"),".",TEXT(INDEX(Quick_Number,MATCH($O841,Quick_Names,0)),"000"),".",TEXT(INDEX(Charge_Number,MATCH($P841,Charge_Names,0)),"000"))</f>
        <v>013.236.133</v>
      </c>
      <c r="C841" s="23" t="e">
        <f t="array" ref="C841">RANK($S841,IF(Combo_Species_Names=$N841,Combo_Gym_Offense),0)</f>
        <v>#VALUE!</v>
      </c>
      <c r="D841" s="24" t="e">
        <f t="array" ref="D841">$S841/MAX(IF(Combo_Species_Names=$N841,Combo_Gym_Offense))</f>
        <v>#VALUE!</v>
      </c>
      <c r="E841" s="23" t="e">
        <f t="array" ref="E841">RANK($Y841,IF(Combo_Species_Names=$N841,Combo_Gym_Defense),0)</f>
        <v>#VALUE!</v>
      </c>
      <c r="F841" s="25" t="e">
        <f t="array" ref="F841">$Y841/MAX(IF(Combo_Species_Names=$N841,Combo_Gym_Defense))</f>
        <v>#VALUE!</v>
      </c>
      <c r="G841" s="23" t="str">
        <f t="array" ref="G841">IF(OR(INDEX(Species_Availability,MATCH($N841,Species_Names,0))="No",INDEX(Species_Evo_Numbers,MATCH($N841,Species_Names,0))&lt;&gt;1),"N/A",RANK($R841,IF(NOT(ISNA(MATCH(Combo_Species_Names,IF(Species_Availability="Yes",IF(Species_Evo_Numbers=1,Species_Names)),0))),Combo_Duel_Ability),0))</f>
        <v>N/A</v>
      </c>
      <c r="H841" s="24" t="str">
        <f t="array" ref="H841">IF(OR(INDEX(Species_Availability,MATCH($N841,Species_Names,0))="No",INDEX(Species_Evo_Numbers,MATCH($N841,Species_Names,0))&lt;&gt;1),"N/A",$R841/MAX(IF(NOT(ISNA(MATCH(Combo_Species_Names,IF(Species_Availability="Yes",IF(Species_Evo_Numbers=1,Species_Names)),0))),Combo_Duel_Ability)))</f>
        <v>N/A</v>
      </c>
      <c r="I841" s="23" t="str">
        <f t="array" ref="I841">IF(OR(INDEX(Species_Availability,MATCH($N841,Species_Names,0))="No",INDEX(Species_Evo_Numbers,MATCH($N841,Species_Names,0))&lt;&gt;1),"N/A",RANK($S841,IF(NOT(ISNA(MATCH(Combo_Species_Names,IF(Species_Availability="Yes",IF(Species_Evo_Numbers=1,Species_Names)),0))),Combo_Gym_Offense),0))</f>
        <v>N/A</v>
      </c>
      <c r="J841" s="24" t="str">
        <f t="array" ref="J841">IF(OR(INDEX(Species_Availability,MATCH($N841,Species_Names,0))="No",INDEX(Species_Evo_Numbers,MATCH($N841,Species_Names,0))&lt;&gt;1),"N/A",$S841/MAX(IF(NOT(ISNA(MATCH(Combo_Species_Names,IF(Species_Availability="Yes",IF(Species_Evo_Numbers=1,Species_Names)),0))),Combo_Gym_Offense)))</f>
        <v>N/A</v>
      </c>
      <c r="K841" s="23" t="str">
        <f t="array" ref="K841">IF(OR(INDEX(Species_Availability,MATCH($N841,Species_Names,0))="No",INDEX(Species_Evo_Numbers,MATCH($N841,Species_Names,0))&lt;&gt;1),"N/A",RANK($Y841,IF(NOT(ISNA(MATCH(Combo_Species_Names,IF(Species_Availability="Yes",IF(Species_Evo_Numbers=1,Species_Names)),0))),Combo_Gym_Defense),0))</f>
        <v>N/A</v>
      </c>
      <c r="L841" s="24" t="str">
        <f t="array" ref="L841">IF(OR(INDEX(Species_Availability,MATCH($N841,Species_Names,0))="No",INDEX(Species_Evo_Numbers,MATCH($N841,Species_Names,0))&lt;&gt;1),"N/A",$Y841/MAX(IF(NOT(ISNA(MATCH(Combo_Species_Names,IF(Species_Availability="Yes",IF(Species_Evo_Numbers=1,Species_Names)),0))),Combo_Gym_Defense)))</f>
        <v>N/A</v>
      </c>
      <c r="M841" s="28">
        <f t="array" ref="M841">INDEX(Species_Pdex_Numbers,MATCH($N841,Species_Names,0))</f>
        <v>13</v>
      </c>
      <c r="N841" s="30" t="s">
        <v>109</v>
      </c>
      <c r="O841" s="31" t="s">
        <v>101</v>
      </c>
      <c r="P841" s="31" t="s">
        <v>307</v>
      </c>
      <c r="Q841" s="17" t="e">
        <f t="shared" si="26"/>
        <v>#VALUE!</v>
      </c>
      <c r="R841" s="32" t="e">
        <f t="array" ref="R841">IF(OR(AND(COUNTBLANK(Combo_Opponent_Type_1)=1,COUNTBLANK(Combo_Opponent_Type_2)=0),AND(AND(COUNTBLANK(Combo_Opponent_Type_1)=0,COUNTBLANK(Combo_Opponent_Type_2)=0),Combo_Opponent_Type_1=Combo_Opponent_Type_2)),
"Check Types",($S841*INDEX(Species_Tankiness,MATCH($N841,Species_Names,0)))/225)</f>
        <v>#VALUE!</v>
      </c>
      <c r="S841" s="32" t="e">
        <f t="array" ref="S841">IF(OR(AND(COUNTBLANK(Combo_Opponent_Type_1)=1,COUNTBLANK(Combo_Opponent_Type_2)=0),AND(AND(COUNTBLANK(Combo_Opponent_Type_1)=0,COUNTBLANK(Combo_Opponent_Type_2)=0),Combo_Opponent_Type_1=Combo_Opponent_Type_2)),
"Check Types",(
IF($W841&gt;=((1-Game_Weave_Human_Error)*$X841),$W841,$X841)*INDEX(Species_Attack,MATCH($N841,Species_Names,0)))/11)</f>
        <v>#VALUE!</v>
      </c>
      <c r="T841" s="33" t="e">
        <f t="shared" si="27"/>
        <v>#VALUE!</v>
      </c>
      <c r="U841" s="33">
        <f t="array" ref="U8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841,Quick_Names,0))),Type_Species)),0),1)*IF(COUNTBLANK(Combo_Opponent_Type_2)=0,INDEX(Type_Damage_Multipliers,MATCH(Combo_Opponent_Type_2,IF(Type_Move=(INDEX(Quick_Type,MATCH($O841,Quick_Names,0))),Type_Species)),0),1)*(IF(OR(INDEX(Quick_Type,MATCH($O841,Quick_Names,0))=INDEX(Species_Type_1,MATCH($N841,Species_Names,0)),INDEX(Quick_Type,MATCH($O841,Quick_Names,0))=INDEX(Species_Type_2,MATCH($N841,Species_Names,0))),Game_STAB_Multiplier,1)))</f>
        <v>1.25</v>
      </c>
      <c r="V841" s="33">
        <f t="array" ref="V841">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841,Charge_Names,0))),Type_Species)),0),1)*IF(COUNTBLANK(Combo_Opponent_Type_2)=0,INDEX(Type_Damage_Multipliers,MATCH(Combo_Opponent_Type_2,IF(Type_Move=(INDEX(Charge_Type,MATCH($P841,Charge_Names,0))),Type_Species)),0),1)*
IF(OR(INDEX(Charge_Type,MATCH($P841,Charge_Names,0))=INDEX(Species_Type_1,MATCH($N841,Species_Names,0)),INDEX(Charge_Type,MATCH($P841,Charge_Names,0))=INDEX(Species_Type_2,MATCH($N841,Species_Names,0))),Game_STAB_Multiplier,1))</f>
        <v>1</v>
      </c>
      <c r="W841" s="33" t="s">
        <v>738</v>
      </c>
      <c r="X841" s="33" t="s">
        <v>1099</v>
      </c>
      <c r="Y841" s="32" t="e">
        <f t="array" ref="Y841">((($Z841)*
INDEX(Species_Attack,MATCH($N841,Species_Names,0))*
INDEX(Species_Tankiness,MATCH($N841,Species_Names,0)))/1000)</f>
        <v>#VALUE!</v>
      </c>
      <c r="Z841" s="33" t="s">
        <v>1100</v>
      </c>
    </row>
    <row r="842" spans="1:26" ht="14.25" customHeight="1" x14ac:dyDescent="0.2">
      <c r="A842" s="86"/>
      <c r="B842" s="22" t="str">
        <f t="array" ref="B842">CONCATENATE(TEXT($M842,"000"),".",TEXT(INDEX(Quick_Number,MATCH($O842,Quick_Names,0)),"000"),".",TEXT(INDEX(Charge_Number,MATCH($P842,Charge_Names,0)),"000"))</f>
        <v>010.221.133</v>
      </c>
      <c r="C842" s="23" t="e">
        <f t="array" ref="C842">RANK($S842,IF(Combo_Species_Names=$N842,Combo_Gym_Offense),0)</f>
        <v>#VALUE!</v>
      </c>
      <c r="D842" s="24" t="e">
        <f t="array" ref="D842">$S842/MAX(IF(Combo_Species_Names=$N842,Combo_Gym_Offense))</f>
        <v>#VALUE!</v>
      </c>
      <c r="E842" s="23" t="e">
        <f t="array" ref="E842">RANK($Y842,IF(Combo_Species_Names=$N842,Combo_Gym_Defense),0)</f>
        <v>#VALUE!</v>
      </c>
      <c r="F842" s="25" t="e">
        <f t="array" ref="F842">$Y842/MAX(IF(Combo_Species_Names=$N842,Combo_Gym_Defense))</f>
        <v>#VALUE!</v>
      </c>
      <c r="G842" s="23" t="str">
        <f t="array" ref="G842">IF(OR(INDEX(Species_Availability,MATCH($N842,Species_Names,0))="No",INDEX(Species_Evo_Numbers,MATCH($N842,Species_Names,0))&lt;&gt;1),"N/A",RANK($R842,IF(NOT(ISNA(MATCH(Combo_Species_Names,IF(Species_Availability="Yes",IF(Species_Evo_Numbers=1,Species_Names)),0))),Combo_Duel_Ability),0))</f>
        <v>N/A</v>
      </c>
      <c r="H842" s="24" t="str">
        <f t="array" ref="H842">IF(OR(INDEX(Species_Availability,MATCH($N842,Species_Names,0))="No",INDEX(Species_Evo_Numbers,MATCH($N842,Species_Names,0))&lt;&gt;1),"N/A",$R842/MAX(IF(NOT(ISNA(MATCH(Combo_Species_Names,IF(Species_Availability="Yes",IF(Species_Evo_Numbers=1,Species_Names)),0))),Combo_Duel_Ability)))</f>
        <v>N/A</v>
      </c>
      <c r="I842" s="23" t="str">
        <f t="array" ref="I842">IF(OR(INDEX(Species_Availability,MATCH($N842,Species_Names,0))="No",INDEX(Species_Evo_Numbers,MATCH($N842,Species_Names,0))&lt;&gt;1),"N/A",RANK($S842,IF(NOT(ISNA(MATCH(Combo_Species_Names,IF(Species_Availability="Yes",IF(Species_Evo_Numbers=1,Species_Names)),0))),Combo_Gym_Offense),0))</f>
        <v>N/A</v>
      </c>
      <c r="J842" s="24" t="str">
        <f t="array" ref="J842">IF(OR(INDEX(Species_Availability,MATCH($N842,Species_Names,0))="No",INDEX(Species_Evo_Numbers,MATCH($N842,Species_Names,0))&lt;&gt;1),"N/A",$S842/MAX(IF(NOT(ISNA(MATCH(Combo_Species_Names,IF(Species_Availability="Yes",IF(Species_Evo_Numbers=1,Species_Names)),0))),Combo_Gym_Offense)))</f>
        <v>N/A</v>
      </c>
      <c r="K842" s="23" t="str">
        <f t="array" ref="K842">IF(OR(INDEX(Species_Availability,MATCH($N842,Species_Names,0))="No",INDEX(Species_Evo_Numbers,MATCH($N842,Species_Names,0))&lt;&gt;1),"N/A",RANK($Y842,IF(NOT(ISNA(MATCH(Combo_Species_Names,IF(Species_Availability="Yes",IF(Species_Evo_Numbers=1,Species_Names)),0))),Combo_Gym_Defense),0))</f>
        <v>N/A</v>
      </c>
      <c r="L842" s="24" t="str">
        <f t="array" ref="L842">IF(OR(INDEX(Species_Availability,MATCH($N842,Species_Names,0))="No",INDEX(Species_Evo_Numbers,MATCH($N842,Species_Names,0))&lt;&gt;1),"N/A",$Y842/MAX(IF(NOT(ISNA(MATCH(Combo_Species_Names,IF(Species_Availability="Yes",IF(Species_Evo_Numbers=1,Species_Names)),0))),Combo_Gym_Defense)))</f>
        <v>N/A</v>
      </c>
      <c r="M842" s="28">
        <f t="array" ref="M842">INDEX(Species_Pdex_Numbers,MATCH($N842,Species_Names,0))</f>
        <v>10</v>
      </c>
      <c r="N842" s="30" t="s">
        <v>96</v>
      </c>
      <c r="O842" s="31" t="s">
        <v>91</v>
      </c>
      <c r="P842" s="31" t="s">
        <v>307</v>
      </c>
      <c r="Q842" s="17" t="e">
        <f t="shared" si="26"/>
        <v>#VALUE!</v>
      </c>
      <c r="R842" s="32" t="e">
        <f t="array" ref="R842">IF(OR(AND(COUNTBLANK(Combo_Opponent_Type_1)=1,COUNTBLANK(Combo_Opponent_Type_2)=0),AND(AND(COUNTBLANK(Combo_Opponent_Type_1)=0,COUNTBLANK(Combo_Opponent_Type_2)=0),Combo_Opponent_Type_1=Combo_Opponent_Type_2)),
"Check Types",($S842*INDEX(Species_Tankiness,MATCH($N842,Species_Names,0)))/225)</f>
        <v>#VALUE!</v>
      </c>
      <c r="S842" s="32" t="e">
        <f t="array" ref="S842">IF(OR(AND(COUNTBLANK(Combo_Opponent_Type_1)=1,COUNTBLANK(Combo_Opponent_Type_2)=0),AND(AND(COUNTBLANK(Combo_Opponent_Type_1)=0,COUNTBLANK(Combo_Opponent_Type_2)=0),Combo_Opponent_Type_1=Combo_Opponent_Type_2)),
"Check Types",(
IF($W842&gt;=((1-Game_Weave_Human_Error)*$X842),$W842,$X842)*INDEX(Species_Attack,MATCH($N842,Species_Names,0)))/11)</f>
        <v>#VALUE!</v>
      </c>
      <c r="T842" s="33" t="e">
        <f t="shared" si="27"/>
        <v>#VALUE!</v>
      </c>
      <c r="U842" s="33">
        <f t="array" ref="U8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842,Quick_Names,0))),Type_Species)),0),1)*IF(COUNTBLANK(Combo_Opponent_Type_2)=0,INDEX(Type_Damage_Multipliers,MATCH(Combo_Opponent_Type_2,IF(Type_Move=(INDEX(Quick_Type,MATCH($O842,Quick_Names,0))),Type_Species)),0),1)*(IF(OR(INDEX(Quick_Type,MATCH($O842,Quick_Names,0))=INDEX(Species_Type_1,MATCH($N842,Species_Names,0)),INDEX(Quick_Type,MATCH($O842,Quick_Names,0))=INDEX(Species_Type_2,MATCH($N842,Species_Names,0))),Game_STAB_Multiplier,1)))</f>
        <v>1</v>
      </c>
      <c r="V842" s="33">
        <f t="array" ref="V842">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842,Charge_Names,0))),Type_Species)),0),1)*IF(COUNTBLANK(Combo_Opponent_Type_2)=0,INDEX(Type_Damage_Multipliers,MATCH(Combo_Opponent_Type_2,IF(Type_Move=(INDEX(Charge_Type,MATCH($P842,Charge_Names,0))),Type_Species)),0),1)*
IF(OR(INDEX(Charge_Type,MATCH($P842,Charge_Names,0))=INDEX(Species_Type_1,MATCH($N842,Species_Names,0)),INDEX(Charge_Type,MATCH($P842,Charge_Names,0))=INDEX(Species_Type_2,MATCH($N842,Species_Names,0))),Game_STAB_Multiplier,1))</f>
        <v>1</v>
      </c>
      <c r="W842" s="33" t="s">
        <v>658</v>
      </c>
      <c r="X842" s="33" t="s">
        <v>809</v>
      </c>
      <c r="Y842" s="32" t="e">
        <f t="array" ref="Y842">((($Z842)*
INDEX(Species_Attack,MATCH($N842,Species_Names,0))*
INDEX(Species_Tankiness,MATCH($N842,Species_Names,0)))/1000)</f>
        <v>#VALUE!</v>
      </c>
      <c r="Z842" s="33" t="s">
        <v>755</v>
      </c>
    </row>
    <row r="843" spans="1:26" ht="14.25" customHeight="1" x14ac:dyDescent="0.2">
      <c r="A843" s="86"/>
      <c r="B843" s="22" t="str">
        <f t="array" ref="B843">CONCATENATE(TEXT($M843,"000"),".",TEXT(INDEX(Quick_Number,MATCH($O843,Quick_Names,0)),"000"),".",TEXT(INDEX(Charge_Number,MATCH($P843,Charge_Names,0)),"000"))</f>
        <v>050.216.026</v>
      </c>
      <c r="C843" s="23" t="e">
        <f t="array" ref="C843">RANK($S843,IF(Combo_Species_Names=$N843,Combo_Gym_Offense),0)</f>
        <v>#VALUE!</v>
      </c>
      <c r="D843" s="24" t="e">
        <f t="array" ref="D843">$S843/MAX(IF(Combo_Species_Names=$N843,Combo_Gym_Offense))</f>
        <v>#VALUE!</v>
      </c>
      <c r="E843" s="23" t="e">
        <f t="array" ref="E843">RANK($Y843,IF(Combo_Species_Names=$N843,Combo_Gym_Defense),0)</f>
        <v>#VALUE!</v>
      </c>
      <c r="F843" s="25" t="e">
        <f t="array" ref="F843">$Y843/MAX(IF(Combo_Species_Names=$N843,Combo_Gym_Defense))</f>
        <v>#VALUE!</v>
      </c>
      <c r="G843" s="23" t="str">
        <f t="array" ref="G843">IF(OR(INDEX(Species_Availability,MATCH($N843,Species_Names,0))="No",INDEX(Species_Evo_Numbers,MATCH($N843,Species_Names,0))&lt;&gt;1),"N/A",RANK($R843,IF(NOT(ISNA(MATCH(Combo_Species_Names,IF(Species_Availability="Yes",IF(Species_Evo_Numbers=1,Species_Names)),0))),Combo_Duel_Ability),0))</f>
        <v>N/A</v>
      </c>
      <c r="H843" s="24" t="str">
        <f t="array" ref="H843">IF(OR(INDEX(Species_Availability,MATCH($N843,Species_Names,0))="No",INDEX(Species_Evo_Numbers,MATCH($N843,Species_Names,0))&lt;&gt;1),"N/A",$R843/MAX(IF(NOT(ISNA(MATCH(Combo_Species_Names,IF(Species_Availability="Yes",IF(Species_Evo_Numbers=1,Species_Names)),0))),Combo_Duel_Ability)))</f>
        <v>N/A</v>
      </c>
      <c r="I843" s="23" t="str">
        <f t="array" ref="I843">IF(OR(INDEX(Species_Availability,MATCH($N843,Species_Names,0))="No",INDEX(Species_Evo_Numbers,MATCH($N843,Species_Names,0))&lt;&gt;1),"N/A",RANK($S843,IF(NOT(ISNA(MATCH(Combo_Species_Names,IF(Species_Availability="Yes",IF(Species_Evo_Numbers=1,Species_Names)),0))),Combo_Gym_Offense),0))</f>
        <v>N/A</v>
      </c>
      <c r="J843" s="24" t="str">
        <f t="array" ref="J843">IF(OR(INDEX(Species_Availability,MATCH($N843,Species_Names,0))="No",INDEX(Species_Evo_Numbers,MATCH($N843,Species_Names,0))&lt;&gt;1),"N/A",$S843/MAX(IF(NOT(ISNA(MATCH(Combo_Species_Names,IF(Species_Availability="Yes",IF(Species_Evo_Numbers=1,Species_Names)),0))),Combo_Gym_Offense)))</f>
        <v>N/A</v>
      </c>
      <c r="K843" s="23" t="str">
        <f t="array" ref="K843">IF(OR(INDEX(Species_Availability,MATCH($N843,Species_Names,0))="No",INDEX(Species_Evo_Numbers,MATCH($N843,Species_Names,0))&lt;&gt;1),"N/A",RANK($Y843,IF(NOT(ISNA(MATCH(Combo_Species_Names,IF(Species_Availability="Yes",IF(Species_Evo_Numbers=1,Species_Names)),0))),Combo_Gym_Defense),0))</f>
        <v>N/A</v>
      </c>
      <c r="L843" s="24" t="str">
        <f t="array" ref="L843">IF(OR(INDEX(Species_Availability,MATCH($N843,Species_Names,0))="No",INDEX(Species_Evo_Numbers,MATCH($N843,Species_Names,0))&lt;&gt;1),"N/A",$Y843/MAX(IF(NOT(ISNA(MATCH(Combo_Species_Names,IF(Species_Availability="Yes",IF(Species_Evo_Numbers=1,Species_Names)),0))),Combo_Gym_Defense)))</f>
        <v>N/A</v>
      </c>
      <c r="M843" s="28">
        <f t="array" ref="M843">INDEX(Species_Pdex_Numbers,MATCH($N843,Species_Names,0))</f>
        <v>50</v>
      </c>
      <c r="N843" s="30" t="s">
        <v>191</v>
      </c>
      <c r="O843" s="31" t="s">
        <v>89</v>
      </c>
      <c r="P843" s="31" t="s">
        <v>264</v>
      </c>
      <c r="Q843" s="17" t="e">
        <f t="shared" si="26"/>
        <v>#VALUE!</v>
      </c>
      <c r="R843" s="32" t="e">
        <f t="array" ref="R843">IF(OR(AND(COUNTBLANK(Combo_Opponent_Type_1)=1,COUNTBLANK(Combo_Opponent_Type_2)=0),AND(AND(COUNTBLANK(Combo_Opponent_Type_1)=0,COUNTBLANK(Combo_Opponent_Type_2)=0),Combo_Opponent_Type_1=Combo_Opponent_Type_2)),
"Check Types",($S843*INDEX(Species_Tankiness,MATCH($N843,Species_Names,0)))/225)</f>
        <v>#VALUE!</v>
      </c>
      <c r="S843" s="32" t="e">
        <f t="array" ref="S843">IF(OR(AND(COUNTBLANK(Combo_Opponent_Type_1)=1,COUNTBLANK(Combo_Opponent_Type_2)=0),AND(AND(COUNTBLANK(Combo_Opponent_Type_1)=0,COUNTBLANK(Combo_Opponent_Type_2)=0),Combo_Opponent_Type_1=Combo_Opponent_Type_2)),
"Check Types",(
IF($W843&gt;=((1-Game_Weave_Human_Error)*$X843),$W843,$X843)*INDEX(Species_Attack,MATCH($N843,Species_Names,0)))/11)</f>
        <v>#VALUE!</v>
      </c>
      <c r="T843" s="33" t="e">
        <f t="shared" si="27"/>
        <v>#VALUE!</v>
      </c>
      <c r="U843" s="33">
        <f t="array" ref="U8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843,Quick_Names,0))),Type_Species)),0),1)*IF(COUNTBLANK(Combo_Opponent_Type_2)=0,INDEX(Type_Damage_Multipliers,MATCH(Combo_Opponent_Type_2,IF(Type_Move=(INDEX(Quick_Type,MATCH($O843,Quick_Names,0))),Type_Species)),0),1)*(IF(OR(INDEX(Quick_Type,MATCH($O843,Quick_Names,0))=INDEX(Species_Type_1,MATCH($N843,Species_Names,0)),INDEX(Quick_Type,MATCH($O843,Quick_Names,0))=INDEX(Species_Type_2,MATCH($N843,Species_Names,0))),Game_STAB_Multiplier,1)))</f>
        <v>1.25</v>
      </c>
      <c r="V843" s="33">
        <f t="array" ref="V843">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843,Charge_Names,0))),Type_Species)),0),1)*IF(COUNTBLANK(Combo_Opponent_Type_2)=0,INDEX(Type_Damage_Multipliers,MATCH(Combo_Opponent_Type_2,IF(Type_Move=(INDEX(Charge_Type,MATCH($P843,Charge_Names,0))),Type_Species)),0),1)*
IF(OR(INDEX(Charge_Type,MATCH($P843,Charge_Names,0))=INDEX(Species_Type_1,MATCH($N843,Species_Names,0)),INDEX(Charge_Type,MATCH($P843,Charge_Names,0))=INDEX(Species_Type_2,MATCH($N843,Species_Names,0))),Game_STAB_Multiplier,1))</f>
        <v>1.25</v>
      </c>
      <c r="W843" s="33" t="s">
        <v>496</v>
      </c>
      <c r="X843" s="33" t="s">
        <v>962</v>
      </c>
      <c r="Y843" s="32" t="e">
        <f t="array" ref="Y843">((($Z843)*
INDEX(Species_Attack,MATCH($N843,Species_Names,0))*
INDEX(Species_Tankiness,MATCH($N843,Species_Names,0)))/1000)</f>
        <v>#VALUE!</v>
      </c>
      <c r="Z843" s="33" t="s">
        <v>447</v>
      </c>
    </row>
    <row r="844" spans="1:26" ht="14.25" customHeight="1" x14ac:dyDescent="0.2">
      <c r="A844" s="86"/>
      <c r="B844" s="22" t="str">
        <f t="array" ref="B844">CONCATENATE(TEXT($M844,"000"),".",TEXT(INDEX(Quick_Number,MATCH($O844,Quick_Names,0)),"000"),".",TEXT(INDEX(Charge_Number,MATCH($P844,Charge_Names,0)),"000"))</f>
        <v>050.216.096</v>
      </c>
      <c r="C844" s="23" t="e">
        <f t="array" ref="C844">RANK($S844,IF(Combo_Species_Names=$N844,Combo_Gym_Offense),0)</f>
        <v>#VALUE!</v>
      </c>
      <c r="D844" s="24" t="e">
        <f t="array" ref="D844">$S844/MAX(IF(Combo_Species_Names=$N844,Combo_Gym_Offense))</f>
        <v>#VALUE!</v>
      </c>
      <c r="E844" s="23" t="e">
        <f t="array" ref="E844">RANK($Y844,IF(Combo_Species_Names=$N844,Combo_Gym_Defense),0)</f>
        <v>#VALUE!</v>
      </c>
      <c r="F844" s="25" t="e">
        <f t="array" ref="F844">$Y844/MAX(IF(Combo_Species_Names=$N844,Combo_Gym_Defense))</f>
        <v>#VALUE!</v>
      </c>
      <c r="G844" s="23" t="str">
        <f t="array" ref="G844">IF(OR(INDEX(Species_Availability,MATCH($N844,Species_Names,0))="No",INDEX(Species_Evo_Numbers,MATCH($N844,Species_Names,0))&lt;&gt;1),"N/A",RANK($R844,IF(NOT(ISNA(MATCH(Combo_Species_Names,IF(Species_Availability="Yes",IF(Species_Evo_Numbers=1,Species_Names)),0))),Combo_Duel_Ability),0))</f>
        <v>N/A</v>
      </c>
      <c r="H844" s="24" t="str">
        <f t="array" ref="H844">IF(OR(INDEX(Species_Availability,MATCH($N844,Species_Names,0))="No",INDEX(Species_Evo_Numbers,MATCH($N844,Species_Names,0))&lt;&gt;1),"N/A",$R844/MAX(IF(NOT(ISNA(MATCH(Combo_Species_Names,IF(Species_Availability="Yes",IF(Species_Evo_Numbers=1,Species_Names)),0))),Combo_Duel_Ability)))</f>
        <v>N/A</v>
      </c>
      <c r="I844" s="23" t="str">
        <f t="array" ref="I844">IF(OR(INDEX(Species_Availability,MATCH($N844,Species_Names,0))="No",INDEX(Species_Evo_Numbers,MATCH($N844,Species_Names,0))&lt;&gt;1),"N/A",RANK($S844,IF(NOT(ISNA(MATCH(Combo_Species_Names,IF(Species_Availability="Yes",IF(Species_Evo_Numbers=1,Species_Names)),0))),Combo_Gym_Offense),0))</f>
        <v>N/A</v>
      </c>
      <c r="J844" s="24" t="str">
        <f t="array" ref="J844">IF(OR(INDEX(Species_Availability,MATCH($N844,Species_Names,0))="No",INDEX(Species_Evo_Numbers,MATCH($N844,Species_Names,0))&lt;&gt;1),"N/A",$S844/MAX(IF(NOT(ISNA(MATCH(Combo_Species_Names,IF(Species_Availability="Yes",IF(Species_Evo_Numbers=1,Species_Names)),0))),Combo_Gym_Offense)))</f>
        <v>N/A</v>
      </c>
      <c r="K844" s="23" t="str">
        <f t="array" ref="K844">IF(OR(INDEX(Species_Availability,MATCH($N844,Species_Names,0))="No",INDEX(Species_Evo_Numbers,MATCH($N844,Species_Names,0))&lt;&gt;1),"N/A",RANK($Y844,IF(NOT(ISNA(MATCH(Combo_Species_Names,IF(Species_Availability="Yes",IF(Species_Evo_Numbers=1,Species_Names)),0))),Combo_Gym_Defense),0))</f>
        <v>N/A</v>
      </c>
      <c r="L844" s="24" t="str">
        <f t="array" ref="L844">IF(OR(INDEX(Species_Availability,MATCH($N844,Species_Names,0))="No",INDEX(Species_Evo_Numbers,MATCH($N844,Species_Names,0))&lt;&gt;1),"N/A",$Y844/MAX(IF(NOT(ISNA(MATCH(Combo_Species_Names,IF(Species_Availability="Yes",IF(Species_Evo_Numbers=1,Species_Names)),0))),Combo_Gym_Defense)))</f>
        <v>N/A</v>
      </c>
      <c r="M844" s="28">
        <f t="array" ref="M844">INDEX(Species_Pdex_Numbers,MATCH($N844,Species_Names,0))</f>
        <v>50</v>
      </c>
      <c r="N844" s="30" t="s">
        <v>191</v>
      </c>
      <c r="O844" s="31" t="s">
        <v>89</v>
      </c>
      <c r="P844" s="31" t="s">
        <v>271</v>
      </c>
      <c r="Q844" s="17" t="e">
        <f t="shared" si="26"/>
        <v>#VALUE!</v>
      </c>
      <c r="R844" s="32" t="e">
        <f t="array" ref="R844">IF(OR(AND(COUNTBLANK(Combo_Opponent_Type_1)=1,COUNTBLANK(Combo_Opponent_Type_2)=0),AND(AND(COUNTBLANK(Combo_Opponent_Type_1)=0,COUNTBLANK(Combo_Opponent_Type_2)=0),Combo_Opponent_Type_1=Combo_Opponent_Type_2)),
"Check Types",($S844*INDEX(Species_Tankiness,MATCH($N844,Species_Names,0)))/225)</f>
        <v>#VALUE!</v>
      </c>
      <c r="S844" s="32" t="e">
        <f t="array" ref="S844">IF(OR(AND(COUNTBLANK(Combo_Opponent_Type_1)=1,COUNTBLANK(Combo_Opponent_Type_2)=0),AND(AND(COUNTBLANK(Combo_Opponent_Type_1)=0,COUNTBLANK(Combo_Opponent_Type_2)=0),Combo_Opponent_Type_1=Combo_Opponent_Type_2)),
"Check Types",(
IF($W844&gt;=((1-Game_Weave_Human_Error)*$X844),$W844,$X844)*INDEX(Species_Attack,MATCH($N844,Species_Names,0)))/11)</f>
        <v>#VALUE!</v>
      </c>
      <c r="T844" s="33" t="e">
        <f t="shared" si="27"/>
        <v>#VALUE!</v>
      </c>
      <c r="U844" s="33">
        <f t="array" ref="U8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844,Quick_Names,0))),Type_Species)),0),1)*IF(COUNTBLANK(Combo_Opponent_Type_2)=0,INDEX(Type_Damage_Multipliers,MATCH(Combo_Opponent_Type_2,IF(Type_Move=(INDEX(Quick_Type,MATCH($O844,Quick_Names,0))),Type_Species)),0),1)*(IF(OR(INDEX(Quick_Type,MATCH($O844,Quick_Names,0))=INDEX(Species_Type_1,MATCH($N844,Species_Names,0)),INDEX(Quick_Type,MATCH($O844,Quick_Names,0))=INDEX(Species_Type_2,MATCH($N844,Species_Names,0))),Game_STAB_Multiplier,1)))</f>
        <v>1.25</v>
      </c>
      <c r="V844" s="33">
        <f t="array" ref="V844">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844,Charge_Names,0))),Type_Species)),0),1)*IF(COUNTBLANK(Combo_Opponent_Type_2)=0,INDEX(Type_Damage_Multipliers,MATCH(Combo_Opponent_Type_2,IF(Type_Move=(INDEX(Charge_Type,MATCH($P844,Charge_Names,0))),Type_Species)),0),1)*
IF(OR(INDEX(Charge_Type,MATCH($P844,Charge_Names,0))=INDEX(Species_Type_1,MATCH($N844,Species_Names,0)),INDEX(Charge_Type,MATCH($P844,Charge_Names,0))=INDEX(Species_Type_2,MATCH($N844,Species_Names,0))),Game_STAB_Multiplier,1))</f>
        <v>1.25</v>
      </c>
      <c r="W844" s="33" t="s">
        <v>496</v>
      </c>
      <c r="X844" s="33" t="s">
        <v>927</v>
      </c>
      <c r="Y844" s="32" t="e">
        <f t="array" ref="Y844">((($Z844)*
INDEX(Species_Attack,MATCH($N844,Species_Names,0))*
INDEX(Species_Tankiness,MATCH($N844,Species_Names,0)))/1000)</f>
        <v>#VALUE!</v>
      </c>
      <c r="Z844" s="33" t="s">
        <v>928</v>
      </c>
    </row>
    <row r="845" spans="1:26" ht="14.25" customHeight="1" x14ac:dyDescent="0.2">
      <c r="A845" s="86"/>
      <c r="B845" s="22" t="str">
        <f t="array" ref="B845">CONCATENATE(TEXT($M845,"000"),".",TEXT(INDEX(Quick_Number,MATCH($O845,Quick_Names,0)),"000"),".",TEXT(INDEX(Charge_Number,MATCH($P845,Charge_Names,0)),"000"))</f>
        <v>050.216.063</v>
      </c>
      <c r="C845" s="23" t="e">
        <f t="array" ref="C845">RANK($S845,IF(Combo_Species_Names=$N845,Combo_Gym_Offense),0)</f>
        <v>#VALUE!</v>
      </c>
      <c r="D845" s="24" t="e">
        <f t="array" ref="D845">$S845/MAX(IF(Combo_Species_Names=$N845,Combo_Gym_Offense))</f>
        <v>#VALUE!</v>
      </c>
      <c r="E845" s="23" t="e">
        <f t="array" ref="E845">RANK($Y845,IF(Combo_Species_Names=$N845,Combo_Gym_Defense),0)</f>
        <v>#VALUE!</v>
      </c>
      <c r="F845" s="25" t="e">
        <f t="array" ref="F845">$Y845/MAX(IF(Combo_Species_Names=$N845,Combo_Gym_Defense))</f>
        <v>#VALUE!</v>
      </c>
      <c r="G845" s="23" t="str">
        <f t="array" ref="G845">IF(OR(INDEX(Species_Availability,MATCH($N845,Species_Names,0))="No",INDEX(Species_Evo_Numbers,MATCH($N845,Species_Names,0))&lt;&gt;1),"N/A",RANK($R845,IF(NOT(ISNA(MATCH(Combo_Species_Names,IF(Species_Availability="Yes",IF(Species_Evo_Numbers=1,Species_Names)),0))),Combo_Duel_Ability),0))</f>
        <v>N/A</v>
      </c>
      <c r="H845" s="24" t="str">
        <f t="array" ref="H845">IF(OR(INDEX(Species_Availability,MATCH($N845,Species_Names,0))="No",INDEX(Species_Evo_Numbers,MATCH($N845,Species_Names,0))&lt;&gt;1),"N/A",$R845/MAX(IF(NOT(ISNA(MATCH(Combo_Species_Names,IF(Species_Availability="Yes",IF(Species_Evo_Numbers=1,Species_Names)),0))),Combo_Duel_Ability)))</f>
        <v>N/A</v>
      </c>
      <c r="I845" s="23" t="str">
        <f t="array" ref="I845">IF(OR(INDEX(Species_Availability,MATCH($N845,Species_Names,0))="No",INDEX(Species_Evo_Numbers,MATCH($N845,Species_Names,0))&lt;&gt;1),"N/A",RANK($S845,IF(NOT(ISNA(MATCH(Combo_Species_Names,IF(Species_Availability="Yes",IF(Species_Evo_Numbers=1,Species_Names)),0))),Combo_Gym_Offense),0))</f>
        <v>N/A</v>
      </c>
      <c r="J845" s="24" t="str">
        <f t="array" ref="J845">IF(OR(INDEX(Species_Availability,MATCH($N845,Species_Names,0))="No",INDEX(Species_Evo_Numbers,MATCH($N845,Species_Names,0))&lt;&gt;1),"N/A",$S845/MAX(IF(NOT(ISNA(MATCH(Combo_Species_Names,IF(Species_Availability="Yes",IF(Species_Evo_Numbers=1,Species_Names)),0))),Combo_Gym_Offense)))</f>
        <v>N/A</v>
      </c>
      <c r="K845" s="23" t="str">
        <f t="array" ref="K845">IF(OR(INDEX(Species_Availability,MATCH($N845,Species_Names,0))="No",INDEX(Species_Evo_Numbers,MATCH($N845,Species_Names,0))&lt;&gt;1),"N/A",RANK($Y845,IF(NOT(ISNA(MATCH(Combo_Species_Names,IF(Species_Availability="Yes",IF(Species_Evo_Numbers=1,Species_Names)),0))),Combo_Gym_Defense),0))</f>
        <v>N/A</v>
      </c>
      <c r="L845" s="24" t="str">
        <f t="array" ref="L845">IF(OR(INDEX(Species_Availability,MATCH($N845,Species_Names,0))="No",INDEX(Species_Evo_Numbers,MATCH($N845,Species_Names,0))&lt;&gt;1),"N/A",$Y845/MAX(IF(NOT(ISNA(MATCH(Combo_Species_Names,IF(Species_Availability="Yes",IF(Species_Evo_Numbers=1,Species_Names)),0))),Combo_Gym_Defense)))</f>
        <v>N/A</v>
      </c>
      <c r="M845" s="28">
        <f t="array" ref="M845">INDEX(Species_Pdex_Numbers,MATCH($N845,Species_Names,0))</f>
        <v>50</v>
      </c>
      <c r="N845" s="30" t="s">
        <v>191</v>
      </c>
      <c r="O845" s="31" t="s">
        <v>89</v>
      </c>
      <c r="P845" s="31" t="s">
        <v>299</v>
      </c>
      <c r="Q845" s="17" t="e">
        <f t="shared" si="26"/>
        <v>#VALUE!</v>
      </c>
      <c r="R845" s="32" t="e">
        <f t="array" ref="R845">IF(OR(AND(COUNTBLANK(Combo_Opponent_Type_1)=1,COUNTBLANK(Combo_Opponent_Type_2)=0),AND(AND(COUNTBLANK(Combo_Opponent_Type_1)=0,COUNTBLANK(Combo_Opponent_Type_2)=0),Combo_Opponent_Type_1=Combo_Opponent_Type_2)),
"Check Types",($S845*INDEX(Species_Tankiness,MATCH($N845,Species_Names,0)))/225)</f>
        <v>#VALUE!</v>
      </c>
      <c r="S845" s="32" t="e">
        <f t="array" ref="S845">IF(OR(AND(COUNTBLANK(Combo_Opponent_Type_1)=1,COUNTBLANK(Combo_Opponent_Type_2)=0),AND(AND(COUNTBLANK(Combo_Opponent_Type_1)=0,COUNTBLANK(Combo_Opponent_Type_2)=0),Combo_Opponent_Type_1=Combo_Opponent_Type_2)),
"Check Types",(
IF($W845&gt;=((1-Game_Weave_Human_Error)*$X845),$W845,$X845)*INDEX(Species_Attack,MATCH($N845,Species_Names,0)))/11)</f>
        <v>#VALUE!</v>
      </c>
      <c r="T845" s="33" t="e">
        <f t="shared" si="27"/>
        <v>#VALUE!</v>
      </c>
      <c r="U845" s="33">
        <f t="array" ref="U8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845,Quick_Names,0))),Type_Species)),0),1)*IF(COUNTBLANK(Combo_Opponent_Type_2)=0,INDEX(Type_Damage_Multipliers,MATCH(Combo_Opponent_Type_2,IF(Type_Move=(INDEX(Quick_Type,MATCH($O845,Quick_Names,0))),Type_Species)),0),1)*(IF(OR(INDEX(Quick_Type,MATCH($O845,Quick_Names,0))=INDEX(Species_Type_1,MATCH($N845,Species_Names,0)),INDEX(Quick_Type,MATCH($O845,Quick_Names,0))=INDEX(Species_Type_2,MATCH($N845,Species_Names,0))),Game_STAB_Multiplier,1)))</f>
        <v>1.25</v>
      </c>
      <c r="V845" s="33">
        <f t="array" ref="V845">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845,Charge_Names,0))),Type_Species)),0),1)*IF(COUNTBLANK(Combo_Opponent_Type_2)=0,INDEX(Type_Damage_Multipliers,MATCH(Combo_Opponent_Type_2,IF(Type_Move=(INDEX(Charge_Type,MATCH($P845,Charge_Names,0))),Type_Species)),0),1)*
IF(OR(INDEX(Charge_Type,MATCH($P845,Charge_Names,0))=INDEX(Species_Type_1,MATCH($N845,Species_Names,0)),INDEX(Charge_Type,MATCH($P845,Charge_Names,0))=INDEX(Species_Type_2,MATCH($N845,Species_Names,0))),Game_STAB_Multiplier,1))</f>
        <v>1</v>
      </c>
      <c r="W845" s="33" t="s">
        <v>496</v>
      </c>
      <c r="X845" s="33" t="s">
        <v>577</v>
      </c>
      <c r="Y845" s="32" t="e">
        <f t="array" ref="Y845">((($Z845)*
INDEX(Species_Attack,MATCH($N845,Species_Names,0))*
INDEX(Species_Tankiness,MATCH($N845,Species_Names,0)))/1000)</f>
        <v>#VALUE!</v>
      </c>
      <c r="Z845" s="33" t="s">
        <v>735</v>
      </c>
    </row>
    <row r="846" spans="1:26" ht="14.25" customHeight="1" x14ac:dyDescent="0.2">
      <c r="A846" s="86"/>
      <c r="B846" s="22" t="str">
        <f t="array" ref="B846">CONCATENATE(TEXT($M846,"000"),".",TEXT(INDEX(Quick_Number,MATCH($O846,Quick_Names,0)),"000"),".",TEXT(INDEX(Charge_Number,MATCH($P846,Charge_Names,0)),"000"))</f>
        <v>050.220.026</v>
      </c>
      <c r="C846" s="23" t="e">
        <f t="array" ref="C846">RANK($S846,IF(Combo_Species_Names=$N846,Combo_Gym_Offense),0)</f>
        <v>#VALUE!</v>
      </c>
      <c r="D846" s="24" t="e">
        <f t="array" ref="D846">$S846/MAX(IF(Combo_Species_Names=$N846,Combo_Gym_Offense))</f>
        <v>#VALUE!</v>
      </c>
      <c r="E846" s="23" t="e">
        <f t="array" ref="E846">RANK($Y846,IF(Combo_Species_Names=$N846,Combo_Gym_Defense),0)</f>
        <v>#VALUE!</v>
      </c>
      <c r="F846" s="25" t="e">
        <f t="array" ref="F846">$Y846/MAX(IF(Combo_Species_Names=$N846,Combo_Gym_Defense))</f>
        <v>#VALUE!</v>
      </c>
      <c r="G846" s="23" t="str">
        <f t="array" ref="G846">IF(OR(INDEX(Species_Availability,MATCH($N846,Species_Names,0))="No",INDEX(Species_Evo_Numbers,MATCH($N846,Species_Names,0))&lt;&gt;1),"N/A",RANK($R846,IF(NOT(ISNA(MATCH(Combo_Species_Names,IF(Species_Availability="Yes",IF(Species_Evo_Numbers=1,Species_Names)),0))),Combo_Duel_Ability),0))</f>
        <v>N/A</v>
      </c>
      <c r="H846" s="24" t="str">
        <f t="array" ref="H846">IF(OR(INDEX(Species_Availability,MATCH($N846,Species_Names,0))="No",INDEX(Species_Evo_Numbers,MATCH($N846,Species_Names,0))&lt;&gt;1),"N/A",$R846/MAX(IF(NOT(ISNA(MATCH(Combo_Species_Names,IF(Species_Availability="Yes",IF(Species_Evo_Numbers=1,Species_Names)),0))),Combo_Duel_Ability)))</f>
        <v>N/A</v>
      </c>
      <c r="I846" s="23" t="str">
        <f t="array" ref="I846">IF(OR(INDEX(Species_Availability,MATCH($N846,Species_Names,0))="No",INDEX(Species_Evo_Numbers,MATCH($N846,Species_Names,0))&lt;&gt;1),"N/A",RANK($S846,IF(NOT(ISNA(MATCH(Combo_Species_Names,IF(Species_Availability="Yes",IF(Species_Evo_Numbers=1,Species_Names)),0))),Combo_Gym_Offense),0))</f>
        <v>N/A</v>
      </c>
      <c r="J846" s="24" t="str">
        <f t="array" ref="J846">IF(OR(INDEX(Species_Availability,MATCH($N846,Species_Names,0))="No",INDEX(Species_Evo_Numbers,MATCH($N846,Species_Names,0))&lt;&gt;1),"N/A",$S846/MAX(IF(NOT(ISNA(MATCH(Combo_Species_Names,IF(Species_Availability="Yes",IF(Species_Evo_Numbers=1,Species_Names)),0))),Combo_Gym_Offense)))</f>
        <v>N/A</v>
      </c>
      <c r="K846" s="23" t="str">
        <f t="array" ref="K846">IF(OR(INDEX(Species_Availability,MATCH($N846,Species_Names,0))="No",INDEX(Species_Evo_Numbers,MATCH($N846,Species_Names,0))&lt;&gt;1),"N/A",RANK($Y846,IF(NOT(ISNA(MATCH(Combo_Species_Names,IF(Species_Availability="Yes",IF(Species_Evo_Numbers=1,Species_Names)),0))),Combo_Gym_Defense),0))</f>
        <v>N/A</v>
      </c>
      <c r="L846" s="24" t="str">
        <f t="array" ref="L846">IF(OR(INDEX(Species_Availability,MATCH($N846,Species_Names,0))="No",INDEX(Species_Evo_Numbers,MATCH($N846,Species_Names,0))&lt;&gt;1),"N/A",$Y846/MAX(IF(NOT(ISNA(MATCH(Combo_Species_Names,IF(Species_Availability="Yes",IF(Species_Evo_Numbers=1,Species_Names)),0))),Combo_Gym_Defense)))</f>
        <v>N/A</v>
      </c>
      <c r="M846" s="28">
        <f t="array" ref="M846">INDEX(Species_Pdex_Numbers,MATCH($N846,Species_Names,0))</f>
        <v>50</v>
      </c>
      <c r="N846" s="30" t="s">
        <v>191</v>
      </c>
      <c r="O846" s="31" t="s">
        <v>64</v>
      </c>
      <c r="P846" s="31" t="s">
        <v>264</v>
      </c>
      <c r="Q846" s="17" t="e">
        <f t="shared" si="26"/>
        <v>#VALUE!</v>
      </c>
      <c r="R846" s="32" t="e">
        <f t="array" ref="R846">IF(OR(AND(COUNTBLANK(Combo_Opponent_Type_1)=1,COUNTBLANK(Combo_Opponent_Type_2)=0),AND(AND(COUNTBLANK(Combo_Opponent_Type_1)=0,COUNTBLANK(Combo_Opponent_Type_2)=0),Combo_Opponent_Type_1=Combo_Opponent_Type_2)),
"Check Types",($S846*INDEX(Species_Tankiness,MATCH($N846,Species_Names,0)))/225)</f>
        <v>#VALUE!</v>
      </c>
      <c r="S846" s="32" t="e">
        <f t="array" ref="S846">IF(OR(AND(COUNTBLANK(Combo_Opponent_Type_1)=1,COUNTBLANK(Combo_Opponent_Type_2)=0),AND(AND(COUNTBLANK(Combo_Opponent_Type_1)=0,COUNTBLANK(Combo_Opponent_Type_2)=0),Combo_Opponent_Type_1=Combo_Opponent_Type_2)),
"Check Types",(
IF($W846&gt;=((1-Game_Weave_Human_Error)*$X846),$W846,$X846)*INDEX(Species_Attack,MATCH($N846,Species_Names,0)))/11)</f>
        <v>#VALUE!</v>
      </c>
      <c r="T846" s="33" t="e">
        <f t="shared" si="27"/>
        <v>#VALUE!</v>
      </c>
      <c r="U846" s="33">
        <f t="array" ref="U8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846,Quick_Names,0))),Type_Species)),0),1)*IF(COUNTBLANK(Combo_Opponent_Type_2)=0,INDEX(Type_Damage_Multipliers,MATCH(Combo_Opponent_Type_2,IF(Type_Move=(INDEX(Quick_Type,MATCH($O846,Quick_Names,0))),Type_Species)),0),1)*(IF(OR(INDEX(Quick_Type,MATCH($O846,Quick_Names,0))=INDEX(Species_Type_1,MATCH($N846,Species_Names,0)),INDEX(Quick_Type,MATCH($O846,Quick_Names,0))=INDEX(Species_Type_2,MATCH($N846,Species_Names,0))),Game_STAB_Multiplier,1)))</f>
        <v>1</v>
      </c>
      <c r="V846" s="33">
        <f t="array" ref="V846">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846,Charge_Names,0))),Type_Species)),0),1)*IF(COUNTBLANK(Combo_Opponent_Type_2)=0,INDEX(Type_Damage_Multipliers,MATCH(Combo_Opponent_Type_2,IF(Type_Move=(INDEX(Charge_Type,MATCH($P846,Charge_Names,0))),Type_Species)),0),1)*
IF(OR(INDEX(Charge_Type,MATCH($P846,Charge_Names,0))=INDEX(Species_Type_1,MATCH($N846,Species_Names,0)),INDEX(Charge_Type,MATCH($P846,Charge_Names,0))=INDEX(Species_Type_2,MATCH($N846,Species_Names,0))),Game_STAB_Multiplier,1))</f>
        <v>1.25</v>
      </c>
      <c r="W846" s="33" t="s">
        <v>453</v>
      </c>
      <c r="X846" s="33" t="s">
        <v>661</v>
      </c>
      <c r="Y846" s="32" t="e">
        <f t="array" ref="Y846">((($Z846)*
INDEX(Species_Attack,MATCH($N846,Species_Names,0))*
INDEX(Species_Tankiness,MATCH($N846,Species_Names,0)))/1000)</f>
        <v>#VALUE!</v>
      </c>
      <c r="Z846" s="33" t="s">
        <v>433</v>
      </c>
    </row>
    <row r="847" spans="1:26" ht="14.25" customHeight="1" x14ac:dyDescent="0.2">
      <c r="A847" s="86"/>
      <c r="B847" s="22" t="str">
        <f t="array" ref="B847">CONCATENATE(TEXT($M847,"000"),".",TEXT(INDEX(Quick_Number,MATCH($O847,Quick_Names,0)),"000"),".",TEXT(INDEX(Charge_Number,MATCH($P847,Charge_Names,0)),"000"))</f>
        <v>050.220.096</v>
      </c>
      <c r="C847" s="23" t="e">
        <f t="array" ref="C847">RANK($S847,IF(Combo_Species_Names=$N847,Combo_Gym_Offense),0)</f>
        <v>#VALUE!</v>
      </c>
      <c r="D847" s="24" t="e">
        <f t="array" ref="D847">$S847/MAX(IF(Combo_Species_Names=$N847,Combo_Gym_Offense))</f>
        <v>#VALUE!</v>
      </c>
      <c r="E847" s="23" t="e">
        <f t="array" ref="E847">RANK($Y847,IF(Combo_Species_Names=$N847,Combo_Gym_Defense),0)</f>
        <v>#VALUE!</v>
      </c>
      <c r="F847" s="25" t="e">
        <f t="array" ref="F847">$Y847/MAX(IF(Combo_Species_Names=$N847,Combo_Gym_Defense))</f>
        <v>#VALUE!</v>
      </c>
      <c r="G847" s="23" t="str">
        <f t="array" ref="G847">IF(OR(INDEX(Species_Availability,MATCH($N847,Species_Names,0))="No",INDEX(Species_Evo_Numbers,MATCH($N847,Species_Names,0))&lt;&gt;1),"N/A",RANK($R847,IF(NOT(ISNA(MATCH(Combo_Species_Names,IF(Species_Availability="Yes",IF(Species_Evo_Numbers=1,Species_Names)),0))),Combo_Duel_Ability),0))</f>
        <v>N/A</v>
      </c>
      <c r="H847" s="24" t="str">
        <f t="array" ref="H847">IF(OR(INDEX(Species_Availability,MATCH($N847,Species_Names,0))="No",INDEX(Species_Evo_Numbers,MATCH($N847,Species_Names,0))&lt;&gt;1),"N/A",$R847/MAX(IF(NOT(ISNA(MATCH(Combo_Species_Names,IF(Species_Availability="Yes",IF(Species_Evo_Numbers=1,Species_Names)),0))),Combo_Duel_Ability)))</f>
        <v>N/A</v>
      </c>
      <c r="I847" s="23" t="str">
        <f t="array" ref="I847">IF(OR(INDEX(Species_Availability,MATCH($N847,Species_Names,0))="No",INDEX(Species_Evo_Numbers,MATCH($N847,Species_Names,0))&lt;&gt;1),"N/A",RANK($S847,IF(NOT(ISNA(MATCH(Combo_Species_Names,IF(Species_Availability="Yes",IF(Species_Evo_Numbers=1,Species_Names)),0))),Combo_Gym_Offense),0))</f>
        <v>N/A</v>
      </c>
      <c r="J847" s="24" t="str">
        <f t="array" ref="J847">IF(OR(INDEX(Species_Availability,MATCH($N847,Species_Names,0))="No",INDEX(Species_Evo_Numbers,MATCH($N847,Species_Names,0))&lt;&gt;1),"N/A",$S847/MAX(IF(NOT(ISNA(MATCH(Combo_Species_Names,IF(Species_Availability="Yes",IF(Species_Evo_Numbers=1,Species_Names)),0))),Combo_Gym_Offense)))</f>
        <v>N/A</v>
      </c>
      <c r="K847" s="23" t="str">
        <f t="array" ref="K847">IF(OR(INDEX(Species_Availability,MATCH($N847,Species_Names,0))="No",INDEX(Species_Evo_Numbers,MATCH($N847,Species_Names,0))&lt;&gt;1),"N/A",RANK($Y847,IF(NOT(ISNA(MATCH(Combo_Species_Names,IF(Species_Availability="Yes",IF(Species_Evo_Numbers=1,Species_Names)),0))),Combo_Gym_Defense),0))</f>
        <v>N/A</v>
      </c>
      <c r="L847" s="24" t="str">
        <f t="array" ref="L847">IF(OR(INDEX(Species_Availability,MATCH($N847,Species_Names,0))="No",INDEX(Species_Evo_Numbers,MATCH($N847,Species_Names,0))&lt;&gt;1),"N/A",$Y847/MAX(IF(NOT(ISNA(MATCH(Combo_Species_Names,IF(Species_Availability="Yes",IF(Species_Evo_Numbers=1,Species_Names)),0))),Combo_Gym_Defense)))</f>
        <v>N/A</v>
      </c>
      <c r="M847" s="28">
        <f t="array" ref="M847">INDEX(Species_Pdex_Numbers,MATCH($N847,Species_Names,0))</f>
        <v>50</v>
      </c>
      <c r="N847" s="30" t="s">
        <v>191</v>
      </c>
      <c r="O847" s="31" t="s">
        <v>64</v>
      </c>
      <c r="P847" s="31" t="s">
        <v>271</v>
      </c>
      <c r="Q847" s="17" t="e">
        <f t="shared" si="26"/>
        <v>#VALUE!</v>
      </c>
      <c r="R847" s="32" t="e">
        <f t="array" ref="R847">IF(OR(AND(COUNTBLANK(Combo_Opponent_Type_1)=1,COUNTBLANK(Combo_Opponent_Type_2)=0),AND(AND(COUNTBLANK(Combo_Opponent_Type_1)=0,COUNTBLANK(Combo_Opponent_Type_2)=0),Combo_Opponent_Type_1=Combo_Opponent_Type_2)),
"Check Types",($S847*INDEX(Species_Tankiness,MATCH($N847,Species_Names,0)))/225)</f>
        <v>#VALUE!</v>
      </c>
      <c r="S847" s="32" t="e">
        <f t="array" ref="S847">IF(OR(AND(COUNTBLANK(Combo_Opponent_Type_1)=1,COUNTBLANK(Combo_Opponent_Type_2)=0),AND(AND(COUNTBLANK(Combo_Opponent_Type_1)=0,COUNTBLANK(Combo_Opponent_Type_2)=0),Combo_Opponent_Type_1=Combo_Opponent_Type_2)),
"Check Types",(
IF($W847&gt;=((1-Game_Weave_Human_Error)*$X847),$W847,$X847)*INDEX(Species_Attack,MATCH($N847,Species_Names,0)))/11)</f>
        <v>#VALUE!</v>
      </c>
      <c r="T847" s="33" t="e">
        <f t="shared" si="27"/>
        <v>#VALUE!</v>
      </c>
      <c r="U847" s="33">
        <f t="array" ref="U8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847,Quick_Names,0))),Type_Species)),0),1)*IF(COUNTBLANK(Combo_Opponent_Type_2)=0,INDEX(Type_Damage_Multipliers,MATCH(Combo_Opponent_Type_2,IF(Type_Move=(INDEX(Quick_Type,MATCH($O847,Quick_Names,0))),Type_Species)),0),1)*(IF(OR(INDEX(Quick_Type,MATCH($O847,Quick_Names,0))=INDEX(Species_Type_1,MATCH($N847,Species_Names,0)),INDEX(Quick_Type,MATCH($O847,Quick_Names,0))=INDEX(Species_Type_2,MATCH($N847,Species_Names,0))),Game_STAB_Multiplier,1)))</f>
        <v>1</v>
      </c>
      <c r="V847" s="33">
        <f t="array" ref="V847">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847,Charge_Names,0))),Type_Species)),0),1)*IF(COUNTBLANK(Combo_Opponent_Type_2)=0,INDEX(Type_Damage_Multipliers,MATCH(Combo_Opponent_Type_2,IF(Type_Move=(INDEX(Charge_Type,MATCH($P847,Charge_Names,0))),Type_Species)),0),1)*
IF(OR(INDEX(Charge_Type,MATCH($P847,Charge_Names,0))=INDEX(Species_Type_1,MATCH($N847,Species_Names,0)),INDEX(Charge_Type,MATCH($P847,Charge_Names,0))=INDEX(Species_Type_2,MATCH($N847,Species_Names,0))),Game_STAB_Multiplier,1))</f>
        <v>1.25</v>
      </c>
      <c r="W847" s="33" t="s">
        <v>453</v>
      </c>
      <c r="X847" s="33" t="s">
        <v>871</v>
      </c>
      <c r="Y847" s="32" t="e">
        <f t="array" ref="Y847">((($Z847)*
INDEX(Species_Attack,MATCH($N847,Species_Names,0))*
INDEX(Species_Tankiness,MATCH($N847,Species_Names,0)))/1000)</f>
        <v>#VALUE!</v>
      </c>
      <c r="Z847" s="33" t="s">
        <v>1104</v>
      </c>
    </row>
    <row r="848" spans="1:26" ht="14.25" customHeight="1" x14ac:dyDescent="0.2">
      <c r="A848" s="86"/>
      <c r="B848" s="22" t="str">
        <f t="array" ref="B848">CONCATENATE(TEXT($M848,"000"),".",TEXT(INDEX(Quick_Number,MATCH($O848,Quick_Names,0)),"000"),".",TEXT(INDEX(Charge_Number,MATCH($P848,Charge_Names,0)),"000"))</f>
        <v>050.220.063</v>
      </c>
      <c r="C848" s="23" t="e">
        <f t="array" ref="C848">RANK($S848,IF(Combo_Species_Names=$N848,Combo_Gym_Offense),0)</f>
        <v>#VALUE!</v>
      </c>
      <c r="D848" s="24" t="e">
        <f t="array" ref="D848">$S848/MAX(IF(Combo_Species_Names=$N848,Combo_Gym_Offense))</f>
        <v>#VALUE!</v>
      </c>
      <c r="E848" s="23" t="e">
        <f t="array" ref="E848">RANK($Y848,IF(Combo_Species_Names=$N848,Combo_Gym_Defense),0)</f>
        <v>#VALUE!</v>
      </c>
      <c r="F848" s="25" t="e">
        <f t="array" ref="F848">$Y848/MAX(IF(Combo_Species_Names=$N848,Combo_Gym_Defense))</f>
        <v>#VALUE!</v>
      </c>
      <c r="G848" s="23" t="str">
        <f t="array" ref="G848">IF(OR(INDEX(Species_Availability,MATCH($N848,Species_Names,0))="No",INDEX(Species_Evo_Numbers,MATCH($N848,Species_Names,0))&lt;&gt;1),"N/A",RANK($R848,IF(NOT(ISNA(MATCH(Combo_Species_Names,IF(Species_Availability="Yes",IF(Species_Evo_Numbers=1,Species_Names)),0))),Combo_Duel_Ability),0))</f>
        <v>N/A</v>
      </c>
      <c r="H848" s="24" t="str">
        <f t="array" ref="H848">IF(OR(INDEX(Species_Availability,MATCH($N848,Species_Names,0))="No",INDEX(Species_Evo_Numbers,MATCH($N848,Species_Names,0))&lt;&gt;1),"N/A",$R848/MAX(IF(NOT(ISNA(MATCH(Combo_Species_Names,IF(Species_Availability="Yes",IF(Species_Evo_Numbers=1,Species_Names)),0))),Combo_Duel_Ability)))</f>
        <v>N/A</v>
      </c>
      <c r="I848" s="23" t="str">
        <f t="array" ref="I848">IF(OR(INDEX(Species_Availability,MATCH($N848,Species_Names,0))="No",INDEX(Species_Evo_Numbers,MATCH($N848,Species_Names,0))&lt;&gt;1),"N/A",RANK($S848,IF(NOT(ISNA(MATCH(Combo_Species_Names,IF(Species_Availability="Yes",IF(Species_Evo_Numbers=1,Species_Names)),0))),Combo_Gym_Offense),0))</f>
        <v>N/A</v>
      </c>
      <c r="J848" s="24" t="str">
        <f t="array" ref="J848">IF(OR(INDEX(Species_Availability,MATCH($N848,Species_Names,0))="No",INDEX(Species_Evo_Numbers,MATCH($N848,Species_Names,0))&lt;&gt;1),"N/A",$S848/MAX(IF(NOT(ISNA(MATCH(Combo_Species_Names,IF(Species_Availability="Yes",IF(Species_Evo_Numbers=1,Species_Names)),0))),Combo_Gym_Offense)))</f>
        <v>N/A</v>
      </c>
      <c r="K848" s="23" t="str">
        <f t="array" ref="K848">IF(OR(INDEX(Species_Availability,MATCH($N848,Species_Names,0))="No",INDEX(Species_Evo_Numbers,MATCH($N848,Species_Names,0))&lt;&gt;1),"N/A",RANK($Y848,IF(NOT(ISNA(MATCH(Combo_Species_Names,IF(Species_Availability="Yes",IF(Species_Evo_Numbers=1,Species_Names)),0))),Combo_Gym_Defense),0))</f>
        <v>N/A</v>
      </c>
      <c r="L848" s="24" t="str">
        <f t="array" ref="L848">IF(OR(INDEX(Species_Availability,MATCH($N848,Species_Names,0))="No",INDEX(Species_Evo_Numbers,MATCH($N848,Species_Names,0))&lt;&gt;1),"N/A",$Y848/MAX(IF(NOT(ISNA(MATCH(Combo_Species_Names,IF(Species_Availability="Yes",IF(Species_Evo_Numbers=1,Species_Names)),0))),Combo_Gym_Defense)))</f>
        <v>N/A</v>
      </c>
      <c r="M848" s="28">
        <f t="array" ref="M848">INDEX(Species_Pdex_Numbers,MATCH($N848,Species_Names,0))</f>
        <v>50</v>
      </c>
      <c r="N848" s="30" t="s">
        <v>191</v>
      </c>
      <c r="O848" s="31" t="s">
        <v>64</v>
      </c>
      <c r="P848" s="31" t="s">
        <v>299</v>
      </c>
      <c r="Q848" s="17" t="e">
        <f t="shared" si="26"/>
        <v>#VALUE!</v>
      </c>
      <c r="R848" s="32" t="e">
        <f t="array" ref="R848">IF(OR(AND(COUNTBLANK(Combo_Opponent_Type_1)=1,COUNTBLANK(Combo_Opponent_Type_2)=0),AND(AND(COUNTBLANK(Combo_Opponent_Type_1)=0,COUNTBLANK(Combo_Opponent_Type_2)=0),Combo_Opponent_Type_1=Combo_Opponent_Type_2)),
"Check Types",($S848*INDEX(Species_Tankiness,MATCH($N848,Species_Names,0)))/225)</f>
        <v>#VALUE!</v>
      </c>
      <c r="S848" s="32" t="e">
        <f t="array" ref="S848">IF(OR(AND(COUNTBLANK(Combo_Opponent_Type_1)=1,COUNTBLANK(Combo_Opponent_Type_2)=0),AND(AND(COUNTBLANK(Combo_Opponent_Type_1)=0,COUNTBLANK(Combo_Opponent_Type_2)=0),Combo_Opponent_Type_1=Combo_Opponent_Type_2)),
"Check Types",(
IF($W848&gt;=((1-Game_Weave_Human_Error)*$X848),$W848,$X848)*INDEX(Species_Attack,MATCH($N848,Species_Names,0)))/11)</f>
        <v>#VALUE!</v>
      </c>
      <c r="T848" s="33" t="e">
        <f t="shared" si="27"/>
        <v>#VALUE!</v>
      </c>
      <c r="U848" s="33">
        <f t="array" ref="U8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848,Quick_Names,0))),Type_Species)),0),1)*IF(COUNTBLANK(Combo_Opponent_Type_2)=0,INDEX(Type_Damage_Multipliers,MATCH(Combo_Opponent_Type_2,IF(Type_Move=(INDEX(Quick_Type,MATCH($O848,Quick_Names,0))),Type_Species)),0),1)*(IF(OR(INDEX(Quick_Type,MATCH($O848,Quick_Names,0))=INDEX(Species_Type_1,MATCH($N848,Species_Names,0)),INDEX(Quick_Type,MATCH($O848,Quick_Names,0))=INDEX(Species_Type_2,MATCH($N848,Species_Names,0))),Game_STAB_Multiplier,1)))</f>
        <v>1</v>
      </c>
      <c r="V848" s="33">
        <f t="array" ref="V848">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848,Charge_Names,0))),Type_Species)),0),1)*IF(COUNTBLANK(Combo_Opponent_Type_2)=0,INDEX(Type_Damage_Multipliers,MATCH(Combo_Opponent_Type_2,IF(Type_Move=(INDEX(Charge_Type,MATCH($P848,Charge_Names,0))),Type_Species)),0),1)*
IF(OR(INDEX(Charge_Type,MATCH($P848,Charge_Names,0))=INDEX(Species_Type_1,MATCH($N848,Species_Names,0)),INDEX(Charge_Type,MATCH($P848,Charge_Names,0))=INDEX(Species_Type_2,MATCH($N848,Species_Names,0))),Game_STAB_Multiplier,1))</f>
        <v>1</v>
      </c>
      <c r="W848" s="33" t="s">
        <v>453</v>
      </c>
      <c r="X848" s="33" t="s">
        <v>631</v>
      </c>
      <c r="Y848" s="32" t="e">
        <f t="array" ref="Y848">((($Z848)*
INDEX(Species_Attack,MATCH($N848,Species_Names,0))*
INDEX(Species_Tankiness,MATCH($N848,Species_Names,0)))/1000)</f>
        <v>#VALUE!</v>
      </c>
      <c r="Z848" s="33" t="s">
        <v>1069</v>
      </c>
    </row>
    <row r="849" spans="1:26" ht="14.25" customHeight="1" x14ac:dyDescent="0.2">
      <c r="A849" s="86"/>
      <c r="B849" s="22" t="str">
        <f t="array" ref="B849">CONCATENATE(TEXT($M849,"000"),".",TEXT(INDEX(Quick_Number,MATCH($O849,Quick_Names,0)),"000"),".",TEXT(INDEX(Charge_Number,MATCH($P849,Charge_Names,0)),"000"))</f>
        <v>129.231.133</v>
      </c>
      <c r="C849" s="23" t="e">
        <f t="array" ref="C849">RANK($S849,IF(Combo_Species_Names=$N849,Combo_Gym_Offense),0)</f>
        <v>#VALUE!</v>
      </c>
      <c r="D849" s="24" t="e">
        <f t="array" ref="D849">$S849/MAX(IF(Combo_Species_Names=$N849,Combo_Gym_Offense))</f>
        <v>#VALUE!</v>
      </c>
      <c r="E849" s="23" t="e">
        <f t="array" ref="E849">RANK($Y849,IF(Combo_Species_Names=$N849,Combo_Gym_Defense),0)</f>
        <v>#VALUE!</v>
      </c>
      <c r="F849" s="25" t="e">
        <f t="array" ref="F849">$Y849/MAX(IF(Combo_Species_Names=$N849,Combo_Gym_Defense))</f>
        <v>#VALUE!</v>
      </c>
      <c r="G849" s="23" t="str">
        <f t="array" ref="G849">IF(OR(INDEX(Species_Availability,MATCH($N849,Species_Names,0))="No",INDEX(Species_Evo_Numbers,MATCH($N849,Species_Names,0))&lt;&gt;1),"N/A",RANK($R849,IF(NOT(ISNA(MATCH(Combo_Species_Names,IF(Species_Availability="Yes",IF(Species_Evo_Numbers=1,Species_Names)),0))),Combo_Duel_Ability),0))</f>
        <v>N/A</v>
      </c>
      <c r="H849" s="24" t="str">
        <f t="array" ref="H849">IF(OR(INDEX(Species_Availability,MATCH($N849,Species_Names,0))="No",INDEX(Species_Evo_Numbers,MATCH($N849,Species_Names,0))&lt;&gt;1),"N/A",$R849/MAX(IF(NOT(ISNA(MATCH(Combo_Species_Names,IF(Species_Availability="Yes",IF(Species_Evo_Numbers=1,Species_Names)),0))),Combo_Duel_Ability)))</f>
        <v>N/A</v>
      </c>
      <c r="I849" s="23" t="str">
        <f t="array" ref="I849">IF(OR(INDEX(Species_Availability,MATCH($N849,Species_Names,0))="No",INDEX(Species_Evo_Numbers,MATCH($N849,Species_Names,0))&lt;&gt;1),"N/A",RANK($S849,IF(NOT(ISNA(MATCH(Combo_Species_Names,IF(Species_Availability="Yes",IF(Species_Evo_Numbers=1,Species_Names)),0))),Combo_Gym_Offense),0))</f>
        <v>N/A</v>
      </c>
      <c r="J849" s="24" t="str">
        <f t="array" ref="J849">IF(OR(INDEX(Species_Availability,MATCH($N849,Species_Names,0))="No",INDEX(Species_Evo_Numbers,MATCH($N849,Species_Names,0))&lt;&gt;1),"N/A",$S849/MAX(IF(NOT(ISNA(MATCH(Combo_Species_Names,IF(Species_Availability="Yes",IF(Species_Evo_Numbers=1,Species_Names)),0))),Combo_Gym_Offense)))</f>
        <v>N/A</v>
      </c>
      <c r="K849" s="23" t="str">
        <f t="array" ref="K849">IF(OR(INDEX(Species_Availability,MATCH($N849,Species_Names,0))="No",INDEX(Species_Evo_Numbers,MATCH($N849,Species_Names,0))&lt;&gt;1),"N/A",RANK($Y849,IF(NOT(ISNA(MATCH(Combo_Species_Names,IF(Species_Availability="Yes",IF(Species_Evo_Numbers=1,Species_Names)),0))),Combo_Gym_Defense),0))</f>
        <v>N/A</v>
      </c>
      <c r="L849" s="24" t="str">
        <f t="array" ref="L849">IF(OR(INDEX(Species_Availability,MATCH($N849,Species_Names,0))="No",INDEX(Species_Evo_Numbers,MATCH($N849,Species_Names,0))&lt;&gt;1),"N/A",$Y849/MAX(IF(NOT(ISNA(MATCH(Combo_Species_Names,IF(Species_Availability="Yes",IF(Species_Evo_Numbers=1,Species_Names)),0))),Combo_Gym_Defense)))</f>
        <v>N/A</v>
      </c>
      <c r="M849" s="28">
        <f t="array" ref="M849">INDEX(Species_Pdex_Numbers,MATCH($N849,Species_Names,0))</f>
        <v>129</v>
      </c>
      <c r="N849" s="30" t="s">
        <v>346</v>
      </c>
      <c r="O849" s="31" t="s">
        <v>124</v>
      </c>
      <c r="P849" s="31" t="s">
        <v>307</v>
      </c>
      <c r="Q849" s="17" t="e">
        <f t="shared" si="26"/>
        <v>#VALUE!</v>
      </c>
      <c r="R849" s="32" t="e">
        <f t="array" ref="R849">IF(OR(AND(COUNTBLANK(Combo_Opponent_Type_1)=1,COUNTBLANK(Combo_Opponent_Type_2)=0),AND(AND(COUNTBLANK(Combo_Opponent_Type_1)=0,COUNTBLANK(Combo_Opponent_Type_2)=0),Combo_Opponent_Type_1=Combo_Opponent_Type_2)),
"Check Types",($S849*INDEX(Species_Tankiness,MATCH($N849,Species_Names,0)))/225)</f>
        <v>#VALUE!</v>
      </c>
      <c r="S849" s="32" t="e">
        <f t="array" ref="S849">IF(OR(AND(COUNTBLANK(Combo_Opponent_Type_1)=1,COUNTBLANK(Combo_Opponent_Type_2)=0),AND(AND(COUNTBLANK(Combo_Opponent_Type_1)=0,COUNTBLANK(Combo_Opponent_Type_2)=0),Combo_Opponent_Type_1=Combo_Opponent_Type_2)),
"Check Types",(
IF($W849&gt;=((1-Game_Weave_Human_Error)*$X849),$W849,$X849)*INDEX(Species_Attack,MATCH($N849,Species_Names,0)))/11)</f>
        <v>#VALUE!</v>
      </c>
      <c r="T849" s="33" t="e">
        <f t="shared" si="27"/>
        <v>#VALUE!</v>
      </c>
      <c r="U849" s="33">
        <f t="array" ref="U8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Quick_Type,MATCH($O849,Quick_Names,0))),Type_Species)),0),1)*IF(COUNTBLANK(Combo_Opponent_Type_2)=0,INDEX(Type_Damage_Multipliers,MATCH(Combo_Opponent_Type_2,IF(Type_Move=(INDEX(Quick_Type,MATCH($O849,Quick_Names,0))),Type_Species)),0),1)*(IF(OR(INDEX(Quick_Type,MATCH($O849,Quick_Names,0))=INDEX(Species_Type_1,MATCH($N849,Species_Names,0)),INDEX(Quick_Type,MATCH($O849,Quick_Names,0))=INDEX(Species_Type_2,MATCH($N849,Species_Names,0))),Game_STAB_Multiplier,1)))</f>
        <v>1.25</v>
      </c>
      <c r="V849" s="33">
        <f t="array" ref="V849">IF(OR(AND(COUNTBLANK(Combo_Opponent_Type_1)=1,COUNTBLANK(Combo_Opponent_Type_2)=0),AND(AND(COUNTBLANK(Combo_Opponent_Type_1)=0,COUNTBLANK(Combo_Opponent_Type_2)=0),Combo_Opponent_Type_1=Combo_Opponent_Type_2)),
"Check Types",
IF(COUNTBLANK(Combo_Opponent_Type_1)=0,INDEX(Type_Damage_Multipliers,MATCH(Combo_Opponent_Type_1,IF(Type_Move=(INDEX(Charge_Type,MATCH($P849,Charge_Names,0))),Type_Species)),0),1)*IF(COUNTBLANK(Combo_Opponent_Type_2)=0,INDEX(Type_Damage_Multipliers,MATCH(Combo_Opponent_Type_2,IF(Type_Move=(INDEX(Charge_Type,MATCH($P849,Charge_Names,0))),Type_Species)),0),1)*
IF(OR(INDEX(Charge_Type,MATCH($P849,Charge_Names,0))=INDEX(Species_Type_1,MATCH($N849,Species_Names,0)),INDEX(Charge_Type,MATCH($P849,Charge_Names,0))=INDEX(Species_Type_2,MATCH($N849,Species_Names,0))),Game_STAB_Multiplier,1))</f>
        <v>1</v>
      </c>
      <c r="W849" s="33" t="s">
        <v>1105</v>
      </c>
      <c r="X849" s="33" t="s">
        <v>1106</v>
      </c>
      <c r="Y849" s="32" t="e">
        <f t="array" ref="Y849">((($Z849)*
INDEX(Species_Attack,MATCH($N849,Species_Names,0))*
INDEX(Species_Tankiness,MATCH($N849,Species_Names,0)))/1000)</f>
        <v>#VALUE!</v>
      </c>
      <c r="Z849" s="33" t="s">
        <v>1107</v>
      </c>
    </row>
    <row r="850" spans="1:26" ht="14.25" customHeight="1" x14ac:dyDescent="0.2">
      <c r="O850" s="90"/>
      <c r="P850" s="90"/>
      <c r="R850" s="90"/>
      <c r="S850" s="90"/>
      <c r="T850" s="90"/>
      <c r="Y850" s="90"/>
    </row>
    <row r="851" spans="1:26" ht="14.25" customHeight="1" x14ac:dyDescent="0.2">
      <c r="O851" s="90"/>
      <c r="P851" s="90"/>
      <c r="R851" s="90"/>
      <c r="S851" s="90"/>
      <c r="T851" s="90"/>
      <c r="Y851" s="90"/>
    </row>
    <row r="852" spans="1:26" ht="14.25" customHeight="1" x14ac:dyDescent="0.2">
      <c r="O852" s="90"/>
      <c r="P852" s="90"/>
      <c r="R852" s="90"/>
      <c r="S852" s="90"/>
      <c r="T852" s="90"/>
      <c r="Y852" s="90"/>
    </row>
    <row r="853" spans="1:26" ht="14.25" customHeight="1" x14ac:dyDescent="0.2">
      <c r="O853" s="90"/>
      <c r="P853" s="90"/>
      <c r="R853" s="90"/>
      <c r="S853" s="90"/>
      <c r="T853" s="90"/>
      <c r="Y853" s="90"/>
    </row>
    <row r="854" spans="1:26" ht="14.25" customHeight="1" x14ac:dyDescent="0.2">
      <c r="O854" s="90"/>
      <c r="P854" s="90"/>
      <c r="R854" s="90"/>
      <c r="S854" s="90"/>
      <c r="T854" s="90"/>
      <c r="Y854" s="90"/>
    </row>
    <row r="855" spans="1:26" ht="14.25" customHeight="1" x14ac:dyDescent="0.2">
      <c r="O855" s="90"/>
      <c r="P855" s="90"/>
      <c r="R855" s="90"/>
      <c r="S855" s="90"/>
      <c r="T855" s="90"/>
      <c r="Y855" s="90"/>
    </row>
    <row r="856" spans="1:26" ht="14.25" customHeight="1" x14ac:dyDescent="0.2">
      <c r="O856" s="90"/>
      <c r="P856" s="90"/>
      <c r="R856" s="90"/>
      <c r="S856" s="90"/>
      <c r="T856" s="90"/>
      <c r="Y856" s="90"/>
    </row>
    <row r="857" spans="1:26" ht="14.25" customHeight="1" x14ac:dyDescent="0.2">
      <c r="O857" s="90"/>
      <c r="P857" s="90"/>
      <c r="R857" s="90"/>
      <c r="S857" s="90"/>
      <c r="T857" s="90"/>
      <c r="Y857" s="90"/>
    </row>
    <row r="858" spans="1:26" ht="14.25" customHeight="1" x14ac:dyDescent="0.2">
      <c r="O858" s="90"/>
      <c r="P858" s="90"/>
      <c r="R858" s="90"/>
      <c r="S858" s="90"/>
      <c r="T858" s="90"/>
      <c r="Y858" s="90"/>
    </row>
    <row r="859" spans="1:26" ht="14.25" customHeight="1" x14ac:dyDescent="0.2">
      <c r="O859" s="90"/>
      <c r="P859" s="90"/>
      <c r="R859" s="90"/>
      <c r="S859" s="90"/>
      <c r="T859" s="90"/>
      <c r="Y859" s="90"/>
    </row>
    <row r="860" spans="1:26" ht="14.25" customHeight="1" x14ac:dyDescent="0.2">
      <c r="O860" s="90"/>
      <c r="P860" s="90"/>
      <c r="R860" s="90"/>
      <c r="S860" s="90"/>
      <c r="T860" s="90"/>
      <c r="Y860" s="90"/>
    </row>
    <row r="861" spans="1:26" ht="14.25" customHeight="1" x14ac:dyDescent="0.2">
      <c r="O861" s="90"/>
      <c r="P861" s="90"/>
      <c r="R861" s="90"/>
      <c r="S861" s="90"/>
      <c r="T861" s="90"/>
      <c r="Y861" s="90"/>
    </row>
    <row r="862" spans="1:26" ht="14.25" customHeight="1" x14ac:dyDescent="0.2">
      <c r="O862" s="90"/>
      <c r="P862" s="90"/>
      <c r="R862" s="90"/>
      <c r="S862" s="90"/>
      <c r="T862" s="90"/>
      <c r="Y862" s="90"/>
    </row>
    <row r="863" spans="1:26" ht="14.25" customHeight="1" x14ac:dyDescent="0.2">
      <c r="O863" s="90"/>
      <c r="P863" s="90"/>
      <c r="R863" s="90"/>
      <c r="S863" s="90"/>
      <c r="T863" s="90"/>
      <c r="Y863" s="90"/>
    </row>
    <row r="864" spans="1:26" ht="14.25" customHeight="1" x14ac:dyDescent="0.2">
      <c r="O864" s="90"/>
      <c r="P864" s="90"/>
      <c r="R864" s="90"/>
      <c r="S864" s="90"/>
      <c r="T864" s="90"/>
      <c r="Y864" s="90"/>
    </row>
    <row r="865" spans="15:25" ht="14.25" customHeight="1" x14ac:dyDescent="0.2">
      <c r="O865" s="90"/>
      <c r="P865" s="90"/>
      <c r="R865" s="90"/>
      <c r="S865" s="90"/>
      <c r="T865" s="90"/>
      <c r="Y865" s="90"/>
    </row>
    <row r="866" spans="15:25" ht="14.25" customHeight="1" x14ac:dyDescent="0.2">
      <c r="O866" s="90"/>
      <c r="P866" s="90"/>
      <c r="R866" s="90"/>
      <c r="S866" s="90"/>
      <c r="T866" s="90"/>
      <c r="Y866" s="90"/>
    </row>
    <row r="867" spans="15:25" ht="14.25" customHeight="1" x14ac:dyDescent="0.2">
      <c r="O867" s="90"/>
      <c r="P867" s="90"/>
      <c r="R867" s="90"/>
      <c r="S867" s="90"/>
      <c r="T867" s="90"/>
      <c r="Y867" s="90"/>
    </row>
    <row r="868" spans="15:25" ht="14.25" customHeight="1" x14ac:dyDescent="0.2">
      <c r="O868" s="90"/>
      <c r="P868" s="90"/>
      <c r="R868" s="90"/>
      <c r="S868" s="90"/>
      <c r="T868" s="90"/>
      <c r="Y868" s="90"/>
    </row>
    <row r="869" spans="15:25" ht="14.25" customHeight="1" x14ac:dyDescent="0.2">
      <c r="O869" s="90"/>
      <c r="P869" s="90"/>
      <c r="R869" s="90"/>
      <c r="S869" s="90"/>
      <c r="T869" s="90"/>
      <c r="Y869" s="90"/>
    </row>
    <row r="870" spans="15:25" ht="14.25" customHeight="1" x14ac:dyDescent="0.2">
      <c r="O870" s="90"/>
      <c r="P870" s="90"/>
      <c r="R870" s="90"/>
      <c r="S870" s="90"/>
      <c r="T870" s="90"/>
      <c r="Y870" s="90"/>
    </row>
    <row r="871" spans="15:25" ht="14.25" customHeight="1" x14ac:dyDescent="0.2">
      <c r="O871" s="90"/>
      <c r="P871" s="90"/>
      <c r="R871" s="90"/>
      <c r="S871" s="90"/>
      <c r="T871" s="90"/>
      <c r="Y871" s="90"/>
    </row>
    <row r="872" spans="15:25" ht="14.25" customHeight="1" x14ac:dyDescent="0.2">
      <c r="O872" s="90"/>
      <c r="P872" s="90"/>
      <c r="R872" s="90"/>
      <c r="S872" s="90"/>
      <c r="T872" s="90"/>
      <c r="Y872" s="90"/>
    </row>
    <row r="873" spans="15:25" ht="14.25" customHeight="1" x14ac:dyDescent="0.2">
      <c r="O873" s="90"/>
      <c r="P873" s="90"/>
      <c r="R873" s="90"/>
      <c r="S873" s="90"/>
      <c r="T873" s="90"/>
      <c r="Y873" s="90"/>
    </row>
    <row r="874" spans="15:25" ht="14.25" customHeight="1" x14ac:dyDescent="0.2">
      <c r="O874" s="90"/>
      <c r="P874" s="90"/>
      <c r="R874" s="90"/>
      <c r="S874" s="90"/>
      <c r="T874" s="90"/>
      <c r="Y874" s="90"/>
    </row>
    <row r="875" spans="15:25" ht="14.25" customHeight="1" x14ac:dyDescent="0.2">
      <c r="O875" s="90"/>
      <c r="P875" s="90"/>
      <c r="R875" s="90"/>
      <c r="S875" s="90"/>
      <c r="T875" s="90"/>
      <c r="Y875" s="90"/>
    </row>
    <row r="876" spans="15:25" ht="14.25" customHeight="1" x14ac:dyDescent="0.2">
      <c r="O876" s="90"/>
      <c r="P876" s="90"/>
      <c r="R876" s="90"/>
      <c r="S876" s="90"/>
      <c r="T876" s="90"/>
      <c r="Y876" s="90"/>
    </row>
    <row r="877" spans="15:25" ht="14.25" customHeight="1" x14ac:dyDescent="0.2">
      <c r="O877" s="90"/>
      <c r="P877" s="90"/>
      <c r="R877" s="90"/>
      <c r="S877" s="90"/>
      <c r="T877" s="90"/>
      <c r="Y877" s="90"/>
    </row>
    <row r="878" spans="15:25" ht="14.25" customHeight="1" x14ac:dyDescent="0.2">
      <c r="O878" s="90"/>
      <c r="P878" s="90"/>
      <c r="R878" s="90"/>
      <c r="S878" s="90"/>
      <c r="T878" s="90"/>
      <c r="Y878" s="90"/>
    </row>
    <row r="879" spans="15:25" ht="14.25" customHeight="1" x14ac:dyDescent="0.2">
      <c r="O879" s="90"/>
      <c r="P879" s="90"/>
      <c r="R879" s="90"/>
      <c r="S879" s="90"/>
      <c r="T879" s="90"/>
      <c r="Y879" s="90"/>
    </row>
    <row r="880" spans="15:25" ht="14.25" customHeight="1" x14ac:dyDescent="0.2">
      <c r="O880" s="90"/>
      <c r="P880" s="90"/>
      <c r="R880" s="90"/>
      <c r="S880" s="90"/>
      <c r="T880" s="90"/>
      <c r="Y880" s="90"/>
    </row>
    <row r="881" spans="15:25" ht="14.25" customHeight="1" x14ac:dyDescent="0.2">
      <c r="O881" s="90"/>
      <c r="P881" s="90"/>
      <c r="R881" s="90"/>
      <c r="S881" s="90"/>
      <c r="T881" s="90"/>
      <c r="Y881" s="90"/>
    </row>
    <row r="882" spans="15:25" ht="14.25" customHeight="1" x14ac:dyDescent="0.2">
      <c r="O882" s="90"/>
      <c r="P882" s="90"/>
      <c r="R882" s="90"/>
      <c r="S882" s="90"/>
      <c r="T882" s="90"/>
      <c r="Y882" s="90"/>
    </row>
    <row r="883" spans="15:25" ht="14.25" customHeight="1" x14ac:dyDescent="0.2">
      <c r="O883" s="90"/>
      <c r="P883" s="90"/>
      <c r="R883" s="90"/>
      <c r="S883" s="90"/>
      <c r="T883" s="90"/>
      <c r="Y883" s="90"/>
    </row>
    <row r="884" spans="15:25" ht="14.25" customHeight="1" x14ac:dyDescent="0.2">
      <c r="O884" s="90"/>
      <c r="P884" s="90"/>
      <c r="R884" s="90"/>
      <c r="S884" s="90"/>
      <c r="T884" s="90"/>
      <c r="Y884" s="90"/>
    </row>
    <row r="885" spans="15:25" ht="14.25" customHeight="1" x14ac:dyDescent="0.2">
      <c r="O885" s="90"/>
      <c r="P885" s="90"/>
      <c r="R885" s="90"/>
      <c r="S885" s="90"/>
      <c r="T885" s="90"/>
      <c r="Y885" s="90"/>
    </row>
    <row r="886" spans="15:25" ht="14.25" customHeight="1" x14ac:dyDescent="0.2">
      <c r="O886" s="90"/>
      <c r="P886" s="90"/>
      <c r="R886" s="90"/>
      <c r="S886" s="90"/>
      <c r="T886" s="90"/>
      <c r="Y886" s="90"/>
    </row>
    <row r="887" spans="15:25" ht="14.25" customHeight="1" x14ac:dyDescent="0.2">
      <c r="O887" s="90"/>
      <c r="P887" s="90"/>
      <c r="R887" s="90"/>
      <c r="S887" s="90"/>
      <c r="T887" s="90"/>
      <c r="Y887" s="90"/>
    </row>
    <row r="888" spans="15:25" ht="14.25" customHeight="1" x14ac:dyDescent="0.2">
      <c r="O888" s="90"/>
      <c r="P888" s="90"/>
      <c r="R888" s="90"/>
      <c r="S888" s="90"/>
      <c r="T888" s="90"/>
      <c r="Y888" s="90"/>
    </row>
    <row r="889" spans="15:25" ht="14.25" customHeight="1" x14ac:dyDescent="0.2">
      <c r="O889" s="90"/>
      <c r="P889" s="90"/>
      <c r="R889" s="90"/>
      <c r="S889" s="90"/>
      <c r="T889" s="90"/>
      <c r="Y889" s="90"/>
    </row>
    <row r="890" spans="15:25" ht="14.25" customHeight="1" x14ac:dyDescent="0.2">
      <c r="O890" s="90"/>
      <c r="P890" s="90"/>
      <c r="R890" s="90"/>
      <c r="S890" s="90"/>
      <c r="T890" s="90"/>
      <c r="Y890" s="90"/>
    </row>
    <row r="891" spans="15:25" ht="14.25" customHeight="1" x14ac:dyDescent="0.2">
      <c r="O891" s="90"/>
      <c r="P891" s="90"/>
      <c r="R891" s="90"/>
      <c r="S891" s="90"/>
      <c r="T891" s="90"/>
      <c r="Y891" s="90"/>
    </row>
    <row r="892" spans="15:25" ht="14.25" customHeight="1" x14ac:dyDescent="0.2">
      <c r="O892" s="90"/>
      <c r="P892" s="90"/>
      <c r="R892" s="90"/>
      <c r="S892" s="90"/>
      <c r="T892" s="90"/>
      <c r="Y892" s="90"/>
    </row>
    <row r="893" spans="15:25" ht="14.25" customHeight="1" x14ac:dyDescent="0.2">
      <c r="O893" s="90"/>
      <c r="P893" s="90"/>
      <c r="R893" s="90"/>
      <c r="S893" s="90"/>
      <c r="T893" s="90"/>
      <c r="Y893" s="90"/>
    </row>
    <row r="894" spans="15:25" ht="14.25" customHeight="1" x14ac:dyDescent="0.2">
      <c r="O894" s="90"/>
      <c r="P894" s="90"/>
      <c r="R894" s="90"/>
      <c r="S894" s="90"/>
      <c r="T894" s="90"/>
      <c r="Y894" s="90"/>
    </row>
    <row r="895" spans="15:25" ht="14.25" customHeight="1" x14ac:dyDescent="0.2">
      <c r="O895" s="90"/>
      <c r="P895" s="90"/>
      <c r="R895" s="90"/>
      <c r="S895" s="90"/>
      <c r="T895" s="90"/>
      <c r="Y895" s="90"/>
    </row>
    <row r="896" spans="15:25" ht="14.25" customHeight="1" x14ac:dyDescent="0.2">
      <c r="O896" s="90"/>
      <c r="P896" s="90"/>
      <c r="R896" s="90"/>
      <c r="S896" s="90"/>
      <c r="T896" s="90"/>
      <c r="Y896" s="90"/>
    </row>
    <row r="897" spans="15:25" ht="14.25" customHeight="1" x14ac:dyDescent="0.2">
      <c r="O897" s="90"/>
      <c r="P897" s="90"/>
      <c r="R897" s="90"/>
      <c r="S897" s="90"/>
      <c r="T897" s="90"/>
      <c r="Y897" s="90"/>
    </row>
    <row r="898" spans="15:25" ht="14.25" customHeight="1" x14ac:dyDescent="0.2">
      <c r="O898" s="90"/>
      <c r="P898" s="90"/>
      <c r="R898" s="90"/>
      <c r="S898" s="90"/>
      <c r="T898" s="90"/>
      <c r="Y898" s="90"/>
    </row>
    <row r="899" spans="15:25" ht="14.25" customHeight="1" x14ac:dyDescent="0.2">
      <c r="O899" s="90"/>
      <c r="P899" s="90"/>
      <c r="R899" s="90"/>
      <c r="S899" s="90"/>
      <c r="T899" s="90"/>
      <c r="Y899" s="90"/>
    </row>
    <row r="900" spans="15:25" ht="14.25" customHeight="1" x14ac:dyDescent="0.2">
      <c r="O900" s="90"/>
      <c r="P900" s="90"/>
      <c r="R900" s="90"/>
      <c r="S900" s="90"/>
      <c r="T900" s="90"/>
      <c r="Y900" s="90"/>
    </row>
    <row r="901" spans="15:25" ht="14.25" customHeight="1" x14ac:dyDescent="0.2">
      <c r="O901" s="90"/>
      <c r="P901" s="90"/>
      <c r="R901" s="90"/>
      <c r="S901" s="90"/>
      <c r="T901" s="90"/>
      <c r="Y901" s="90"/>
    </row>
    <row r="902" spans="15:25" ht="14.25" customHeight="1" x14ac:dyDescent="0.2">
      <c r="O902" s="90"/>
      <c r="P902" s="90"/>
      <c r="R902" s="90"/>
      <c r="S902" s="90"/>
      <c r="T902" s="90"/>
      <c r="Y902" s="90"/>
    </row>
    <row r="903" spans="15:25" ht="14.25" customHeight="1" x14ac:dyDescent="0.2">
      <c r="O903" s="90"/>
      <c r="P903" s="90"/>
      <c r="R903" s="90"/>
      <c r="S903" s="90"/>
      <c r="T903" s="90"/>
      <c r="Y903" s="90"/>
    </row>
    <row r="904" spans="15:25" ht="14.25" customHeight="1" x14ac:dyDescent="0.2">
      <c r="O904" s="90"/>
      <c r="P904" s="90"/>
      <c r="R904" s="90"/>
      <c r="S904" s="90"/>
      <c r="T904" s="90"/>
      <c r="Y904" s="90"/>
    </row>
    <row r="905" spans="15:25" ht="14.25" customHeight="1" x14ac:dyDescent="0.2">
      <c r="O905" s="90"/>
      <c r="P905" s="90"/>
      <c r="R905" s="90"/>
      <c r="S905" s="90"/>
      <c r="T905" s="90"/>
      <c r="Y905" s="90"/>
    </row>
    <row r="906" spans="15:25" ht="14.25" customHeight="1" x14ac:dyDescent="0.2">
      <c r="O906" s="90"/>
      <c r="P906" s="90"/>
      <c r="R906" s="90"/>
      <c r="S906" s="90"/>
      <c r="T906" s="90"/>
      <c r="Y906" s="90"/>
    </row>
    <row r="907" spans="15:25" ht="14.25" customHeight="1" x14ac:dyDescent="0.2">
      <c r="O907" s="90"/>
      <c r="P907" s="90"/>
      <c r="R907" s="90"/>
      <c r="S907" s="90"/>
      <c r="T907" s="90"/>
      <c r="Y907" s="90"/>
    </row>
    <row r="908" spans="15:25" ht="14.25" customHeight="1" x14ac:dyDescent="0.2">
      <c r="O908" s="90"/>
      <c r="P908" s="90"/>
      <c r="R908" s="90"/>
      <c r="S908" s="90"/>
      <c r="T908" s="90"/>
      <c r="Y908" s="90"/>
    </row>
    <row r="909" spans="15:25" ht="14.25" customHeight="1" x14ac:dyDescent="0.2">
      <c r="O909" s="90"/>
      <c r="P909" s="90"/>
      <c r="R909" s="90"/>
      <c r="S909" s="90"/>
      <c r="T909" s="90"/>
      <c r="Y909" s="90"/>
    </row>
    <row r="910" spans="15:25" ht="14.25" customHeight="1" x14ac:dyDescent="0.2">
      <c r="O910" s="90"/>
      <c r="P910" s="90"/>
      <c r="R910" s="90"/>
      <c r="S910" s="90"/>
      <c r="T910" s="90"/>
      <c r="Y910" s="90"/>
    </row>
    <row r="911" spans="15:25" ht="14.25" customHeight="1" x14ac:dyDescent="0.2">
      <c r="O911" s="90"/>
      <c r="P911" s="90"/>
      <c r="R911" s="90"/>
      <c r="S911" s="90"/>
      <c r="T911" s="90"/>
      <c r="Y911" s="90"/>
    </row>
    <row r="912" spans="15:25" ht="14.25" customHeight="1" x14ac:dyDescent="0.2">
      <c r="O912" s="90"/>
      <c r="P912" s="90"/>
      <c r="R912" s="90"/>
      <c r="S912" s="90"/>
      <c r="T912" s="90"/>
      <c r="Y912" s="90"/>
    </row>
    <row r="913" spans="15:25" ht="14.25" customHeight="1" x14ac:dyDescent="0.2">
      <c r="O913" s="90"/>
      <c r="P913" s="90"/>
      <c r="R913" s="90"/>
      <c r="S913" s="90"/>
      <c r="T913" s="90"/>
      <c r="Y913" s="90"/>
    </row>
    <row r="914" spans="15:25" ht="14.25" customHeight="1" x14ac:dyDescent="0.2">
      <c r="O914" s="90"/>
      <c r="P914" s="90"/>
      <c r="R914" s="90"/>
      <c r="S914" s="90"/>
      <c r="T914" s="90"/>
      <c r="Y914" s="90"/>
    </row>
    <row r="915" spans="15:25" ht="14.25" customHeight="1" x14ac:dyDescent="0.2">
      <c r="O915" s="90"/>
      <c r="P915" s="90"/>
      <c r="R915" s="90"/>
      <c r="S915" s="90"/>
      <c r="T915" s="90"/>
      <c r="Y915" s="90"/>
    </row>
    <row r="916" spans="15:25" ht="14.25" customHeight="1" x14ac:dyDescent="0.2">
      <c r="O916" s="90"/>
      <c r="P916" s="90"/>
      <c r="R916" s="90"/>
      <c r="S916" s="90"/>
      <c r="T916" s="90"/>
      <c r="Y916" s="90"/>
    </row>
    <row r="917" spans="15:25" ht="14.25" customHeight="1" x14ac:dyDescent="0.2">
      <c r="O917" s="90"/>
      <c r="P917" s="90"/>
      <c r="R917" s="90"/>
      <c r="S917" s="90"/>
      <c r="T917" s="90"/>
      <c r="Y917" s="90"/>
    </row>
    <row r="918" spans="15:25" ht="14.25" customHeight="1" x14ac:dyDescent="0.2">
      <c r="O918" s="90"/>
      <c r="P918" s="90"/>
      <c r="R918" s="90"/>
      <c r="S918" s="90"/>
      <c r="T918" s="90"/>
      <c r="Y918" s="90"/>
    </row>
    <row r="919" spans="15:25" ht="14.25" customHeight="1" x14ac:dyDescent="0.2">
      <c r="O919" s="90"/>
      <c r="P919" s="90"/>
      <c r="R919" s="90"/>
      <c r="S919" s="90"/>
      <c r="T919" s="90"/>
      <c r="Y919" s="90"/>
    </row>
    <row r="920" spans="15:25" ht="14.25" customHeight="1" x14ac:dyDescent="0.2">
      <c r="O920" s="90"/>
      <c r="P920" s="90"/>
      <c r="R920" s="90"/>
      <c r="S920" s="90"/>
      <c r="T920" s="90"/>
      <c r="Y920" s="90"/>
    </row>
    <row r="921" spans="15:25" ht="14.25" customHeight="1" x14ac:dyDescent="0.2">
      <c r="O921" s="90"/>
      <c r="P921" s="90"/>
      <c r="R921" s="90"/>
      <c r="S921" s="90"/>
      <c r="T921" s="90"/>
      <c r="Y921" s="90"/>
    </row>
    <row r="922" spans="15:25" ht="14.25" customHeight="1" x14ac:dyDescent="0.2">
      <c r="O922" s="90"/>
      <c r="P922" s="90"/>
      <c r="R922" s="90"/>
      <c r="S922" s="90"/>
      <c r="T922" s="90"/>
      <c r="Y922" s="90"/>
    </row>
    <row r="923" spans="15:25" ht="14.25" customHeight="1" x14ac:dyDescent="0.2">
      <c r="O923" s="90"/>
      <c r="P923" s="90"/>
      <c r="R923" s="90"/>
      <c r="S923" s="90"/>
      <c r="T923" s="90"/>
      <c r="Y923" s="90"/>
    </row>
    <row r="924" spans="15:25" ht="14.25" customHeight="1" x14ac:dyDescent="0.2">
      <c r="O924" s="90"/>
      <c r="P924" s="90"/>
      <c r="R924" s="90"/>
      <c r="S924" s="90"/>
      <c r="T924" s="90"/>
      <c r="Y924" s="90"/>
    </row>
    <row r="925" spans="15:25" ht="14.25" customHeight="1" x14ac:dyDescent="0.2">
      <c r="O925" s="90"/>
      <c r="P925" s="90"/>
      <c r="R925" s="90"/>
      <c r="S925" s="90"/>
      <c r="T925" s="90"/>
      <c r="Y925" s="90"/>
    </row>
    <row r="926" spans="15:25" ht="14.25" customHeight="1" x14ac:dyDescent="0.2">
      <c r="O926" s="90"/>
      <c r="P926" s="90"/>
      <c r="R926" s="90"/>
      <c r="S926" s="90"/>
      <c r="T926" s="90"/>
      <c r="Y926" s="90"/>
    </row>
    <row r="927" spans="15:25" ht="14.25" customHeight="1" x14ac:dyDescent="0.2">
      <c r="O927" s="90"/>
      <c r="P927" s="90"/>
      <c r="R927" s="90"/>
      <c r="S927" s="90"/>
      <c r="T927" s="90"/>
      <c r="Y927" s="90"/>
    </row>
    <row r="928" spans="15:25" ht="14.25" customHeight="1" x14ac:dyDescent="0.2">
      <c r="O928" s="90"/>
      <c r="P928" s="90"/>
      <c r="R928" s="90"/>
      <c r="S928" s="90"/>
      <c r="T928" s="90"/>
      <c r="Y928" s="90"/>
    </row>
    <row r="929" spans="15:25" ht="14.25" customHeight="1" x14ac:dyDescent="0.2">
      <c r="O929" s="90"/>
      <c r="P929" s="90"/>
      <c r="R929" s="90"/>
      <c r="S929" s="90"/>
      <c r="T929" s="90"/>
      <c r="Y929" s="90"/>
    </row>
    <row r="930" spans="15:25" ht="14.25" customHeight="1" x14ac:dyDescent="0.2">
      <c r="O930" s="90"/>
      <c r="P930" s="90"/>
      <c r="R930" s="90"/>
      <c r="S930" s="90"/>
      <c r="T930" s="90"/>
      <c r="Y930" s="90"/>
    </row>
    <row r="931" spans="15:25" ht="14.25" customHeight="1" x14ac:dyDescent="0.2">
      <c r="O931" s="90"/>
      <c r="P931" s="90"/>
      <c r="R931" s="90"/>
      <c r="S931" s="90"/>
      <c r="T931" s="90"/>
      <c r="Y931" s="90"/>
    </row>
    <row r="932" spans="15:25" ht="14.25" customHeight="1" x14ac:dyDescent="0.2">
      <c r="O932" s="90"/>
      <c r="P932" s="90"/>
      <c r="R932" s="90"/>
      <c r="S932" s="90"/>
      <c r="T932" s="90"/>
      <c r="Y932" s="90"/>
    </row>
    <row r="933" spans="15:25" ht="14.25" customHeight="1" x14ac:dyDescent="0.2">
      <c r="O933" s="90"/>
      <c r="P933" s="90"/>
      <c r="R933" s="90"/>
      <c r="S933" s="90"/>
      <c r="T933" s="90"/>
      <c r="Y933" s="90"/>
    </row>
    <row r="934" spans="15:25" ht="14.25" customHeight="1" x14ac:dyDescent="0.2">
      <c r="O934" s="90"/>
      <c r="P934" s="90"/>
      <c r="R934" s="90"/>
      <c r="S934" s="90"/>
      <c r="T934" s="90"/>
      <c r="Y934" s="90"/>
    </row>
    <row r="935" spans="15:25" ht="14.25" customHeight="1" x14ac:dyDescent="0.2">
      <c r="O935" s="90"/>
      <c r="P935" s="90"/>
      <c r="R935" s="90"/>
      <c r="S935" s="90"/>
      <c r="T935" s="90"/>
      <c r="Y935" s="90"/>
    </row>
    <row r="936" spans="15:25" ht="14.25" customHeight="1" x14ac:dyDescent="0.2">
      <c r="O936" s="90"/>
      <c r="P936" s="90"/>
      <c r="R936" s="90"/>
      <c r="S936" s="90"/>
      <c r="T936" s="90"/>
      <c r="Y936" s="90"/>
    </row>
    <row r="937" spans="15:25" ht="14.25" customHeight="1" x14ac:dyDescent="0.2">
      <c r="O937" s="90"/>
      <c r="P937" s="90"/>
      <c r="R937" s="90"/>
      <c r="S937" s="90"/>
      <c r="T937" s="90"/>
      <c r="Y937" s="90"/>
    </row>
    <row r="938" spans="15:25" ht="14.25" customHeight="1" x14ac:dyDescent="0.2">
      <c r="O938" s="90"/>
      <c r="P938" s="90"/>
      <c r="R938" s="90"/>
      <c r="S938" s="90"/>
      <c r="T938" s="90"/>
      <c r="Y938" s="90"/>
    </row>
    <row r="939" spans="15:25" ht="14.25" customHeight="1" x14ac:dyDescent="0.2">
      <c r="O939" s="90"/>
      <c r="P939" s="90"/>
      <c r="R939" s="90"/>
      <c r="S939" s="90"/>
      <c r="T939" s="90"/>
      <c r="Y939" s="90"/>
    </row>
    <row r="940" spans="15:25" ht="14.25" customHeight="1" x14ac:dyDescent="0.2">
      <c r="O940" s="90"/>
      <c r="P940" s="90"/>
      <c r="R940" s="90"/>
      <c r="S940" s="90"/>
      <c r="T940" s="90"/>
      <c r="Y940" s="90"/>
    </row>
    <row r="941" spans="15:25" ht="14.25" customHeight="1" x14ac:dyDescent="0.2">
      <c r="O941" s="90"/>
      <c r="P941" s="90"/>
      <c r="R941" s="90"/>
      <c r="S941" s="90"/>
      <c r="T941" s="90"/>
      <c r="Y941" s="90"/>
    </row>
    <row r="942" spans="15:25" ht="14.25" customHeight="1" x14ac:dyDescent="0.2">
      <c r="O942" s="90"/>
      <c r="P942" s="90"/>
      <c r="R942" s="90"/>
      <c r="S942" s="90"/>
      <c r="T942" s="90"/>
      <c r="Y942" s="90"/>
    </row>
    <row r="943" spans="15:25" ht="14.25" customHeight="1" x14ac:dyDescent="0.2">
      <c r="O943" s="90"/>
      <c r="P943" s="90"/>
      <c r="R943" s="90"/>
      <c r="S943" s="90"/>
      <c r="T943" s="90"/>
      <c r="Y943" s="90"/>
    </row>
    <row r="944" spans="15:25" ht="14.25" customHeight="1" x14ac:dyDescent="0.2">
      <c r="O944" s="90"/>
      <c r="P944" s="90"/>
      <c r="R944" s="90"/>
      <c r="S944" s="90"/>
      <c r="T944" s="90"/>
      <c r="Y944" s="90"/>
    </row>
    <row r="945" spans="15:25" ht="14.25" customHeight="1" x14ac:dyDescent="0.2">
      <c r="O945" s="90"/>
      <c r="P945" s="90"/>
      <c r="R945" s="90"/>
      <c r="S945" s="90"/>
      <c r="T945" s="90"/>
      <c r="Y945" s="90"/>
    </row>
    <row r="946" spans="15:25" ht="14.25" customHeight="1" x14ac:dyDescent="0.2">
      <c r="O946" s="90"/>
      <c r="P946" s="90"/>
      <c r="R946" s="90"/>
      <c r="S946" s="90"/>
      <c r="T946" s="90"/>
      <c r="Y946" s="90"/>
    </row>
    <row r="947" spans="15:25" ht="14.25" customHeight="1" x14ac:dyDescent="0.2">
      <c r="O947" s="90"/>
      <c r="P947" s="90"/>
      <c r="R947" s="90"/>
      <c r="S947" s="90"/>
      <c r="T947" s="90"/>
      <c r="Y947" s="90"/>
    </row>
    <row r="948" spans="15:25" ht="14.25" customHeight="1" x14ac:dyDescent="0.2">
      <c r="O948" s="90"/>
      <c r="P948" s="90"/>
      <c r="R948" s="90"/>
      <c r="S948" s="90"/>
      <c r="T948" s="90"/>
      <c r="Y948" s="90"/>
    </row>
    <row r="949" spans="15:25" ht="14.25" customHeight="1" x14ac:dyDescent="0.2">
      <c r="O949" s="90"/>
      <c r="P949" s="90"/>
      <c r="R949" s="90"/>
      <c r="S949" s="90"/>
      <c r="T949" s="90"/>
      <c r="Y949" s="90"/>
    </row>
    <row r="950" spans="15:25" ht="14.25" customHeight="1" x14ac:dyDescent="0.2">
      <c r="O950" s="90"/>
      <c r="P950" s="90"/>
      <c r="R950" s="90"/>
      <c r="S950" s="90"/>
      <c r="T950" s="90"/>
      <c r="Y950" s="90"/>
    </row>
    <row r="951" spans="15:25" ht="14.25" customHeight="1" x14ac:dyDescent="0.2">
      <c r="O951" s="90"/>
      <c r="P951" s="90"/>
      <c r="R951" s="90"/>
      <c r="S951" s="90"/>
      <c r="T951" s="90"/>
      <c r="Y951" s="90"/>
    </row>
    <row r="952" spans="15:25" ht="14.25" customHeight="1" x14ac:dyDescent="0.2">
      <c r="O952" s="90"/>
      <c r="P952" s="90"/>
      <c r="R952" s="90"/>
      <c r="S952" s="90"/>
      <c r="T952" s="90"/>
      <c r="Y952" s="90"/>
    </row>
    <row r="953" spans="15:25" ht="14.25" customHeight="1" x14ac:dyDescent="0.2">
      <c r="O953" s="90"/>
      <c r="P953" s="90"/>
      <c r="R953" s="90"/>
      <c r="S953" s="90"/>
      <c r="T953" s="90"/>
      <c r="Y953" s="90"/>
    </row>
    <row r="954" spans="15:25" ht="14.25" customHeight="1" x14ac:dyDescent="0.2">
      <c r="O954" s="90"/>
      <c r="P954" s="90"/>
      <c r="R954" s="90"/>
      <c r="S954" s="90"/>
      <c r="T954" s="90"/>
      <c r="Y954" s="90"/>
    </row>
    <row r="955" spans="15:25" ht="14.25" customHeight="1" x14ac:dyDescent="0.2">
      <c r="O955" s="90"/>
      <c r="P955" s="90"/>
      <c r="R955" s="90"/>
      <c r="S955" s="90"/>
      <c r="T955" s="90"/>
      <c r="Y955" s="90"/>
    </row>
    <row r="956" spans="15:25" ht="14.25" customHeight="1" x14ac:dyDescent="0.2">
      <c r="O956" s="90"/>
      <c r="P956" s="90"/>
      <c r="R956" s="90"/>
      <c r="S956" s="90"/>
      <c r="T956" s="90"/>
      <c r="Y956" s="90"/>
    </row>
    <row r="957" spans="15:25" ht="14.25" customHeight="1" x14ac:dyDescent="0.2">
      <c r="O957" s="90"/>
      <c r="P957" s="90"/>
      <c r="R957" s="90"/>
      <c r="S957" s="90"/>
      <c r="T957" s="90"/>
      <c r="Y957" s="90"/>
    </row>
    <row r="958" spans="15:25" ht="14.25" customHeight="1" x14ac:dyDescent="0.2">
      <c r="O958" s="90"/>
      <c r="P958" s="90"/>
      <c r="R958" s="90"/>
      <c r="S958" s="90"/>
      <c r="T958" s="90"/>
      <c r="Y958" s="90"/>
    </row>
    <row r="959" spans="15:25" ht="14.25" customHeight="1" x14ac:dyDescent="0.2">
      <c r="O959" s="90"/>
      <c r="P959" s="90"/>
      <c r="R959" s="90"/>
      <c r="S959" s="90"/>
      <c r="T959" s="90"/>
      <c r="Y959" s="90"/>
    </row>
    <row r="960" spans="15:25" ht="14.25" customHeight="1" x14ac:dyDescent="0.2">
      <c r="O960" s="90"/>
      <c r="P960" s="90"/>
      <c r="R960" s="90"/>
      <c r="S960" s="90"/>
      <c r="T960" s="90"/>
      <c r="Y960" s="90"/>
    </row>
    <row r="961" spans="15:25" ht="14.25" customHeight="1" x14ac:dyDescent="0.2">
      <c r="O961" s="90"/>
      <c r="P961" s="90"/>
      <c r="R961" s="90"/>
      <c r="S961" s="90"/>
      <c r="T961" s="90"/>
      <c r="Y961" s="90"/>
    </row>
    <row r="962" spans="15:25" ht="14.25" customHeight="1" x14ac:dyDescent="0.2">
      <c r="O962" s="90"/>
      <c r="P962" s="90"/>
      <c r="R962" s="90"/>
      <c r="S962" s="90"/>
      <c r="T962" s="90"/>
      <c r="Y962" s="90"/>
    </row>
    <row r="963" spans="15:25" ht="14.25" customHeight="1" x14ac:dyDescent="0.2">
      <c r="O963" s="90"/>
      <c r="P963" s="90"/>
      <c r="R963" s="90"/>
      <c r="S963" s="90"/>
      <c r="T963" s="90"/>
      <c r="Y963" s="90"/>
    </row>
    <row r="964" spans="15:25" ht="14.25" customHeight="1" x14ac:dyDescent="0.2">
      <c r="O964" s="90"/>
      <c r="P964" s="90"/>
      <c r="R964" s="90"/>
      <c r="S964" s="90"/>
      <c r="T964" s="90"/>
      <c r="Y964" s="90"/>
    </row>
    <row r="965" spans="15:25" ht="14.25" customHeight="1" x14ac:dyDescent="0.2">
      <c r="O965" s="90"/>
      <c r="P965" s="90"/>
      <c r="R965" s="90"/>
      <c r="S965" s="90"/>
      <c r="T965" s="90"/>
      <c r="Y965" s="90"/>
    </row>
    <row r="966" spans="15:25" ht="14.25" customHeight="1" x14ac:dyDescent="0.2">
      <c r="O966" s="90"/>
      <c r="P966" s="90"/>
      <c r="R966" s="90"/>
      <c r="S966" s="90"/>
      <c r="T966" s="90"/>
      <c r="Y966" s="90"/>
    </row>
    <row r="967" spans="15:25" ht="14.25" customHeight="1" x14ac:dyDescent="0.2">
      <c r="O967" s="90"/>
      <c r="P967" s="90"/>
      <c r="R967" s="90"/>
      <c r="S967" s="90"/>
      <c r="T967" s="90"/>
      <c r="Y967" s="90"/>
    </row>
    <row r="968" spans="15:25" ht="14.25" customHeight="1" x14ac:dyDescent="0.2">
      <c r="O968" s="90"/>
      <c r="P968" s="90"/>
      <c r="R968" s="90"/>
      <c r="S968" s="90"/>
      <c r="T968" s="90"/>
      <c r="Y968" s="90"/>
    </row>
    <row r="969" spans="15:25" ht="14.25" customHeight="1" x14ac:dyDescent="0.2">
      <c r="O969" s="90"/>
      <c r="P969" s="90"/>
      <c r="R969" s="90"/>
      <c r="S969" s="90"/>
      <c r="T969" s="90"/>
      <c r="Y969" s="90"/>
    </row>
    <row r="970" spans="15:25" ht="14.25" customHeight="1" x14ac:dyDescent="0.2">
      <c r="O970" s="90"/>
      <c r="P970" s="90"/>
      <c r="R970" s="90"/>
      <c r="S970" s="90"/>
      <c r="T970" s="90"/>
      <c r="Y970" s="90"/>
    </row>
    <row r="971" spans="15:25" ht="14.25" customHeight="1" x14ac:dyDescent="0.2">
      <c r="O971" s="90"/>
      <c r="P971" s="90"/>
      <c r="R971" s="90"/>
      <c r="S971" s="90"/>
      <c r="T971" s="90"/>
      <c r="Y971" s="90"/>
    </row>
    <row r="972" spans="15:25" ht="14.25" customHeight="1" x14ac:dyDescent="0.2">
      <c r="O972" s="90"/>
      <c r="P972" s="90"/>
      <c r="R972" s="90"/>
      <c r="S972" s="90"/>
      <c r="T972" s="90"/>
      <c r="Y972" s="90"/>
    </row>
    <row r="973" spans="15:25" ht="14.25" customHeight="1" x14ac:dyDescent="0.2">
      <c r="O973" s="90"/>
      <c r="P973" s="90"/>
      <c r="R973" s="90"/>
      <c r="S973" s="90"/>
      <c r="T973" s="90"/>
      <c r="Y973" s="90"/>
    </row>
    <row r="974" spans="15:25" ht="14.25" customHeight="1" x14ac:dyDescent="0.2">
      <c r="O974" s="90"/>
      <c r="P974" s="90"/>
      <c r="R974" s="90"/>
      <c r="S974" s="90"/>
      <c r="T974" s="90"/>
      <c r="Y974" s="90"/>
    </row>
    <row r="975" spans="15:25" ht="14.25" customHeight="1" x14ac:dyDescent="0.2">
      <c r="O975" s="90"/>
      <c r="P975" s="90"/>
      <c r="R975" s="90"/>
      <c r="S975" s="90"/>
      <c r="T975" s="90"/>
      <c r="Y975" s="90"/>
    </row>
    <row r="976" spans="15:25" ht="14.25" customHeight="1" x14ac:dyDescent="0.2">
      <c r="O976" s="90"/>
      <c r="P976" s="90"/>
      <c r="R976" s="90"/>
      <c r="S976" s="90"/>
      <c r="T976" s="90"/>
      <c r="Y976" s="90"/>
    </row>
    <row r="977" spans="15:25" ht="14.25" customHeight="1" x14ac:dyDescent="0.2">
      <c r="O977" s="90"/>
      <c r="P977" s="90"/>
      <c r="R977" s="90"/>
      <c r="S977" s="90"/>
      <c r="T977" s="90"/>
      <c r="Y977" s="90"/>
    </row>
    <row r="978" spans="15:25" ht="14.25" customHeight="1" x14ac:dyDescent="0.2">
      <c r="O978" s="90"/>
      <c r="P978" s="90"/>
      <c r="R978" s="90"/>
      <c r="S978" s="90"/>
      <c r="T978" s="90"/>
      <c r="Y978" s="90"/>
    </row>
    <row r="979" spans="15:25" ht="14.25" customHeight="1" x14ac:dyDescent="0.2">
      <c r="O979" s="90"/>
      <c r="P979" s="90"/>
      <c r="R979" s="90"/>
      <c r="S979" s="90"/>
      <c r="T979" s="90"/>
      <c r="Y979" s="90"/>
    </row>
    <row r="980" spans="15:25" ht="14.25" customHeight="1" x14ac:dyDescent="0.2">
      <c r="O980" s="90"/>
      <c r="P980" s="90"/>
      <c r="R980" s="90"/>
      <c r="S980" s="90"/>
      <c r="T980" s="90"/>
      <c r="Y980" s="90"/>
    </row>
    <row r="981" spans="15:25" ht="14.25" customHeight="1" x14ac:dyDescent="0.2">
      <c r="O981" s="90"/>
      <c r="P981" s="90"/>
      <c r="R981" s="90"/>
      <c r="S981" s="90"/>
      <c r="T981" s="90"/>
      <c r="Y981" s="90"/>
    </row>
    <row r="982" spans="15:25" ht="14.25" customHeight="1" x14ac:dyDescent="0.2">
      <c r="O982" s="90"/>
      <c r="P982" s="90"/>
      <c r="R982" s="90"/>
      <c r="S982" s="90"/>
      <c r="T982" s="90"/>
      <c r="Y982" s="90"/>
    </row>
    <row r="983" spans="15:25" ht="14.25" customHeight="1" x14ac:dyDescent="0.2">
      <c r="O983" s="90"/>
      <c r="P983" s="90"/>
      <c r="R983" s="90"/>
      <c r="S983" s="90"/>
      <c r="T983" s="90"/>
      <c r="Y983" s="90"/>
    </row>
    <row r="984" spans="15:25" ht="14.25" customHeight="1" x14ac:dyDescent="0.2">
      <c r="O984" s="90"/>
      <c r="P984" s="90"/>
      <c r="R984" s="90"/>
      <c r="S984" s="90"/>
      <c r="T984" s="90"/>
      <c r="Y984" s="90"/>
    </row>
    <row r="985" spans="15:25" ht="14.25" customHeight="1" x14ac:dyDescent="0.2">
      <c r="O985" s="90"/>
      <c r="P985" s="90"/>
      <c r="R985" s="90"/>
      <c r="S985" s="90"/>
      <c r="T985" s="90"/>
      <c r="Y985" s="90"/>
    </row>
    <row r="986" spans="15:25" ht="14.25" customHeight="1" x14ac:dyDescent="0.2">
      <c r="O986" s="90"/>
      <c r="P986" s="90"/>
      <c r="R986" s="90"/>
      <c r="S986" s="90"/>
      <c r="T986" s="90"/>
      <c r="Y986" s="90"/>
    </row>
    <row r="987" spans="15:25" ht="14.25" customHeight="1" x14ac:dyDescent="0.2">
      <c r="O987" s="90"/>
      <c r="P987" s="90"/>
      <c r="R987" s="90"/>
      <c r="S987" s="90"/>
      <c r="T987" s="90"/>
      <c r="Y987" s="90"/>
    </row>
    <row r="988" spans="15:25" ht="14.25" customHeight="1" x14ac:dyDescent="0.2">
      <c r="O988" s="90"/>
      <c r="P988" s="90"/>
      <c r="R988" s="90"/>
      <c r="S988" s="90"/>
      <c r="T988" s="90"/>
      <c r="Y988" s="90"/>
    </row>
    <row r="989" spans="15:25" ht="14.25" customHeight="1" x14ac:dyDescent="0.2">
      <c r="O989" s="90"/>
      <c r="P989" s="90"/>
      <c r="R989" s="90"/>
      <c r="S989" s="90"/>
      <c r="T989" s="90"/>
      <c r="Y989" s="90"/>
    </row>
    <row r="990" spans="15:25" ht="14.25" customHeight="1" x14ac:dyDescent="0.2">
      <c r="O990" s="90"/>
      <c r="P990" s="90"/>
      <c r="R990" s="90"/>
      <c r="S990" s="90"/>
      <c r="T990" s="90"/>
      <c r="Y990" s="90"/>
    </row>
    <row r="991" spans="15:25" ht="14.25" customHeight="1" x14ac:dyDescent="0.2">
      <c r="O991" s="90"/>
      <c r="P991" s="90"/>
      <c r="R991" s="90"/>
      <c r="S991" s="90"/>
      <c r="T991" s="90"/>
      <c r="Y991" s="90"/>
    </row>
    <row r="992" spans="15:25" ht="14.25" customHeight="1" x14ac:dyDescent="0.2">
      <c r="O992" s="90"/>
      <c r="P992" s="90"/>
      <c r="R992" s="90"/>
      <c r="S992" s="90"/>
      <c r="T992" s="90"/>
      <c r="Y992" s="90"/>
    </row>
    <row r="993" spans="15:25" ht="14.25" customHeight="1" x14ac:dyDescent="0.2">
      <c r="O993" s="90"/>
      <c r="P993" s="90"/>
      <c r="R993" s="90"/>
      <c r="S993" s="90"/>
      <c r="T993" s="90"/>
      <c r="Y993" s="90"/>
    </row>
    <row r="994" spans="15:25" ht="14.25" customHeight="1" x14ac:dyDescent="0.2">
      <c r="O994" s="90"/>
      <c r="P994" s="90"/>
      <c r="R994" s="90"/>
      <c r="S994" s="90"/>
      <c r="T994" s="90"/>
      <c r="Y994" s="90"/>
    </row>
    <row r="995" spans="15:25" ht="14.25" customHeight="1" x14ac:dyDescent="0.2">
      <c r="O995" s="90"/>
      <c r="P995" s="90"/>
      <c r="R995" s="90"/>
      <c r="S995" s="90"/>
      <c r="T995" s="90"/>
      <c r="Y995" s="90"/>
    </row>
    <row r="996" spans="15:25" ht="14.25" customHeight="1" x14ac:dyDescent="0.2">
      <c r="O996" s="90"/>
      <c r="P996" s="90"/>
      <c r="R996" s="90"/>
      <c r="S996" s="90"/>
      <c r="T996" s="90"/>
      <c r="Y996" s="90"/>
    </row>
    <row r="997" spans="15:25" ht="14.25" customHeight="1" x14ac:dyDescent="0.2">
      <c r="O997" s="90"/>
      <c r="P997" s="90"/>
      <c r="R997" s="90"/>
      <c r="S997" s="90"/>
      <c r="T997" s="90"/>
      <c r="Y997" s="90"/>
    </row>
    <row r="998" spans="15:25" ht="14.25" customHeight="1" x14ac:dyDescent="0.2">
      <c r="O998" s="90"/>
      <c r="P998" s="90"/>
      <c r="R998" s="90"/>
      <c r="S998" s="90"/>
      <c r="T998" s="90"/>
      <c r="Y998" s="90"/>
    </row>
    <row r="999" spans="15:25" ht="14.25" customHeight="1" x14ac:dyDescent="0.2">
      <c r="O999" s="90"/>
      <c r="P999" s="90"/>
      <c r="R999" s="90"/>
      <c r="S999" s="90"/>
      <c r="T999" s="90"/>
      <c r="Y999" s="90"/>
    </row>
    <row r="1000" spans="15:25" ht="14.25" customHeight="1" x14ac:dyDescent="0.2">
      <c r="O1000" s="90"/>
      <c r="P1000" s="90"/>
      <c r="R1000" s="90"/>
      <c r="S1000" s="90"/>
      <c r="T1000" s="90"/>
      <c r="Y1000" s="90"/>
    </row>
    <row r="1001" spans="15:25" ht="14.25" customHeight="1" x14ac:dyDescent="0.2">
      <c r="O1001" s="90"/>
      <c r="P1001" s="90"/>
      <c r="R1001" s="90"/>
      <c r="S1001" s="90"/>
      <c r="T1001" s="90"/>
      <c r="Y1001" s="90"/>
    </row>
    <row r="1002" spans="15:25" ht="14.25" customHeight="1" x14ac:dyDescent="0.2">
      <c r="O1002" s="90"/>
      <c r="P1002" s="90"/>
      <c r="R1002" s="90"/>
      <c r="S1002" s="90"/>
      <c r="T1002" s="90"/>
      <c r="Y1002" s="90"/>
    </row>
    <row r="1003" spans="15:25" ht="14.25" customHeight="1" x14ac:dyDescent="0.2">
      <c r="O1003" s="90"/>
      <c r="P1003" s="90"/>
      <c r="R1003" s="90"/>
      <c r="S1003" s="90"/>
      <c r="T1003" s="90"/>
      <c r="Y1003" s="90"/>
    </row>
    <row r="1004" spans="15:25" ht="14.25" customHeight="1" x14ac:dyDescent="0.2">
      <c r="O1004" s="90"/>
      <c r="P1004" s="90"/>
      <c r="R1004" s="90"/>
      <c r="S1004" s="90"/>
      <c r="T1004" s="90"/>
      <c r="Y1004" s="90"/>
    </row>
    <row r="1005" spans="15:25" ht="14.25" customHeight="1" x14ac:dyDescent="0.2">
      <c r="O1005" s="90"/>
      <c r="P1005" s="90"/>
      <c r="R1005" s="90"/>
      <c r="S1005" s="90"/>
      <c r="T1005" s="90"/>
      <c r="Y1005" s="90"/>
    </row>
    <row r="1006" spans="15:25" ht="14.25" customHeight="1" x14ac:dyDescent="0.2">
      <c r="O1006" s="90"/>
      <c r="P1006" s="90"/>
      <c r="R1006" s="90"/>
      <c r="S1006" s="90"/>
      <c r="T1006" s="90"/>
      <c r="Y1006" s="90"/>
    </row>
    <row r="1007" spans="15:25" ht="14.25" customHeight="1" x14ac:dyDescent="0.2">
      <c r="O1007" s="90"/>
      <c r="P1007" s="90"/>
      <c r="R1007" s="90"/>
      <c r="S1007" s="90"/>
      <c r="T1007" s="90"/>
      <c r="Y1007" s="90"/>
    </row>
    <row r="1008" spans="15:25" ht="14.25" customHeight="1" x14ac:dyDescent="0.2">
      <c r="O1008" s="90"/>
      <c r="P1008" s="90"/>
      <c r="R1008" s="90"/>
      <c r="S1008" s="90"/>
      <c r="T1008" s="90"/>
      <c r="Y1008" s="90"/>
    </row>
    <row r="1009" spans="15:25" ht="14.25" customHeight="1" x14ac:dyDescent="0.2">
      <c r="O1009" s="90"/>
      <c r="P1009" s="90"/>
      <c r="R1009" s="90"/>
      <c r="S1009" s="90"/>
      <c r="T1009" s="90"/>
      <c r="Y1009" s="90"/>
    </row>
    <row r="1010" spans="15:25" ht="14.25" customHeight="1" x14ac:dyDescent="0.2">
      <c r="O1010" s="90"/>
      <c r="P1010" s="90"/>
      <c r="R1010" s="90"/>
      <c r="S1010" s="90"/>
      <c r="T1010" s="90"/>
      <c r="Y1010" s="90"/>
    </row>
    <row r="1011" spans="15:25" ht="14.25" customHeight="1" x14ac:dyDescent="0.2">
      <c r="O1011" s="90"/>
      <c r="P1011" s="90"/>
      <c r="R1011" s="90"/>
      <c r="S1011" s="90"/>
      <c r="T1011" s="90"/>
      <c r="Y1011" s="90"/>
    </row>
    <row r="1012" spans="15:25" ht="14.25" customHeight="1" x14ac:dyDescent="0.2">
      <c r="O1012" s="90"/>
      <c r="P1012" s="90"/>
      <c r="R1012" s="90"/>
      <c r="S1012" s="90"/>
      <c r="T1012" s="90"/>
      <c r="Y1012" s="90"/>
    </row>
    <row r="1013" spans="15:25" ht="14.25" customHeight="1" x14ac:dyDescent="0.2">
      <c r="O1013" s="90"/>
      <c r="P1013" s="90"/>
      <c r="R1013" s="90"/>
      <c r="S1013" s="90"/>
      <c r="T1013" s="90"/>
      <c r="Y1013" s="90"/>
    </row>
    <row r="1014" spans="15:25" ht="14.25" customHeight="1" x14ac:dyDescent="0.2">
      <c r="O1014" s="90"/>
      <c r="P1014" s="90"/>
      <c r="R1014" s="90"/>
      <c r="S1014" s="90"/>
      <c r="T1014" s="90"/>
      <c r="Y1014" s="90"/>
    </row>
    <row r="1015" spans="15:25" ht="14.25" customHeight="1" x14ac:dyDescent="0.2">
      <c r="O1015" s="90"/>
      <c r="P1015" s="90"/>
      <c r="R1015" s="90"/>
      <c r="S1015" s="90"/>
      <c r="T1015" s="90"/>
      <c r="Y1015" s="90"/>
    </row>
    <row r="1016" spans="15:25" ht="14.25" customHeight="1" x14ac:dyDescent="0.2">
      <c r="O1016" s="90"/>
      <c r="P1016" s="90"/>
      <c r="R1016" s="90"/>
      <c r="S1016" s="90"/>
      <c r="T1016" s="90"/>
      <c r="Y1016" s="90"/>
    </row>
    <row r="1017" spans="15:25" ht="14.25" customHeight="1" x14ac:dyDescent="0.2">
      <c r="O1017" s="90"/>
      <c r="P1017" s="90"/>
      <c r="R1017" s="90"/>
      <c r="S1017" s="90"/>
      <c r="T1017" s="90"/>
      <c r="Y1017" s="90"/>
    </row>
    <row r="1018" spans="15:25" ht="14.25" customHeight="1" x14ac:dyDescent="0.2">
      <c r="O1018" s="90"/>
      <c r="P1018" s="90"/>
      <c r="R1018" s="90"/>
      <c r="S1018" s="90"/>
      <c r="T1018" s="90"/>
      <c r="Y1018" s="90"/>
    </row>
    <row r="1019" spans="15:25" ht="14.25" customHeight="1" x14ac:dyDescent="0.2">
      <c r="O1019" s="90"/>
      <c r="P1019" s="90"/>
      <c r="R1019" s="90"/>
      <c r="S1019" s="90"/>
      <c r="T1019" s="90"/>
      <c r="Y1019" s="90"/>
    </row>
    <row r="1020" spans="15:25" ht="14.25" customHeight="1" x14ac:dyDescent="0.2">
      <c r="O1020" s="90"/>
      <c r="P1020" s="90"/>
      <c r="R1020" s="90"/>
      <c r="S1020" s="90"/>
      <c r="T1020" s="90"/>
      <c r="Y1020" s="90"/>
    </row>
    <row r="1021" spans="15:25" ht="14.25" customHeight="1" x14ac:dyDescent="0.2">
      <c r="O1021" s="90"/>
      <c r="P1021" s="90"/>
      <c r="R1021" s="90"/>
      <c r="S1021" s="90"/>
      <c r="T1021" s="90"/>
      <c r="Y1021" s="90"/>
    </row>
    <row r="1022" spans="15:25" ht="14.25" customHeight="1" x14ac:dyDescent="0.2">
      <c r="O1022" s="90"/>
      <c r="P1022" s="90"/>
      <c r="R1022" s="90"/>
      <c r="S1022" s="90"/>
      <c r="T1022" s="90"/>
      <c r="Y1022" s="90"/>
    </row>
    <row r="1023" spans="15:25" ht="14.25" customHeight="1" x14ac:dyDescent="0.2">
      <c r="O1023" s="90"/>
      <c r="P1023" s="90"/>
      <c r="R1023" s="90"/>
      <c r="S1023" s="90"/>
      <c r="T1023" s="90"/>
      <c r="Y1023" s="90"/>
    </row>
    <row r="1024" spans="15:25" ht="14.25" customHeight="1" x14ac:dyDescent="0.2">
      <c r="O1024" s="90"/>
      <c r="P1024" s="90"/>
      <c r="R1024" s="90"/>
      <c r="S1024" s="90"/>
      <c r="T1024" s="90"/>
      <c r="Y1024" s="90"/>
    </row>
    <row r="1025" spans="15:25" ht="14.25" customHeight="1" x14ac:dyDescent="0.2">
      <c r="O1025" s="90"/>
      <c r="P1025" s="90"/>
      <c r="R1025" s="90"/>
      <c r="S1025" s="90"/>
      <c r="T1025" s="90"/>
      <c r="Y1025" s="90"/>
    </row>
    <row r="1026" spans="15:25" ht="14.25" customHeight="1" x14ac:dyDescent="0.2">
      <c r="O1026" s="90"/>
      <c r="P1026" s="90"/>
      <c r="R1026" s="90"/>
      <c r="S1026" s="90"/>
      <c r="T1026" s="90"/>
      <c r="Y1026" s="90"/>
    </row>
    <row r="1027" spans="15:25" ht="14.25" customHeight="1" x14ac:dyDescent="0.2">
      <c r="O1027" s="90"/>
      <c r="P1027" s="90"/>
      <c r="R1027" s="90"/>
      <c r="S1027" s="90"/>
      <c r="T1027" s="90"/>
      <c r="Y1027" s="90"/>
    </row>
    <row r="1028" spans="15:25" ht="14.25" customHeight="1" x14ac:dyDescent="0.2">
      <c r="O1028" s="90"/>
      <c r="P1028" s="90"/>
      <c r="R1028" s="90"/>
      <c r="S1028" s="90"/>
      <c r="T1028" s="90"/>
      <c r="Y1028" s="90"/>
    </row>
    <row r="1029" spans="15:25" ht="14.25" customHeight="1" x14ac:dyDescent="0.2">
      <c r="O1029" s="90"/>
      <c r="P1029" s="90"/>
      <c r="R1029" s="90"/>
      <c r="S1029" s="90"/>
      <c r="T1029" s="90"/>
      <c r="Y1029" s="90"/>
    </row>
    <row r="1030" spans="15:25" ht="14.25" customHeight="1" x14ac:dyDescent="0.2">
      <c r="O1030" s="90"/>
      <c r="P1030" s="90"/>
      <c r="R1030" s="90"/>
      <c r="S1030" s="90"/>
      <c r="T1030" s="90"/>
      <c r="Y1030" s="90"/>
    </row>
    <row r="1031" spans="15:25" ht="14.25" customHeight="1" x14ac:dyDescent="0.2">
      <c r="O1031" s="90"/>
      <c r="P1031" s="90"/>
      <c r="R1031" s="90"/>
      <c r="S1031" s="90"/>
      <c r="T1031" s="90"/>
      <c r="Y1031" s="90"/>
    </row>
    <row r="1032" spans="15:25" ht="14.25" customHeight="1" x14ac:dyDescent="0.2">
      <c r="O1032" s="90"/>
      <c r="P1032" s="90"/>
      <c r="R1032" s="90"/>
      <c r="S1032" s="90"/>
      <c r="T1032" s="90"/>
      <c r="Y1032" s="90"/>
    </row>
    <row r="1033" spans="15:25" ht="14.25" customHeight="1" x14ac:dyDescent="0.2">
      <c r="O1033" s="90"/>
      <c r="P1033" s="90"/>
      <c r="R1033" s="90"/>
      <c r="S1033" s="90"/>
      <c r="T1033" s="90"/>
      <c r="Y1033" s="90"/>
    </row>
    <row r="1034" spans="15:25" ht="14.25" customHeight="1" x14ac:dyDescent="0.2">
      <c r="O1034" s="90"/>
      <c r="P1034" s="90"/>
      <c r="R1034" s="90"/>
      <c r="S1034" s="90"/>
      <c r="T1034" s="90"/>
      <c r="Y1034" s="90"/>
    </row>
    <row r="1035" spans="15:25" ht="14.25" customHeight="1" x14ac:dyDescent="0.2">
      <c r="O1035" s="90"/>
      <c r="P1035" s="90"/>
      <c r="R1035" s="90"/>
      <c r="S1035" s="90"/>
      <c r="T1035" s="90"/>
      <c r="Y1035" s="90"/>
    </row>
    <row r="1036" spans="15:25" ht="14.25" customHeight="1" x14ac:dyDescent="0.2">
      <c r="O1036" s="90"/>
      <c r="P1036" s="90"/>
      <c r="R1036" s="90"/>
      <c r="S1036" s="90"/>
      <c r="T1036" s="90"/>
      <c r="Y1036" s="90"/>
    </row>
    <row r="1037" spans="15:25" ht="14.25" customHeight="1" x14ac:dyDescent="0.2">
      <c r="O1037" s="90"/>
      <c r="P1037" s="90"/>
      <c r="R1037" s="90"/>
      <c r="S1037" s="90"/>
      <c r="T1037" s="90"/>
      <c r="Y1037" s="90"/>
    </row>
    <row r="1038" spans="15:25" ht="14.25" customHeight="1" x14ac:dyDescent="0.2">
      <c r="O1038" s="90"/>
      <c r="P1038" s="90"/>
      <c r="R1038" s="90"/>
      <c r="S1038" s="90"/>
      <c r="T1038" s="90"/>
      <c r="Y1038" s="90"/>
    </row>
    <row r="1039" spans="15:25" ht="14.25" customHeight="1" x14ac:dyDescent="0.2">
      <c r="O1039" s="90"/>
      <c r="P1039" s="90"/>
      <c r="R1039" s="90"/>
      <c r="S1039" s="90"/>
      <c r="T1039" s="90"/>
      <c r="Y1039" s="90"/>
    </row>
    <row r="1040" spans="15:25" ht="14.25" customHeight="1" x14ac:dyDescent="0.2">
      <c r="O1040" s="90"/>
      <c r="P1040" s="90"/>
      <c r="R1040" s="90"/>
      <c r="S1040" s="90"/>
      <c r="T1040" s="90"/>
      <c r="Y1040" s="90"/>
    </row>
    <row r="1041" spans="15:25" ht="14.25" customHeight="1" x14ac:dyDescent="0.2">
      <c r="O1041" s="90"/>
      <c r="P1041" s="90"/>
      <c r="R1041" s="90"/>
      <c r="S1041" s="90"/>
      <c r="T1041" s="90"/>
      <c r="Y1041" s="90"/>
    </row>
    <row r="1042" spans="15:25" ht="14.25" customHeight="1" x14ac:dyDescent="0.2">
      <c r="O1042" s="90"/>
      <c r="P1042" s="90"/>
      <c r="R1042" s="90"/>
      <c r="S1042" s="90"/>
      <c r="T1042" s="90"/>
      <c r="Y1042" s="90"/>
    </row>
    <row r="1043" spans="15:25" ht="14.25" customHeight="1" x14ac:dyDescent="0.2">
      <c r="O1043" s="90"/>
      <c r="P1043" s="90"/>
      <c r="R1043" s="90"/>
      <c r="S1043" s="90"/>
      <c r="T1043" s="90"/>
      <c r="Y1043" s="90"/>
    </row>
    <row r="1044" spans="15:25" ht="14.25" customHeight="1" x14ac:dyDescent="0.2">
      <c r="O1044" s="90"/>
      <c r="P1044" s="90"/>
      <c r="R1044" s="90"/>
      <c r="S1044" s="90"/>
      <c r="T1044" s="90"/>
      <c r="Y1044" s="90"/>
    </row>
    <row r="1045" spans="15:25" ht="14.25" customHeight="1" x14ac:dyDescent="0.2">
      <c r="O1045" s="90"/>
      <c r="P1045" s="90"/>
      <c r="R1045" s="90"/>
      <c r="S1045" s="90"/>
      <c r="T1045" s="90"/>
      <c r="Y1045" s="90"/>
    </row>
    <row r="1046" spans="15:25" ht="14.25" customHeight="1" x14ac:dyDescent="0.2">
      <c r="O1046" s="90"/>
      <c r="P1046" s="90"/>
      <c r="R1046" s="90"/>
      <c r="S1046" s="90"/>
      <c r="T1046" s="90"/>
      <c r="Y1046" s="90"/>
    </row>
    <row r="1047" spans="15:25" ht="14.25" customHeight="1" x14ac:dyDescent="0.2">
      <c r="O1047" s="90"/>
      <c r="P1047" s="90"/>
      <c r="R1047" s="90"/>
      <c r="S1047" s="90"/>
      <c r="T1047" s="90"/>
      <c r="Y1047" s="90"/>
    </row>
    <row r="1048" spans="15:25" ht="14.25" customHeight="1" x14ac:dyDescent="0.2">
      <c r="O1048" s="90"/>
      <c r="P1048" s="90"/>
      <c r="R1048" s="90"/>
      <c r="S1048" s="90"/>
      <c r="T1048" s="90"/>
      <c r="Y1048" s="90"/>
    </row>
    <row r="1049" spans="15:25" ht="14.25" customHeight="1" x14ac:dyDescent="0.2">
      <c r="O1049" s="90"/>
      <c r="P1049" s="90"/>
      <c r="R1049" s="90"/>
      <c r="S1049" s="90"/>
      <c r="T1049" s="90"/>
      <c r="Y1049" s="90"/>
    </row>
    <row r="1050" spans="15:25" ht="14.25" customHeight="1" x14ac:dyDescent="0.2">
      <c r="O1050" s="90"/>
      <c r="P1050" s="90"/>
      <c r="R1050" s="90"/>
      <c r="S1050" s="90"/>
      <c r="T1050" s="90"/>
      <c r="Y1050" s="90"/>
    </row>
    <row r="1051" spans="15:25" ht="14.25" customHeight="1" x14ac:dyDescent="0.2">
      <c r="O1051" s="90"/>
      <c r="P1051" s="90"/>
      <c r="R1051" s="90"/>
      <c r="S1051" s="90"/>
      <c r="T1051" s="90"/>
      <c r="Y1051" s="90"/>
    </row>
    <row r="1052" spans="15:25" ht="14.25" customHeight="1" x14ac:dyDescent="0.2">
      <c r="O1052" s="90"/>
      <c r="P1052" s="90"/>
      <c r="R1052" s="90"/>
      <c r="S1052" s="90"/>
      <c r="T1052" s="90"/>
      <c r="Y1052" s="90"/>
    </row>
    <row r="1053" spans="15:25" ht="14.25" customHeight="1" x14ac:dyDescent="0.2">
      <c r="O1053" s="90"/>
      <c r="P1053" s="90"/>
      <c r="R1053" s="90"/>
      <c r="S1053" s="90"/>
      <c r="T1053" s="90"/>
      <c r="Y1053" s="90"/>
    </row>
    <row r="1054" spans="15:25" ht="14.25" customHeight="1" x14ac:dyDescent="0.2">
      <c r="O1054" s="90"/>
      <c r="P1054" s="90"/>
      <c r="R1054" s="90"/>
      <c r="S1054" s="90"/>
      <c r="T1054" s="90"/>
      <c r="Y1054" s="90"/>
    </row>
    <row r="1055" spans="15:25" ht="14.25" customHeight="1" x14ac:dyDescent="0.2">
      <c r="O1055" s="90"/>
      <c r="P1055" s="90"/>
      <c r="R1055" s="90"/>
      <c r="S1055" s="90"/>
      <c r="T1055" s="90"/>
      <c r="Y1055" s="90"/>
    </row>
    <row r="1056" spans="15:25" ht="14.25" customHeight="1" x14ac:dyDescent="0.2">
      <c r="O1056" s="90"/>
      <c r="P1056" s="90"/>
      <c r="R1056" s="90"/>
      <c r="S1056" s="90"/>
      <c r="T1056" s="90"/>
      <c r="Y1056" s="90"/>
    </row>
    <row r="1057" spans="15:25" ht="14.25" customHeight="1" x14ac:dyDescent="0.2">
      <c r="O1057" s="90"/>
      <c r="P1057" s="90"/>
      <c r="R1057" s="90"/>
      <c r="S1057" s="90"/>
      <c r="T1057" s="90"/>
      <c r="Y1057" s="90"/>
    </row>
    <row r="1058" spans="15:25" ht="14.25" customHeight="1" x14ac:dyDescent="0.2">
      <c r="O1058" s="90"/>
      <c r="P1058" s="90"/>
      <c r="R1058" s="90"/>
      <c r="S1058" s="90"/>
      <c r="T1058" s="90"/>
      <c r="Y1058" s="90"/>
    </row>
    <row r="1059" spans="15:25" ht="14.25" customHeight="1" x14ac:dyDescent="0.2">
      <c r="O1059" s="90"/>
      <c r="P1059" s="90"/>
      <c r="R1059" s="90"/>
      <c r="S1059" s="90"/>
      <c r="T1059" s="90"/>
      <c r="Y1059" s="90"/>
    </row>
    <row r="1060" spans="15:25" ht="14.25" customHeight="1" x14ac:dyDescent="0.2">
      <c r="O1060" s="90"/>
      <c r="P1060" s="90"/>
      <c r="R1060" s="90"/>
      <c r="S1060" s="90"/>
      <c r="T1060" s="90"/>
      <c r="Y1060" s="90"/>
    </row>
    <row r="1061" spans="15:25" ht="14.25" customHeight="1" x14ac:dyDescent="0.2">
      <c r="O1061" s="90"/>
      <c r="P1061" s="90"/>
      <c r="R1061" s="90"/>
      <c r="S1061" s="90"/>
      <c r="T1061" s="90"/>
      <c r="Y1061" s="90"/>
    </row>
    <row r="1062" spans="15:25" ht="14.25" customHeight="1" x14ac:dyDescent="0.2">
      <c r="O1062" s="90"/>
      <c r="P1062" s="90"/>
      <c r="R1062" s="90"/>
      <c r="S1062" s="90"/>
      <c r="T1062" s="90"/>
      <c r="Y1062" s="90"/>
    </row>
    <row r="1063" spans="15:25" ht="14.25" customHeight="1" x14ac:dyDescent="0.2">
      <c r="O1063" s="90"/>
      <c r="P1063" s="90"/>
      <c r="R1063" s="90"/>
      <c r="S1063" s="90"/>
      <c r="T1063" s="90"/>
      <c r="Y1063" s="90"/>
    </row>
    <row r="1064" spans="15:25" ht="14.25" customHeight="1" x14ac:dyDescent="0.2">
      <c r="O1064" s="90"/>
      <c r="P1064" s="90"/>
      <c r="R1064" s="90"/>
      <c r="S1064" s="90"/>
      <c r="T1064" s="90"/>
      <c r="Y1064" s="90"/>
    </row>
    <row r="1065" spans="15:25" ht="14.25" customHeight="1" x14ac:dyDescent="0.2">
      <c r="O1065" s="90"/>
      <c r="P1065" s="90"/>
      <c r="R1065" s="90"/>
      <c r="S1065" s="90"/>
      <c r="T1065" s="90"/>
      <c r="Y1065" s="90"/>
    </row>
    <row r="1066" spans="15:25" ht="14.25" customHeight="1" x14ac:dyDescent="0.2">
      <c r="O1066" s="90"/>
      <c r="P1066" s="90"/>
      <c r="R1066" s="90"/>
      <c r="S1066" s="90"/>
      <c r="T1066" s="90"/>
      <c r="Y1066" s="90"/>
    </row>
    <row r="1067" spans="15:25" ht="14.25" customHeight="1" x14ac:dyDescent="0.2">
      <c r="O1067" s="90"/>
      <c r="P1067" s="90"/>
      <c r="R1067" s="90"/>
      <c r="S1067" s="90"/>
      <c r="T1067" s="90"/>
      <c r="Y1067" s="90"/>
    </row>
    <row r="1068" spans="15:25" ht="14.25" customHeight="1" x14ac:dyDescent="0.2">
      <c r="O1068" s="90"/>
      <c r="P1068" s="90"/>
      <c r="R1068" s="90"/>
      <c r="S1068" s="90"/>
      <c r="T1068" s="90"/>
      <c r="Y1068" s="90"/>
    </row>
    <row r="1069" spans="15:25" ht="14.25" customHeight="1" x14ac:dyDescent="0.2">
      <c r="O1069" s="90"/>
      <c r="P1069" s="90"/>
      <c r="R1069" s="90"/>
      <c r="S1069" s="90"/>
      <c r="T1069" s="90"/>
      <c r="Y1069" s="90"/>
    </row>
    <row r="1070" spans="15:25" ht="14.25" customHeight="1" x14ac:dyDescent="0.2">
      <c r="O1070" s="90"/>
      <c r="P1070" s="90"/>
      <c r="R1070" s="90"/>
      <c r="S1070" s="90"/>
      <c r="T1070" s="90"/>
      <c r="Y1070" s="90"/>
    </row>
    <row r="1071" spans="15:25" ht="14.25" customHeight="1" x14ac:dyDescent="0.2">
      <c r="O1071" s="90"/>
      <c r="P1071" s="90"/>
      <c r="R1071" s="90"/>
      <c r="S1071" s="90"/>
      <c r="T1071" s="90"/>
      <c r="Y1071" s="90"/>
    </row>
    <row r="1072" spans="15:25" ht="14.25" customHeight="1" x14ac:dyDescent="0.2">
      <c r="O1072" s="90"/>
      <c r="P1072" s="90"/>
      <c r="R1072" s="90"/>
      <c r="S1072" s="90"/>
      <c r="T1072" s="90"/>
      <c r="Y1072" s="90"/>
    </row>
    <row r="1073" spans="15:25" ht="14.25" customHeight="1" x14ac:dyDescent="0.2">
      <c r="O1073" s="90"/>
      <c r="P1073" s="90"/>
      <c r="R1073" s="90"/>
      <c r="S1073" s="90"/>
      <c r="T1073" s="90"/>
      <c r="Y1073" s="90"/>
    </row>
    <row r="1074" spans="15:25" ht="14.25" customHeight="1" x14ac:dyDescent="0.2">
      <c r="O1074" s="90"/>
      <c r="P1074" s="90"/>
      <c r="R1074" s="90"/>
      <c r="S1074" s="90"/>
      <c r="T1074" s="90"/>
      <c r="Y1074" s="90"/>
    </row>
    <row r="1075" spans="15:25" ht="14.25" customHeight="1" x14ac:dyDescent="0.2">
      <c r="O1075" s="90"/>
      <c r="P1075" s="90"/>
      <c r="R1075" s="90"/>
      <c r="S1075" s="90"/>
      <c r="T1075" s="90"/>
      <c r="Y1075" s="90"/>
    </row>
    <row r="1076" spans="15:25" ht="14.25" customHeight="1" x14ac:dyDescent="0.2">
      <c r="O1076" s="90"/>
      <c r="P1076" s="90"/>
      <c r="R1076" s="90"/>
      <c r="S1076" s="90"/>
      <c r="T1076" s="90"/>
      <c r="Y1076" s="90"/>
    </row>
    <row r="1077" spans="15:25" ht="14.25" customHeight="1" x14ac:dyDescent="0.2">
      <c r="O1077" s="90"/>
      <c r="P1077" s="90"/>
      <c r="R1077" s="90"/>
      <c r="S1077" s="90"/>
      <c r="T1077" s="90"/>
      <c r="Y1077" s="90"/>
    </row>
    <row r="1078" spans="15:25" ht="14.25" customHeight="1" x14ac:dyDescent="0.2">
      <c r="O1078" s="90"/>
      <c r="P1078" s="90"/>
      <c r="R1078" s="90"/>
      <c r="S1078" s="90"/>
      <c r="T1078" s="90"/>
      <c r="Y1078" s="90"/>
    </row>
    <row r="1079" spans="15:25" ht="14.25" customHeight="1" x14ac:dyDescent="0.2">
      <c r="O1079" s="90"/>
      <c r="P1079" s="90"/>
      <c r="R1079" s="90"/>
      <c r="S1079" s="90"/>
      <c r="T1079" s="90"/>
      <c r="Y1079" s="90"/>
    </row>
    <row r="1080" spans="15:25" ht="14.25" customHeight="1" x14ac:dyDescent="0.2">
      <c r="O1080" s="90"/>
      <c r="P1080" s="90"/>
      <c r="R1080" s="90"/>
      <c r="S1080" s="90"/>
      <c r="T1080" s="90"/>
      <c r="Y1080" s="90"/>
    </row>
    <row r="1081" spans="15:25" ht="14.25" customHeight="1" x14ac:dyDescent="0.2">
      <c r="O1081" s="90"/>
      <c r="P1081" s="90"/>
      <c r="R1081" s="90"/>
      <c r="S1081" s="90"/>
      <c r="T1081" s="90"/>
      <c r="Y1081" s="90"/>
    </row>
    <row r="1082" spans="15:25" ht="14.25" customHeight="1" x14ac:dyDescent="0.2">
      <c r="O1082" s="90"/>
      <c r="P1082" s="90"/>
      <c r="R1082" s="90"/>
      <c r="S1082" s="90"/>
      <c r="T1082" s="90"/>
      <c r="Y1082" s="90"/>
    </row>
    <row r="1083" spans="15:25" ht="14.25" customHeight="1" x14ac:dyDescent="0.2">
      <c r="O1083" s="90"/>
      <c r="P1083" s="90"/>
      <c r="R1083" s="90"/>
      <c r="S1083" s="90"/>
      <c r="T1083" s="90"/>
      <c r="Y1083" s="90"/>
    </row>
    <row r="1084" spans="15:25" ht="14.25" customHeight="1" x14ac:dyDescent="0.2">
      <c r="O1084" s="90"/>
      <c r="P1084" s="90"/>
      <c r="R1084" s="90"/>
      <c r="S1084" s="90"/>
      <c r="T1084" s="90"/>
      <c r="Y1084" s="90"/>
    </row>
    <row r="1085" spans="15:25" ht="14.25" customHeight="1" x14ac:dyDescent="0.2">
      <c r="O1085" s="90"/>
      <c r="P1085" s="90"/>
      <c r="R1085" s="90"/>
      <c r="S1085" s="90"/>
      <c r="T1085" s="90"/>
      <c r="Y1085" s="90"/>
    </row>
    <row r="1086" spans="15:25" ht="14.25" customHeight="1" x14ac:dyDescent="0.2">
      <c r="O1086" s="90"/>
      <c r="P1086" s="90"/>
      <c r="R1086" s="90"/>
      <c r="S1086" s="90"/>
      <c r="T1086" s="90"/>
      <c r="Y1086" s="90"/>
    </row>
    <row r="1087" spans="15:25" ht="14.25" customHeight="1" x14ac:dyDescent="0.2">
      <c r="O1087" s="90"/>
      <c r="P1087" s="90"/>
      <c r="R1087" s="90"/>
      <c r="S1087" s="90"/>
      <c r="T1087" s="90"/>
      <c r="Y1087" s="90"/>
    </row>
    <row r="1088" spans="15:25" ht="14.25" customHeight="1" x14ac:dyDescent="0.2">
      <c r="O1088" s="90"/>
      <c r="P1088" s="90"/>
      <c r="R1088" s="90"/>
      <c r="S1088" s="90"/>
      <c r="T1088" s="90"/>
      <c r="Y1088" s="90"/>
    </row>
    <row r="1089" spans="15:25" ht="14.25" customHeight="1" x14ac:dyDescent="0.2">
      <c r="O1089" s="90"/>
      <c r="P1089" s="90"/>
      <c r="R1089" s="90"/>
      <c r="S1089" s="90"/>
      <c r="T1089" s="90"/>
      <c r="Y1089" s="90"/>
    </row>
    <row r="1090" spans="15:25" ht="14.25" customHeight="1" x14ac:dyDescent="0.2">
      <c r="O1090" s="90"/>
      <c r="P1090" s="90"/>
      <c r="R1090" s="90"/>
      <c r="S1090" s="90"/>
      <c r="T1090" s="90"/>
      <c r="Y1090" s="90"/>
    </row>
    <row r="1091" spans="15:25" ht="14.25" customHeight="1" x14ac:dyDescent="0.2">
      <c r="O1091" s="90"/>
      <c r="P1091" s="90"/>
      <c r="R1091" s="90"/>
      <c r="S1091" s="90"/>
      <c r="T1091" s="90"/>
      <c r="Y1091" s="90"/>
    </row>
    <row r="1092" spans="15:25" ht="14.25" customHeight="1" x14ac:dyDescent="0.2">
      <c r="O1092" s="90"/>
      <c r="P1092" s="90"/>
      <c r="R1092" s="90"/>
      <c r="S1092" s="90"/>
      <c r="T1092" s="90"/>
      <c r="Y1092" s="90"/>
    </row>
    <row r="1093" spans="15:25" ht="14.25" customHeight="1" x14ac:dyDescent="0.2">
      <c r="O1093" s="90"/>
      <c r="P1093" s="90"/>
      <c r="R1093" s="90"/>
      <c r="S1093" s="90"/>
      <c r="T1093" s="90"/>
      <c r="Y1093" s="90"/>
    </row>
    <row r="1094" spans="15:25" ht="14.25" customHeight="1" x14ac:dyDescent="0.2">
      <c r="O1094" s="90"/>
      <c r="P1094" s="90"/>
      <c r="R1094" s="90"/>
      <c r="S1094" s="90"/>
      <c r="T1094" s="90"/>
      <c r="Y1094" s="90"/>
    </row>
    <row r="1095" spans="15:25" ht="14.25" customHeight="1" x14ac:dyDescent="0.2">
      <c r="O1095" s="90"/>
      <c r="P1095" s="90"/>
      <c r="R1095" s="90"/>
      <c r="S1095" s="90"/>
      <c r="T1095" s="90"/>
      <c r="Y1095" s="90"/>
    </row>
    <row r="1096" spans="15:25" ht="14.25" customHeight="1" x14ac:dyDescent="0.2">
      <c r="O1096" s="90"/>
      <c r="P1096" s="90"/>
      <c r="R1096" s="90"/>
      <c r="S1096" s="90"/>
      <c r="T1096" s="90"/>
      <c r="Y1096" s="90"/>
    </row>
    <row r="1097" spans="15:25" ht="14.25" customHeight="1" x14ac:dyDescent="0.2">
      <c r="O1097" s="90"/>
      <c r="P1097" s="90"/>
      <c r="R1097" s="90"/>
      <c r="S1097" s="90"/>
      <c r="T1097" s="90"/>
      <c r="Y1097" s="90"/>
    </row>
    <row r="1098" spans="15:25" ht="14.25" customHeight="1" x14ac:dyDescent="0.2">
      <c r="O1098" s="90"/>
      <c r="P1098" s="90"/>
      <c r="R1098" s="90"/>
      <c r="S1098" s="90"/>
      <c r="T1098" s="90"/>
      <c r="Y1098" s="90"/>
    </row>
    <row r="1099" spans="15:25" ht="14.25" customHeight="1" x14ac:dyDescent="0.2">
      <c r="O1099" s="90"/>
      <c r="P1099" s="90"/>
      <c r="R1099" s="90"/>
      <c r="S1099" s="90"/>
      <c r="T1099" s="90"/>
      <c r="Y1099" s="90"/>
    </row>
    <row r="1100" spans="15:25" ht="14.25" customHeight="1" x14ac:dyDescent="0.2">
      <c r="O1100" s="90"/>
      <c r="P1100" s="90"/>
      <c r="R1100" s="90"/>
      <c r="S1100" s="90"/>
      <c r="T1100" s="90"/>
      <c r="Y1100" s="90"/>
    </row>
    <row r="1101" spans="15:25" ht="14.25" customHeight="1" x14ac:dyDescent="0.2">
      <c r="O1101" s="90"/>
      <c r="P1101" s="90"/>
      <c r="R1101" s="90"/>
      <c r="S1101" s="90"/>
      <c r="T1101" s="90"/>
      <c r="Y1101" s="90"/>
    </row>
    <row r="1102" spans="15:25" ht="14.25" customHeight="1" x14ac:dyDescent="0.2">
      <c r="O1102" s="90"/>
      <c r="P1102" s="90"/>
      <c r="R1102" s="90"/>
      <c r="S1102" s="90"/>
      <c r="T1102" s="90"/>
      <c r="Y1102" s="90"/>
    </row>
    <row r="1103" spans="15:25" ht="14.25" customHeight="1" x14ac:dyDescent="0.2">
      <c r="O1103" s="90"/>
      <c r="P1103" s="90"/>
      <c r="R1103" s="90"/>
      <c r="S1103" s="90"/>
      <c r="T1103" s="90"/>
      <c r="Y1103" s="90"/>
    </row>
    <row r="1104" spans="15:25" ht="14.25" customHeight="1" x14ac:dyDescent="0.2">
      <c r="O1104" s="90"/>
      <c r="P1104" s="90"/>
      <c r="R1104" s="90"/>
      <c r="S1104" s="90"/>
      <c r="T1104" s="90"/>
      <c r="Y1104" s="90"/>
    </row>
    <row r="1105" spans="15:25" ht="14.25" customHeight="1" x14ac:dyDescent="0.2">
      <c r="O1105" s="90"/>
      <c r="P1105" s="90"/>
      <c r="R1105" s="90"/>
      <c r="S1105" s="90"/>
      <c r="T1105" s="90"/>
      <c r="Y1105" s="90"/>
    </row>
    <row r="1106" spans="15:25" ht="14.25" customHeight="1" x14ac:dyDescent="0.2">
      <c r="O1106" s="90"/>
      <c r="P1106" s="90"/>
      <c r="R1106" s="90"/>
      <c r="S1106" s="90"/>
      <c r="T1106" s="90"/>
      <c r="Y1106" s="90"/>
    </row>
    <row r="1107" spans="15:25" ht="14.25" customHeight="1" x14ac:dyDescent="0.2">
      <c r="O1107" s="90"/>
      <c r="P1107" s="90"/>
      <c r="R1107" s="90"/>
      <c r="S1107" s="90"/>
      <c r="T1107" s="90"/>
      <c r="Y1107" s="90"/>
    </row>
    <row r="1108" spans="15:25" ht="14.25" customHeight="1" x14ac:dyDescent="0.2">
      <c r="O1108" s="90"/>
      <c r="P1108" s="90"/>
      <c r="R1108" s="90"/>
      <c r="S1108" s="90"/>
      <c r="T1108" s="90"/>
      <c r="Y1108" s="90"/>
    </row>
    <row r="1109" spans="15:25" ht="14.25" customHeight="1" x14ac:dyDescent="0.2">
      <c r="O1109" s="90"/>
      <c r="P1109" s="90"/>
      <c r="R1109" s="90"/>
      <c r="S1109" s="90"/>
      <c r="T1109" s="90"/>
      <c r="Y1109" s="90"/>
    </row>
    <row r="1110" spans="15:25" ht="14.25" customHeight="1" x14ac:dyDescent="0.2">
      <c r="O1110" s="90"/>
      <c r="P1110" s="90"/>
      <c r="R1110" s="90"/>
      <c r="S1110" s="90"/>
      <c r="T1110" s="90"/>
      <c r="Y1110" s="90"/>
    </row>
    <row r="1111" spans="15:25" ht="14.25" customHeight="1" x14ac:dyDescent="0.2">
      <c r="O1111" s="90"/>
      <c r="P1111" s="90"/>
      <c r="R1111" s="90"/>
      <c r="S1111" s="90"/>
      <c r="T1111" s="90"/>
      <c r="Y1111" s="90"/>
    </row>
    <row r="1112" spans="15:25" ht="14.25" customHeight="1" x14ac:dyDescent="0.2">
      <c r="O1112" s="90"/>
      <c r="P1112" s="90"/>
      <c r="R1112" s="90"/>
      <c r="S1112" s="90"/>
      <c r="T1112" s="90"/>
      <c r="Y1112" s="90"/>
    </row>
    <row r="1113" spans="15:25" ht="14.25" customHeight="1" x14ac:dyDescent="0.2">
      <c r="O1113" s="90"/>
      <c r="P1113" s="90"/>
      <c r="R1113" s="90"/>
      <c r="S1113" s="90"/>
      <c r="T1113" s="90"/>
      <c r="Y1113" s="90"/>
    </row>
    <row r="1114" spans="15:25" ht="14.25" customHeight="1" x14ac:dyDescent="0.2">
      <c r="O1114" s="90"/>
      <c r="P1114" s="90"/>
      <c r="R1114" s="90"/>
      <c r="S1114" s="90"/>
      <c r="T1114" s="90"/>
      <c r="Y1114" s="90"/>
    </row>
    <row r="1115" spans="15:25" ht="14.25" customHeight="1" x14ac:dyDescent="0.2">
      <c r="O1115" s="90"/>
      <c r="P1115" s="90"/>
      <c r="R1115" s="90"/>
      <c r="S1115" s="90"/>
      <c r="T1115" s="90"/>
      <c r="Y1115" s="90"/>
    </row>
    <row r="1116" spans="15:25" ht="14.25" customHeight="1" x14ac:dyDescent="0.2">
      <c r="O1116" s="90"/>
      <c r="P1116" s="90"/>
      <c r="R1116" s="90"/>
      <c r="S1116" s="90"/>
      <c r="T1116" s="90"/>
      <c r="Y1116" s="90"/>
    </row>
    <row r="1117" spans="15:25" ht="14.25" customHeight="1" x14ac:dyDescent="0.2">
      <c r="O1117" s="90"/>
      <c r="P1117" s="90"/>
      <c r="R1117" s="90"/>
      <c r="S1117" s="90"/>
      <c r="T1117" s="90"/>
      <c r="Y1117" s="90"/>
    </row>
    <row r="1118" spans="15:25" ht="14.25" customHeight="1" x14ac:dyDescent="0.2">
      <c r="O1118" s="90"/>
      <c r="P1118" s="90"/>
      <c r="R1118" s="90"/>
      <c r="S1118" s="90"/>
      <c r="T1118" s="90"/>
      <c r="Y1118" s="90"/>
    </row>
    <row r="1119" spans="15:25" ht="14.25" customHeight="1" x14ac:dyDescent="0.2">
      <c r="O1119" s="90"/>
      <c r="P1119" s="90"/>
      <c r="R1119" s="90"/>
      <c r="S1119" s="90"/>
      <c r="T1119" s="90"/>
      <c r="Y1119" s="90"/>
    </row>
    <row r="1120" spans="15:25" ht="14.25" customHeight="1" x14ac:dyDescent="0.2">
      <c r="O1120" s="90"/>
      <c r="P1120" s="90"/>
      <c r="R1120" s="90"/>
      <c r="S1120" s="90"/>
      <c r="T1120" s="90"/>
      <c r="Y1120" s="90"/>
    </row>
    <row r="1121" spans="15:25" ht="14.25" customHeight="1" x14ac:dyDescent="0.2">
      <c r="O1121" s="90"/>
      <c r="P1121" s="90"/>
      <c r="R1121" s="90"/>
      <c r="S1121" s="90"/>
      <c r="T1121" s="90"/>
      <c r="Y1121" s="90"/>
    </row>
    <row r="1122" spans="15:25" ht="14.25" customHeight="1" x14ac:dyDescent="0.2">
      <c r="O1122" s="90"/>
      <c r="P1122" s="90"/>
      <c r="R1122" s="90"/>
      <c r="S1122" s="90"/>
      <c r="T1122" s="90"/>
      <c r="Y1122" s="90"/>
    </row>
    <row r="1123" spans="15:25" ht="14.25" customHeight="1" x14ac:dyDescent="0.2">
      <c r="O1123" s="90"/>
      <c r="P1123" s="90"/>
      <c r="R1123" s="90"/>
      <c r="S1123" s="90"/>
      <c r="T1123" s="90"/>
      <c r="Y1123" s="90"/>
    </row>
    <row r="1124" spans="15:25" ht="14.25" customHeight="1" x14ac:dyDescent="0.2">
      <c r="O1124" s="90"/>
      <c r="P1124" s="90"/>
      <c r="R1124" s="90"/>
      <c r="S1124" s="90"/>
      <c r="T1124" s="90"/>
      <c r="Y1124" s="90"/>
    </row>
    <row r="1125" spans="15:25" ht="14.25" customHeight="1" x14ac:dyDescent="0.2">
      <c r="O1125" s="90"/>
      <c r="P1125" s="90"/>
      <c r="R1125" s="90"/>
      <c r="S1125" s="90"/>
      <c r="T1125" s="90"/>
      <c r="Y1125" s="90"/>
    </row>
    <row r="1126" spans="15:25" ht="14.25" customHeight="1" x14ac:dyDescent="0.2">
      <c r="O1126" s="90"/>
      <c r="P1126" s="90"/>
      <c r="R1126" s="90"/>
      <c r="S1126" s="90"/>
      <c r="T1126" s="90"/>
      <c r="Y1126" s="90"/>
    </row>
    <row r="1127" spans="15:25" ht="14.25" customHeight="1" x14ac:dyDescent="0.2">
      <c r="O1127" s="90"/>
      <c r="P1127" s="90"/>
      <c r="R1127" s="90"/>
      <c r="S1127" s="90"/>
      <c r="T1127" s="90"/>
      <c r="Y1127" s="90"/>
    </row>
    <row r="1128" spans="15:25" ht="14.25" customHeight="1" x14ac:dyDescent="0.2">
      <c r="O1128" s="90"/>
      <c r="P1128" s="90"/>
      <c r="R1128" s="90"/>
      <c r="S1128" s="90"/>
      <c r="T1128" s="90"/>
      <c r="Y1128" s="90"/>
    </row>
    <row r="1129" spans="15:25" ht="14.25" customHeight="1" x14ac:dyDescent="0.2">
      <c r="O1129" s="90"/>
      <c r="P1129" s="90"/>
      <c r="R1129" s="90"/>
      <c r="S1129" s="90"/>
      <c r="T1129" s="90"/>
      <c r="Y1129" s="90"/>
    </row>
    <row r="1130" spans="15:25" ht="14.25" customHeight="1" x14ac:dyDescent="0.2">
      <c r="O1130" s="90"/>
      <c r="P1130" s="90"/>
      <c r="R1130" s="90"/>
      <c r="S1130" s="90"/>
      <c r="T1130" s="90"/>
      <c r="Y1130" s="90"/>
    </row>
    <row r="1131" spans="15:25" ht="14.25" customHeight="1" x14ac:dyDescent="0.2">
      <c r="O1131" s="90"/>
      <c r="P1131" s="90"/>
      <c r="R1131" s="90"/>
      <c r="S1131" s="90"/>
      <c r="T1131" s="90"/>
      <c r="Y1131" s="90"/>
    </row>
    <row r="1132" spans="15:25" ht="14.25" customHeight="1" x14ac:dyDescent="0.2">
      <c r="O1132" s="90"/>
      <c r="P1132" s="90"/>
      <c r="R1132" s="90"/>
      <c r="S1132" s="90"/>
      <c r="T1132" s="90"/>
      <c r="Y1132" s="90"/>
    </row>
    <row r="1133" spans="15:25" ht="14.25" customHeight="1" x14ac:dyDescent="0.2">
      <c r="O1133" s="90"/>
      <c r="P1133" s="90"/>
      <c r="R1133" s="90"/>
      <c r="S1133" s="90"/>
      <c r="T1133" s="90"/>
      <c r="Y1133" s="90"/>
    </row>
    <row r="1134" spans="15:25" ht="14.25" customHeight="1" x14ac:dyDescent="0.2">
      <c r="O1134" s="90"/>
      <c r="P1134" s="90"/>
      <c r="R1134" s="90"/>
      <c r="S1134" s="90"/>
      <c r="T1134" s="90"/>
      <c r="Y1134" s="90"/>
    </row>
    <row r="1135" spans="15:25" ht="14.25" customHeight="1" x14ac:dyDescent="0.2">
      <c r="O1135" s="90"/>
      <c r="P1135" s="90"/>
      <c r="R1135" s="90"/>
      <c r="S1135" s="90"/>
      <c r="T1135" s="90"/>
      <c r="Y1135" s="90"/>
    </row>
    <row r="1136" spans="15:25" ht="14.25" customHeight="1" x14ac:dyDescent="0.2">
      <c r="O1136" s="90"/>
      <c r="P1136" s="90"/>
      <c r="R1136" s="90"/>
      <c r="S1136" s="90"/>
      <c r="T1136" s="90"/>
      <c r="Y1136" s="90"/>
    </row>
    <row r="1137" spans="15:25" ht="14.25" customHeight="1" x14ac:dyDescent="0.2">
      <c r="O1137" s="90"/>
      <c r="P1137" s="90"/>
      <c r="R1137" s="90"/>
      <c r="S1137" s="90"/>
      <c r="T1137" s="90"/>
      <c r="Y1137" s="90"/>
    </row>
    <row r="1138" spans="15:25" ht="14.25" customHeight="1" x14ac:dyDescent="0.2">
      <c r="O1138" s="90"/>
      <c r="P1138" s="90"/>
      <c r="R1138" s="90"/>
      <c r="S1138" s="90"/>
      <c r="T1138" s="90"/>
      <c r="Y1138" s="90"/>
    </row>
    <row r="1139" spans="15:25" ht="14.25" customHeight="1" x14ac:dyDescent="0.2">
      <c r="O1139" s="90"/>
      <c r="P1139" s="90"/>
      <c r="R1139" s="90"/>
      <c r="S1139" s="90"/>
      <c r="T1139" s="90"/>
      <c r="Y1139" s="90"/>
    </row>
    <row r="1140" spans="15:25" ht="14.25" customHeight="1" x14ac:dyDescent="0.2">
      <c r="O1140" s="90"/>
      <c r="P1140" s="90"/>
      <c r="R1140" s="90"/>
      <c r="S1140" s="90"/>
      <c r="T1140" s="90"/>
      <c r="Y1140" s="90"/>
    </row>
    <row r="1141" spans="15:25" ht="14.25" customHeight="1" x14ac:dyDescent="0.2">
      <c r="O1141" s="90"/>
      <c r="P1141" s="90"/>
      <c r="R1141" s="90"/>
      <c r="S1141" s="90"/>
      <c r="T1141" s="90"/>
      <c r="Y1141" s="90"/>
    </row>
    <row r="1142" spans="15:25" ht="14.25" customHeight="1" x14ac:dyDescent="0.2">
      <c r="O1142" s="90"/>
      <c r="P1142" s="90"/>
      <c r="R1142" s="90"/>
      <c r="S1142" s="90"/>
      <c r="T1142" s="90"/>
      <c r="Y1142" s="90"/>
    </row>
    <row r="1143" spans="15:25" ht="14.25" customHeight="1" x14ac:dyDescent="0.2">
      <c r="O1143" s="90"/>
      <c r="P1143" s="90"/>
      <c r="R1143" s="90"/>
      <c r="S1143" s="90"/>
      <c r="T1143" s="90"/>
      <c r="Y1143" s="90"/>
    </row>
    <row r="1144" spans="15:25" ht="14.25" customHeight="1" x14ac:dyDescent="0.2">
      <c r="O1144" s="90"/>
      <c r="P1144" s="90"/>
      <c r="R1144" s="90"/>
      <c r="S1144" s="90"/>
      <c r="T1144" s="90"/>
      <c r="Y1144" s="90"/>
    </row>
    <row r="1145" spans="15:25" ht="14.25" customHeight="1" x14ac:dyDescent="0.2">
      <c r="O1145" s="90"/>
      <c r="P1145" s="90"/>
      <c r="R1145" s="90"/>
      <c r="S1145" s="90"/>
      <c r="T1145" s="90"/>
      <c r="Y1145" s="90"/>
    </row>
    <row r="1146" spans="15:25" ht="14.25" customHeight="1" x14ac:dyDescent="0.2">
      <c r="O1146" s="90"/>
      <c r="P1146" s="90"/>
      <c r="R1146" s="90"/>
      <c r="S1146" s="90"/>
      <c r="T1146" s="90"/>
      <c r="Y1146" s="90"/>
    </row>
    <row r="1147" spans="15:25" ht="14.25" customHeight="1" x14ac:dyDescent="0.2">
      <c r="O1147" s="90"/>
      <c r="P1147" s="90"/>
      <c r="R1147" s="90"/>
      <c r="S1147" s="90"/>
      <c r="T1147" s="90"/>
      <c r="Y1147" s="90"/>
    </row>
    <row r="1148" spans="15:25" ht="14.25" customHeight="1" x14ac:dyDescent="0.2">
      <c r="O1148" s="90"/>
      <c r="P1148" s="90"/>
      <c r="R1148" s="90"/>
      <c r="S1148" s="90"/>
      <c r="T1148" s="90"/>
      <c r="Y1148" s="90"/>
    </row>
    <row r="1149" spans="15:25" ht="14.25" customHeight="1" x14ac:dyDescent="0.2">
      <c r="O1149" s="90"/>
      <c r="P1149" s="90"/>
      <c r="R1149" s="90"/>
      <c r="S1149" s="90"/>
      <c r="T1149" s="90"/>
      <c r="Y1149" s="90"/>
    </row>
    <row r="1150" spans="15:25" ht="14.25" customHeight="1" x14ac:dyDescent="0.2">
      <c r="O1150" s="90"/>
      <c r="P1150" s="90"/>
      <c r="R1150" s="90"/>
      <c r="S1150" s="90"/>
      <c r="T1150" s="90"/>
      <c r="Y1150" s="90"/>
    </row>
    <row r="1151" spans="15:25" ht="14.25" customHeight="1" x14ac:dyDescent="0.2">
      <c r="O1151" s="90"/>
      <c r="P1151" s="90"/>
      <c r="R1151" s="90"/>
      <c r="S1151" s="90"/>
      <c r="T1151" s="90"/>
      <c r="Y1151" s="90"/>
    </row>
    <row r="1152" spans="15:25" ht="14.25" customHeight="1" x14ac:dyDescent="0.2">
      <c r="O1152" s="90"/>
      <c r="P1152" s="90"/>
      <c r="R1152" s="90"/>
      <c r="S1152" s="90"/>
      <c r="T1152" s="90"/>
      <c r="Y1152" s="90"/>
    </row>
    <row r="1153" spans="15:25" ht="14.25" customHeight="1" x14ac:dyDescent="0.2">
      <c r="O1153" s="90"/>
      <c r="P1153" s="90"/>
      <c r="R1153" s="90"/>
      <c r="S1153" s="90"/>
      <c r="T1153" s="90"/>
      <c r="Y1153" s="90"/>
    </row>
    <row r="1154" spans="15:25" ht="14.25" customHeight="1" x14ac:dyDescent="0.2">
      <c r="O1154" s="90"/>
      <c r="P1154" s="90"/>
      <c r="R1154" s="90"/>
      <c r="S1154" s="90"/>
      <c r="T1154" s="90"/>
      <c r="Y1154" s="90"/>
    </row>
    <row r="1155" spans="15:25" ht="14.25" customHeight="1" x14ac:dyDescent="0.2">
      <c r="O1155" s="90"/>
      <c r="P1155" s="90"/>
      <c r="R1155" s="90"/>
      <c r="S1155" s="90"/>
      <c r="T1155" s="90"/>
      <c r="Y1155" s="90"/>
    </row>
    <row r="1156" spans="15:25" ht="14.25" customHeight="1" x14ac:dyDescent="0.2">
      <c r="O1156" s="90"/>
      <c r="P1156" s="90"/>
      <c r="R1156" s="90"/>
      <c r="S1156" s="90"/>
      <c r="T1156" s="90"/>
      <c r="Y1156" s="90"/>
    </row>
    <row r="1157" spans="15:25" ht="14.25" customHeight="1" x14ac:dyDescent="0.2">
      <c r="O1157" s="90"/>
      <c r="P1157" s="90"/>
      <c r="R1157" s="90"/>
      <c r="S1157" s="90"/>
      <c r="T1157" s="90"/>
      <c r="Y1157" s="90"/>
    </row>
    <row r="1158" spans="15:25" ht="14.25" customHeight="1" x14ac:dyDescent="0.2">
      <c r="O1158" s="90"/>
      <c r="P1158" s="90"/>
      <c r="R1158" s="90"/>
      <c r="S1158" s="90"/>
      <c r="T1158" s="90"/>
      <c r="Y1158" s="90"/>
    </row>
    <row r="1159" spans="15:25" ht="14.25" customHeight="1" x14ac:dyDescent="0.2">
      <c r="O1159" s="90"/>
      <c r="P1159" s="90"/>
      <c r="R1159" s="90"/>
      <c r="S1159" s="90"/>
      <c r="T1159" s="90"/>
      <c r="Y1159" s="90"/>
    </row>
    <row r="1160" spans="15:25" ht="14.25" customHeight="1" x14ac:dyDescent="0.2">
      <c r="O1160" s="90"/>
      <c r="P1160" s="90"/>
      <c r="R1160" s="90"/>
      <c r="S1160" s="90"/>
      <c r="T1160" s="90"/>
      <c r="Y1160" s="90"/>
    </row>
    <row r="1161" spans="15:25" ht="14.25" customHeight="1" x14ac:dyDescent="0.2">
      <c r="O1161" s="90"/>
      <c r="P1161" s="90"/>
      <c r="R1161" s="90"/>
      <c r="S1161" s="90"/>
      <c r="T1161" s="90"/>
      <c r="Y1161" s="90"/>
    </row>
    <row r="1162" spans="15:25" ht="14.25" customHeight="1" x14ac:dyDescent="0.2">
      <c r="O1162" s="90"/>
      <c r="P1162" s="90"/>
      <c r="R1162" s="90"/>
      <c r="S1162" s="90"/>
      <c r="T1162" s="90"/>
      <c r="Y1162" s="90"/>
    </row>
    <row r="1163" spans="15:25" ht="14.25" customHeight="1" x14ac:dyDescent="0.2">
      <c r="O1163" s="90"/>
      <c r="P1163" s="90"/>
      <c r="R1163" s="90"/>
      <c r="S1163" s="90"/>
      <c r="T1163" s="90"/>
      <c r="Y1163" s="90"/>
    </row>
    <row r="1164" spans="15:25" ht="14.25" customHeight="1" x14ac:dyDescent="0.2">
      <c r="O1164" s="90"/>
      <c r="P1164" s="90"/>
      <c r="R1164" s="90"/>
      <c r="S1164" s="90"/>
      <c r="T1164" s="90"/>
      <c r="Y1164" s="90"/>
    </row>
    <row r="1165" spans="15:25" ht="14.25" customHeight="1" x14ac:dyDescent="0.2">
      <c r="O1165" s="90"/>
      <c r="P1165" s="90"/>
      <c r="R1165" s="90"/>
      <c r="S1165" s="90"/>
      <c r="T1165" s="90"/>
      <c r="Y1165" s="90"/>
    </row>
    <row r="1166" spans="15:25" ht="14.25" customHeight="1" x14ac:dyDescent="0.2">
      <c r="O1166" s="90"/>
      <c r="P1166" s="90"/>
      <c r="R1166" s="90"/>
      <c r="S1166" s="90"/>
      <c r="T1166" s="90"/>
      <c r="Y1166" s="90"/>
    </row>
    <row r="1167" spans="15:25" ht="14.25" customHeight="1" x14ac:dyDescent="0.2">
      <c r="O1167" s="90"/>
      <c r="P1167" s="90"/>
      <c r="R1167" s="90"/>
      <c r="S1167" s="90"/>
      <c r="T1167" s="90"/>
      <c r="Y1167" s="90"/>
    </row>
    <row r="1168" spans="15:25" ht="14.25" customHeight="1" x14ac:dyDescent="0.2">
      <c r="O1168" s="90"/>
      <c r="P1168" s="90"/>
      <c r="R1168" s="90"/>
      <c r="S1168" s="90"/>
      <c r="T1168" s="90"/>
      <c r="Y1168" s="90"/>
    </row>
    <row r="1169" spans="15:25" ht="14.25" customHeight="1" x14ac:dyDescent="0.2">
      <c r="O1169" s="90"/>
      <c r="P1169" s="90"/>
      <c r="R1169" s="90"/>
      <c r="S1169" s="90"/>
      <c r="T1169" s="90"/>
      <c r="Y1169" s="90"/>
    </row>
    <row r="1170" spans="15:25" ht="14.25" customHeight="1" x14ac:dyDescent="0.2">
      <c r="O1170" s="90"/>
      <c r="P1170" s="90"/>
      <c r="R1170" s="90"/>
      <c r="S1170" s="90"/>
      <c r="T1170" s="90"/>
      <c r="Y1170" s="90"/>
    </row>
    <row r="1171" spans="15:25" ht="14.25" customHeight="1" x14ac:dyDescent="0.2">
      <c r="O1171" s="90"/>
      <c r="P1171" s="90"/>
      <c r="R1171" s="90"/>
      <c r="S1171" s="90"/>
      <c r="T1171" s="90"/>
      <c r="Y1171" s="90"/>
    </row>
    <row r="1172" spans="15:25" ht="14.25" customHeight="1" x14ac:dyDescent="0.2">
      <c r="O1172" s="90"/>
      <c r="P1172" s="90"/>
      <c r="R1172" s="90"/>
      <c r="S1172" s="90"/>
      <c r="T1172" s="90"/>
      <c r="Y1172" s="90"/>
    </row>
    <row r="1173" spans="15:25" ht="14.25" customHeight="1" x14ac:dyDescent="0.2">
      <c r="O1173" s="90"/>
      <c r="P1173" s="90"/>
      <c r="R1173" s="90"/>
      <c r="S1173" s="90"/>
      <c r="T1173" s="90"/>
      <c r="Y1173" s="90"/>
    </row>
    <row r="1174" spans="15:25" ht="14.25" customHeight="1" x14ac:dyDescent="0.2">
      <c r="O1174" s="90"/>
      <c r="P1174" s="90"/>
      <c r="R1174" s="90"/>
      <c r="S1174" s="90"/>
      <c r="T1174" s="90"/>
      <c r="Y1174" s="90"/>
    </row>
    <row r="1175" spans="15:25" ht="14.25" customHeight="1" x14ac:dyDescent="0.2">
      <c r="O1175" s="90"/>
      <c r="P1175" s="90"/>
      <c r="R1175" s="90"/>
      <c r="S1175" s="90"/>
      <c r="T1175" s="90"/>
      <c r="Y1175" s="90"/>
    </row>
    <row r="1176" spans="15:25" ht="14.25" customHeight="1" x14ac:dyDescent="0.2">
      <c r="O1176" s="90"/>
      <c r="P1176" s="90"/>
      <c r="R1176" s="90"/>
      <c r="S1176" s="90"/>
      <c r="T1176" s="90"/>
      <c r="Y1176" s="90"/>
    </row>
    <row r="1177" spans="15:25" ht="14.25" customHeight="1" x14ac:dyDescent="0.2">
      <c r="O1177" s="90"/>
      <c r="P1177" s="90"/>
      <c r="R1177" s="90"/>
      <c r="S1177" s="90"/>
      <c r="T1177" s="90"/>
      <c r="Y1177" s="90"/>
    </row>
    <row r="1178" spans="15:25" ht="14.25" customHeight="1" x14ac:dyDescent="0.2">
      <c r="O1178" s="90"/>
      <c r="P1178" s="90"/>
      <c r="R1178" s="90"/>
      <c r="S1178" s="90"/>
      <c r="T1178" s="90"/>
      <c r="Y1178" s="90"/>
    </row>
    <row r="1179" spans="15:25" ht="14.25" customHeight="1" x14ac:dyDescent="0.2">
      <c r="O1179" s="90"/>
      <c r="P1179" s="90"/>
      <c r="R1179" s="90"/>
      <c r="S1179" s="90"/>
      <c r="T1179" s="90"/>
      <c r="Y1179" s="90"/>
    </row>
    <row r="1180" spans="15:25" ht="14.25" customHeight="1" x14ac:dyDescent="0.2">
      <c r="O1180" s="90"/>
      <c r="P1180" s="90"/>
      <c r="R1180" s="90"/>
      <c r="S1180" s="90"/>
      <c r="T1180" s="90"/>
      <c r="Y1180" s="90"/>
    </row>
    <row r="1181" spans="15:25" ht="14.25" customHeight="1" x14ac:dyDescent="0.2">
      <c r="O1181" s="90"/>
      <c r="P1181" s="90"/>
      <c r="R1181" s="90"/>
      <c r="S1181" s="90"/>
      <c r="T1181" s="90"/>
      <c r="Y1181" s="90"/>
    </row>
    <row r="1182" spans="15:25" ht="14.25" customHeight="1" x14ac:dyDescent="0.2">
      <c r="O1182" s="90"/>
      <c r="P1182" s="90"/>
      <c r="R1182" s="90"/>
      <c r="S1182" s="90"/>
      <c r="T1182" s="90"/>
      <c r="Y1182" s="90"/>
    </row>
    <row r="1183" spans="15:25" ht="14.25" customHeight="1" x14ac:dyDescent="0.2">
      <c r="O1183" s="90"/>
      <c r="P1183" s="90"/>
      <c r="R1183" s="90"/>
      <c r="S1183" s="90"/>
      <c r="T1183" s="90"/>
      <c r="Y1183" s="90"/>
    </row>
    <row r="1184" spans="15:25" ht="14.25" customHeight="1" x14ac:dyDescent="0.2">
      <c r="O1184" s="90"/>
      <c r="P1184" s="90"/>
      <c r="R1184" s="90"/>
      <c r="S1184" s="90"/>
      <c r="T1184" s="90"/>
      <c r="Y1184" s="90"/>
    </row>
    <row r="1185" spans="15:25" ht="14.25" customHeight="1" x14ac:dyDescent="0.2">
      <c r="O1185" s="90"/>
      <c r="P1185" s="90"/>
      <c r="R1185" s="90"/>
      <c r="S1185" s="90"/>
      <c r="T1185" s="90"/>
      <c r="Y1185" s="90"/>
    </row>
    <row r="1186" spans="15:25" ht="14.25" customHeight="1" x14ac:dyDescent="0.2">
      <c r="O1186" s="90"/>
      <c r="P1186" s="90"/>
      <c r="R1186" s="90"/>
      <c r="S1186" s="90"/>
      <c r="T1186" s="90"/>
      <c r="Y1186" s="90"/>
    </row>
    <row r="1187" spans="15:25" ht="14.25" customHeight="1" x14ac:dyDescent="0.2">
      <c r="O1187" s="90"/>
      <c r="P1187" s="90"/>
      <c r="R1187" s="90"/>
      <c r="S1187" s="90"/>
      <c r="T1187" s="90"/>
      <c r="Y1187" s="90"/>
    </row>
    <row r="1188" spans="15:25" ht="14.25" customHeight="1" x14ac:dyDescent="0.2">
      <c r="O1188" s="90"/>
      <c r="P1188" s="90"/>
      <c r="R1188" s="90"/>
      <c r="S1188" s="90"/>
      <c r="T1188" s="90"/>
      <c r="Y1188" s="90"/>
    </row>
    <row r="1189" spans="15:25" ht="14.25" customHeight="1" x14ac:dyDescent="0.2">
      <c r="O1189" s="90"/>
      <c r="P1189" s="90"/>
      <c r="R1189" s="90"/>
      <c r="S1189" s="90"/>
      <c r="T1189" s="90"/>
      <c r="Y1189" s="90"/>
    </row>
    <row r="1190" spans="15:25" ht="14.25" customHeight="1" x14ac:dyDescent="0.2">
      <c r="O1190" s="90"/>
      <c r="P1190" s="90"/>
      <c r="R1190" s="90"/>
      <c r="S1190" s="90"/>
      <c r="T1190" s="90"/>
      <c r="Y1190" s="90"/>
    </row>
    <row r="1191" spans="15:25" ht="14.25" customHeight="1" x14ac:dyDescent="0.2">
      <c r="O1191" s="90"/>
      <c r="P1191" s="90"/>
      <c r="R1191" s="90"/>
      <c r="S1191" s="90"/>
      <c r="T1191" s="90"/>
      <c r="Y1191" s="90"/>
    </row>
    <row r="1192" spans="15:25" ht="14.25" customHeight="1" x14ac:dyDescent="0.2">
      <c r="O1192" s="90"/>
      <c r="P1192" s="90"/>
      <c r="R1192" s="90"/>
      <c r="S1192" s="90"/>
      <c r="T1192" s="90"/>
      <c r="Y1192" s="90"/>
    </row>
    <row r="1193" spans="15:25" ht="14.25" customHeight="1" x14ac:dyDescent="0.2">
      <c r="O1193" s="90"/>
      <c r="P1193" s="90"/>
      <c r="R1193" s="90"/>
      <c r="S1193" s="90"/>
      <c r="T1193" s="90"/>
      <c r="Y1193" s="90"/>
    </row>
    <row r="1194" spans="15:25" ht="14.25" customHeight="1" x14ac:dyDescent="0.2">
      <c r="O1194" s="90"/>
      <c r="P1194" s="90"/>
      <c r="R1194" s="90"/>
      <c r="S1194" s="90"/>
      <c r="T1194" s="90"/>
      <c r="Y1194" s="90"/>
    </row>
    <row r="1195" spans="15:25" ht="14.25" customHeight="1" x14ac:dyDescent="0.2">
      <c r="O1195" s="90"/>
      <c r="P1195" s="90"/>
      <c r="R1195" s="90"/>
      <c r="S1195" s="90"/>
      <c r="T1195" s="90"/>
      <c r="Y1195" s="90"/>
    </row>
    <row r="1196" spans="15:25" ht="14.25" customHeight="1" x14ac:dyDescent="0.2">
      <c r="O1196" s="90"/>
      <c r="P1196" s="90"/>
      <c r="R1196" s="90"/>
      <c r="S1196" s="90"/>
      <c r="T1196" s="90"/>
      <c r="Y1196" s="90"/>
    </row>
    <row r="1197" spans="15:25" ht="14.25" customHeight="1" x14ac:dyDescent="0.2">
      <c r="O1197" s="90"/>
      <c r="P1197" s="90"/>
      <c r="R1197" s="90"/>
      <c r="S1197" s="90"/>
      <c r="T1197" s="90"/>
      <c r="Y1197" s="90"/>
    </row>
    <row r="1198" spans="15:25" ht="14.25" customHeight="1" x14ac:dyDescent="0.2">
      <c r="O1198" s="90"/>
      <c r="P1198" s="90"/>
      <c r="R1198" s="90"/>
      <c r="S1198" s="90"/>
      <c r="T1198" s="90"/>
      <c r="Y1198" s="90"/>
    </row>
    <row r="1199" spans="15:25" ht="14.25" customHeight="1" x14ac:dyDescent="0.2">
      <c r="O1199" s="90"/>
      <c r="P1199" s="90"/>
      <c r="R1199" s="90"/>
      <c r="S1199" s="90"/>
      <c r="T1199" s="90"/>
      <c r="Y1199" s="90"/>
    </row>
    <row r="1200" spans="15:25" ht="14.25" customHeight="1" x14ac:dyDescent="0.2">
      <c r="O1200" s="90"/>
      <c r="P1200" s="90"/>
      <c r="R1200" s="90"/>
      <c r="S1200" s="90"/>
      <c r="T1200" s="90"/>
      <c r="Y1200" s="90"/>
    </row>
    <row r="1201" spans="15:25" ht="14.25" customHeight="1" x14ac:dyDescent="0.2">
      <c r="O1201" s="90"/>
      <c r="P1201" s="90"/>
      <c r="R1201" s="90"/>
      <c r="S1201" s="90"/>
      <c r="T1201" s="90"/>
      <c r="Y1201" s="90"/>
    </row>
    <row r="1202" spans="15:25" ht="14.25" customHeight="1" x14ac:dyDescent="0.2">
      <c r="O1202" s="90"/>
      <c r="P1202" s="90"/>
      <c r="R1202" s="90"/>
      <c r="S1202" s="90"/>
      <c r="T1202" s="90"/>
      <c r="Y1202" s="90"/>
    </row>
    <row r="1203" spans="15:25" ht="14.25" customHeight="1" x14ac:dyDescent="0.2">
      <c r="O1203" s="90"/>
      <c r="P1203" s="90"/>
      <c r="R1203" s="90"/>
      <c r="S1203" s="90"/>
      <c r="T1203" s="90"/>
      <c r="Y1203" s="90"/>
    </row>
    <row r="1204" spans="15:25" ht="14.25" customHeight="1" x14ac:dyDescent="0.2">
      <c r="O1204" s="90"/>
      <c r="P1204" s="90"/>
      <c r="R1204" s="90"/>
      <c r="S1204" s="90"/>
      <c r="T1204" s="90"/>
      <c r="Y1204" s="90"/>
    </row>
    <row r="1205" spans="15:25" ht="14.25" customHeight="1" x14ac:dyDescent="0.2">
      <c r="O1205" s="90"/>
      <c r="P1205" s="90"/>
      <c r="R1205" s="90"/>
      <c r="S1205" s="90"/>
      <c r="T1205" s="90"/>
      <c r="Y1205" s="90"/>
    </row>
    <row r="1206" spans="15:25" ht="14.25" customHeight="1" x14ac:dyDescent="0.2">
      <c r="O1206" s="90"/>
      <c r="P1206" s="90"/>
      <c r="R1206" s="90"/>
      <c r="S1206" s="90"/>
      <c r="T1206" s="90"/>
      <c r="Y1206" s="90"/>
    </row>
    <row r="1207" spans="15:25" ht="14.25" customHeight="1" x14ac:dyDescent="0.2">
      <c r="O1207" s="90"/>
      <c r="P1207" s="90"/>
      <c r="R1207" s="90"/>
      <c r="S1207" s="90"/>
      <c r="T1207" s="90"/>
      <c r="Y1207" s="90"/>
    </row>
    <row r="1208" spans="15:25" ht="14.25" customHeight="1" x14ac:dyDescent="0.2">
      <c r="O1208" s="90"/>
      <c r="P1208" s="90"/>
      <c r="R1208" s="90"/>
      <c r="S1208" s="90"/>
      <c r="T1208" s="90"/>
      <c r="Y1208" s="90"/>
    </row>
    <row r="1209" spans="15:25" ht="14.25" customHeight="1" x14ac:dyDescent="0.2">
      <c r="O1209" s="90"/>
      <c r="P1209" s="90"/>
      <c r="R1209" s="90"/>
      <c r="S1209" s="90"/>
      <c r="T1209" s="90"/>
      <c r="Y1209" s="90"/>
    </row>
    <row r="1210" spans="15:25" ht="14.25" customHeight="1" x14ac:dyDescent="0.2">
      <c r="O1210" s="90"/>
      <c r="P1210" s="90"/>
      <c r="R1210" s="90"/>
      <c r="S1210" s="90"/>
      <c r="T1210" s="90"/>
      <c r="Y1210" s="90"/>
    </row>
    <row r="1211" spans="15:25" ht="14.25" customHeight="1" x14ac:dyDescent="0.2">
      <c r="O1211" s="90"/>
      <c r="P1211" s="90"/>
      <c r="R1211" s="90"/>
      <c r="S1211" s="90"/>
      <c r="T1211" s="90"/>
      <c r="Y1211" s="90"/>
    </row>
    <row r="1212" spans="15:25" ht="14.25" customHeight="1" x14ac:dyDescent="0.2">
      <c r="O1212" s="90"/>
      <c r="P1212" s="90"/>
      <c r="R1212" s="90"/>
      <c r="S1212" s="90"/>
      <c r="T1212" s="90"/>
      <c r="Y1212" s="90"/>
    </row>
    <row r="1213" spans="15:25" ht="14.25" customHeight="1" x14ac:dyDescent="0.2">
      <c r="O1213" s="90"/>
      <c r="P1213" s="90"/>
      <c r="R1213" s="90"/>
      <c r="S1213" s="90"/>
      <c r="T1213" s="90"/>
      <c r="Y1213" s="90"/>
    </row>
    <row r="1214" spans="15:25" ht="14.25" customHeight="1" x14ac:dyDescent="0.2">
      <c r="O1214" s="90"/>
      <c r="P1214" s="90"/>
      <c r="R1214" s="90"/>
      <c r="S1214" s="90"/>
      <c r="T1214" s="90"/>
      <c r="Y1214" s="90"/>
    </row>
    <row r="1215" spans="15:25" ht="14.25" customHeight="1" x14ac:dyDescent="0.2">
      <c r="O1215" s="90"/>
      <c r="P1215" s="90"/>
      <c r="R1215" s="90"/>
      <c r="S1215" s="90"/>
      <c r="T1215" s="90"/>
      <c r="Y1215" s="90"/>
    </row>
    <row r="1216" spans="15:25" ht="14.25" customHeight="1" x14ac:dyDescent="0.2">
      <c r="O1216" s="90"/>
      <c r="P1216" s="90"/>
      <c r="R1216" s="90"/>
      <c r="S1216" s="90"/>
      <c r="T1216" s="90"/>
      <c r="Y1216" s="90"/>
    </row>
    <row r="1217" spans="15:25" ht="14.25" customHeight="1" x14ac:dyDescent="0.2">
      <c r="O1217" s="90"/>
      <c r="P1217" s="90"/>
      <c r="R1217" s="90"/>
      <c r="S1217" s="90"/>
      <c r="T1217" s="90"/>
      <c r="Y1217" s="90"/>
    </row>
    <row r="1218" spans="15:25" ht="14.25" customHeight="1" x14ac:dyDescent="0.2">
      <c r="O1218" s="90"/>
      <c r="P1218" s="90"/>
      <c r="R1218" s="90"/>
      <c r="S1218" s="90"/>
      <c r="T1218" s="90"/>
      <c r="Y1218" s="90"/>
    </row>
    <row r="1219" spans="15:25" ht="14.25" customHeight="1" x14ac:dyDescent="0.2">
      <c r="O1219" s="90"/>
      <c r="P1219" s="90"/>
      <c r="R1219" s="90"/>
      <c r="S1219" s="90"/>
      <c r="T1219" s="90"/>
      <c r="Y1219" s="90"/>
    </row>
    <row r="1220" spans="15:25" ht="14.25" customHeight="1" x14ac:dyDescent="0.2">
      <c r="O1220" s="90"/>
      <c r="P1220" s="90"/>
      <c r="R1220" s="90"/>
      <c r="S1220" s="90"/>
      <c r="T1220" s="90"/>
      <c r="Y1220" s="90"/>
    </row>
    <row r="1221" spans="15:25" ht="14.25" customHeight="1" x14ac:dyDescent="0.2">
      <c r="O1221" s="90"/>
      <c r="P1221" s="90"/>
      <c r="R1221" s="90"/>
      <c r="S1221" s="90"/>
      <c r="T1221" s="90"/>
      <c r="Y1221" s="90"/>
    </row>
    <row r="1222" spans="15:25" ht="14.25" customHeight="1" x14ac:dyDescent="0.2">
      <c r="O1222" s="90"/>
      <c r="P1222" s="90"/>
      <c r="R1222" s="90"/>
      <c r="S1222" s="90"/>
      <c r="T1222" s="90"/>
      <c r="Y1222" s="90"/>
    </row>
    <row r="1223" spans="15:25" ht="14.25" customHeight="1" x14ac:dyDescent="0.2">
      <c r="O1223" s="90"/>
      <c r="P1223" s="90"/>
      <c r="R1223" s="90"/>
      <c r="S1223" s="90"/>
      <c r="T1223" s="90"/>
      <c r="Y1223" s="90"/>
    </row>
    <row r="1224" spans="15:25" ht="14.25" customHeight="1" x14ac:dyDescent="0.2">
      <c r="O1224" s="90"/>
      <c r="P1224" s="90"/>
      <c r="R1224" s="90"/>
      <c r="S1224" s="90"/>
      <c r="T1224" s="90"/>
      <c r="Y1224" s="90"/>
    </row>
    <row r="1225" spans="15:25" ht="14.25" customHeight="1" x14ac:dyDescent="0.2">
      <c r="O1225" s="90"/>
      <c r="P1225" s="90"/>
      <c r="R1225" s="90"/>
      <c r="S1225" s="90"/>
      <c r="T1225" s="90"/>
      <c r="Y1225" s="90"/>
    </row>
    <row r="1226" spans="15:25" ht="14.25" customHeight="1" x14ac:dyDescent="0.2">
      <c r="O1226" s="90"/>
      <c r="P1226" s="90"/>
      <c r="R1226" s="90"/>
      <c r="S1226" s="90"/>
      <c r="T1226" s="90"/>
      <c r="Y1226" s="90"/>
    </row>
    <row r="1227" spans="15:25" ht="14.25" customHeight="1" x14ac:dyDescent="0.2">
      <c r="O1227" s="90"/>
      <c r="P1227" s="90"/>
      <c r="R1227" s="90"/>
      <c r="S1227" s="90"/>
      <c r="T1227" s="90"/>
      <c r="Y1227" s="90"/>
    </row>
    <row r="1228" spans="15:25" ht="14.25" customHeight="1" x14ac:dyDescent="0.2">
      <c r="O1228" s="90"/>
      <c r="P1228" s="90"/>
      <c r="R1228" s="90"/>
      <c r="S1228" s="90"/>
      <c r="T1228" s="90"/>
      <c r="Y1228" s="90"/>
    </row>
    <row r="1229" spans="15:25" ht="14.25" customHeight="1" x14ac:dyDescent="0.2">
      <c r="O1229" s="90"/>
      <c r="P1229" s="90"/>
      <c r="R1229" s="90"/>
      <c r="S1229" s="90"/>
      <c r="T1229" s="90"/>
      <c r="Y1229" s="90"/>
    </row>
    <row r="1230" spans="15:25" ht="14.25" customHeight="1" x14ac:dyDescent="0.2">
      <c r="O1230" s="90"/>
      <c r="P1230" s="90"/>
      <c r="R1230" s="90"/>
      <c r="S1230" s="90"/>
      <c r="T1230" s="90"/>
      <c r="Y1230" s="90"/>
    </row>
    <row r="1231" spans="15:25" ht="14.25" customHeight="1" x14ac:dyDescent="0.2">
      <c r="O1231" s="90"/>
      <c r="P1231" s="90"/>
      <c r="R1231" s="90"/>
      <c r="S1231" s="90"/>
      <c r="T1231" s="90"/>
      <c r="Y1231" s="90"/>
    </row>
    <row r="1232" spans="15:25" ht="14.25" customHeight="1" x14ac:dyDescent="0.2">
      <c r="O1232" s="90"/>
      <c r="P1232" s="90"/>
      <c r="R1232" s="90"/>
      <c r="S1232" s="90"/>
      <c r="T1232" s="90"/>
      <c r="Y1232" s="90"/>
    </row>
    <row r="1233" spans="15:25" ht="14.25" customHeight="1" x14ac:dyDescent="0.2">
      <c r="O1233" s="90"/>
      <c r="P1233" s="90"/>
      <c r="R1233" s="90"/>
      <c r="S1233" s="90"/>
      <c r="T1233" s="90"/>
      <c r="Y1233" s="90"/>
    </row>
    <row r="1234" spans="15:25" ht="14.25" customHeight="1" x14ac:dyDescent="0.2">
      <c r="O1234" s="90"/>
      <c r="P1234" s="90"/>
      <c r="R1234" s="90"/>
      <c r="S1234" s="90"/>
      <c r="T1234" s="90"/>
      <c r="Y1234" s="90"/>
    </row>
    <row r="1235" spans="15:25" ht="14.25" customHeight="1" x14ac:dyDescent="0.2">
      <c r="O1235" s="90"/>
      <c r="P1235" s="90"/>
      <c r="R1235" s="90"/>
      <c r="S1235" s="90"/>
      <c r="T1235" s="90"/>
      <c r="Y1235" s="90"/>
    </row>
    <row r="1236" spans="15:25" ht="14.25" customHeight="1" x14ac:dyDescent="0.2">
      <c r="O1236" s="90"/>
      <c r="P1236" s="90"/>
      <c r="R1236" s="90"/>
      <c r="S1236" s="90"/>
      <c r="T1236" s="90"/>
      <c r="Y1236" s="90"/>
    </row>
    <row r="1237" spans="15:25" ht="14.25" customHeight="1" x14ac:dyDescent="0.2">
      <c r="O1237" s="90"/>
      <c r="P1237" s="90"/>
      <c r="R1237" s="90"/>
      <c r="S1237" s="90"/>
      <c r="T1237" s="90"/>
      <c r="Y1237" s="90"/>
    </row>
    <row r="1238" spans="15:25" ht="14.25" customHeight="1" x14ac:dyDescent="0.2">
      <c r="O1238" s="90"/>
      <c r="P1238" s="90"/>
      <c r="R1238" s="90"/>
      <c r="S1238" s="90"/>
      <c r="T1238" s="90"/>
      <c r="Y1238" s="90"/>
    </row>
    <row r="1239" spans="15:25" ht="14.25" customHeight="1" x14ac:dyDescent="0.2">
      <c r="O1239" s="90"/>
      <c r="P1239" s="90"/>
      <c r="R1239" s="90"/>
      <c r="S1239" s="90"/>
      <c r="T1239" s="90"/>
      <c r="Y1239" s="90"/>
    </row>
    <row r="1240" spans="15:25" ht="14.25" customHeight="1" x14ac:dyDescent="0.2">
      <c r="O1240" s="90"/>
      <c r="P1240" s="90"/>
      <c r="R1240" s="90"/>
      <c r="S1240" s="90"/>
      <c r="T1240" s="90"/>
      <c r="Y1240" s="90"/>
    </row>
    <row r="1241" spans="15:25" ht="14.25" customHeight="1" x14ac:dyDescent="0.2">
      <c r="O1241" s="90"/>
      <c r="P1241" s="90"/>
      <c r="R1241" s="90"/>
      <c r="S1241" s="90"/>
      <c r="T1241" s="90"/>
      <c r="Y1241" s="90"/>
    </row>
    <row r="1242" spans="15:25" ht="14.25" customHeight="1" x14ac:dyDescent="0.2">
      <c r="O1242" s="90"/>
      <c r="P1242" s="90"/>
      <c r="R1242" s="90"/>
      <c r="S1242" s="90"/>
      <c r="T1242" s="90"/>
      <c r="Y1242" s="90"/>
    </row>
    <row r="1243" spans="15:25" ht="14.25" customHeight="1" x14ac:dyDescent="0.2">
      <c r="O1243" s="90"/>
      <c r="P1243" s="90"/>
      <c r="R1243" s="90"/>
      <c r="S1243" s="90"/>
      <c r="T1243" s="90"/>
      <c r="Y1243" s="90"/>
    </row>
    <row r="1244" spans="15:25" ht="14.25" customHeight="1" x14ac:dyDescent="0.2">
      <c r="O1244" s="90"/>
      <c r="P1244" s="90"/>
      <c r="R1244" s="90"/>
      <c r="S1244" s="90"/>
      <c r="T1244" s="90"/>
      <c r="Y1244" s="90"/>
    </row>
    <row r="1245" spans="15:25" ht="14.25" customHeight="1" x14ac:dyDescent="0.2">
      <c r="O1245" s="90"/>
      <c r="P1245" s="90"/>
      <c r="R1245" s="90"/>
      <c r="S1245" s="90"/>
      <c r="T1245" s="90"/>
      <c r="Y1245" s="90"/>
    </row>
    <row r="1246" spans="15:25" ht="14.25" customHeight="1" x14ac:dyDescent="0.2">
      <c r="O1246" s="90"/>
      <c r="P1246" s="90"/>
      <c r="R1246" s="90"/>
      <c r="S1246" s="90"/>
      <c r="T1246" s="90"/>
      <c r="Y1246" s="90"/>
    </row>
    <row r="1247" spans="15:25" ht="14.25" customHeight="1" x14ac:dyDescent="0.2">
      <c r="O1247" s="90"/>
      <c r="P1247" s="90"/>
      <c r="R1247" s="90"/>
      <c r="S1247" s="90"/>
      <c r="T1247" s="90"/>
      <c r="Y1247" s="90"/>
    </row>
    <row r="1248" spans="15:25" ht="14.25" customHeight="1" x14ac:dyDescent="0.2">
      <c r="O1248" s="90"/>
      <c r="P1248" s="90"/>
      <c r="R1248" s="90"/>
      <c r="S1248" s="90"/>
      <c r="T1248" s="90"/>
      <c r="Y1248" s="90"/>
    </row>
    <row r="1249" spans="15:25" ht="14.25" customHeight="1" x14ac:dyDescent="0.2">
      <c r="O1249" s="90"/>
      <c r="P1249" s="90"/>
      <c r="R1249" s="90"/>
      <c r="S1249" s="90"/>
      <c r="T1249" s="90"/>
      <c r="Y1249" s="90"/>
    </row>
    <row r="1250" spans="15:25" ht="14.25" customHeight="1" x14ac:dyDescent="0.2">
      <c r="O1250" s="90"/>
      <c r="P1250" s="90"/>
      <c r="R1250" s="90"/>
      <c r="S1250" s="90"/>
      <c r="T1250" s="90"/>
      <c r="Y1250" s="90"/>
    </row>
    <row r="1251" spans="15:25" ht="14.25" customHeight="1" x14ac:dyDescent="0.2">
      <c r="O1251" s="90"/>
      <c r="P1251" s="90"/>
      <c r="R1251" s="90"/>
      <c r="S1251" s="90"/>
      <c r="T1251" s="90"/>
      <c r="Y1251" s="90"/>
    </row>
    <row r="1252" spans="15:25" ht="14.25" customHeight="1" x14ac:dyDescent="0.2">
      <c r="O1252" s="90"/>
      <c r="P1252" s="90"/>
      <c r="R1252" s="90"/>
      <c r="S1252" s="90"/>
      <c r="T1252" s="90"/>
      <c r="Y1252" s="90"/>
    </row>
    <row r="1253" spans="15:25" ht="14.25" customHeight="1" x14ac:dyDescent="0.2">
      <c r="O1253" s="90"/>
      <c r="P1253" s="90"/>
      <c r="R1253" s="90"/>
      <c r="S1253" s="90"/>
      <c r="T1253" s="90"/>
      <c r="Y1253" s="90"/>
    </row>
    <row r="1254" spans="15:25" ht="14.25" customHeight="1" x14ac:dyDescent="0.2">
      <c r="O1254" s="90"/>
      <c r="P1254" s="90"/>
      <c r="R1254" s="90"/>
      <c r="S1254" s="90"/>
      <c r="T1254" s="90"/>
      <c r="Y1254" s="90"/>
    </row>
    <row r="1255" spans="15:25" ht="14.25" customHeight="1" x14ac:dyDescent="0.2">
      <c r="O1255" s="90"/>
      <c r="P1255" s="90"/>
      <c r="R1255" s="90"/>
      <c r="S1255" s="90"/>
      <c r="T1255" s="90"/>
      <c r="Y1255" s="90"/>
    </row>
    <row r="1256" spans="15:25" ht="14.25" customHeight="1" x14ac:dyDescent="0.2">
      <c r="O1256" s="90"/>
      <c r="P1256" s="90"/>
      <c r="R1256" s="90"/>
      <c r="S1256" s="90"/>
      <c r="T1256" s="90"/>
      <c r="Y1256" s="90"/>
    </row>
    <row r="1257" spans="15:25" ht="14.25" customHeight="1" x14ac:dyDescent="0.2">
      <c r="O1257" s="90"/>
      <c r="P1257" s="90"/>
      <c r="R1257" s="90"/>
      <c r="S1257" s="90"/>
      <c r="T1257" s="90"/>
      <c r="Y1257" s="90"/>
    </row>
    <row r="1258" spans="15:25" ht="14.25" customHeight="1" x14ac:dyDescent="0.2">
      <c r="O1258" s="90"/>
      <c r="P1258" s="90"/>
      <c r="R1258" s="90"/>
      <c r="S1258" s="90"/>
      <c r="T1258" s="90"/>
      <c r="Y1258" s="90"/>
    </row>
    <row r="1259" spans="15:25" ht="14.25" customHeight="1" x14ac:dyDescent="0.2">
      <c r="O1259" s="90"/>
      <c r="P1259" s="90"/>
      <c r="R1259" s="90"/>
      <c r="S1259" s="90"/>
      <c r="T1259" s="90"/>
      <c r="Y1259" s="90"/>
    </row>
    <row r="1260" spans="15:25" ht="14.25" customHeight="1" x14ac:dyDescent="0.2">
      <c r="O1260" s="90"/>
      <c r="P1260" s="90"/>
      <c r="R1260" s="90"/>
      <c r="S1260" s="90"/>
      <c r="T1260" s="90"/>
      <c r="Y1260" s="90"/>
    </row>
    <row r="1261" spans="15:25" ht="14.25" customHeight="1" x14ac:dyDescent="0.2">
      <c r="O1261" s="90"/>
      <c r="P1261" s="90"/>
      <c r="R1261" s="90"/>
      <c r="S1261" s="90"/>
      <c r="T1261" s="90"/>
      <c r="Y1261" s="90"/>
    </row>
    <row r="1262" spans="15:25" ht="14.25" customHeight="1" x14ac:dyDescent="0.2">
      <c r="O1262" s="90"/>
      <c r="P1262" s="90"/>
      <c r="R1262" s="90"/>
      <c r="S1262" s="90"/>
      <c r="T1262" s="90"/>
      <c r="Y1262" s="90"/>
    </row>
    <row r="1263" spans="15:25" ht="14.25" customHeight="1" x14ac:dyDescent="0.2">
      <c r="O1263" s="90"/>
      <c r="P1263" s="90"/>
      <c r="R1263" s="90"/>
      <c r="S1263" s="90"/>
      <c r="T1263" s="90"/>
      <c r="Y1263" s="90"/>
    </row>
    <row r="1264" spans="15:25" ht="14.25" customHeight="1" x14ac:dyDescent="0.2">
      <c r="O1264" s="90"/>
      <c r="P1264" s="90"/>
      <c r="R1264" s="90"/>
      <c r="S1264" s="90"/>
      <c r="T1264" s="90"/>
      <c r="Y1264" s="90"/>
    </row>
    <row r="1265" spans="15:25" ht="14.25" customHeight="1" x14ac:dyDescent="0.2">
      <c r="O1265" s="90"/>
      <c r="P1265" s="90"/>
      <c r="R1265" s="90"/>
      <c r="S1265" s="90"/>
      <c r="T1265" s="90"/>
      <c r="Y1265" s="90"/>
    </row>
    <row r="1266" spans="15:25" ht="14.25" customHeight="1" x14ac:dyDescent="0.2">
      <c r="O1266" s="90"/>
      <c r="P1266" s="90"/>
      <c r="R1266" s="90"/>
      <c r="S1266" s="90"/>
      <c r="T1266" s="90"/>
      <c r="Y1266" s="90"/>
    </row>
    <row r="1267" spans="15:25" ht="14.25" customHeight="1" x14ac:dyDescent="0.2">
      <c r="O1267" s="90"/>
      <c r="P1267" s="90"/>
      <c r="R1267" s="90"/>
      <c r="S1267" s="90"/>
      <c r="T1267" s="90"/>
      <c r="Y1267" s="90"/>
    </row>
    <row r="1268" spans="15:25" ht="14.25" customHeight="1" x14ac:dyDescent="0.2">
      <c r="O1268" s="90"/>
      <c r="P1268" s="90"/>
      <c r="R1268" s="90"/>
      <c r="S1268" s="90"/>
      <c r="T1268" s="90"/>
      <c r="Y1268" s="90"/>
    </row>
    <row r="1269" spans="15:25" ht="14.25" customHeight="1" x14ac:dyDescent="0.2">
      <c r="O1269" s="90"/>
      <c r="P1269" s="90"/>
      <c r="R1269" s="90"/>
      <c r="S1269" s="90"/>
      <c r="T1269" s="90"/>
      <c r="Y1269" s="90"/>
    </row>
    <row r="1270" spans="15:25" ht="14.25" customHeight="1" x14ac:dyDescent="0.2">
      <c r="O1270" s="90"/>
      <c r="P1270" s="90"/>
      <c r="R1270" s="90"/>
      <c r="S1270" s="90"/>
      <c r="T1270" s="90"/>
      <c r="Y1270" s="90"/>
    </row>
    <row r="1271" spans="15:25" ht="14.25" customHeight="1" x14ac:dyDescent="0.2">
      <c r="O1271" s="90"/>
      <c r="P1271" s="90"/>
      <c r="R1271" s="90"/>
      <c r="S1271" s="90"/>
      <c r="T1271" s="90"/>
      <c r="Y1271" s="90"/>
    </row>
    <row r="1272" spans="15:25" ht="14.25" customHeight="1" x14ac:dyDescent="0.2">
      <c r="O1272" s="90"/>
      <c r="P1272" s="90"/>
      <c r="R1272" s="90"/>
      <c r="S1272" s="90"/>
      <c r="T1272" s="90"/>
      <c r="Y1272" s="90"/>
    </row>
    <row r="1273" spans="15:25" ht="14.25" customHeight="1" x14ac:dyDescent="0.2">
      <c r="O1273" s="90"/>
      <c r="P1273" s="90"/>
      <c r="R1273" s="90"/>
      <c r="S1273" s="90"/>
      <c r="T1273" s="90"/>
      <c r="Y1273" s="90"/>
    </row>
    <row r="1274" spans="15:25" ht="14.25" customHeight="1" x14ac:dyDescent="0.2">
      <c r="O1274" s="90"/>
      <c r="P1274" s="90"/>
      <c r="R1274" s="90"/>
      <c r="S1274" s="90"/>
      <c r="T1274" s="90"/>
      <c r="Y1274" s="90"/>
    </row>
    <row r="1275" spans="15:25" ht="14.25" customHeight="1" x14ac:dyDescent="0.2">
      <c r="O1275" s="90"/>
      <c r="P1275" s="90"/>
      <c r="R1275" s="90"/>
      <c r="S1275" s="90"/>
      <c r="T1275" s="90"/>
      <c r="Y1275" s="90"/>
    </row>
    <row r="1276" spans="15:25" ht="14.25" customHeight="1" x14ac:dyDescent="0.2">
      <c r="O1276" s="90"/>
      <c r="P1276" s="90"/>
      <c r="R1276" s="90"/>
      <c r="S1276" s="90"/>
      <c r="T1276" s="90"/>
      <c r="Y1276" s="90"/>
    </row>
    <row r="1277" spans="15:25" ht="14.25" customHeight="1" x14ac:dyDescent="0.2">
      <c r="O1277" s="90"/>
      <c r="P1277" s="90"/>
      <c r="R1277" s="90"/>
      <c r="S1277" s="90"/>
      <c r="T1277" s="90"/>
      <c r="Y1277" s="90"/>
    </row>
    <row r="1278" spans="15:25" ht="14.25" customHeight="1" x14ac:dyDescent="0.2">
      <c r="O1278" s="90"/>
      <c r="P1278" s="90"/>
      <c r="R1278" s="90"/>
      <c r="S1278" s="90"/>
      <c r="T1278" s="90"/>
      <c r="Y1278" s="90"/>
    </row>
    <row r="1279" spans="15:25" ht="14.25" customHeight="1" x14ac:dyDescent="0.2">
      <c r="O1279" s="90"/>
      <c r="P1279" s="90"/>
      <c r="R1279" s="90"/>
      <c r="S1279" s="90"/>
      <c r="T1279" s="90"/>
      <c r="Y1279" s="90"/>
    </row>
    <row r="1280" spans="15:25" ht="14.25" customHeight="1" x14ac:dyDescent="0.2">
      <c r="O1280" s="90"/>
      <c r="P1280" s="90"/>
      <c r="R1280" s="90"/>
      <c r="S1280" s="90"/>
      <c r="T1280" s="90"/>
      <c r="Y1280" s="90"/>
    </row>
    <row r="1281" spans="15:25" ht="14.25" customHeight="1" x14ac:dyDescent="0.2">
      <c r="O1281" s="90"/>
      <c r="P1281" s="90"/>
      <c r="R1281" s="90"/>
      <c r="S1281" s="90"/>
      <c r="T1281" s="90"/>
      <c r="Y1281" s="90"/>
    </row>
    <row r="1282" spans="15:25" ht="14.25" customHeight="1" x14ac:dyDescent="0.2">
      <c r="O1282" s="90"/>
      <c r="P1282" s="90"/>
      <c r="R1282" s="90"/>
      <c r="S1282" s="90"/>
      <c r="T1282" s="90"/>
      <c r="Y1282" s="90"/>
    </row>
    <row r="1283" spans="15:25" ht="14.25" customHeight="1" x14ac:dyDescent="0.2">
      <c r="O1283" s="90"/>
      <c r="P1283" s="90"/>
      <c r="R1283" s="90"/>
      <c r="S1283" s="90"/>
      <c r="T1283" s="90"/>
      <c r="Y1283" s="90"/>
    </row>
    <row r="1284" spans="15:25" ht="14.25" customHeight="1" x14ac:dyDescent="0.2">
      <c r="O1284" s="90"/>
      <c r="P1284" s="90"/>
      <c r="R1284" s="90"/>
      <c r="S1284" s="90"/>
      <c r="T1284" s="90"/>
      <c r="Y1284" s="90"/>
    </row>
    <row r="1285" spans="15:25" ht="14.25" customHeight="1" x14ac:dyDescent="0.2">
      <c r="O1285" s="90"/>
      <c r="P1285" s="90"/>
      <c r="R1285" s="90"/>
      <c r="S1285" s="90"/>
      <c r="T1285" s="90"/>
      <c r="Y1285" s="90"/>
    </row>
    <row r="1286" spans="15:25" ht="14.25" customHeight="1" x14ac:dyDescent="0.2">
      <c r="O1286" s="90"/>
      <c r="P1286" s="90"/>
      <c r="R1286" s="90"/>
      <c r="S1286" s="90"/>
      <c r="T1286" s="90"/>
      <c r="Y1286" s="90"/>
    </row>
    <row r="1287" spans="15:25" ht="14.25" customHeight="1" x14ac:dyDescent="0.2">
      <c r="O1287" s="90"/>
      <c r="P1287" s="90"/>
      <c r="R1287" s="90"/>
      <c r="S1287" s="90"/>
      <c r="T1287" s="90"/>
      <c r="Y1287" s="90"/>
    </row>
    <row r="1288" spans="15:25" ht="14.25" customHeight="1" x14ac:dyDescent="0.2">
      <c r="O1288" s="90"/>
      <c r="P1288" s="90"/>
      <c r="R1288" s="90"/>
      <c r="S1288" s="90"/>
      <c r="T1288" s="90"/>
      <c r="Y1288" s="90"/>
    </row>
    <row r="1289" spans="15:25" ht="14.25" customHeight="1" x14ac:dyDescent="0.2">
      <c r="O1289" s="90"/>
      <c r="P1289" s="90"/>
      <c r="R1289" s="90"/>
      <c r="S1289" s="90"/>
      <c r="T1289" s="90"/>
      <c r="Y1289" s="90"/>
    </row>
    <row r="1290" spans="15:25" ht="14.25" customHeight="1" x14ac:dyDescent="0.2">
      <c r="O1290" s="90"/>
      <c r="P1290" s="90"/>
      <c r="R1290" s="90"/>
      <c r="S1290" s="90"/>
      <c r="T1290" s="90"/>
      <c r="Y1290" s="90"/>
    </row>
    <row r="1291" spans="15:25" ht="14.25" customHeight="1" x14ac:dyDescent="0.2">
      <c r="O1291" s="90"/>
      <c r="P1291" s="90"/>
      <c r="R1291" s="90"/>
      <c r="S1291" s="90"/>
      <c r="T1291" s="90"/>
      <c r="Y1291" s="90"/>
    </row>
    <row r="1292" spans="15:25" ht="14.25" customHeight="1" x14ac:dyDescent="0.2">
      <c r="O1292" s="90"/>
      <c r="P1292" s="90"/>
      <c r="R1292" s="90"/>
      <c r="S1292" s="90"/>
      <c r="T1292" s="90"/>
      <c r="Y1292" s="90"/>
    </row>
    <row r="1293" spans="15:25" ht="14.25" customHeight="1" x14ac:dyDescent="0.2">
      <c r="O1293" s="90"/>
      <c r="P1293" s="90"/>
      <c r="R1293" s="90"/>
      <c r="S1293" s="90"/>
      <c r="T1293" s="90"/>
      <c r="Y1293" s="90"/>
    </row>
    <row r="1294" spans="15:25" ht="14.25" customHeight="1" x14ac:dyDescent="0.2">
      <c r="O1294" s="90"/>
      <c r="P1294" s="90"/>
      <c r="R1294" s="90"/>
      <c r="S1294" s="90"/>
      <c r="T1294" s="90"/>
      <c r="Y1294" s="90"/>
    </row>
    <row r="1295" spans="15:25" ht="14.25" customHeight="1" x14ac:dyDescent="0.2">
      <c r="O1295" s="90"/>
      <c r="P1295" s="90"/>
      <c r="R1295" s="90"/>
      <c r="S1295" s="90"/>
      <c r="T1295" s="90"/>
      <c r="Y1295" s="90"/>
    </row>
    <row r="1296" spans="15:25" ht="14.25" customHeight="1" x14ac:dyDescent="0.2">
      <c r="O1296" s="90"/>
      <c r="P1296" s="90"/>
      <c r="R1296" s="90"/>
      <c r="S1296" s="90"/>
      <c r="T1296" s="90"/>
      <c r="Y1296" s="90"/>
    </row>
    <row r="1297" spans="15:25" ht="14.25" customHeight="1" x14ac:dyDescent="0.2">
      <c r="O1297" s="90"/>
      <c r="P1297" s="90"/>
      <c r="R1297" s="90"/>
      <c r="S1297" s="90"/>
      <c r="T1297" s="90"/>
      <c r="Y1297" s="90"/>
    </row>
    <row r="1298" spans="15:25" ht="14.25" customHeight="1" x14ac:dyDescent="0.2">
      <c r="O1298" s="90"/>
      <c r="P1298" s="90"/>
      <c r="R1298" s="90"/>
      <c r="S1298" s="90"/>
      <c r="T1298" s="90"/>
      <c r="Y1298" s="90"/>
    </row>
    <row r="1299" spans="15:25" ht="14.25" customHeight="1" x14ac:dyDescent="0.2">
      <c r="O1299" s="90"/>
      <c r="P1299" s="90"/>
      <c r="R1299" s="90"/>
      <c r="S1299" s="90"/>
      <c r="T1299" s="90"/>
      <c r="Y1299" s="90"/>
    </row>
    <row r="1300" spans="15:25" ht="14.25" customHeight="1" x14ac:dyDescent="0.2">
      <c r="O1300" s="90"/>
      <c r="P1300" s="90"/>
      <c r="R1300" s="90"/>
      <c r="S1300" s="90"/>
      <c r="T1300" s="90"/>
      <c r="Y1300" s="90"/>
    </row>
    <row r="1301" spans="15:25" ht="14.25" customHeight="1" x14ac:dyDescent="0.2">
      <c r="O1301" s="90"/>
      <c r="P1301" s="90"/>
      <c r="R1301" s="90"/>
      <c r="S1301" s="90"/>
      <c r="T1301" s="90"/>
      <c r="Y1301" s="90"/>
    </row>
    <row r="1302" spans="15:25" ht="14.25" customHeight="1" x14ac:dyDescent="0.2">
      <c r="O1302" s="90"/>
      <c r="P1302" s="90"/>
      <c r="R1302" s="90"/>
      <c r="S1302" s="90"/>
      <c r="T1302" s="90"/>
      <c r="Y1302" s="90"/>
    </row>
    <row r="1303" spans="15:25" ht="14.25" customHeight="1" x14ac:dyDescent="0.2">
      <c r="O1303" s="90"/>
      <c r="P1303" s="90"/>
      <c r="R1303" s="90"/>
      <c r="S1303" s="90"/>
      <c r="T1303" s="90"/>
      <c r="Y1303" s="90"/>
    </row>
    <row r="1304" spans="15:25" ht="14.25" customHeight="1" x14ac:dyDescent="0.2">
      <c r="O1304" s="90"/>
      <c r="P1304" s="90"/>
      <c r="R1304" s="90"/>
      <c r="S1304" s="90"/>
      <c r="T1304" s="90"/>
      <c r="Y1304" s="90"/>
    </row>
    <row r="1305" spans="15:25" ht="14.25" customHeight="1" x14ac:dyDescent="0.2">
      <c r="O1305" s="90"/>
      <c r="P1305" s="90"/>
      <c r="R1305" s="90"/>
      <c r="S1305" s="90"/>
      <c r="T1305" s="90"/>
      <c r="Y1305" s="90"/>
    </row>
    <row r="1306" spans="15:25" ht="14.25" customHeight="1" x14ac:dyDescent="0.2">
      <c r="O1306" s="90"/>
      <c r="P1306" s="90"/>
      <c r="R1306" s="90"/>
      <c r="S1306" s="90"/>
      <c r="T1306" s="90"/>
      <c r="Y1306" s="90"/>
    </row>
    <row r="1307" spans="15:25" ht="14.25" customHeight="1" x14ac:dyDescent="0.2">
      <c r="O1307" s="90"/>
      <c r="P1307" s="90"/>
      <c r="R1307" s="90"/>
      <c r="S1307" s="90"/>
      <c r="T1307" s="90"/>
      <c r="Y1307" s="90"/>
    </row>
    <row r="1308" spans="15:25" ht="14.25" customHeight="1" x14ac:dyDescent="0.2">
      <c r="O1308" s="90"/>
      <c r="P1308" s="90"/>
      <c r="R1308" s="90"/>
      <c r="S1308" s="90"/>
      <c r="T1308" s="90"/>
      <c r="Y1308" s="90"/>
    </row>
    <row r="1309" spans="15:25" ht="14.25" customHeight="1" x14ac:dyDescent="0.2">
      <c r="O1309" s="90"/>
      <c r="P1309" s="90"/>
      <c r="R1309" s="90"/>
      <c r="S1309" s="90"/>
      <c r="T1309" s="90"/>
      <c r="Y1309" s="90"/>
    </row>
    <row r="1310" spans="15:25" ht="14.25" customHeight="1" x14ac:dyDescent="0.2">
      <c r="O1310" s="90"/>
      <c r="P1310" s="90"/>
      <c r="R1310" s="90"/>
      <c r="S1310" s="90"/>
      <c r="T1310" s="90"/>
      <c r="Y1310" s="90"/>
    </row>
    <row r="1311" spans="15:25" ht="14.25" customHeight="1" x14ac:dyDescent="0.2">
      <c r="O1311" s="90"/>
      <c r="P1311" s="90"/>
      <c r="R1311" s="90"/>
      <c r="S1311" s="90"/>
      <c r="T1311" s="90"/>
      <c r="Y1311" s="90"/>
    </row>
    <row r="1312" spans="15:25" ht="14.25" customHeight="1" x14ac:dyDescent="0.2">
      <c r="O1312" s="90"/>
      <c r="P1312" s="90"/>
      <c r="R1312" s="90"/>
      <c r="S1312" s="90"/>
      <c r="T1312" s="90"/>
      <c r="Y1312" s="90"/>
    </row>
    <row r="1313" spans="15:25" ht="14.25" customHeight="1" x14ac:dyDescent="0.2">
      <c r="O1313" s="90"/>
      <c r="P1313" s="90"/>
      <c r="R1313" s="90"/>
      <c r="S1313" s="90"/>
      <c r="T1313" s="90"/>
      <c r="Y1313" s="90"/>
    </row>
    <row r="1314" spans="15:25" ht="14.25" customHeight="1" x14ac:dyDescent="0.2">
      <c r="O1314" s="90"/>
      <c r="P1314" s="90"/>
      <c r="R1314" s="90"/>
      <c r="S1314" s="90"/>
      <c r="T1314" s="90"/>
      <c r="Y1314" s="90"/>
    </row>
    <row r="1315" spans="15:25" ht="14.25" customHeight="1" x14ac:dyDescent="0.2">
      <c r="O1315" s="90"/>
      <c r="P1315" s="90"/>
      <c r="R1315" s="90"/>
      <c r="S1315" s="90"/>
      <c r="T1315" s="90"/>
      <c r="Y1315" s="90"/>
    </row>
    <row r="1316" spans="15:25" ht="14.25" customHeight="1" x14ac:dyDescent="0.2">
      <c r="O1316" s="90"/>
      <c r="P1316" s="90"/>
      <c r="R1316" s="90"/>
      <c r="S1316" s="90"/>
      <c r="T1316" s="90"/>
      <c r="Y1316" s="90"/>
    </row>
    <row r="1317" spans="15:25" ht="14.25" customHeight="1" x14ac:dyDescent="0.2">
      <c r="O1317" s="90"/>
      <c r="P1317" s="90"/>
      <c r="R1317" s="90"/>
      <c r="S1317" s="90"/>
      <c r="T1317" s="90"/>
      <c r="Y1317" s="90"/>
    </row>
    <row r="1318" spans="15:25" ht="14.25" customHeight="1" x14ac:dyDescent="0.2">
      <c r="O1318" s="90"/>
      <c r="P1318" s="90"/>
      <c r="R1318" s="90"/>
      <c r="S1318" s="90"/>
      <c r="T1318" s="90"/>
      <c r="Y1318" s="90"/>
    </row>
    <row r="1319" spans="15:25" ht="14.25" customHeight="1" x14ac:dyDescent="0.2">
      <c r="O1319" s="90"/>
      <c r="P1319" s="90"/>
      <c r="R1319" s="90"/>
      <c r="S1319" s="90"/>
      <c r="T1319" s="90"/>
      <c r="Y1319" s="90"/>
    </row>
    <row r="1320" spans="15:25" ht="14.25" customHeight="1" x14ac:dyDescent="0.2">
      <c r="O1320" s="90"/>
      <c r="P1320" s="90"/>
      <c r="R1320" s="90"/>
      <c r="S1320" s="90"/>
      <c r="T1320" s="90"/>
      <c r="Y1320" s="90"/>
    </row>
    <row r="1321" spans="15:25" ht="14.25" customHeight="1" x14ac:dyDescent="0.2">
      <c r="O1321" s="90"/>
      <c r="P1321" s="90"/>
      <c r="R1321" s="90"/>
      <c r="S1321" s="90"/>
      <c r="T1321" s="90"/>
      <c r="Y1321" s="90"/>
    </row>
    <row r="1322" spans="15:25" ht="14.25" customHeight="1" x14ac:dyDescent="0.2">
      <c r="O1322" s="90"/>
      <c r="P1322" s="90"/>
      <c r="R1322" s="90"/>
      <c r="S1322" s="90"/>
      <c r="T1322" s="90"/>
      <c r="Y1322" s="90"/>
    </row>
    <row r="1323" spans="15:25" ht="14.25" customHeight="1" x14ac:dyDescent="0.2">
      <c r="O1323" s="90"/>
      <c r="P1323" s="90"/>
      <c r="R1323" s="90"/>
      <c r="S1323" s="90"/>
      <c r="T1323" s="90"/>
      <c r="Y1323" s="90"/>
    </row>
    <row r="1324" spans="15:25" ht="14.25" customHeight="1" x14ac:dyDescent="0.2">
      <c r="O1324" s="90"/>
      <c r="P1324" s="90"/>
      <c r="R1324" s="90"/>
      <c r="S1324" s="90"/>
      <c r="T1324" s="90"/>
      <c r="Y1324" s="90"/>
    </row>
    <row r="1325" spans="15:25" ht="14.25" customHeight="1" x14ac:dyDescent="0.2">
      <c r="O1325" s="90"/>
      <c r="P1325" s="90"/>
      <c r="R1325" s="90"/>
      <c r="S1325" s="90"/>
      <c r="T1325" s="90"/>
      <c r="Y1325" s="90"/>
    </row>
    <row r="1326" spans="15:25" ht="14.25" customHeight="1" x14ac:dyDescent="0.2">
      <c r="O1326" s="90"/>
      <c r="P1326" s="90"/>
      <c r="R1326" s="90"/>
      <c r="S1326" s="90"/>
      <c r="T1326" s="90"/>
      <c r="Y1326" s="90"/>
    </row>
    <row r="1327" spans="15:25" ht="14.25" customHeight="1" x14ac:dyDescent="0.2">
      <c r="O1327" s="90"/>
      <c r="P1327" s="90"/>
      <c r="R1327" s="90"/>
      <c r="S1327" s="90"/>
      <c r="T1327" s="90"/>
      <c r="Y1327" s="90"/>
    </row>
    <row r="1328" spans="15:25" ht="14.25" customHeight="1" x14ac:dyDescent="0.2">
      <c r="O1328" s="90"/>
      <c r="P1328" s="90"/>
      <c r="R1328" s="90"/>
      <c r="S1328" s="90"/>
      <c r="T1328" s="90"/>
      <c r="Y1328" s="90"/>
    </row>
    <row r="1329" spans="15:25" ht="14.25" customHeight="1" x14ac:dyDescent="0.2">
      <c r="O1329" s="90"/>
      <c r="P1329" s="90"/>
      <c r="R1329" s="90"/>
      <c r="S1329" s="90"/>
      <c r="T1329" s="90"/>
      <c r="Y1329" s="90"/>
    </row>
    <row r="1330" spans="15:25" ht="14.25" customHeight="1" x14ac:dyDescent="0.2">
      <c r="O1330" s="90"/>
      <c r="P1330" s="90"/>
      <c r="R1330" s="90"/>
      <c r="S1330" s="90"/>
      <c r="T1330" s="90"/>
      <c r="Y1330" s="90"/>
    </row>
    <row r="1331" spans="15:25" ht="14.25" customHeight="1" x14ac:dyDescent="0.2">
      <c r="O1331" s="90"/>
      <c r="P1331" s="90"/>
      <c r="R1331" s="90"/>
      <c r="S1331" s="90"/>
      <c r="T1331" s="90"/>
      <c r="Y1331" s="90"/>
    </row>
    <row r="1332" spans="15:25" ht="14.25" customHeight="1" x14ac:dyDescent="0.2">
      <c r="O1332" s="90"/>
      <c r="P1332" s="90"/>
      <c r="R1332" s="90"/>
      <c r="S1332" s="90"/>
      <c r="T1332" s="90"/>
      <c r="Y1332" s="90"/>
    </row>
    <row r="1333" spans="15:25" ht="14.25" customHeight="1" x14ac:dyDescent="0.2">
      <c r="O1333" s="90"/>
      <c r="P1333" s="90"/>
      <c r="R1333" s="90"/>
      <c r="S1333" s="90"/>
      <c r="T1333" s="90"/>
      <c r="Y1333" s="90"/>
    </row>
    <row r="1334" spans="15:25" ht="14.25" customHeight="1" x14ac:dyDescent="0.2">
      <c r="O1334" s="90"/>
      <c r="P1334" s="90"/>
      <c r="R1334" s="90"/>
      <c r="S1334" s="90"/>
      <c r="T1334" s="90"/>
      <c r="Y1334" s="90"/>
    </row>
    <row r="1335" spans="15:25" ht="14.25" customHeight="1" x14ac:dyDescent="0.2">
      <c r="O1335" s="90"/>
      <c r="P1335" s="90"/>
      <c r="R1335" s="90"/>
      <c r="S1335" s="90"/>
      <c r="T1335" s="90"/>
      <c r="Y1335" s="90"/>
    </row>
    <row r="1336" spans="15:25" ht="14.25" customHeight="1" x14ac:dyDescent="0.2">
      <c r="O1336" s="90"/>
      <c r="P1336" s="90"/>
      <c r="R1336" s="90"/>
      <c r="S1336" s="90"/>
      <c r="T1336" s="90"/>
      <c r="Y1336" s="90"/>
    </row>
    <row r="1337" spans="15:25" ht="14.25" customHeight="1" x14ac:dyDescent="0.2">
      <c r="O1337" s="90"/>
      <c r="P1337" s="90"/>
      <c r="R1337" s="90"/>
      <c r="S1337" s="90"/>
      <c r="T1337" s="90"/>
      <c r="Y1337" s="90"/>
    </row>
    <row r="1338" spans="15:25" ht="14.25" customHeight="1" x14ac:dyDescent="0.2">
      <c r="O1338" s="90"/>
      <c r="P1338" s="90"/>
      <c r="R1338" s="90"/>
      <c r="S1338" s="90"/>
      <c r="T1338" s="90"/>
      <c r="Y1338" s="90"/>
    </row>
    <row r="1339" spans="15:25" ht="14.25" customHeight="1" x14ac:dyDescent="0.2">
      <c r="O1339" s="90"/>
      <c r="P1339" s="90"/>
      <c r="R1339" s="90"/>
      <c r="S1339" s="90"/>
      <c r="T1339" s="90"/>
      <c r="Y1339" s="90"/>
    </row>
    <row r="1340" spans="15:25" ht="14.25" customHeight="1" x14ac:dyDescent="0.2">
      <c r="O1340" s="90"/>
      <c r="P1340" s="90"/>
      <c r="R1340" s="90"/>
      <c r="S1340" s="90"/>
      <c r="T1340" s="90"/>
      <c r="Y1340" s="90"/>
    </row>
    <row r="1341" spans="15:25" ht="14.25" customHeight="1" x14ac:dyDescent="0.2">
      <c r="O1341" s="90"/>
      <c r="P1341" s="90"/>
      <c r="R1341" s="90"/>
      <c r="S1341" s="90"/>
      <c r="T1341" s="90"/>
      <c r="Y1341" s="90"/>
    </row>
    <row r="1342" spans="15:25" ht="14.25" customHeight="1" x14ac:dyDescent="0.2">
      <c r="O1342" s="90"/>
      <c r="P1342" s="90"/>
      <c r="R1342" s="90"/>
      <c r="S1342" s="90"/>
      <c r="T1342" s="90"/>
      <c r="Y1342" s="90"/>
    </row>
    <row r="1343" spans="15:25" ht="14.25" customHeight="1" x14ac:dyDescent="0.2">
      <c r="O1343" s="90"/>
      <c r="P1343" s="90"/>
      <c r="R1343" s="90"/>
      <c r="S1343" s="90"/>
      <c r="T1343" s="90"/>
      <c r="Y1343" s="90"/>
    </row>
    <row r="1344" spans="15:25" ht="14.25" customHeight="1" x14ac:dyDescent="0.2">
      <c r="O1344" s="90"/>
      <c r="P1344" s="90"/>
      <c r="R1344" s="90"/>
      <c r="S1344" s="90"/>
      <c r="T1344" s="90"/>
      <c r="Y1344" s="90"/>
    </row>
    <row r="1345" spans="15:25" ht="14.25" customHeight="1" x14ac:dyDescent="0.2">
      <c r="O1345" s="90"/>
      <c r="P1345" s="90"/>
      <c r="R1345" s="90"/>
      <c r="S1345" s="90"/>
      <c r="T1345" s="90"/>
      <c r="Y1345" s="90"/>
    </row>
    <row r="1346" spans="15:25" ht="14.25" customHeight="1" x14ac:dyDescent="0.2">
      <c r="O1346" s="90"/>
      <c r="P1346" s="90"/>
      <c r="R1346" s="90"/>
      <c r="S1346" s="90"/>
      <c r="T1346" s="90"/>
      <c r="Y1346" s="90"/>
    </row>
    <row r="1347" spans="15:25" ht="14.25" customHeight="1" x14ac:dyDescent="0.2">
      <c r="O1347" s="90"/>
      <c r="P1347" s="90"/>
      <c r="R1347" s="90"/>
      <c r="S1347" s="90"/>
      <c r="T1347" s="90"/>
      <c r="Y1347" s="90"/>
    </row>
    <row r="1348" spans="15:25" ht="14.25" customHeight="1" x14ac:dyDescent="0.2">
      <c r="O1348" s="90"/>
      <c r="P1348" s="90"/>
      <c r="R1348" s="90"/>
      <c r="S1348" s="90"/>
      <c r="T1348" s="90"/>
      <c r="Y1348" s="90"/>
    </row>
    <row r="1349" spans="15:25" ht="14.25" customHeight="1" x14ac:dyDescent="0.2">
      <c r="O1349" s="90"/>
      <c r="P1349" s="90"/>
      <c r="R1349" s="90"/>
      <c r="S1349" s="90"/>
      <c r="T1349" s="90"/>
      <c r="Y1349" s="90"/>
    </row>
    <row r="1350" spans="15:25" ht="14.25" customHeight="1" x14ac:dyDescent="0.2">
      <c r="O1350" s="90"/>
      <c r="P1350" s="90"/>
      <c r="R1350" s="90"/>
      <c r="S1350" s="90"/>
      <c r="T1350" s="90"/>
      <c r="Y1350" s="90"/>
    </row>
    <row r="1351" spans="15:25" ht="14.25" customHeight="1" x14ac:dyDescent="0.2">
      <c r="O1351" s="90"/>
      <c r="P1351" s="90"/>
      <c r="R1351" s="90"/>
      <c r="S1351" s="90"/>
      <c r="T1351" s="90"/>
      <c r="Y1351" s="90"/>
    </row>
    <row r="1352" spans="15:25" ht="14.25" customHeight="1" x14ac:dyDescent="0.2">
      <c r="O1352" s="90"/>
      <c r="P1352" s="90"/>
      <c r="R1352" s="90"/>
      <c r="S1352" s="90"/>
      <c r="T1352" s="90"/>
      <c r="Y1352" s="90"/>
    </row>
    <row r="1353" spans="15:25" ht="14.25" customHeight="1" x14ac:dyDescent="0.2">
      <c r="O1353" s="90"/>
      <c r="P1353" s="90"/>
      <c r="R1353" s="90"/>
      <c r="S1353" s="90"/>
      <c r="T1353" s="90"/>
      <c r="Y1353" s="90"/>
    </row>
    <row r="1354" spans="15:25" ht="14.25" customHeight="1" x14ac:dyDescent="0.2">
      <c r="O1354" s="90"/>
      <c r="P1354" s="90"/>
      <c r="R1354" s="90"/>
      <c r="S1354" s="90"/>
      <c r="T1354" s="90"/>
      <c r="Y1354" s="90"/>
    </row>
    <row r="1355" spans="15:25" ht="14.25" customHeight="1" x14ac:dyDescent="0.2">
      <c r="O1355" s="90"/>
      <c r="P1355" s="90"/>
      <c r="R1355" s="90"/>
      <c r="S1355" s="90"/>
      <c r="T1355" s="90"/>
      <c r="Y1355" s="90"/>
    </row>
    <row r="1356" spans="15:25" ht="14.25" customHeight="1" x14ac:dyDescent="0.2">
      <c r="O1356" s="90"/>
      <c r="P1356" s="90"/>
      <c r="R1356" s="90"/>
      <c r="S1356" s="90"/>
      <c r="T1356" s="90"/>
      <c r="Y1356" s="90"/>
    </row>
    <row r="1357" spans="15:25" ht="14.25" customHeight="1" x14ac:dyDescent="0.2">
      <c r="O1357" s="90"/>
      <c r="P1357" s="90"/>
      <c r="R1357" s="90"/>
      <c r="S1357" s="90"/>
      <c r="T1357" s="90"/>
      <c r="Y1357" s="90"/>
    </row>
    <row r="1358" spans="15:25" ht="14.25" customHeight="1" x14ac:dyDescent="0.2">
      <c r="O1358" s="90"/>
      <c r="P1358" s="90"/>
      <c r="R1358" s="90"/>
      <c r="S1358" s="90"/>
      <c r="T1358" s="90"/>
      <c r="Y1358" s="90"/>
    </row>
    <row r="1359" spans="15:25" ht="14.25" customHeight="1" x14ac:dyDescent="0.2">
      <c r="O1359" s="90"/>
      <c r="P1359" s="90"/>
      <c r="R1359" s="90"/>
      <c r="S1359" s="90"/>
      <c r="T1359" s="90"/>
      <c r="Y1359" s="90"/>
    </row>
    <row r="1360" spans="15:25" ht="14.25" customHeight="1" x14ac:dyDescent="0.2">
      <c r="O1360" s="90"/>
      <c r="P1360" s="90"/>
      <c r="R1360" s="90"/>
      <c r="S1360" s="90"/>
      <c r="T1360" s="90"/>
      <c r="Y1360" s="90"/>
    </row>
    <row r="1361" spans="15:25" ht="14.25" customHeight="1" x14ac:dyDescent="0.2">
      <c r="O1361" s="90"/>
      <c r="P1361" s="90"/>
      <c r="R1361" s="90"/>
      <c r="S1361" s="90"/>
      <c r="T1361" s="90"/>
      <c r="Y1361" s="90"/>
    </row>
    <row r="1362" spans="15:25" ht="14.25" customHeight="1" x14ac:dyDescent="0.2">
      <c r="O1362" s="90"/>
      <c r="P1362" s="90"/>
      <c r="R1362" s="90"/>
      <c r="S1362" s="90"/>
      <c r="T1362" s="90"/>
      <c r="Y1362" s="90"/>
    </row>
    <row r="1363" spans="15:25" ht="14.25" customHeight="1" x14ac:dyDescent="0.2">
      <c r="O1363" s="90"/>
      <c r="P1363" s="90"/>
      <c r="R1363" s="90"/>
      <c r="S1363" s="90"/>
      <c r="T1363" s="90"/>
      <c r="Y1363" s="90"/>
    </row>
    <row r="1364" spans="15:25" ht="14.25" customHeight="1" x14ac:dyDescent="0.2">
      <c r="O1364" s="90"/>
      <c r="P1364" s="90"/>
      <c r="R1364" s="90"/>
      <c r="S1364" s="90"/>
      <c r="T1364" s="90"/>
      <c r="Y1364" s="90"/>
    </row>
    <row r="1365" spans="15:25" ht="14.25" customHeight="1" x14ac:dyDescent="0.2">
      <c r="O1365" s="90"/>
      <c r="P1365" s="90"/>
      <c r="R1365" s="90"/>
      <c r="S1365" s="90"/>
      <c r="T1365" s="90"/>
      <c r="Y1365" s="90"/>
    </row>
    <row r="1366" spans="15:25" ht="14.25" customHeight="1" x14ac:dyDescent="0.2">
      <c r="O1366" s="90"/>
      <c r="P1366" s="90"/>
      <c r="R1366" s="90"/>
      <c r="S1366" s="90"/>
      <c r="T1366" s="90"/>
      <c r="Y1366" s="90"/>
    </row>
    <row r="1367" spans="15:25" ht="14.25" customHeight="1" x14ac:dyDescent="0.2">
      <c r="O1367" s="90"/>
      <c r="P1367" s="90"/>
      <c r="R1367" s="90"/>
      <c r="S1367" s="90"/>
      <c r="T1367" s="90"/>
      <c r="Y1367" s="90"/>
    </row>
    <row r="1368" spans="15:25" ht="14.25" customHeight="1" x14ac:dyDescent="0.2">
      <c r="O1368" s="90"/>
      <c r="P1368" s="90"/>
      <c r="R1368" s="90"/>
      <c r="S1368" s="90"/>
      <c r="T1368" s="90"/>
      <c r="Y1368" s="90"/>
    </row>
    <row r="1369" spans="15:25" ht="14.25" customHeight="1" x14ac:dyDescent="0.2">
      <c r="O1369" s="90"/>
      <c r="P1369" s="90"/>
      <c r="R1369" s="90"/>
      <c r="S1369" s="90"/>
      <c r="T1369" s="90"/>
      <c r="Y1369" s="90"/>
    </row>
    <row r="1370" spans="15:25" ht="14.25" customHeight="1" x14ac:dyDescent="0.2">
      <c r="O1370" s="90"/>
      <c r="P1370" s="90"/>
      <c r="R1370" s="90"/>
      <c r="S1370" s="90"/>
      <c r="T1370" s="90"/>
      <c r="Y1370" s="90"/>
    </row>
    <row r="1371" spans="15:25" ht="14.25" customHeight="1" x14ac:dyDescent="0.2">
      <c r="O1371" s="90"/>
      <c r="P1371" s="90"/>
      <c r="R1371" s="90"/>
      <c r="S1371" s="90"/>
      <c r="T1371" s="90"/>
      <c r="Y1371" s="90"/>
    </row>
    <row r="1372" spans="15:25" ht="14.25" customHeight="1" x14ac:dyDescent="0.2">
      <c r="O1372" s="90"/>
      <c r="P1372" s="90"/>
      <c r="R1372" s="90"/>
      <c r="S1372" s="90"/>
      <c r="T1372" s="90"/>
      <c r="Y1372" s="90"/>
    </row>
    <row r="1373" spans="15:25" ht="14.25" customHeight="1" x14ac:dyDescent="0.2">
      <c r="O1373" s="90"/>
      <c r="P1373" s="90"/>
      <c r="R1373" s="90"/>
      <c r="S1373" s="90"/>
      <c r="T1373" s="90"/>
      <c r="Y1373" s="90"/>
    </row>
    <row r="1374" spans="15:25" ht="14.25" customHeight="1" x14ac:dyDescent="0.2">
      <c r="O1374" s="90"/>
      <c r="P1374" s="90"/>
      <c r="R1374" s="90"/>
      <c r="S1374" s="90"/>
      <c r="T1374" s="90"/>
      <c r="Y1374" s="90"/>
    </row>
    <row r="1375" spans="15:25" ht="14.25" customHeight="1" x14ac:dyDescent="0.2">
      <c r="O1375" s="90"/>
      <c r="P1375" s="90"/>
      <c r="R1375" s="90"/>
      <c r="S1375" s="90"/>
      <c r="T1375" s="90"/>
      <c r="Y1375" s="90"/>
    </row>
    <row r="1376" spans="15:25" ht="14.25" customHeight="1" x14ac:dyDescent="0.2">
      <c r="O1376" s="90"/>
      <c r="P1376" s="90"/>
      <c r="R1376" s="90"/>
      <c r="S1376" s="90"/>
      <c r="T1376" s="90"/>
      <c r="Y1376" s="90"/>
    </row>
    <row r="1377" spans="15:25" ht="14.25" customHeight="1" x14ac:dyDescent="0.2">
      <c r="O1377" s="90"/>
      <c r="P1377" s="90"/>
      <c r="R1377" s="90"/>
      <c r="S1377" s="90"/>
      <c r="T1377" s="90"/>
      <c r="Y1377" s="90"/>
    </row>
    <row r="1378" spans="15:25" ht="14.25" customHeight="1" x14ac:dyDescent="0.2">
      <c r="O1378" s="90"/>
      <c r="P1378" s="90"/>
      <c r="R1378" s="90"/>
      <c r="S1378" s="90"/>
      <c r="T1378" s="90"/>
      <c r="Y1378" s="90"/>
    </row>
    <row r="1379" spans="15:25" ht="14.25" customHeight="1" x14ac:dyDescent="0.2">
      <c r="O1379" s="90"/>
      <c r="P1379" s="90"/>
      <c r="R1379" s="90"/>
      <c r="S1379" s="90"/>
      <c r="T1379" s="90"/>
      <c r="Y1379" s="90"/>
    </row>
    <row r="1380" spans="15:25" ht="14.25" customHeight="1" x14ac:dyDescent="0.2">
      <c r="O1380" s="90"/>
      <c r="P1380" s="90"/>
      <c r="R1380" s="90"/>
      <c r="S1380" s="90"/>
      <c r="T1380" s="90"/>
      <c r="Y1380" s="90"/>
    </row>
    <row r="1381" spans="15:25" ht="14.25" customHeight="1" x14ac:dyDescent="0.2">
      <c r="O1381" s="90"/>
      <c r="P1381" s="90"/>
      <c r="R1381" s="90"/>
      <c r="S1381" s="90"/>
      <c r="T1381" s="90"/>
      <c r="Y1381" s="90"/>
    </row>
    <row r="1382" spans="15:25" ht="14.25" customHeight="1" x14ac:dyDescent="0.2">
      <c r="O1382" s="90"/>
      <c r="P1382" s="90"/>
      <c r="R1382" s="90"/>
      <c r="S1382" s="90"/>
      <c r="T1382" s="90"/>
      <c r="Y1382" s="90"/>
    </row>
    <row r="1383" spans="15:25" ht="14.25" customHeight="1" x14ac:dyDescent="0.2">
      <c r="O1383" s="90"/>
      <c r="P1383" s="90"/>
      <c r="R1383" s="90"/>
      <c r="S1383" s="90"/>
      <c r="T1383" s="90"/>
      <c r="Y1383" s="90"/>
    </row>
    <row r="1384" spans="15:25" ht="14.25" customHeight="1" x14ac:dyDescent="0.2">
      <c r="O1384" s="90"/>
      <c r="P1384" s="90"/>
      <c r="R1384" s="90"/>
      <c r="S1384" s="90"/>
      <c r="T1384" s="90"/>
      <c r="Y1384" s="90"/>
    </row>
    <row r="1385" spans="15:25" ht="14.25" customHeight="1" x14ac:dyDescent="0.2">
      <c r="O1385" s="90"/>
      <c r="P1385" s="90"/>
      <c r="R1385" s="90"/>
      <c r="S1385" s="90"/>
      <c r="T1385" s="90"/>
      <c r="Y1385" s="90"/>
    </row>
    <row r="1386" spans="15:25" ht="14.25" customHeight="1" x14ac:dyDescent="0.2">
      <c r="O1386" s="90"/>
      <c r="P1386" s="90"/>
      <c r="R1386" s="90"/>
      <c r="S1386" s="90"/>
      <c r="T1386" s="90"/>
      <c r="Y1386" s="90"/>
    </row>
    <row r="1387" spans="15:25" ht="14.25" customHeight="1" x14ac:dyDescent="0.2">
      <c r="O1387" s="90"/>
      <c r="P1387" s="90"/>
      <c r="R1387" s="90"/>
      <c r="S1387" s="90"/>
      <c r="T1387" s="90"/>
      <c r="Y1387" s="90"/>
    </row>
    <row r="1388" spans="15:25" ht="14.25" customHeight="1" x14ac:dyDescent="0.2">
      <c r="O1388" s="90"/>
      <c r="P1388" s="90"/>
      <c r="R1388" s="90"/>
      <c r="S1388" s="90"/>
      <c r="T1388" s="90"/>
      <c r="Y1388" s="90"/>
    </row>
    <row r="1389" spans="15:25" ht="14.25" customHeight="1" x14ac:dyDescent="0.2">
      <c r="O1389" s="90"/>
      <c r="P1389" s="90"/>
      <c r="R1389" s="90"/>
      <c r="S1389" s="90"/>
      <c r="T1389" s="90"/>
      <c r="Y1389" s="90"/>
    </row>
    <row r="1390" spans="15:25" ht="14.25" customHeight="1" x14ac:dyDescent="0.2">
      <c r="O1390" s="90"/>
      <c r="P1390" s="90"/>
      <c r="R1390" s="90"/>
      <c r="S1390" s="90"/>
      <c r="T1390" s="90"/>
      <c r="Y1390" s="90"/>
    </row>
    <row r="1391" spans="15:25" ht="14.25" customHeight="1" x14ac:dyDescent="0.2">
      <c r="O1391" s="90"/>
      <c r="P1391" s="90"/>
      <c r="R1391" s="90"/>
      <c r="S1391" s="90"/>
      <c r="T1391" s="90"/>
      <c r="Y1391" s="90"/>
    </row>
    <row r="1392" spans="15:25" ht="14.25" customHeight="1" x14ac:dyDescent="0.2">
      <c r="O1392" s="90"/>
      <c r="P1392" s="90"/>
      <c r="R1392" s="90"/>
      <c r="S1392" s="90"/>
      <c r="T1392" s="90"/>
      <c r="Y1392" s="90"/>
    </row>
    <row r="1393" spans="15:25" ht="14.25" customHeight="1" x14ac:dyDescent="0.2">
      <c r="O1393" s="90"/>
      <c r="P1393" s="90"/>
      <c r="R1393" s="90"/>
      <c r="S1393" s="90"/>
      <c r="T1393" s="90"/>
      <c r="Y1393" s="90"/>
    </row>
    <row r="1394" spans="15:25" ht="14.25" customHeight="1" x14ac:dyDescent="0.2">
      <c r="O1394" s="90"/>
      <c r="P1394" s="90"/>
      <c r="R1394" s="90"/>
      <c r="S1394" s="90"/>
      <c r="T1394" s="90"/>
      <c r="Y1394" s="90"/>
    </row>
    <row r="1395" spans="15:25" ht="14.25" customHeight="1" x14ac:dyDescent="0.2">
      <c r="O1395" s="90"/>
      <c r="P1395" s="90"/>
      <c r="R1395" s="90"/>
      <c r="S1395" s="90"/>
      <c r="T1395" s="90"/>
      <c r="Y1395" s="90"/>
    </row>
    <row r="1396" spans="15:25" ht="14.25" customHeight="1" x14ac:dyDescent="0.2">
      <c r="O1396" s="90"/>
      <c r="P1396" s="90"/>
      <c r="R1396" s="90"/>
      <c r="S1396" s="90"/>
      <c r="T1396" s="90"/>
      <c r="Y1396" s="90"/>
    </row>
    <row r="1397" spans="15:25" ht="14.25" customHeight="1" x14ac:dyDescent="0.2">
      <c r="O1397" s="90"/>
      <c r="P1397" s="90"/>
      <c r="R1397" s="90"/>
      <c r="S1397" s="90"/>
      <c r="T1397" s="90"/>
      <c r="Y1397" s="90"/>
    </row>
    <row r="1398" spans="15:25" ht="14.25" customHeight="1" x14ac:dyDescent="0.2">
      <c r="O1398" s="90"/>
      <c r="P1398" s="90"/>
      <c r="R1398" s="90"/>
      <c r="S1398" s="90"/>
      <c r="T1398" s="90"/>
      <c r="Y1398" s="90"/>
    </row>
    <row r="1399" spans="15:25" ht="14.25" customHeight="1" x14ac:dyDescent="0.2">
      <c r="O1399" s="90"/>
      <c r="P1399" s="90"/>
      <c r="R1399" s="90"/>
      <c r="S1399" s="90"/>
      <c r="T1399" s="90"/>
      <c r="Y1399" s="90"/>
    </row>
    <row r="1400" spans="15:25" ht="14.25" customHeight="1" x14ac:dyDescent="0.2">
      <c r="O1400" s="90"/>
      <c r="P1400" s="90"/>
      <c r="R1400" s="90"/>
      <c r="S1400" s="90"/>
      <c r="T1400" s="90"/>
      <c r="Y1400" s="90"/>
    </row>
    <row r="1401" spans="15:25" ht="14.25" customHeight="1" x14ac:dyDescent="0.2">
      <c r="O1401" s="90"/>
      <c r="P1401" s="90"/>
      <c r="R1401" s="90"/>
      <c r="S1401" s="90"/>
      <c r="T1401" s="90"/>
      <c r="Y1401" s="90"/>
    </row>
    <row r="1402" spans="15:25" ht="14.25" customHeight="1" x14ac:dyDescent="0.2">
      <c r="O1402" s="90"/>
      <c r="P1402" s="90"/>
      <c r="R1402" s="90"/>
      <c r="S1402" s="90"/>
      <c r="T1402" s="90"/>
      <c r="Y1402" s="90"/>
    </row>
    <row r="1403" spans="15:25" ht="14.25" customHeight="1" x14ac:dyDescent="0.2">
      <c r="O1403" s="90"/>
      <c r="P1403" s="90"/>
      <c r="R1403" s="90"/>
      <c r="S1403" s="90"/>
      <c r="T1403" s="90"/>
      <c r="Y1403" s="90"/>
    </row>
    <row r="1404" spans="15:25" ht="14.25" customHeight="1" x14ac:dyDescent="0.2">
      <c r="O1404" s="90"/>
      <c r="P1404" s="90"/>
      <c r="R1404" s="90"/>
      <c r="S1404" s="90"/>
      <c r="T1404" s="90"/>
      <c r="Y1404" s="90"/>
    </row>
    <row r="1405" spans="15:25" ht="14.25" customHeight="1" x14ac:dyDescent="0.2">
      <c r="O1405" s="90"/>
      <c r="P1405" s="90"/>
      <c r="R1405" s="90"/>
      <c r="S1405" s="90"/>
      <c r="T1405" s="90"/>
      <c r="Y1405" s="90"/>
    </row>
    <row r="1406" spans="15:25" ht="14.25" customHeight="1" x14ac:dyDescent="0.2">
      <c r="O1406" s="90"/>
      <c r="P1406" s="90"/>
      <c r="R1406" s="90"/>
      <c r="S1406" s="90"/>
      <c r="T1406" s="90"/>
      <c r="Y1406" s="90"/>
    </row>
    <row r="1407" spans="15:25" ht="14.25" customHeight="1" x14ac:dyDescent="0.2">
      <c r="O1407" s="90"/>
      <c r="P1407" s="90"/>
      <c r="R1407" s="90"/>
      <c r="S1407" s="90"/>
      <c r="T1407" s="90"/>
      <c r="Y1407" s="90"/>
    </row>
    <row r="1408" spans="15:25" ht="14.25" customHeight="1" x14ac:dyDescent="0.2">
      <c r="O1408" s="90"/>
      <c r="P1408" s="90"/>
      <c r="R1408" s="90"/>
      <c r="S1408" s="90"/>
      <c r="T1408" s="90"/>
      <c r="Y1408" s="90"/>
    </row>
    <row r="1409" spans="15:25" ht="14.25" customHeight="1" x14ac:dyDescent="0.2">
      <c r="O1409" s="90"/>
      <c r="P1409" s="90"/>
      <c r="R1409" s="90"/>
      <c r="S1409" s="90"/>
      <c r="T1409" s="90"/>
      <c r="Y1409" s="90"/>
    </row>
    <row r="1410" spans="15:25" ht="14.25" customHeight="1" x14ac:dyDescent="0.2">
      <c r="O1410" s="90"/>
      <c r="P1410" s="90"/>
      <c r="R1410" s="90"/>
      <c r="S1410" s="90"/>
      <c r="T1410" s="90"/>
      <c r="Y1410" s="90"/>
    </row>
    <row r="1411" spans="15:25" ht="14.25" customHeight="1" x14ac:dyDescent="0.2">
      <c r="O1411" s="90"/>
      <c r="P1411" s="90"/>
      <c r="R1411" s="90"/>
      <c r="S1411" s="90"/>
      <c r="T1411" s="90"/>
      <c r="Y1411" s="90"/>
    </row>
    <row r="1412" spans="15:25" ht="14.25" customHeight="1" x14ac:dyDescent="0.2">
      <c r="O1412" s="90"/>
      <c r="P1412" s="90"/>
      <c r="R1412" s="90"/>
      <c r="S1412" s="90"/>
      <c r="T1412" s="90"/>
      <c r="Y1412" s="90"/>
    </row>
    <row r="1413" spans="15:25" ht="14.25" customHeight="1" x14ac:dyDescent="0.2">
      <c r="O1413" s="90"/>
      <c r="P1413" s="90"/>
      <c r="R1413" s="90"/>
      <c r="S1413" s="90"/>
      <c r="T1413" s="90"/>
      <c r="Y1413" s="90"/>
    </row>
    <row r="1414" spans="15:25" ht="14.25" customHeight="1" x14ac:dyDescent="0.2">
      <c r="O1414" s="90"/>
      <c r="P1414" s="90"/>
      <c r="R1414" s="90"/>
      <c r="S1414" s="90"/>
      <c r="T1414" s="90"/>
      <c r="Y1414" s="90"/>
    </row>
    <row r="1415" spans="15:25" ht="14.25" customHeight="1" x14ac:dyDescent="0.2">
      <c r="O1415" s="90"/>
      <c r="P1415" s="90"/>
      <c r="R1415" s="90"/>
      <c r="S1415" s="90"/>
      <c r="T1415" s="90"/>
      <c r="Y1415" s="90"/>
    </row>
    <row r="1416" spans="15:25" ht="14.25" customHeight="1" x14ac:dyDescent="0.2">
      <c r="O1416" s="90"/>
      <c r="P1416" s="90"/>
      <c r="R1416" s="90"/>
      <c r="S1416" s="90"/>
      <c r="T1416" s="90"/>
      <c r="Y1416" s="90"/>
    </row>
    <row r="1417" spans="15:25" ht="14.25" customHeight="1" x14ac:dyDescent="0.2">
      <c r="O1417" s="90"/>
      <c r="P1417" s="90"/>
      <c r="R1417" s="90"/>
      <c r="S1417" s="90"/>
      <c r="T1417" s="90"/>
      <c r="Y1417" s="90"/>
    </row>
    <row r="1418" spans="15:25" ht="14.25" customHeight="1" x14ac:dyDescent="0.2">
      <c r="O1418" s="90"/>
      <c r="P1418" s="90"/>
      <c r="R1418" s="90"/>
      <c r="S1418" s="90"/>
      <c r="T1418" s="90"/>
      <c r="Y1418" s="90"/>
    </row>
    <row r="1419" spans="15:25" ht="14.25" customHeight="1" x14ac:dyDescent="0.2">
      <c r="O1419" s="90"/>
      <c r="P1419" s="90"/>
      <c r="R1419" s="90"/>
      <c r="S1419" s="90"/>
      <c r="T1419" s="90"/>
      <c r="Y1419" s="90"/>
    </row>
    <row r="1420" spans="15:25" ht="14.25" customHeight="1" x14ac:dyDescent="0.2">
      <c r="O1420" s="90"/>
      <c r="P1420" s="90"/>
      <c r="R1420" s="90"/>
      <c r="S1420" s="90"/>
      <c r="T1420" s="90"/>
      <c r="Y1420" s="90"/>
    </row>
    <row r="1421" spans="15:25" ht="14.25" customHeight="1" x14ac:dyDescent="0.2">
      <c r="O1421" s="90"/>
      <c r="P1421" s="90"/>
      <c r="R1421" s="90"/>
      <c r="S1421" s="90"/>
      <c r="T1421" s="90"/>
      <c r="Y1421" s="90"/>
    </row>
    <row r="1422" spans="15:25" ht="14.25" customHeight="1" x14ac:dyDescent="0.2">
      <c r="O1422" s="90"/>
      <c r="P1422" s="90"/>
      <c r="R1422" s="90"/>
      <c r="S1422" s="90"/>
      <c r="T1422" s="90"/>
      <c r="Y1422" s="90"/>
    </row>
    <row r="1423" spans="15:25" ht="14.25" customHeight="1" x14ac:dyDescent="0.2">
      <c r="O1423" s="90"/>
      <c r="P1423" s="90"/>
      <c r="R1423" s="90"/>
      <c r="S1423" s="90"/>
      <c r="T1423" s="90"/>
      <c r="Y1423" s="90"/>
    </row>
    <row r="1424" spans="15:25" ht="14.25" customHeight="1" x14ac:dyDescent="0.2">
      <c r="O1424" s="90"/>
      <c r="P1424" s="90"/>
      <c r="R1424" s="90"/>
      <c r="S1424" s="90"/>
      <c r="T1424" s="90"/>
      <c r="Y1424" s="90"/>
    </row>
    <row r="1425" spans="15:25" ht="14.25" customHeight="1" x14ac:dyDescent="0.2">
      <c r="O1425" s="90"/>
      <c r="P1425" s="90"/>
      <c r="R1425" s="90"/>
      <c r="S1425" s="90"/>
      <c r="T1425" s="90"/>
      <c r="Y1425" s="90"/>
    </row>
    <row r="1426" spans="15:25" ht="14.25" customHeight="1" x14ac:dyDescent="0.2">
      <c r="O1426" s="90"/>
      <c r="P1426" s="90"/>
      <c r="R1426" s="90"/>
      <c r="S1426" s="90"/>
      <c r="T1426" s="90"/>
      <c r="Y1426" s="90"/>
    </row>
    <row r="1427" spans="15:25" ht="14.25" customHeight="1" x14ac:dyDescent="0.2">
      <c r="O1427" s="90"/>
      <c r="P1427" s="90"/>
      <c r="R1427" s="90"/>
      <c r="S1427" s="90"/>
      <c r="T1427" s="90"/>
      <c r="Y1427" s="90"/>
    </row>
    <row r="1428" spans="15:25" ht="14.25" customHeight="1" x14ac:dyDescent="0.2">
      <c r="O1428" s="90"/>
      <c r="P1428" s="90"/>
      <c r="R1428" s="90"/>
      <c r="S1428" s="90"/>
      <c r="T1428" s="90"/>
      <c r="Y1428" s="90"/>
    </row>
    <row r="1429" spans="15:25" ht="14.25" customHeight="1" x14ac:dyDescent="0.2">
      <c r="O1429" s="90"/>
      <c r="P1429" s="90"/>
      <c r="R1429" s="90"/>
      <c r="S1429" s="90"/>
      <c r="T1429" s="90"/>
      <c r="Y1429" s="90"/>
    </row>
    <row r="1430" spans="15:25" ht="14.25" customHeight="1" x14ac:dyDescent="0.2">
      <c r="O1430" s="90"/>
      <c r="P1430" s="90"/>
      <c r="R1430" s="90"/>
      <c r="S1430" s="90"/>
      <c r="T1430" s="90"/>
      <c r="Y1430" s="90"/>
    </row>
    <row r="1431" spans="15:25" ht="14.25" customHeight="1" x14ac:dyDescent="0.2">
      <c r="O1431" s="90"/>
      <c r="P1431" s="90"/>
      <c r="R1431" s="90"/>
      <c r="S1431" s="90"/>
      <c r="T1431" s="90"/>
      <c r="Y1431" s="90"/>
    </row>
    <row r="1432" spans="15:25" ht="14.25" customHeight="1" x14ac:dyDescent="0.2">
      <c r="O1432" s="90"/>
      <c r="P1432" s="90"/>
      <c r="R1432" s="90"/>
      <c r="S1432" s="90"/>
      <c r="T1432" s="90"/>
      <c r="Y1432" s="90"/>
    </row>
    <row r="1433" spans="15:25" ht="14.25" customHeight="1" x14ac:dyDescent="0.2">
      <c r="O1433" s="90"/>
      <c r="P1433" s="90"/>
      <c r="R1433" s="90"/>
      <c r="S1433" s="90"/>
      <c r="T1433" s="90"/>
      <c r="Y1433" s="90"/>
    </row>
    <row r="1434" spans="15:25" ht="14.25" customHeight="1" x14ac:dyDescent="0.2">
      <c r="O1434" s="90"/>
      <c r="P1434" s="90"/>
      <c r="R1434" s="90"/>
      <c r="S1434" s="90"/>
      <c r="T1434" s="90"/>
      <c r="Y1434" s="90"/>
    </row>
    <row r="1435" spans="15:25" ht="14.25" customHeight="1" x14ac:dyDescent="0.2">
      <c r="O1435" s="90"/>
      <c r="P1435" s="90"/>
      <c r="R1435" s="90"/>
      <c r="S1435" s="90"/>
      <c r="T1435" s="90"/>
      <c r="Y1435" s="90"/>
    </row>
    <row r="1436" spans="15:25" ht="14.25" customHeight="1" x14ac:dyDescent="0.2">
      <c r="O1436" s="90"/>
      <c r="P1436" s="90"/>
      <c r="R1436" s="90"/>
      <c r="S1436" s="90"/>
      <c r="T1436" s="90"/>
      <c r="Y1436" s="90"/>
    </row>
    <row r="1437" spans="15:25" ht="14.25" customHeight="1" x14ac:dyDescent="0.2">
      <c r="O1437" s="90"/>
      <c r="P1437" s="90"/>
      <c r="R1437" s="90"/>
      <c r="S1437" s="90"/>
      <c r="T1437" s="90"/>
      <c r="Y1437" s="90"/>
    </row>
    <row r="1438" spans="15:25" ht="14.25" customHeight="1" x14ac:dyDescent="0.2">
      <c r="O1438" s="90"/>
      <c r="P1438" s="90"/>
      <c r="R1438" s="90"/>
      <c r="S1438" s="90"/>
      <c r="T1438" s="90"/>
      <c r="Y1438" s="90"/>
    </row>
    <row r="1439" spans="15:25" ht="14.25" customHeight="1" x14ac:dyDescent="0.2">
      <c r="O1439" s="90"/>
      <c r="P1439" s="90"/>
      <c r="R1439" s="90"/>
      <c r="S1439" s="90"/>
      <c r="T1439" s="90"/>
      <c r="Y1439" s="90"/>
    </row>
    <row r="1440" spans="15:25" ht="14.25" customHeight="1" x14ac:dyDescent="0.2">
      <c r="O1440" s="90"/>
      <c r="P1440" s="90"/>
      <c r="R1440" s="90"/>
      <c r="S1440" s="90"/>
      <c r="T1440" s="90"/>
      <c r="Y1440" s="90"/>
    </row>
    <row r="1441" spans="15:25" ht="14.25" customHeight="1" x14ac:dyDescent="0.2">
      <c r="O1441" s="90"/>
      <c r="P1441" s="90"/>
      <c r="R1441" s="90"/>
      <c r="S1441" s="90"/>
      <c r="T1441" s="90"/>
      <c r="Y1441" s="90"/>
    </row>
    <row r="1442" spans="15:25" ht="14.25" customHeight="1" x14ac:dyDescent="0.2">
      <c r="O1442" s="90"/>
      <c r="P1442" s="90"/>
      <c r="R1442" s="90"/>
      <c r="S1442" s="90"/>
      <c r="T1442" s="90"/>
      <c r="Y1442" s="90"/>
    </row>
    <row r="1443" spans="15:25" ht="14.25" customHeight="1" x14ac:dyDescent="0.2">
      <c r="O1443" s="90"/>
      <c r="P1443" s="90"/>
      <c r="R1443" s="90"/>
      <c r="S1443" s="90"/>
      <c r="T1443" s="90"/>
      <c r="Y1443" s="90"/>
    </row>
    <row r="1444" spans="15:25" ht="14.25" customHeight="1" x14ac:dyDescent="0.2">
      <c r="O1444" s="90"/>
      <c r="P1444" s="90"/>
      <c r="R1444" s="90"/>
      <c r="S1444" s="90"/>
      <c r="T1444" s="90"/>
      <c r="Y1444" s="90"/>
    </row>
    <row r="1445" spans="15:25" ht="14.25" customHeight="1" x14ac:dyDescent="0.2">
      <c r="O1445" s="90"/>
      <c r="P1445" s="90"/>
      <c r="R1445" s="90"/>
      <c r="S1445" s="90"/>
      <c r="T1445" s="90"/>
      <c r="Y1445" s="90"/>
    </row>
    <row r="1446" spans="15:25" ht="14.25" customHeight="1" x14ac:dyDescent="0.2">
      <c r="O1446" s="90"/>
      <c r="P1446" s="90"/>
      <c r="R1446" s="90"/>
      <c r="S1446" s="90"/>
      <c r="T1446" s="90"/>
      <c r="Y1446" s="90"/>
    </row>
    <row r="1447" spans="15:25" ht="14.25" customHeight="1" x14ac:dyDescent="0.2">
      <c r="O1447" s="90"/>
      <c r="P1447" s="90"/>
      <c r="R1447" s="90"/>
      <c r="S1447" s="90"/>
      <c r="T1447" s="90"/>
      <c r="Y1447" s="90"/>
    </row>
    <row r="1448" spans="15:25" ht="14.25" customHeight="1" x14ac:dyDescent="0.2">
      <c r="O1448" s="90"/>
      <c r="P1448" s="90"/>
      <c r="R1448" s="90"/>
      <c r="S1448" s="90"/>
      <c r="T1448" s="90"/>
      <c r="Y1448" s="90"/>
    </row>
    <row r="1449" spans="15:25" ht="14.25" customHeight="1" x14ac:dyDescent="0.2">
      <c r="O1449" s="90"/>
      <c r="P1449" s="90"/>
      <c r="R1449" s="90"/>
      <c r="S1449" s="90"/>
      <c r="T1449" s="90"/>
      <c r="Y1449" s="90"/>
    </row>
    <row r="1450" spans="15:25" ht="14.25" customHeight="1" x14ac:dyDescent="0.2">
      <c r="O1450" s="90"/>
      <c r="P1450" s="90"/>
      <c r="R1450" s="90"/>
      <c r="S1450" s="90"/>
      <c r="T1450" s="90"/>
      <c r="Y1450" s="90"/>
    </row>
    <row r="1451" spans="15:25" ht="14.25" customHeight="1" x14ac:dyDescent="0.2">
      <c r="O1451" s="90"/>
      <c r="P1451" s="90"/>
      <c r="R1451" s="90"/>
      <c r="S1451" s="90"/>
      <c r="T1451" s="90"/>
      <c r="Y1451" s="90"/>
    </row>
    <row r="1452" spans="15:25" ht="14.25" customHeight="1" x14ac:dyDescent="0.2">
      <c r="O1452" s="90"/>
      <c r="P1452" s="90"/>
      <c r="R1452" s="90"/>
      <c r="S1452" s="90"/>
      <c r="T1452" s="90"/>
      <c r="Y1452" s="90"/>
    </row>
    <row r="1453" spans="15:25" ht="14.25" customHeight="1" x14ac:dyDescent="0.2">
      <c r="O1453" s="90"/>
      <c r="P1453" s="90"/>
      <c r="R1453" s="90"/>
      <c r="S1453" s="90"/>
      <c r="T1453" s="90"/>
      <c r="Y1453" s="90"/>
    </row>
    <row r="1454" spans="15:25" ht="14.25" customHeight="1" x14ac:dyDescent="0.2">
      <c r="O1454" s="90"/>
      <c r="P1454" s="90"/>
      <c r="R1454" s="90"/>
      <c r="S1454" s="90"/>
      <c r="T1454" s="90"/>
      <c r="Y1454" s="90"/>
    </row>
    <row r="1455" spans="15:25" ht="14.25" customHeight="1" x14ac:dyDescent="0.2">
      <c r="O1455" s="90"/>
      <c r="P1455" s="90"/>
      <c r="R1455" s="90"/>
      <c r="S1455" s="90"/>
      <c r="T1455" s="90"/>
      <c r="Y1455" s="90"/>
    </row>
    <row r="1456" spans="15:25" ht="14.25" customHeight="1" x14ac:dyDescent="0.2">
      <c r="O1456" s="90"/>
      <c r="P1456" s="90"/>
      <c r="R1456" s="90"/>
      <c r="S1456" s="90"/>
      <c r="T1456" s="90"/>
      <c r="Y1456" s="90"/>
    </row>
    <row r="1457" spans="15:25" ht="14.25" customHeight="1" x14ac:dyDescent="0.2">
      <c r="O1457" s="90"/>
      <c r="P1457" s="90"/>
      <c r="R1457" s="90"/>
      <c r="S1457" s="90"/>
      <c r="T1457" s="90"/>
      <c r="Y1457" s="90"/>
    </row>
    <row r="1458" spans="15:25" ht="14.25" customHeight="1" x14ac:dyDescent="0.2">
      <c r="O1458" s="90"/>
      <c r="P1458" s="90"/>
      <c r="R1458" s="90"/>
      <c r="S1458" s="90"/>
      <c r="T1458" s="90"/>
      <c r="Y1458" s="90"/>
    </row>
    <row r="1459" spans="15:25" ht="14.25" customHeight="1" x14ac:dyDescent="0.2">
      <c r="O1459" s="90"/>
      <c r="P1459" s="90"/>
      <c r="R1459" s="90"/>
      <c r="S1459" s="90"/>
      <c r="T1459" s="90"/>
      <c r="Y1459" s="90"/>
    </row>
    <row r="1460" spans="15:25" ht="14.25" customHeight="1" x14ac:dyDescent="0.2">
      <c r="O1460" s="90"/>
      <c r="P1460" s="90"/>
      <c r="R1460" s="90"/>
      <c r="S1460" s="90"/>
      <c r="T1460" s="90"/>
      <c r="Y1460" s="90"/>
    </row>
    <row r="1461" spans="15:25" ht="14.25" customHeight="1" x14ac:dyDescent="0.2">
      <c r="O1461" s="90"/>
      <c r="P1461" s="90"/>
      <c r="R1461" s="90"/>
      <c r="S1461" s="90"/>
      <c r="T1461" s="90"/>
      <c r="Y1461" s="90"/>
    </row>
    <row r="1462" spans="15:25" ht="14.25" customHeight="1" x14ac:dyDescent="0.2">
      <c r="O1462" s="90"/>
      <c r="P1462" s="90"/>
      <c r="R1462" s="90"/>
      <c r="S1462" s="90"/>
      <c r="T1462" s="90"/>
      <c r="Y1462" s="90"/>
    </row>
    <row r="1463" spans="15:25" ht="14.25" customHeight="1" x14ac:dyDescent="0.2">
      <c r="O1463" s="90"/>
      <c r="P1463" s="90"/>
      <c r="R1463" s="90"/>
      <c r="S1463" s="90"/>
      <c r="T1463" s="90"/>
      <c r="Y1463" s="90"/>
    </row>
    <row r="1464" spans="15:25" ht="14.25" customHeight="1" x14ac:dyDescent="0.2">
      <c r="O1464" s="90"/>
      <c r="P1464" s="90"/>
      <c r="R1464" s="90"/>
      <c r="S1464" s="90"/>
      <c r="T1464" s="90"/>
      <c r="Y1464" s="90"/>
    </row>
    <row r="1465" spans="15:25" ht="14.25" customHeight="1" x14ac:dyDescent="0.2">
      <c r="O1465" s="90"/>
      <c r="P1465" s="90"/>
      <c r="R1465" s="90"/>
      <c r="S1465" s="90"/>
      <c r="T1465" s="90"/>
      <c r="Y1465" s="90"/>
    </row>
    <row r="1466" spans="15:25" ht="14.25" customHeight="1" x14ac:dyDescent="0.2">
      <c r="O1466" s="90"/>
      <c r="P1466" s="90"/>
      <c r="R1466" s="90"/>
      <c r="S1466" s="90"/>
      <c r="T1466" s="90"/>
      <c r="Y1466" s="90"/>
    </row>
    <row r="1467" spans="15:25" ht="14.25" customHeight="1" x14ac:dyDescent="0.2">
      <c r="O1467" s="90"/>
      <c r="P1467" s="90"/>
      <c r="R1467" s="90"/>
      <c r="S1467" s="90"/>
      <c r="T1467" s="90"/>
      <c r="Y1467" s="90"/>
    </row>
    <row r="1468" spans="15:25" ht="14.25" customHeight="1" x14ac:dyDescent="0.2">
      <c r="O1468" s="90"/>
      <c r="P1468" s="90"/>
      <c r="R1468" s="90"/>
      <c r="S1468" s="90"/>
      <c r="T1468" s="90"/>
      <c r="Y1468" s="90"/>
    </row>
    <row r="1469" spans="15:25" ht="14.25" customHeight="1" x14ac:dyDescent="0.2">
      <c r="O1469" s="90"/>
      <c r="P1469" s="90"/>
      <c r="R1469" s="90"/>
      <c r="S1469" s="90"/>
      <c r="T1469" s="90"/>
      <c r="Y1469" s="90"/>
    </row>
    <row r="1470" spans="15:25" ht="14.25" customHeight="1" x14ac:dyDescent="0.2">
      <c r="O1470" s="90"/>
      <c r="P1470" s="90"/>
      <c r="R1470" s="90"/>
      <c r="S1470" s="90"/>
      <c r="T1470" s="90"/>
      <c r="Y1470" s="90"/>
    </row>
    <row r="1471" spans="15:25" ht="14.25" customHeight="1" x14ac:dyDescent="0.2">
      <c r="O1471" s="90"/>
      <c r="P1471" s="90"/>
      <c r="R1471" s="90"/>
      <c r="S1471" s="90"/>
      <c r="T1471" s="90"/>
      <c r="Y1471" s="90"/>
    </row>
    <row r="1472" spans="15:25" ht="14.25" customHeight="1" x14ac:dyDescent="0.2">
      <c r="O1472" s="90"/>
      <c r="P1472" s="90"/>
      <c r="R1472" s="90"/>
      <c r="S1472" s="90"/>
      <c r="T1472" s="90"/>
      <c r="Y1472" s="90"/>
    </row>
    <row r="1473" spans="15:25" ht="14.25" customHeight="1" x14ac:dyDescent="0.2">
      <c r="O1473" s="90"/>
      <c r="P1473" s="90"/>
      <c r="R1473" s="90"/>
      <c r="S1473" s="90"/>
      <c r="T1473" s="90"/>
      <c r="Y1473" s="90"/>
    </row>
    <row r="1474" spans="15:25" ht="14.25" customHeight="1" x14ac:dyDescent="0.2">
      <c r="O1474" s="90"/>
      <c r="P1474" s="90"/>
      <c r="R1474" s="90"/>
      <c r="S1474" s="90"/>
      <c r="T1474" s="90"/>
      <c r="Y1474" s="90"/>
    </row>
    <row r="1475" spans="15:25" ht="14.25" customHeight="1" x14ac:dyDescent="0.2">
      <c r="O1475" s="90"/>
      <c r="P1475" s="90"/>
      <c r="R1475" s="90"/>
      <c r="S1475" s="90"/>
      <c r="T1475" s="90"/>
      <c r="Y1475" s="90"/>
    </row>
    <row r="1476" spans="15:25" ht="14.25" customHeight="1" x14ac:dyDescent="0.2">
      <c r="O1476" s="90"/>
      <c r="P1476" s="90"/>
      <c r="R1476" s="90"/>
      <c r="S1476" s="90"/>
      <c r="T1476" s="90"/>
      <c r="Y1476" s="90"/>
    </row>
    <row r="1477" spans="15:25" ht="14.25" customHeight="1" x14ac:dyDescent="0.2">
      <c r="O1477" s="90"/>
      <c r="P1477" s="90"/>
      <c r="R1477" s="90"/>
      <c r="S1477" s="90"/>
      <c r="T1477" s="90"/>
      <c r="Y1477" s="90"/>
    </row>
    <row r="1478" spans="15:25" ht="14.25" customHeight="1" x14ac:dyDescent="0.2">
      <c r="O1478" s="90"/>
      <c r="P1478" s="90"/>
      <c r="R1478" s="90"/>
      <c r="S1478" s="90"/>
      <c r="T1478" s="90"/>
      <c r="Y1478" s="90"/>
    </row>
    <row r="1479" spans="15:25" ht="14.25" customHeight="1" x14ac:dyDescent="0.2">
      <c r="O1479" s="90"/>
      <c r="P1479" s="90"/>
      <c r="R1479" s="90"/>
      <c r="S1479" s="90"/>
      <c r="T1479" s="90"/>
      <c r="Y1479" s="90"/>
    </row>
    <row r="1480" spans="15:25" ht="14.25" customHeight="1" x14ac:dyDescent="0.2">
      <c r="O1480" s="90"/>
      <c r="P1480" s="90"/>
      <c r="R1480" s="90"/>
      <c r="S1480" s="90"/>
      <c r="T1480" s="90"/>
      <c r="Y1480" s="90"/>
    </row>
    <row r="1481" spans="15:25" ht="14.25" customHeight="1" x14ac:dyDescent="0.2">
      <c r="O1481" s="90"/>
      <c r="P1481" s="90"/>
      <c r="R1481" s="90"/>
      <c r="S1481" s="90"/>
      <c r="T1481" s="90"/>
      <c r="Y1481" s="90"/>
    </row>
    <row r="1482" spans="15:25" ht="14.25" customHeight="1" x14ac:dyDescent="0.2">
      <c r="O1482" s="90"/>
      <c r="P1482" s="90"/>
      <c r="R1482" s="90"/>
      <c r="S1482" s="90"/>
      <c r="T1482" s="90"/>
      <c r="Y1482" s="90"/>
    </row>
    <row r="1483" spans="15:25" ht="14.25" customHeight="1" x14ac:dyDescent="0.2">
      <c r="O1483" s="90"/>
      <c r="P1483" s="90"/>
      <c r="R1483" s="90"/>
      <c r="S1483" s="90"/>
      <c r="T1483" s="90"/>
      <c r="Y1483" s="90"/>
    </row>
    <row r="1484" spans="15:25" ht="14.25" customHeight="1" x14ac:dyDescent="0.2">
      <c r="O1484" s="90"/>
      <c r="P1484" s="90"/>
      <c r="R1484" s="90"/>
      <c r="S1484" s="90"/>
      <c r="T1484" s="90"/>
      <c r="Y1484" s="90"/>
    </row>
    <row r="1485" spans="15:25" ht="14.25" customHeight="1" x14ac:dyDescent="0.2">
      <c r="O1485" s="90"/>
      <c r="P1485" s="90"/>
      <c r="R1485" s="90"/>
      <c r="S1485" s="90"/>
      <c r="T1485" s="90"/>
      <c r="Y1485" s="90"/>
    </row>
    <row r="1486" spans="15:25" ht="14.25" customHeight="1" x14ac:dyDescent="0.2">
      <c r="O1486" s="90"/>
      <c r="P1486" s="90"/>
      <c r="R1486" s="90"/>
      <c r="S1486" s="90"/>
      <c r="T1486" s="90"/>
      <c r="Y1486" s="90"/>
    </row>
    <row r="1487" spans="15:25" ht="14.25" customHeight="1" x14ac:dyDescent="0.2">
      <c r="O1487" s="90"/>
      <c r="P1487" s="90"/>
      <c r="R1487" s="90"/>
      <c r="S1487" s="90"/>
      <c r="T1487" s="90"/>
      <c r="Y1487" s="90"/>
    </row>
    <row r="1488" spans="15:25" ht="14.25" customHeight="1" x14ac:dyDescent="0.2">
      <c r="O1488" s="90"/>
      <c r="P1488" s="90"/>
      <c r="R1488" s="90"/>
      <c r="S1488" s="90"/>
      <c r="T1488" s="90"/>
      <c r="Y1488" s="90"/>
    </row>
    <row r="1489" spans="15:25" ht="14.25" customHeight="1" x14ac:dyDescent="0.2">
      <c r="O1489" s="90"/>
      <c r="P1489" s="90"/>
      <c r="R1489" s="90"/>
      <c r="S1489" s="90"/>
      <c r="T1489" s="90"/>
      <c r="Y1489" s="90"/>
    </row>
    <row r="1490" spans="15:25" ht="14.25" customHeight="1" x14ac:dyDescent="0.2">
      <c r="O1490" s="90"/>
      <c r="P1490" s="90"/>
      <c r="R1490" s="90"/>
      <c r="S1490" s="90"/>
      <c r="T1490" s="90"/>
      <c r="Y1490" s="90"/>
    </row>
    <row r="1491" spans="15:25" ht="14.25" customHeight="1" x14ac:dyDescent="0.2">
      <c r="O1491" s="90"/>
      <c r="P1491" s="90"/>
      <c r="R1491" s="90"/>
      <c r="S1491" s="90"/>
      <c r="T1491" s="90"/>
      <c r="Y1491" s="90"/>
    </row>
    <row r="1492" spans="15:25" ht="14.25" customHeight="1" x14ac:dyDescent="0.2">
      <c r="O1492" s="90"/>
      <c r="P1492" s="90"/>
      <c r="R1492" s="90"/>
      <c r="S1492" s="90"/>
      <c r="T1492" s="90"/>
      <c r="Y1492" s="90"/>
    </row>
    <row r="1493" spans="15:25" ht="14.25" customHeight="1" x14ac:dyDescent="0.2">
      <c r="O1493" s="90"/>
      <c r="P1493" s="90"/>
      <c r="R1493" s="90"/>
      <c r="S1493" s="90"/>
      <c r="T1493" s="90"/>
      <c r="Y1493" s="90"/>
    </row>
    <row r="1494" spans="15:25" ht="14.25" customHeight="1" x14ac:dyDescent="0.2">
      <c r="O1494" s="90"/>
      <c r="P1494" s="90"/>
      <c r="R1494" s="90"/>
      <c r="S1494" s="90"/>
      <c r="T1494" s="90"/>
      <c r="Y1494" s="90"/>
    </row>
    <row r="1495" spans="15:25" ht="14.25" customHeight="1" x14ac:dyDescent="0.2">
      <c r="O1495" s="90"/>
      <c r="P1495" s="90"/>
      <c r="R1495" s="90"/>
      <c r="S1495" s="90"/>
      <c r="T1495" s="90"/>
      <c r="Y1495" s="90"/>
    </row>
    <row r="1496" spans="15:25" ht="14.25" customHeight="1" x14ac:dyDescent="0.2">
      <c r="O1496" s="90"/>
      <c r="P1496" s="90"/>
      <c r="R1496" s="90"/>
      <c r="S1496" s="90"/>
      <c r="T1496" s="90"/>
      <c r="Y1496" s="90"/>
    </row>
    <row r="1497" spans="15:25" ht="14.25" customHeight="1" x14ac:dyDescent="0.2">
      <c r="O1497" s="90"/>
      <c r="P1497" s="90"/>
      <c r="R1497" s="90"/>
      <c r="S1497" s="90"/>
      <c r="T1497" s="90"/>
      <c r="Y1497" s="90"/>
    </row>
    <row r="1498" spans="15:25" ht="14.25" customHeight="1" x14ac:dyDescent="0.2">
      <c r="O1498" s="90"/>
      <c r="P1498" s="90"/>
      <c r="R1498" s="90"/>
      <c r="S1498" s="90"/>
      <c r="T1498" s="90"/>
      <c r="Y1498" s="90"/>
    </row>
    <row r="1499" spans="15:25" ht="14.25" customHeight="1" x14ac:dyDescent="0.2">
      <c r="O1499" s="90"/>
      <c r="P1499" s="90"/>
      <c r="R1499" s="90"/>
      <c r="S1499" s="90"/>
      <c r="T1499" s="90"/>
      <c r="Y1499" s="90"/>
    </row>
    <row r="1500" spans="15:25" ht="14.25" customHeight="1" x14ac:dyDescent="0.2">
      <c r="O1500" s="90"/>
      <c r="P1500" s="90"/>
      <c r="R1500" s="90"/>
      <c r="S1500" s="90"/>
      <c r="T1500" s="90"/>
      <c r="Y1500" s="90"/>
    </row>
    <row r="1501" spans="15:25" ht="14.25" customHeight="1" x14ac:dyDescent="0.2">
      <c r="O1501" s="90"/>
      <c r="P1501" s="90"/>
      <c r="R1501" s="90"/>
      <c r="S1501" s="90"/>
      <c r="T1501" s="90"/>
      <c r="Y1501" s="90"/>
    </row>
    <row r="1502" spans="15:25" ht="14.25" customHeight="1" x14ac:dyDescent="0.2">
      <c r="O1502" s="90"/>
      <c r="P1502" s="90"/>
      <c r="R1502" s="90"/>
      <c r="S1502" s="90"/>
      <c r="T1502" s="90"/>
      <c r="Y1502" s="90"/>
    </row>
    <row r="1503" spans="15:25" ht="14.25" customHeight="1" x14ac:dyDescent="0.2">
      <c r="O1503" s="90"/>
      <c r="P1503" s="90"/>
      <c r="R1503" s="90"/>
      <c r="S1503" s="90"/>
      <c r="T1503" s="90"/>
      <c r="Y1503" s="90"/>
    </row>
  </sheetData>
  <autoFilter ref="B5:Z849"/>
  <mergeCells count="13">
    <mergeCell ref="B1:Z1"/>
    <mergeCell ref="E2:T2"/>
    <mergeCell ref="Y4:Z4"/>
    <mergeCell ref="S3:T3"/>
    <mergeCell ref="M4:P4"/>
    <mergeCell ref="Q4:X4"/>
    <mergeCell ref="K3:M3"/>
    <mergeCell ref="Q3:R3"/>
    <mergeCell ref="O3:P3"/>
    <mergeCell ref="G4:L4"/>
    <mergeCell ref="H3:J3"/>
    <mergeCell ref="E3:G3"/>
    <mergeCell ref="C4:F4"/>
  </mergeCells>
  <conditionalFormatting sqref="Q3 S3">
    <cfRule type="cellIs" dxfId="143" priority="1" operator="equal">
      <formula>$A$6</formula>
    </cfRule>
  </conditionalFormatting>
  <conditionalFormatting sqref="Q3 S3">
    <cfRule type="cellIs" dxfId="142" priority="2" operator="equal">
      <formula>$A$7</formula>
    </cfRule>
  </conditionalFormatting>
  <conditionalFormatting sqref="Q3 S3">
    <cfRule type="cellIs" dxfId="141" priority="3" operator="equal">
      <formula>$A$8</formula>
    </cfRule>
  </conditionalFormatting>
  <conditionalFormatting sqref="Q3 S3">
    <cfRule type="cellIs" dxfId="140" priority="4" operator="equal">
      <formula>$A$9</formula>
    </cfRule>
  </conditionalFormatting>
  <conditionalFormatting sqref="Q3 S3">
    <cfRule type="cellIs" dxfId="139" priority="5" operator="equal">
      <formula>$A$10</formula>
    </cfRule>
  </conditionalFormatting>
  <conditionalFormatting sqref="Q3 S3">
    <cfRule type="cellIs" dxfId="138" priority="6" operator="equal">
      <formula>$A$11</formula>
    </cfRule>
  </conditionalFormatting>
  <conditionalFormatting sqref="Q3 S3">
    <cfRule type="cellIs" dxfId="137" priority="7" operator="equal">
      <formula>$A$12</formula>
    </cfRule>
  </conditionalFormatting>
  <conditionalFormatting sqref="Q3 S3">
    <cfRule type="cellIs" dxfId="136" priority="8" operator="equal">
      <formula>$A$13</formula>
    </cfRule>
  </conditionalFormatting>
  <conditionalFormatting sqref="Q3 S3">
    <cfRule type="cellIs" dxfId="135" priority="9" operator="equal">
      <formula>$A$14</formula>
    </cfRule>
  </conditionalFormatting>
  <conditionalFormatting sqref="Q3 S3">
    <cfRule type="cellIs" dxfId="134" priority="10" operator="equal">
      <formula>$A$15</formula>
    </cfRule>
  </conditionalFormatting>
  <conditionalFormatting sqref="Q3 S3">
    <cfRule type="cellIs" dxfId="133" priority="11" operator="equal">
      <formula>$A$16</formula>
    </cfRule>
  </conditionalFormatting>
  <conditionalFormatting sqref="Q3 S3">
    <cfRule type="cellIs" dxfId="132" priority="12" operator="equal">
      <formula>$A$17</formula>
    </cfRule>
  </conditionalFormatting>
  <conditionalFormatting sqref="Q3 S3">
    <cfRule type="cellIs" dxfId="131" priority="13" operator="equal">
      <formula>$A$18</formula>
    </cfRule>
  </conditionalFormatting>
  <conditionalFormatting sqref="Q3 S3">
    <cfRule type="cellIs" dxfId="130" priority="14" operator="equal">
      <formula>$A$19</formula>
    </cfRule>
  </conditionalFormatting>
  <conditionalFormatting sqref="Q3 S3">
    <cfRule type="cellIs" dxfId="129" priority="15" operator="equal">
      <formula>$A$20</formula>
    </cfRule>
  </conditionalFormatting>
  <conditionalFormatting sqref="Q3 S3">
    <cfRule type="cellIs" dxfId="128" priority="16" operator="equal">
      <formula>$A$21</formula>
    </cfRule>
  </conditionalFormatting>
  <conditionalFormatting sqref="Q3 S3">
    <cfRule type="cellIs" dxfId="127" priority="17" operator="equal">
      <formula>$A$22</formula>
    </cfRule>
  </conditionalFormatting>
  <conditionalFormatting sqref="Q3 S3">
    <cfRule type="cellIs" dxfId="126" priority="18" operator="equal">
      <formula>$A$23</formula>
    </cfRule>
  </conditionalFormatting>
  <conditionalFormatting sqref="Q3 S3">
    <cfRule type="containsBlanks" dxfId="125" priority="19">
      <formula>LEN(TRIM(Q3))=0</formula>
    </cfRule>
  </conditionalFormatting>
  <conditionalFormatting sqref="U6:V849">
    <cfRule type="colorScale" priority="20">
      <colorScale>
        <cfvo type="formula" val="$A$34"/>
        <cfvo type="formula" val="1"/>
        <cfvo type="formula" val="$A$33"/>
        <color rgb="FFFF0000"/>
        <color rgb="FFFFFFFF"/>
        <color rgb="FF6AA84F"/>
      </colorScale>
    </cfRule>
  </conditionalFormatting>
  <conditionalFormatting sqref="E6:E849 C6:C849">
    <cfRule type="cellIs" dxfId="124" priority="21" operator="equal">
      <formula>1</formula>
    </cfRule>
  </conditionalFormatting>
  <conditionalFormatting sqref="D6:D849 F6:F849 H6:H849 J6:J849 L6:L849">
    <cfRule type="colorScale" priority="22">
      <colorScale>
        <cfvo type="percent" val="50"/>
        <cfvo type="percent" val="75"/>
        <cfvo type="percent" val="100"/>
        <color rgb="FFFF0000"/>
        <color rgb="FFFFFF00"/>
        <color rgb="FF6AA84F"/>
      </colorScale>
    </cfRule>
  </conditionalFormatting>
  <conditionalFormatting sqref="G6:L849">
    <cfRule type="cellIs" dxfId="123" priority="23" operator="equal">
      <formula>"N/A"</formula>
    </cfRule>
  </conditionalFormatting>
  <conditionalFormatting sqref="R6:R849">
    <cfRule type="colorScale" priority="24">
      <colorScale>
        <cfvo type="formula" val="$A$26"/>
        <cfvo type="formula" val="$A$25"/>
        <cfvo type="formula" val="$A$24"/>
        <color rgb="FFFF0000"/>
        <color rgb="FFFFFF00"/>
        <color rgb="FF6AA84F"/>
      </colorScale>
    </cfRule>
  </conditionalFormatting>
  <conditionalFormatting sqref="S6:S849">
    <cfRule type="colorScale" priority="25">
      <colorScale>
        <cfvo type="formula" val="$A$29"/>
        <cfvo type="formula" val="$A$28"/>
        <cfvo type="formula" val="$A$27"/>
        <color rgb="FFFF0000"/>
        <color rgb="FFFFFF00"/>
        <color rgb="FF6AA84F"/>
      </colorScale>
    </cfRule>
  </conditionalFormatting>
  <conditionalFormatting sqref="Y6:Y849">
    <cfRule type="colorScale" priority="26">
      <colorScale>
        <cfvo type="formula" val="$A$32"/>
        <cfvo type="formula" val="$A$31"/>
        <cfvo type="formula" val="$A$30"/>
        <color rgb="FFFF0000"/>
        <color rgb="FFFFFF00"/>
        <color rgb="FF6AA84F"/>
      </colorScale>
    </cfRule>
  </conditionalFormatting>
  <conditionalFormatting sqref="T6:T849 W6:X849">
    <cfRule type="colorScale" priority="27">
      <colorScale>
        <cfvo type="formula" val="$A$37"/>
        <cfvo type="formula" val="$A$36"/>
        <cfvo type="formula" val="$A$35"/>
        <color rgb="FFFF0000"/>
        <color rgb="FFFFFF00"/>
        <color rgb="FF6AA84F"/>
      </colorScale>
    </cfRule>
  </conditionalFormatting>
  <conditionalFormatting sqref="Z6:Z849">
    <cfRule type="colorScale" priority="28">
      <colorScale>
        <cfvo type="formula" val="$A$40"/>
        <cfvo type="formula" val="$A$39"/>
        <cfvo type="formula" val="$A$38"/>
        <color rgb="FFFF0000"/>
        <color rgb="FFFFFF00"/>
        <color rgb="FF6AA84F"/>
      </colorScale>
    </cfRule>
  </conditionalFormatting>
  <dataValidations count="4">
    <dataValidation type="list" allowBlank="1" showInputMessage="1" showErrorMessage="1" prompt="Select type from list" sqref="Q3 S3">
      <formula1>Game_Types</formula1>
    </dataValidation>
    <dataValidation type="list" allowBlank="1" showInputMessage="1" showErrorMessage="1" prompt="Select the Pokeman name from the list." sqref="N6:N849">
      <formula1>Species_Names</formula1>
    </dataValidation>
    <dataValidation type="list" allowBlank="1" showInputMessage="1" showErrorMessage="1" prompt="Select the quick move name from the list." sqref="O6:O849">
      <formula1>Quick_Names</formula1>
    </dataValidation>
    <dataValidation type="list" allowBlank="1" showInputMessage="1" showErrorMessage="1" prompt="Select the charge move name from the list." sqref="P6:P849">
      <formula1>Charge_Names</formula1>
    </dataValidation>
  </dataValidations>
  <hyperlinks>
    <hyperlink ref="E3" r:id="rId1" display="https://docs.google.com/spreadsheets/d/1fTrOFQ0pVdVTfcEJdqQBqqIaFe55oaryz1CpxWY7vV0/copy"/>
    <hyperlink ref="H3" r:id="rId2" display="https://www.reddit.com/r/TheSilphRoad/comments/4wwqjj/speciesmoveset_analysis_tool_based_on_professor/"/>
    <hyperlink ref="K3" r:id="rId3" display="https://www.reddit.com/r/TheSilphRoad/comments/4vcobt/posthotfix_pokemon_go_full_moveset_rankings/d5x9pj7"/>
  </hyperlinks>
  <pageMargins left="0.7" right="0.7" top="0.75" bottom="0.75" header="0.3" footer="0.3"/>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03"/>
  <sheetViews>
    <sheetView showGridLines="0" workbookViewId="0">
      <pane ySplit="4" topLeftCell="A5" activePane="bottomLeft" state="frozen"/>
      <selection pane="bottomLeft" activeCell="B6" sqref="B6"/>
    </sheetView>
  </sheetViews>
  <sheetFormatPr defaultColWidth="14.42578125" defaultRowHeight="15.75" customHeight="1" x14ac:dyDescent="0.2"/>
  <cols>
    <col min="1" max="1" width="0" hidden="1"/>
    <col min="2" max="2" width="8.85546875" customWidth="1"/>
    <col min="3" max="3" width="16.42578125" customWidth="1"/>
    <col min="4" max="5" width="8.42578125" customWidth="1"/>
    <col min="6" max="7" width="9.85546875" customWidth="1"/>
    <col min="8" max="10" width="10.85546875" customWidth="1"/>
    <col min="11" max="11" width="12.42578125" customWidth="1"/>
    <col min="12" max="13" width="10.7109375" customWidth="1"/>
    <col min="14" max="14" width="0" hidden="1"/>
  </cols>
  <sheetData>
    <row r="1" spans="1:13" ht="15" customHeight="1" x14ac:dyDescent="0.2">
      <c r="A1" s="2"/>
      <c r="B1" s="92" t="s">
        <v>1</v>
      </c>
      <c r="C1" s="93"/>
      <c r="D1" s="93"/>
      <c r="E1" s="93"/>
      <c r="F1" s="93"/>
      <c r="G1" s="93"/>
      <c r="H1" s="93"/>
      <c r="I1" s="93"/>
      <c r="J1" s="93"/>
      <c r="K1" s="93"/>
      <c r="L1" s="93"/>
      <c r="M1" s="93"/>
    </row>
    <row r="2" spans="1:13" ht="15" customHeight="1" x14ac:dyDescent="0.2">
      <c r="A2" s="2"/>
      <c r="B2" s="94" t="str">
        <f>CONCATENATE("All fields are manual other than """,$K$4,""", """,$L$4,""" and """,$M$4,""".")</f>
        <v>All fields are manual other than "Tankiness", "Min IV CP Cap" and "Max IV CP Cap".</v>
      </c>
      <c r="C2" s="93"/>
      <c r="D2" s="93"/>
      <c r="E2" s="93"/>
      <c r="F2" s="93"/>
      <c r="G2" s="93"/>
      <c r="H2" s="93"/>
      <c r="I2" s="93"/>
      <c r="J2" s="93"/>
      <c r="K2" s="93"/>
      <c r="L2" s="93"/>
      <c r="M2" s="93"/>
    </row>
    <row r="3" spans="1:13" ht="15" customHeight="1" x14ac:dyDescent="0.2">
      <c r="A3" s="2"/>
      <c r="B3" s="93"/>
      <c r="C3" s="93"/>
      <c r="D3" s="93"/>
      <c r="E3" s="93"/>
      <c r="F3" s="93"/>
      <c r="G3" s="93"/>
      <c r="H3" s="93"/>
      <c r="I3" s="93"/>
      <c r="J3" s="93"/>
      <c r="K3" s="7" t="s">
        <v>5</v>
      </c>
      <c r="L3" s="101">
        <v>25</v>
      </c>
      <c r="M3" s="98"/>
    </row>
    <row r="4" spans="1:13" ht="25.5" x14ac:dyDescent="0.2">
      <c r="A4" s="6" t="s">
        <v>4</v>
      </c>
      <c r="B4" s="10" t="s">
        <v>15</v>
      </c>
      <c r="C4" s="7" t="s">
        <v>16</v>
      </c>
      <c r="D4" s="7" t="s">
        <v>17</v>
      </c>
      <c r="E4" s="7" t="s">
        <v>18</v>
      </c>
      <c r="F4" s="7" t="s">
        <v>19</v>
      </c>
      <c r="G4" s="7" t="s">
        <v>20</v>
      </c>
      <c r="H4" s="7" t="s">
        <v>21</v>
      </c>
      <c r="I4" s="7" t="s">
        <v>22</v>
      </c>
      <c r="J4" s="7" t="s">
        <v>23</v>
      </c>
      <c r="K4" s="7" t="s">
        <v>24</v>
      </c>
      <c r="L4" s="7" t="s">
        <v>25</v>
      </c>
      <c r="M4" s="7" t="s">
        <v>26</v>
      </c>
    </row>
    <row r="5" spans="1:13" ht="12.75" x14ac:dyDescent="0.2">
      <c r="A5" s="9" t="str">
        <f>Game_Type01</f>
        <v>Bug</v>
      </c>
      <c r="B5" s="11">
        <v>1</v>
      </c>
      <c r="C5" s="13" t="s">
        <v>27</v>
      </c>
      <c r="D5" s="15">
        <v>3</v>
      </c>
      <c r="E5" s="17" t="s">
        <v>42</v>
      </c>
      <c r="F5" s="16" t="s">
        <v>43</v>
      </c>
      <c r="G5" s="19" t="s">
        <v>44</v>
      </c>
      <c r="H5" s="21">
        <v>126</v>
      </c>
      <c r="I5" s="21">
        <v>126</v>
      </c>
      <c r="J5" s="21">
        <v>90</v>
      </c>
      <c r="K5" s="15">
        <f t="shared" ref="K5:K155" si="0">(J5*I5)/200</f>
        <v>56.7</v>
      </c>
      <c r="L5" s="15">
        <f t="array" ref="L5">(($H5+Game_Min_IV_Attack)*SQRT(($I5+Game_Min_IV_Defense))*SQRT(($J5+Game_Min_IV_Stamina))*(INDEX(Game_CP_Multipliers,MATCH(Species_Level,Game_Levels,0)))^2)/10</f>
        <v>598.61028507537571</v>
      </c>
      <c r="M5" s="21">
        <f t="array" ref="M5">(($H5+Game_Max_IV_Attack)*SQRT(($I5+Game_Max_IV_Defense))*SQRT(($J5+Game_Max_IV_Stamina))*(INDEX(Game_CP_Multipliers,MATCH(Species_Level,Game_Levels,0)))^2)/10</f>
        <v>765.40345901605485</v>
      </c>
    </row>
    <row r="6" spans="1:13" ht="12.75" x14ac:dyDescent="0.2">
      <c r="A6" s="9" t="str">
        <f>Game_Type02</f>
        <v>Dark</v>
      </c>
      <c r="B6" s="11">
        <v>2</v>
      </c>
      <c r="C6" s="13" t="s">
        <v>61</v>
      </c>
      <c r="D6" s="15">
        <v>2</v>
      </c>
      <c r="E6" s="17" t="s">
        <v>42</v>
      </c>
      <c r="F6" s="19" t="s">
        <v>43</v>
      </c>
      <c r="G6" s="19" t="s">
        <v>44</v>
      </c>
      <c r="H6" s="21">
        <v>156</v>
      </c>
      <c r="I6" s="21">
        <v>158</v>
      </c>
      <c r="J6" s="21">
        <v>120</v>
      </c>
      <c r="K6" s="15">
        <f t="shared" si="0"/>
        <v>94.8</v>
      </c>
      <c r="L6" s="15">
        <f t="array" ref="L6">(($H6+Game_Min_IV_Attack)*SQRT(($I6+Game_Min_IV_Defense))*SQRT(($J6+Game_Min_IV_Stamina))*(INDEX(Game_CP_Multipliers,MATCH(Species_Level,Game_Levels,0)))^2)/10</f>
        <v>958.32069506300536</v>
      </c>
      <c r="M6" s="21">
        <f t="array" ref="M6">(($H6+Game_Max_IV_Attack)*SQRT(($I6+Game_Max_IV_Defense))*SQRT(($J6+Game_Max_IV_Stamina))*(INDEX(Game_CP_Multipliers,MATCH(Species_Level,Game_Levels,0)))^2)/10</f>
        <v>1165.8781099590765</v>
      </c>
    </row>
    <row r="7" spans="1:13" ht="12.75" x14ac:dyDescent="0.2">
      <c r="A7" s="9" t="str">
        <f>Game_Type03</f>
        <v>Dragon</v>
      </c>
      <c r="B7" s="11">
        <v>3</v>
      </c>
      <c r="C7" s="13" t="s">
        <v>67</v>
      </c>
      <c r="D7" s="15">
        <v>1</v>
      </c>
      <c r="E7" s="17" t="s">
        <v>42</v>
      </c>
      <c r="F7" s="19" t="s">
        <v>43</v>
      </c>
      <c r="G7" s="19" t="s">
        <v>44</v>
      </c>
      <c r="H7" s="21">
        <v>198</v>
      </c>
      <c r="I7" s="21">
        <v>200</v>
      </c>
      <c r="J7" s="21">
        <v>160</v>
      </c>
      <c r="K7" s="15">
        <f t="shared" si="0"/>
        <v>160</v>
      </c>
      <c r="L7" s="15">
        <f t="array" ref="L7">(($H7+Game_Min_IV_Attack)*SQRT(($I7+Game_Min_IV_Defense))*SQRT(($J7+Game_Min_IV_Stamina))*(INDEX(Game_CP_Multipliers,MATCH(Species_Level,Game_Levels,0)))^2)/10</f>
        <v>1580.1826224130757</v>
      </c>
      <c r="M7" s="21">
        <f t="array" ref="M7">(($H7+Game_Max_IV_Attack)*SQRT(($I7+Game_Max_IV_Defense))*SQRT(($J7+Game_Max_IV_Stamina))*(INDEX(Game_CP_Multipliers,MATCH(Species_Level,Game_Levels,0)))^2)/10</f>
        <v>1843.2530439957914</v>
      </c>
    </row>
    <row r="8" spans="1:13" ht="12.75" x14ac:dyDescent="0.2">
      <c r="A8" s="9" t="str">
        <f>Game_Type04</f>
        <v>Electric</v>
      </c>
      <c r="B8" s="11">
        <v>4</v>
      </c>
      <c r="C8" s="13" t="s">
        <v>73</v>
      </c>
      <c r="D8" s="15">
        <v>3</v>
      </c>
      <c r="E8" s="17" t="s">
        <v>42</v>
      </c>
      <c r="F8" s="19" t="s">
        <v>72</v>
      </c>
      <c r="G8" s="19"/>
      <c r="H8" s="21">
        <v>128</v>
      </c>
      <c r="I8" s="21">
        <v>108</v>
      </c>
      <c r="J8" s="21">
        <v>78</v>
      </c>
      <c r="K8" s="15">
        <f t="shared" si="0"/>
        <v>42.12</v>
      </c>
      <c r="L8" s="15">
        <f t="array" ref="L8">(($H8+Game_Min_IV_Attack)*SQRT(($I8+Game_Min_IV_Defense))*SQRT(($J8+Game_Min_IV_Stamina))*(INDEX(Game_CP_Multipliers,MATCH(Species_Level,Game_Levels,0)))^2)/10</f>
        <v>524.12665985282888</v>
      </c>
      <c r="M8" s="21">
        <f t="array" ref="M8">(($H8+Game_Max_IV_Attack)*SQRT(($I8+Game_Max_IV_Defense))*SQRT(($J8+Game_Max_IV_Stamina))*(INDEX(Game_CP_Multipliers,MATCH(Species_Level,Game_Levels,0)))^2)/10</f>
        <v>682.3342470407531</v>
      </c>
    </row>
    <row r="9" spans="1:13" ht="12.75" x14ac:dyDescent="0.2">
      <c r="A9" s="9" t="str">
        <f>Game_Type05</f>
        <v>Fairy</v>
      </c>
      <c r="B9" s="11">
        <v>5</v>
      </c>
      <c r="C9" s="13" t="s">
        <v>78</v>
      </c>
      <c r="D9" s="15">
        <v>2</v>
      </c>
      <c r="E9" s="17" t="s">
        <v>42</v>
      </c>
      <c r="F9" s="19" t="s">
        <v>72</v>
      </c>
      <c r="G9" s="19"/>
      <c r="H9" s="21">
        <v>160</v>
      </c>
      <c r="I9" s="21">
        <v>140</v>
      </c>
      <c r="J9" s="21">
        <v>116</v>
      </c>
      <c r="K9" s="15">
        <f t="shared" si="0"/>
        <v>81.2</v>
      </c>
      <c r="L9" s="15">
        <f t="array" ref="L9">(($H9+Game_Min_IV_Attack)*SQRT(($I9+Game_Min_IV_Defense))*SQRT(($J9+Game_Min_IV_Stamina))*(INDEX(Game_CP_Multipliers,MATCH(Species_Level,Game_Levels,0)))^2)/10</f>
        <v>909.66209252251588</v>
      </c>
      <c r="M9" s="21">
        <f t="array" ref="M9">(($H9+Game_Max_IV_Attack)*SQRT(($I9+Game_Max_IV_Defense))*SQRT(($J9+Game_Max_IV_Stamina))*(INDEX(Game_CP_Multipliers,MATCH(Species_Level,Game_Levels,0)))^2)/10</f>
        <v>1112.5169785542207</v>
      </c>
    </row>
    <row r="10" spans="1:13" ht="12.75" x14ac:dyDescent="0.2">
      <c r="A10" s="9" t="str">
        <f>Game_Type06</f>
        <v>Fighting</v>
      </c>
      <c r="B10" s="11">
        <v>6</v>
      </c>
      <c r="C10" s="13" t="s">
        <v>81</v>
      </c>
      <c r="D10" s="15">
        <v>1</v>
      </c>
      <c r="E10" s="17" t="s">
        <v>42</v>
      </c>
      <c r="F10" s="19" t="s">
        <v>72</v>
      </c>
      <c r="G10" s="19" t="s">
        <v>70</v>
      </c>
      <c r="H10" s="21">
        <v>212</v>
      </c>
      <c r="I10" s="21">
        <v>182</v>
      </c>
      <c r="J10" s="21">
        <v>156</v>
      </c>
      <c r="K10" s="15">
        <f t="shared" si="0"/>
        <v>141.96</v>
      </c>
      <c r="L10" s="15">
        <f t="array" ref="L10">(($H10+Game_Min_IV_Attack)*SQRT(($I10+Game_Min_IV_Defense))*SQRT(($J10+Game_Min_IV_Stamina))*(INDEX(Game_CP_Multipliers,MATCH(Species_Level,Game_Levels,0)))^2)/10</f>
        <v>1593.6793896583617</v>
      </c>
      <c r="M10" s="21">
        <f t="array" ref="M10">(($H10+Game_Max_IV_Attack)*SQRT(($I10+Game_Max_IV_Defense))*SQRT(($J10+Game_Max_IV_Stamina))*(INDEX(Game_CP_Multipliers,MATCH(Species_Level,Game_Levels,0)))^2)/10</f>
        <v>1858.7634646281126</v>
      </c>
    </row>
    <row r="11" spans="1:13" ht="12.75" x14ac:dyDescent="0.2">
      <c r="A11" s="9" t="str">
        <f>Game_Type07</f>
        <v>Fire</v>
      </c>
      <c r="B11" s="11">
        <v>7</v>
      </c>
      <c r="C11" s="13" t="s">
        <v>86</v>
      </c>
      <c r="D11" s="15">
        <v>3</v>
      </c>
      <c r="E11" s="17" t="s">
        <v>42</v>
      </c>
      <c r="F11" s="19" t="s">
        <v>66</v>
      </c>
      <c r="G11" s="19"/>
      <c r="H11" s="21">
        <v>112</v>
      </c>
      <c r="I11" s="21">
        <v>142</v>
      </c>
      <c r="J11" s="21">
        <v>88</v>
      </c>
      <c r="K11" s="15">
        <f t="shared" si="0"/>
        <v>62.48</v>
      </c>
      <c r="L11" s="15">
        <f t="array" ref="L11">(($H11+Game_Min_IV_Attack)*SQRT(($I11+Game_Min_IV_Defense))*SQRT(($J11+Game_Min_IV_Stamina))*(INDEX(Game_CP_Multipliers,MATCH(Species_Level,Game_Levels,0)))^2)/10</f>
        <v>558.56103084582867</v>
      </c>
      <c r="M11" s="21">
        <f t="array" ref="M11">(($H11+Game_Max_IV_Attack)*SQRT(($I11+Game_Max_IV_Defense))*SQRT(($J11+Game_Max_IV_Stamina))*(INDEX(Game_CP_Multipliers,MATCH(Species_Level,Game_Levels,0)))^2)/10</f>
        <v>720.50875367424817</v>
      </c>
    </row>
    <row r="12" spans="1:13" ht="12.75" x14ac:dyDescent="0.2">
      <c r="A12" s="9" t="str">
        <f>Game_Type08</f>
        <v>Flying</v>
      </c>
      <c r="B12" s="11">
        <v>8</v>
      </c>
      <c r="C12" s="13" t="s">
        <v>90</v>
      </c>
      <c r="D12" s="15">
        <v>2</v>
      </c>
      <c r="E12" s="17" t="s">
        <v>42</v>
      </c>
      <c r="F12" s="19" t="s">
        <v>66</v>
      </c>
      <c r="G12" s="19"/>
      <c r="H12" s="21">
        <v>144</v>
      </c>
      <c r="I12" s="21">
        <v>176</v>
      </c>
      <c r="J12" s="21">
        <v>118</v>
      </c>
      <c r="K12" s="15">
        <f t="shared" si="0"/>
        <v>103.84</v>
      </c>
      <c r="L12" s="15">
        <f t="array" ref="L12">(($H12+Game_Min_IV_Attack)*SQRT(($I12+Game_Min_IV_Defense))*SQRT(($J12+Game_Min_IV_Stamina))*(INDEX(Game_CP_Multipliers,MATCH(Species_Level,Game_Levels,0)))^2)/10</f>
        <v>925.82079582417396</v>
      </c>
      <c r="M12" s="21">
        <f t="array" ref="M12">(($H12+Game_Max_IV_Attack)*SQRT(($I12+Game_Max_IV_Defense))*SQRT(($J12+Game_Max_IV_Stamina))*(INDEX(Game_CP_Multipliers,MATCH(Species_Level,Game_Levels,0)))^2)/10</f>
        <v>1130.594140878796</v>
      </c>
    </row>
    <row r="13" spans="1:13" ht="12.75" x14ac:dyDescent="0.2">
      <c r="A13" s="9" t="str">
        <f>Game_Type09</f>
        <v>Ghost</v>
      </c>
      <c r="B13" s="11">
        <v>9</v>
      </c>
      <c r="C13" s="13" t="s">
        <v>93</v>
      </c>
      <c r="D13" s="15">
        <v>1</v>
      </c>
      <c r="E13" s="17" t="s">
        <v>42</v>
      </c>
      <c r="F13" s="19" t="s">
        <v>66</v>
      </c>
      <c r="G13" s="19"/>
      <c r="H13" s="21">
        <v>186</v>
      </c>
      <c r="I13" s="21">
        <v>222</v>
      </c>
      <c r="J13" s="21">
        <v>158</v>
      </c>
      <c r="K13" s="15">
        <f t="shared" si="0"/>
        <v>175.38</v>
      </c>
      <c r="L13" s="15">
        <f t="array" ref="L13">(($H13+Game_Min_IV_Attack)*SQRT(($I13+Game_Min_IV_Defense))*SQRT(($J13+Game_Min_IV_Stamina))*(INDEX(Game_CP_Multipliers,MATCH(Species_Level,Game_Levels,0)))^2)/10</f>
        <v>1554.121887792769</v>
      </c>
      <c r="M13" s="21">
        <f t="array" ref="M13">(($H13+Game_Max_IV_Attack)*SQRT(($I13+Game_Max_IV_Defense))*SQRT(($J13+Game_Max_IV_Stamina))*(INDEX(Game_CP_Multipliers,MATCH(Species_Level,Game_Levels,0)))^2)/10</f>
        <v>1815.7681084765286</v>
      </c>
    </row>
    <row r="14" spans="1:13" ht="12.75" x14ac:dyDescent="0.2">
      <c r="A14" s="9" t="str">
        <f>Game_Type10</f>
        <v>Grass</v>
      </c>
      <c r="B14" s="11">
        <v>10</v>
      </c>
      <c r="C14" s="13" t="s">
        <v>96</v>
      </c>
      <c r="D14" s="15">
        <v>3</v>
      </c>
      <c r="E14" s="17" t="s">
        <v>42</v>
      </c>
      <c r="F14" s="19" t="s">
        <v>83</v>
      </c>
      <c r="G14" s="19"/>
      <c r="H14" s="21">
        <v>62</v>
      </c>
      <c r="I14" s="21">
        <v>66</v>
      </c>
      <c r="J14" s="21">
        <v>90</v>
      </c>
      <c r="K14" s="15">
        <f t="shared" si="0"/>
        <v>29.7</v>
      </c>
      <c r="L14" s="15">
        <f t="array" ref="L14">(($H14+Game_Min_IV_Attack)*SQRT(($I14+Game_Min_IV_Defense))*SQRT(($J14+Game_Min_IV_Stamina))*(INDEX(Game_CP_Multipliers,MATCH(Species_Level,Game_Levels,0)))^2)/10</f>
        <v>213.18272734098673</v>
      </c>
      <c r="M14" s="21">
        <f t="array" ref="M14">(($H14+Game_Max_IV_Attack)*SQRT(($I14+Game_Max_IV_Defense))*SQRT(($J14+Game_Max_IV_Stamina))*(INDEX(Game_CP_Multipliers,MATCH(Species_Level,Game_Levels,0)))^2)/10</f>
        <v>316.80715845895122</v>
      </c>
    </row>
    <row r="15" spans="1:13" ht="12.75" x14ac:dyDescent="0.2">
      <c r="A15" s="9" t="str">
        <f>Game_Type11</f>
        <v>Ground</v>
      </c>
      <c r="B15" s="11">
        <v>11</v>
      </c>
      <c r="C15" s="13" t="s">
        <v>99</v>
      </c>
      <c r="D15" s="15">
        <v>2</v>
      </c>
      <c r="E15" s="17" t="s">
        <v>42</v>
      </c>
      <c r="F15" s="19" t="s">
        <v>83</v>
      </c>
      <c r="G15" s="19"/>
      <c r="H15" s="21">
        <v>56</v>
      </c>
      <c r="I15" s="21">
        <v>86</v>
      </c>
      <c r="J15" s="21">
        <v>100</v>
      </c>
      <c r="K15" s="15">
        <f t="shared" si="0"/>
        <v>43</v>
      </c>
      <c r="L15" s="15">
        <f t="array" ref="L15">(($H15+Game_Min_IV_Attack)*SQRT(($I15+Game_Min_IV_Defense))*SQRT(($J15+Game_Min_IV_Stamina))*(INDEX(Game_CP_Multipliers,MATCH(Species_Level,Game_Levels,0)))^2)/10</f>
        <v>231.68843428334793</v>
      </c>
      <c r="M15" s="21">
        <f t="array" ref="M15">(($H15+Game_Max_IV_Attack)*SQRT(($I15+Game_Max_IV_Defense))*SQRT(($J15+Game_Max_IV_Stamina))*(INDEX(Game_CP_Multipliers,MATCH(Species_Level,Game_Levels,0)))^2)/10</f>
        <v>341.37762907954186</v>
      </c>
    </row>
    <row r="16" spans="1:13" ht="12.75" x14ac:dyDescent="0.2">
      <c r="A16" s="9" t="str">
        <f>Game_Type12</f>
        <v>Ice</v>
      </c>
      <c r="B16" s="11">
        <v>12</v>
      </c>
      <c r="C16" s="13" t="s">
        <v>104</v>
      </c>
      <c r="D16" s="15">
        <v>1</v>
      </c>
      <c r="E16" s="17" t="s">
        <v>42</v>
      </c>
      <c r="F16" s="19" t="s">
        <v>83</v>
      </c>
      <c r="G16" s="19" t="s">
        <v>70</v>
      </c>
      <c r="H16" s="21">
        <v>144</v>
      </c>
      <c r="I16" s="21">
        <v>144</v>
      </c>
      <c r="J16" s="21">
        <v>120</v>
      </c>
      <c r="K16" s="15">
        <f t="shared" si="0"/>
        <v>86.4</v>
      </c>
      <c r="L16" s="15">
        <f t="array" ref="L16">(($H16+Game_Min_IV_Attack)*SQRT(($I16+Game_Min_IV_Defense))*SQRT(($J16+Game_Min_IV_Stamina))*(INDEX(Game_CP_Multipliers,MATCH(Species_Level,Game_Levels,0)))^2)/10</f>
        <v>844.50351825273879</v>
      </c>
      <c r="M16" s="21">
        <f t="array" ref="M16">(($H16+Game_Max_IV_Attack)*SQRT(($I16+Game_Max_IV_Defense))*SQRT(($J16+Game_Max_IV_Stamina))*(INDEX(Game_CP_Multipliers,MATCH(Species_Level,Game_Levels,0)))^2)/10</f>
        <v>1039.273067426981</v>
      </c>
    </row>
    <row r="17" spans="1:13" ht="12.75" x14ac:dyDescent="0.2">
      <c r="A17" s="9" t="str">
        <f>Game_Type13</f>
        <v>Normal</v>
      </c>
      <c r="B17" s="11">
        <v>13</v>
      </c>
      <c r="C17" s="13" t="s">
        <v>109</v>
      </c>
      <c r="D17" s="15">
        <v>3</v>
      </c>
      <c r="E17" s="17" t="s">
        <v>42</v>
      </c>
      <c r="F17" s="19" t="s">
        <v>83</v>
      </c>
      <c r="G17" s="19" t="s">
        <v>44</v>
      </c>
      <c r="H17" s="21">
        <v>68</v>
      </c>
      <c r="I17" s="21">
        <v>64</v>
      </c>
      <c r="J17" s="21">
        <v>80</v>
      </c>
      <c r="K17" s="15">
        <f t="shared" si="0"/>
        <v>25.6</v>
      </c>
      <c r="L17" s="15">
        <f t="array" ref="L17">(($H17+Game_Min_IV_Attack)*SQRT(($I17+Game_Min_IV_Defense))*SQRT(($J17+Game_Min_IV_Stamina))*(INDEX(Game_CP_Multipliers,MATCH(Species_Level,Game_Levels,0)))^2)/10</f>
        <v>217.07559257391745</v>
      </c>
      <c r="M17" s="21">
        <f t="array" ref="M17">(($H17+Game_Max_IV_Attack)*SQRT(($I17+Game_Max_IV_Defense))*SQRT(($J17+Game_Max_IV_Stamina))*(INDEX(Game_CP_Multipliers,MATCH(Species_Level,Game_Levels,0)))^2)/10</f>
        <v>320.78979403867521</v>
      </c>
    </row>
    <row r="18" spans="1:13" ht="12.75" x14ac:dyDescent="0.2">
      <c r="A18" s="9" t="str">
        <f>Game_Type14</f>
        <v>Poison</v>
      </c>
      <c r="B18" s="11">
        <v>14</v>
      </c>
      <c r="C18" s="13" t="s">
        <v>116</v>
      </c>
      <c r="D18" s="15">
        <v>2</v>
      </c>
      <c r="E18" s="17" t="s">
        <v>42</v>
      </c>
      <c r="F18" s="19" t="s">
        <v>83</v>
      </c>
      <c r="G18" s="19" t="s">
        <v>44</v>
      </c>
      <c r="H18" s="21">
        <v>62</v>
      </c>
      <c r="I18" s="21">
        <v>82</v>
      </c>
      <c r="J18" s="21">
        <v>90</v>
      </c>
      <c r="K18" s="15">
        <f t="shared" si="0"/>
        <v>36.9</v>
      </c>
      <c r="L18" s="15">
        <f t="array" ref="L18">(($H18+Game_Min_IV_Attack)*SQRT(($I18+Game_Min_IV_Defense))*SQRT(($J18+Game_Min_IV_Stamina))*(INDEX(Game_CP_Multipliers,MATCH(Species_Level,Game_Levels,0)))^2)/10</f>
        <v>237.62217812382147</v>
      </c>
      <c r="M18" s="21">
        <f t="array" ref="M18">(($H18+Game_Max_IV_Attack)*SQRT(($I18+Game_Max_IV_Defense))*SQRT(($J18+Game_Max_IV_Stamina))*(INDEX(Game_CP_Multipliers,MATCH(Species_Level,Game_Levels,0)))^2)/10</f>
        <v>346.68762825036629</v>
      </c>
    </row>
    <row r="19" spans="1:13" ht="12.75" x14ac:dyDescent="0.2">
      <c r="A19" s="9" t="str">
        <f>Game_Type15</f>
        <v>Psychic</v>
      </c>
      <c r="B19" s="11">
        <v>15</v>
      </c>
      <c r="C19" s="13" t="s">
        <v>120</v>
      </c>
      <c r="D19" s="15">
        <v>1</v>
      </c>
      <c r="E19" s="17" t="s">
        <v>42</v>
      </c>
      <c r="F19" s="19" t="s">
        <v>83</v>
      </c>
      <c r="G19" s="19" t="s">
        <v>44</v>
      </c>
      <c r="H19" s="21">
        <v>144</v>
      </c>
      <c r="I19" s="21">
        <v>130</v>
      </c>
      <c r="J19" s="21">
        <v>130</v>
      </c>
      <c r="K19" s="15">
        <f t="shared" si="0"/>
        <v>84.5</v>
      </c>
      <c r="L19" s="15">
        <f t="array" ref="L19">(($H19+Game_Min_IV_Attack)*SQRT(($I19+Game_Min_IV_Defense))*SQRT(($J19+Game_Min_IV_Stamina))*(INDEX(Game_CP_Multipliers,MATCH(Species_Level,Game_Levels,0)))^2)/10</f>
        <v>835.16627068243179</v>
      </c>
      <c r="M19" s="21">
        <f t="array" ref="M19">(($H19+Game_Max_IV_Attack)*SQRT(($I19+Game_Max_IV_Defense))*SQRT(($J19+Game_Max_IV_Stamina))*(INDEX(Game_CP_Multipliers,MATCH(Species_Level,Game_Levels,0)))^2)/10</f>
        <v>1028.5661522747582</v>
      </c>
    </row>
    <row r="20" spans="1:13" ht="12.75" x14ac:dyDescent="0.2">
      <c r="A20" s="9" t="str">
        <f>Game_Type16</f>
        <v>Rock</v>
      </c>
      <c r="B20" s="11">
        <v>16</v>
      </c>
      <c r="C20" s="13" t="s">
        <v>123</v>
      </c>
      <c r="D20" s="15">
        <v>3</v>
      </c>
      <c r="E20" s="17" t="s">
        <v>42</v>
      </c>
      <c r="F20" s="19" t="s">
        <v>35</v>
      </c>
      <c r="G20" s="19" t="s">
        <v>70</v>
      </c>
      <c r="H20" s="21">
        <v>94</v>
      </c>
      <c r="I20" s="21">
        <v>90</v>
      </c>
      <c r="J20" s="21">
        <v>80</v>
      </c>
      <c r="K20" s="15">
        <f t="shared" si="0"/>
        <v>36</v>
      </c>
      <c r="L20" s="15">
        <f t="array" ref="L20">(($H20+Game_Min_IV_Attack)*SQRT(($I20+Game_Min_IV_Defense))*SQRT(($J20+Game_Min_IV_Stamina))*(INDEX(Game_CP_Multipliers,MATCH(Species_Level,Game_Levels,0)))^2)/10</f>
        <v>355.84527526458834</v>
      </c>
      <c r="M20" s="21">
        <f t="array" ref="M20">(($H20+Game_Max_IV_Attack)*SQRT(($I20+Game_Max_IV_Defense))*SQRT(($J20+Game_Max_IV_Stamina))*(INDEX(Game_CP_Multipliers,MATCH(Species_Level,Game_Levels,0)))^2)/10</f>
        <v>485.6798124537296</v>
      </c>
    </row>
    <row r="21" spans="1:13" ht="12.75" x14ac:dyDescent="0.2">
      <c r="A21" s="9" t="str">
        <f>Game_Type17</f>
        <v>Steel</v>
      </c>
      <c r="B21" s="11">
        <v>17</v>
      </c>
      <c r="C21" s="13" t="s">
        <v>125</v>
      </c>
      <c r="D21" s="15">
        <v>2</v>
      </c>
      <c r="E21" s="17" t="s">
        <v>42</v>
      </c>
      <c r="F21" s="19" t="s">
        <v>35</v>
      </c>
      <c r="G21" s="19" t="s">
        <v>70</v>
      </c>
      <c r="H21" s="21">
        <v>126</v>
      </c>
      <c r="I21" s="21">
        <v>122</v>
      </c>
      <c r="J21" s="21">
        <v>126</v>
      </c>
      <c r="K21" s="15">
        <f t="shared" si="0"/>
        <v>76.86</v>
      </c>
      <c r="L21" s="15">
        <f t="array" ref="L21">(($H21+Game_Min_IV_Attack)*SQRT(($I21+Game_Min_IV_Defense))*SQRT(($J21+Game_Min_IV_Stamina))*(INDEX(Game_CP_Multipliers,MATCH(Species_Level,Game_Levels,0)))^2)/10</f>
        <v>696.95194601253024</v>
      </c>
      <c r="M21" s="21">
        <f t="array" ref="M21">(($H21+Game_Max_IV_Attack)*SQRT(($I21+Game_Max_IV_Defense))*SQRT(($J21+Game_Max_IV_Stamina))*(INDEX(Game_CP_Multipliers,MATCH(Species_Level,Game_Levels,0)))^2)/10</f>
        <v>874.29109430006542</v>
      </c>
    </row>
    <row r="22" spans="1:13" ht="12.75" x14ac:dyDescent="0.2">
      <c r="A22" s="9" t="str">
        <f>Game_Type18</f>
        <v>Water</v>
      </c>
      <c r="B22" s="11">
        <v>18</v>
      </c>
      <c r="C22" s="13" t="s">
        <v>126</v>
      </c>
      <c r="D22" s="15">
        <v>1</v>
      </c>
      <c r="E22" s="17" t="s">
        <v>42</v>
      </c>
      <c r="F22" s="19" t="s">
        <v>35</v>
      </c>
      <c r="G22" s="19" t="s">
        <v>70</v>
      </c>
      <c r="H22" s="21">
        <v>170</v>
      </c>
      <c r="I22" s="21">
        <v>166</v>
      </c>
      <c r="J22" s="21">
        <v>166</v>
      </c>
      <c r="K22" s="15">
        <f t="shared" si="0"/>
        <v>137.78</v>
      </c>
      <c r="L22" s="15">
        <f t="array" ref="L22">(($H22+Game_Min_IV_Attack)*SQRT(($I22+Game_Min_IV_Defense))*SQRT(($J22+Game_Min_IV_Stamina))*(INDEX(Game_CP_Multipliers,MATCH(Species_Level,Game_Levels,0)))^2)/10</f>
        <v>1258.9953076206323</v>
      </c>
      <c r="M22" s="21">
        <f t="array" ref="M22">(($H22+Game_Max_IV_Attack)*SQRT(($I22+Game_Max_IV_Defense))*SQRT(($J22+Game_Max_IV_Stamina))*(INDEX(Game_CP_Multipliers,MATCH(Species_Level,Game_Levels,0)))^2)/10</f>
        <v>1493.8858212500661</v>
      </c>
    </row>
    <row r="23" spans="1:13" ht="12.75" x14ac:dyDescent="0.2">
      <c r="A23" s="29">
        <f>CF_High_Attack</f>
        <v>250</v>
      </c>
      <c r="B23" s="11">
        <v>19</v>
      </c>
      <c r="C23" s="13" t="s">
        <v>128</v>
      </c>
      <c r="D23" s="15">
        <v>2</v>
      </c>
      <c r="E23" s="17" t="s">
        <v>42</v>
      </c>
      <c r="F23" s="19" t="s">
        <v>35</v>
      </c>
      <c r="G23" s="19"/>
      <c r="H23" s="21">
        <v>92</v>
      </c>
      <c r="I23" s="21">
        <v>86</v>
      </c>
      <c r="J23" s="21">
        <v>60</v>
      </c>
      <c r="K23" s="15">
        <f t="shared" si="0"/>
        <v>25.8</v>
      </c>
      <c r="L23" s="15">
        <f t="array" ref="L23">(($H23+Game_Min_IV_Attack)*SQRT(($I23+Game_Min_IV_Defense))*SQRT(($J23+Game_Min_IV_Stamina))*(INDEX(Game_CP_Multipliers,MATCH(Species_Level,Game_Levels,0)))^2)/10</f>
        <v>294.83550417471992</v>
      </c>
      <c r="M23" s="21">
        <f t="array" ref="M23">(($H23+Game_Max_IV_Attack)*SQRT(($I23+Game_Max_IV_Defense))*SQRT(($J23+Game_Max_IV_Stamina))*(INDEX(Game_CP_Multipliers,MATCH(Species_Level,Game_Levels,0)))^2)/10</f>
        <v>415.47241874456466</v>
      </c>
    </row>
    <row r="24" spans="1:13" ht="12.75" x14ac:dyDescent="0.2">
      <c r="A24" s="29">
        <f>CF_Med_Attack</f>
        <v>175</v>
      </c>
      <c r="B24" s="11">
        <v>20</v>
      </c>
      <c r="C24" s="13" t="s">
        <v>129</v>
      </c>
      <c r="D24" s="15">
        <v>1</v>
      </c>
      <c r="E24" s="17" t="s">
        <v>42</v>
      </c>
      <c r="F24" s="19" t="s">
        <v>35</v>
      </c>
      <c r="G24" s="19"/>
      <c r="H24" s="21">
        <v>146</v>
      </c>
      <c r="I24" s="21">
        <v>150</v>
      </c>
      <c r="J24" s="21">
        <v>110</v>
      </c>
      <c r="K24" s="15">
        <f t="shared" si="0"/>
        <v>82.5</v>
      </c>
      <c r="L24" s="15">
        <f t="array" ref="L24">(($H24+Game_Min_IV_Attack)*SQRT(($I24+Game_Min_IV_Defense))*SQRT(($J24+Game_Min_IV_Stamina))*(INDEX(Game_CP_Multipliers,MATCH(Species_Level,Game_Levels,0)))^2)/10</f>
        <v>836.68489762860395</v>
      </c>
      <c r="M24" s="21">
        <f t="array" ref="M24">(($H24+Game_Max_IV_Attack)*SQRT(($I24+Game_Max_IV_Defense))*SQRT(($J24+Game_Max_IV_Stamina))*(INDEX(Game_CP_Multipliers,MATCH(Species_Level,Game_Levels,0)))^2)/10</f>
        <v>1031.5492239796124</v>
      </c>
    </row>
    <row r="25" spans="1:13" ht="12.75" x14ac:dyDescent="0.2">
      <c r="A25" s="29">
        <f>CF_Low_Attack</f>
        <v>100</v>
      </c>
      <c r="B25" s="11">
        <v>21</v>
      </c>
      <c r="C25" s="13" t="s">
        <v>131</v>
      </c>
      <c r="D25" s="15">
        <v>2</v>
      </c>
      <c r="E25" s="17" t="s">
        <v>42</v>
      </c>
      <c r="F25" s="19" t="s">
        <v>35</v>
      </c>
      <c r="G25" s="19" t="s">
        <v>70</v>
      </c>
      <c r="H25" s="21">
        <v>102</v>
      </c>
      <c r="I25" s="21">
        <v>78</v>
      </c>
      <c r="J25" s="21">
        <v>80</v>
      </c>
      <c r="K25" s="15">
        <f t="shared" si="0"/>
        <v>31.2</v>
      </c>
      <c r="L25" s="15">
        <f t="array" ref="L25">(($H25+Game_Min_IV_Attack)*SQRT(($I25+Game_Min_IV_Defense))*SQRT(($J25+Game_Min_IV_Stamina))*(INDEX(Game_CP_Multipliers,MATCH(Species_Level,Game_Levels,0)))^2)/10</f>
        <v>359.46744816173481</v>
      </c>
      <c r="M25" s="21">
        <f t="array" ref="M25">(($H25+Game_Max_IV_Attack)*SQRT(($I25+Game_Max_IV_Defense))*SQRT(($J25+Game_Max_IV_Stamina))*(INDEX(Game_CP_Multipliers,MATCH(Species_Level,Game_Levels,0)))^2)/10</f>
        <v>490.63241840419778</v>
      </c>
    </row>
    <row r="26" spans="1:13" ht="12.75" x14ac:dyDescent="0.2">
      <c r="A26" s="29">
        <f>CF_High_Defense</f>
        <v>250</v>
      </c>
      <c r="B26" s="11">
        <v>22</v>
      </c>
      <c r="C26" s="13" t="s">
        <v>132</v>
      </c>
      <c r="D26" s="15">
        <v>1</v>
      </c>
      <c r="E26" s="17" t="s">
        <v>42</v>
      </c>
      <c r="F26" s="19" t="s">
        <v>35</v>
      </c>
      <c r="G26" s="19" t="s">
        <v>70</v>
      </c>
      <c r="H26" s="21">
        <v>168</v>
      </c>
      <c r="I26" s="21">
        <v>146</v>
      </c>
      <c r="J26" s="21">
        <v>130</v>
      </c>
      <c r="K26" s="15">
        <f t="shared" si="0"/>
        <v>94.9</v>
      </c>
      <c r="L26" s="15">
        <f t="array" ref="L26">(($H26+Game_Min_IV_Attack)*SQRT(($I26+Game_Min_IV_Defense))*SQRT(($J26+Game_Min_IV_Stamina))*(INDEX(Game_CP_Multipliers,MATCH(Species_Level,Game_Levels,0)))^2)/10</f>
        <v>1032.5818518031615</v>
      </c>
      <c r="M26" s="21">
        <f t="array" ref="M26">(($H26+Game_Max_IV_Attack)*SQRT(($I26+Game_Max_IV_Defense))*SQRT(($J26+Game_Max_IV_Stamina))*(INDEX(Game_CP_Multipliers,MATCH(Species_Level,Game_Levels,0)))^2)/10</f>
        <v>1247.4269740865989</v>
      </c>
    </row>
    <row r="27" spans="1:13" ht="12.75" x14ac:dyDescent="0.2">
      <c r="A27" s="29">
        <f>CF_Med_Defense</f>
        <v>175</v>
      </c>
      <c r="B27" s="11">
        <v>23</v>
      </c>
      <c r="C27" s="13" t="s">
        <v>133</v>
      </c>
      <c r="D27" s="15">
        <v>2</v>
      </c>
      <c r="E27" s="17" t="s">
        <v>42</v>
      </c>
      <c r="F27" s="19" t="s">
        <v>44</v>
      </c>
      <c r="G27" s="19"/>
      <c r="H27" s="21">
        <v>112</v>
      </c>
      <c r="I27" s="21">
        <v>112</v>
      </c>
      <c r="J27" s="21">
        <v>70</v>
      </c>
      <c r="K27" s="15">
        <f t="shared" si="0"/>
        <v>39.200000000000003</v>
      </c>
      <c r="L27" s="15">
        <f t="array" ref="L27">(($H27+Game_Min_IV_Attack)*SQRT(($I27+Game_Min_IV_Defense))*SQRT(($J27+Game_Min_IV_Stamina))*(INDEX(Game_CP_Multipliers,MATCH(Species_Level,Game_Levels,0)))^2)/10</f>
        <v>442.42856196565629</v>
      </c>
      <c r="M27" s="21">
        <f t="array" ref="M27">(($H27+Game_Max_IV_Attack)*SQRT(($I27+Game_Max_IV_Defense))*SQRT(($J27+Game_Max_IV_Stamina))*(INDEX(Game_CP_Multipliers,MATCH(Species_Level,Game_Levels,0)))^2)/10</f>
        <v>588.68388365199394</v>
      </c>
    </row>
    <row r="28" spans="1:13" ht="12.75" x14ac:dyDescent="0.2">
      <c r="A28" s="29">
        <f>CF_Low_Defense</f>
        <v>100</v>
      </c>
      <c r="B28" s="11">
        <v>24</v>
      </c>
      <c r="C28" s="13" t="s">
        <v>134</v>
      </c>
      <c r="D28" s="15">
        <v>1</v>
      </c>
      <c r="E28" s="17" t="s">
        <v>42</v>
      </c>
      <c r="F28" s="19" t="s">
        <v>44</v>
      </c>
      <c r="G28" s="19"/>
      <c r="H28" s="21">
        <v>166</v>
      </c>
      <c r="I28" s="21">
        <v>166</v>
      </c>
      <c r="J28" s="21">
        <v>120</v>
      </c>
      <c r="K28" s="15">
        <f t="shared" si="0"/>
        <v>99.6</v>
      </c>
      <c r="L28" s="15">
        <f t="array" ref="L28">(($H28+Game_Min_IV_Attack)*SQRT(($I28+Game_Min_IV_Defense))*SQRT(($J28+Game_Min_IV_Stamina))*(INDEX(Game_CP_Multipliers,MATCH(Species_Level,Game_Levels,0)))^2)/10</f>
        <v>1045.2492320040569</v>
      </c>
      <c r="M28" s="21">
        <f t="array" ref="M28">(($H28+Game_Max_IV_Attack)*SQRT(($I28+Game_Max_IV_Defense))*SQRT(($J28+Game_Max_IV_Stamina))*(INDEX(Game_CP_Multipliers,MATCH(Species_Level,Game_Levels,0)))^2)/10</f>
        <v>1262.2688025414723</v>
      </c>
    </row>
    <row r="29" spans="1:13" ht="12.75" x14ac:dyDescent="0.2">
      <c r="A29" s="29">
        <f>CF_High_Stamina</f>
        <v>250</v>
      </c>
      <c r="B29" s="11">
        <v>25</v>
      </c>
      <c r="C29" s="13" t="s">
        <v>135</v>
      </c>
      <c r="D29" s="15">
        <v>2</v>
      </c>
      <c r="E29" s="17" t="s">
        <v>42</v>
      </c>
      <c r="F29" s="19" t="s">
        <v>107</v>
      </c>
      <c r="G29" s="19"/>
      <c r="H29" s="21">
        <v>124</v>
      </c>
      <c r="I29" s="21">
        <v>108</v>
      </c>
      <c r="J29" s="21">
        <v>70</v>
      </c>
      <c r="K29" s="15">
        <f t="shared" si="0"/>
        <v>37.799999999999997</v>
      </c>
      <c r="L29" s="15">
        <f t="array" ref="L29">(($H29+Game_Min_IV_Attack)*SQRT(($I29+Game_Min_IV_Defense))*SQRT(($J29+Game_Min_IV_Stamina))*(INDEX(Game_CP_Multipliers,MATCH(Species_Level,Game_Levels,0)))^2)/10</f>
        <v>481.00510422979949</v>
      </c>
      <c r="M29" s="21">
        <f t="array" ref="M29">(($H29+Game_Max_IV_Attack)*SQRT(($I29+Game_Max_IV_Defense))*SQRT(($J29+Game_Max_IV_Stamina))*(INDEX(Game_CP_Multipliers,MATCH(Species_Level,Game_Levels,0)))^2)/10</f>
        <v>634.07980418466843</v>
      </c>
    </row>
    <row r="30" spans="1:13" ht="12.75" x14ac:dyDescent="0.2">
      <c r="A30" s="29">
        <f>CF_Med_Stamina</f>
        <v>175</v>
      </c>
      <c r="B30" s="11">
        <v>26</v>
      </c>
      <c r="C30" s="13" t="s">
        <v>136</v>
      </c>
      <c r="D30" s="15">
        <v>1</v>
      </c>
      <c r="E30" s="17" t="s">
        <v>42</v>
      </c>
      <c r="F30" s="19" t="s">
        <v>107</v>
      </c>
      <c r="G30" s="19"/>
      <c r="H30" s="21">
        <v>200</v>
      </c>
      <c r="I30" s="21">
        <v>154</v>
      </c>
      <c r="J30" s="21">
        <v>120</v>
      </c>
      <c r="K30" s="15">
        <f t="shared" si="0"/>
        <v>92.4</v>
      </c>
      <c r="L30" s="15">
        <f t="array" ref="L30">(($H30+Game_Min_IV_Attack)*SQRT(($I30+Game_Min_IV_Defense))*SQRT(($J30+Game_Min_IV_Stamina))*(INDEX(Game_CP_Multipliers,MATCH(Species_Level,Game_Levels,0)))^2)/10</f>
        <v>1212.9644738897653</v>
      </c>
      <c r="M30" s="21">
        <f t="array" ref="M30">(($H30+Game_Max_IV_Attack)*SQRT(($I30+Game_Max_IV_Defense))*SQRT(($J30+Game_Max_IV_Stamina))*(INDEX(Game_CP_Multipliers,MATCH(Species_Level,Game_Levels,0)))^2)/10</f>
        <v>1448.8245570801066</v>
      </c>
    </row>
    <row r="31" spans="1:13" ht="12.75" x14ac:dyDescent="0.2">
      <c r="A31" s="29">
        <f>CF_Low_Stamina</f>
        <v>100</v>
      </c>
      <c r="B31" s="11">
        <v>27</v>
      </c>
      <c r="C31" s="13" t="s">
        <v>138</v>
      </c>
      <c r="D31" s="15">
        <v>2</v>
      </c>
      <c r="E31" s="17" t="s">
        <v>42</v>
      </c>
      <c r="F31" s="19" t="s">
        <v>85</v>
      </c>
      <c r="G31" s="19"/>
      <c r="H31" s="21">
        <v>90</v>
      </c>
      <c r="I31" s="21">
        <v>114</v>
      </c>
      <c r="J31" s="21">
        <v>100</v>
      </c>
      <c r="K31" s="15">
        <f t="shared" si="0"/>
        <v>57</v>
      </c>
      <c r="L31" s="15">
        <f t="array" ref="L31">(($H31+Game_Min_IV_Attack)*SQRT(($I31+Game_Min_IV_Defense))*SQRT(($J31+Game_Min_IV_Stamina))*(INDEX(Game_CP_Multipliers,MATCH(Species_Level,Game_Levels,0)))^2)/10</f>
        <v>428.708443535264</v>
      </c>
      <c r="M31" s="21">
        <f t="array" ref="M31">(($H31+Game_Max_IV_Attack)*SQRT(($I31+Game_Max_IV_Defense))*SQRT(($J31+Game_Max_IV_Stamina))*(INDEX(Game_CP_Multipliers,MATCH(Species_Level,Game_Levels,0)))^2)/10</f>
        <v>570.55849566759809</v>
      </c>
    </row>
    <row r="32" spans="1:13" ht="12.75" x14ac:dyDescent="0.2">
      <c r="A32" s="29">
        <f>CF_High_Tankiness</f>
        <v>250</v>
      </c>
      <c r="B32" s="11">
        <v>28</v>
      </c>
      <c r="C32" s="13" t="s">
        <v>147</v>
      </c>
      <c r="D32" s="15">
        <v>1</v>
      </c>
      <c r="E32" s="17" t="s">
        <v>42</v>
      </c>
      <c r="F32" s="19" t="s">
        <v>85</v>
      </c>
      <c r="G32" s="19"/>
      <c r="H32" s="21">
        <v>150</v>
      </c>
      <c r="I32" s="21">
        <v>172</v>
      </c>
      <c r="J32" s="21">
        <v>150</v>
      </c>
      <c r="K32" s="15">
        <f t="shared" si="0"/>
        <v>129</v>
      </c>
      <c r="L32" s="15">
        <f t="array" ref="L32">(($H32+Game_Min_IV_Attack)*SQRT(($I32+Game_Min_IV_Defense))*SQRT(($J32+Game_Min_IV_Stamina))*(INDEX(Game_CP_Multipliers,MATCH(Species_Level,Game_Levels,0)))^2)/10</f>
        <v>1074.9003742093969</v>
      </c>
      <c r="M32" s="21">
        <f t="array" ref="M32">(($H32+Game_Max_IV_Attack)*SQRT(($I32+Game_Max_IV_Defense))*SQRT(($J32+Game_Max_IV_Stamina))*(INDEX(Game_CP_Multipliers,MATCH(Species_Level,Game_Levels,0)))^2)/10</f>
        <v>1293.0455429363692</v>
      </c>
    </row>
    <row r="33" spans="1:13" ht="12.75" x14ac:dyDescent="0.2">
      <c r="A33" s="29">
        <f>CF_Med_Tankiness</f>
        <v>175</v>
      </c>
      <c r="B33" s="11">
        <v>29</v>
      </c>
      <c r="C33" s="13" t="s">
        <v>148</v>
      </c>
      <c r="D33" s="15">
        <v>3</v>
      </c>
      <c r="E33" s="17" t="s">
        <v>42</v>
      </c>
      <c r="F33" s="19" t="s">
        <v>44</v>
      </c>
      <c r="G33" s="19"/>
      <c r="H33" s="21">
        <v>100</v>
      </c>
      <c r="I33" s="21">
        <v>104</v>
      </c>
      <c r="J33" s="21">
        <v>110</v>
      </c>
      <c r="K33" s="15">
        <f t="shared" si="0"/>
        <v>57.2</v>
      </c>
      <c r="L33" s="15">
        <f t="array" ref="L33">(($H33+Game_Min_IV_Attack)*SQRT(($I33+Game_Min_IV_Defense))*SQRT(($J33+Game_Min_IV_Stamina))*(INDEX(Game_CP_Multipliers,MATCH(Species_Level,Game_Levels,0)))^2)/10</f>
        <v>477.17767223568944</v>
      </c>
      <c r="M33" s="21">
        <f t="array" ref="M33">(($H33+Game_Max_IV_Attack)*SQRT(($I33+Game_Max_IV_Defense))*SQRT(($J33+Game_Max_IV_Stamina))*(INDEX(Game_CP_Multipliers,MATCH(Species_Level,Game_Levels,0)))^2)/10</f>
        <v>625.73929652533161</v>
      </c>
    </row>
    <row r="34" spans="1:13" ht="12.75" x14ac:dyDescent="0.2">
      <c r="A34" s="29">
        <f>CF_Low_Tankiness</f>
        <v>100</v>
      </c>
      <c r="B34" s="11">
        <v>30</v>
      </c>
      <c r="C34" s="13" t="s">
        <v>150</v>
      </c>
      <c r="D34" s="15">
        <v>2</v>
      </c>
      <c r="E34" s="17" t="s">
        <v>42</v>
      </c>
      <c r="F34" s="19" t="s">
        <v>44</v>
      </c>
      <c r="G34" s="19"/>
      <c r="H34" s="21">
        <v>132</v>
      </c>
      <c r="I34" s="21">
        <v>136</v>
      </c>
      <c r="J34" s="21">
        <v>140</v>
      </c>
      <c r="K34" s="15">
        <f t="shared" si="0"/>
        <v>95.2</v>
      </c>
      <c r="L34" s="15">
        <f t="array" ref="L34">(($H34+Game_Min_IV_Attack)*SQRT(($I34+Game_Min_IV_Defense))*SQRT(($J34+Game_Min_IV_Stamina))*(INDEX(Game_CP_Multipliers,MATCH(Species_Level,Game_Levels,0)))^2)/10</f>
        <v>812.59567272752656</v>
      </c>
      <c r="M34" s="21">
        <f t="array" ref="M34">(($H34+Game_Max_IV_Attack)*SQRT(($I34+Game_Max_IV_Defense))*SQRT(($J34+Game_Max_IV_Stamina))*(INDEX(Game_CP_Multipliers,MATCH(Species_Level,Game_Levels,0)))^2)/10</f>
        <v>1003.3183598318479</v>
      </c>
    </row>
    <row r="35" spans="1:13" ht="12.75" x14ac:dyDescent="0.2">
      <c r="B35" s="11">
        <v>31</v>
      </c>
      <c r="C35" s="13" t="s">
        <v>152</v>
      </c>
      <c r="D35" s="15">
        <v>1</v>
      </c>
      <c r="E35" s="17" t="s">
        <v>42</v>
      </c>
      <c r="F35" s="19" t="s">
        <v>44</v>
      </c>
      <c r="G35" s="19" t="s">
        <v>85</v>
      </c>
      <c r="H35" s="21">
        <v>184</v>
      </c>
      <c r="I35" s="21">
        <v>190</v>
      </c>
      <c r="J35" s="21">
        <v>180</v>
      </c>
      <c r="K35" s="15">
        <f t="shared" si="0"/>
        <v>171</v>
      </c>
      <c r="L35" s="15">
        <f t="array" ref="L35">(($H35+Game_Min_IV_Attack)*SQRT(($I35+Game_Min_IV_Defense))*SQRT(($J35+Game_Min_IV_Stamina))*(INDEX(Game_CP_Multipliers,MATCH(Species_Level,Game_Levels,0)))^2)/10</f>
        <v>1518.0916030442277</v>
      </c>
      <c r="M35" s="21">
        <f t="array" ref="M35">(($H35+Game_Max_IV_Attack)*SQRT(($I35+Game_Max_IV_Defense))*SQRT(($J35+Game_Max_IV_Stamina))*(INDEX(Game_CP_Multipliers,MATCH(Species_Level,Game_Levels,0)))^2)/10</f>
        <v>1775.0656286930334</v>
      </c>
    </row>
    <row r="36" spans="1:13" ht="12.75" x14ac:dyDescent="0.2">
      <c r="B36" s="11">
        <v>32</v>
      </c>
      <c r="C36" s="13" t="s">
        <v>154</v>
      </c>
      <c r="D36" s="15">
        <v>3</v>
      </c>
      <c r="E36" s="17" t="s">
        <v>42</v>
      </c>
      <c r="F36" s="19" t="s">
        <v>44</v>
      </c>
      <c r="G36" s="19"/>
      <c r="H36" s="21">
        <v>110</v>
      </c>
      <c r="I36" s="21">
        <v>94</v>
      </c>
      <c r="J36" s="21">
        <v>92</v>
      </c>
      <c r="K36" s="15">
        <f t="shared" si="0"/>
        <v>43.24</v>
      </c>
      <c r="L36" s="15">
        <f t="array" ref="L36">(($H36+Game_Min_IV_Attack)*SQRT(($I36+Game_Min_IV_Defense))*SQRT(($J36+Game_Min_IV_Stamina))*(INDEX(Game_CP_Multipliers,MATCH(Species_Level,Game_Levels,0)))^2)/10</f>
        <v>456.3705672685557</v>
      </c>
      <c r="M36" s="21">
        <f t="array" ref="M36">(($H36+Game_Max_IV_Attack)*SQRT(($I36+Game_Max_IV_Defense))*SQRT(($J36+Game_Max_IV_Stamina))*(INDEX(Game_CP_Multipliers,MATCH(Species_Level,Game_Levels,0)))^2)/10</f>
        <v>602.25754968158367</v>
      </c>
    </row>
    <row r="37" spans="1:13" ht="12.75" x14ac:dyDescent="0.2">
      <c r="B37" s="11">
        <v>33</v>
      </c>
      <c r="C37" s="13" t="s">
        <v>156</v>
      </c>
      <c r="D37" s="15">
        <v>2</v>
      </c>
      <c r="E37" s="17" t="s">
        <v>42</v>
      </c>
      <c r="F37" s="19" t="s">
        <v>44</v>
      </c>
      <c r="G37" s="19"/>
      <c r="H37" s="21">
        <v>142</v>
      </c>
      <c r="I37" s="21">
        <v>128</v>
      </c>
      <c r="J37" s="21">
        <v>122</v>
      </c>
      <c r="K37" s="15">
        <f t="shared" si="0"/>
        <v>78.08</v>
      </c>
      <c r="L37" s="15">
        <f t="array" ref="L37">(($H37+Game_Min_IV_Attack)*SQRT(($I37+Game_Min_IV_Defense))*SQRT(($J37+Game_Min_IV_Stamina))*(INDEX(Game_CP_Multipliers,MATCH(Species_Level,Game_Levels,0)))^2)/10</f>
        <v>791.66299784567525</v>
      </c>
      <c r="M37" s="21">
        <f t="array" ref="M37">(($H37+Game_Max_IV_Attack)*SQRT(($I37+Game_Max_IV_Defense))*SQRT(($J37+Game_Max_IV_Stamina))*(INDEX(Game_CP_Multipliers,MATCH(Species_Level,Game_Levels,0)))^2)/10</f>
        <v>980.38138561638914</v>
      </c>
    </row>
    <row r="38" spans="1:13" ht="12.75" x14ac:dyDescent="0.2">
      <c r="B38" s="11">
        <v>34</v>
      </c>
      <c r="C38" s="13" t="s">
        <v>158</v>
      </c>
      <c r="D38" s="15">
        <v>1</v>
      </c>
      <c r="E38" s="17" t="s">
        <v>42</v>
      </c>
      <c r="F38" s="19" t="s">
        <v>44</v>
      </c>
      <c r="G38" s="19" t="s">
        <v>85</v>
      </c>
      <c r="H38" s="21">
        <v>204</v>
      </c>
      <c r="I38" s="21">
        <v>170</v>
      </c>
      <c r="J38" s="21">
        <v>162</v>
      </c>
      <c r="K38" s="15">
        <f t="shared" si="0"/>
        <v>137.69999999999999</v>
      </c>
      <c r="L38" s="15">
        <f t="array" ref="L38">(($H38+Game_Min_IV_Attack)*SQRT(($I38+Game_Min_IV_Defense))*SQRT(($J38+Game_Min_IV_Stamina))*(INDEX(Game_CP_Multipliers,MATCH(Species_Level,Game_Levels,0)))^2)/10</f>
        <v>1510.3556948122985</v>
      </c>
      <c r="M38" s="21">
        <f t="array" ref="M38">(($H38+Game_Max_IV_Attack)*SQRT(($I38+Game_Max_IV_Defense))*SQRT(($J38+Game_Max_IV_Stamina))*(INDEX(Game_CP_Multipliers,MATCH(Species_Level,Game_Levels,0)))^2)/10</f>
        <v>1768.005917518253</v>
      </c>
    </row>
    <row r="39" spans="1:13" ht="12.75" x14ac:dyDescent="0.2">
      <c r="B39" s="11">
        <v>35</v>
      </c>
      <c r="C39" s="13" t="s">
        <v>161</v>
      </c>
      <c r="D39" s="15">
        <v>2</v>
      </c>
      <c r="E39" s="17" t="s">
        <v>42</v>
      </c>
      <c r="F39" s="19" t="s">
        <v>162</v>
      </c>
      <c r="G39" s="19"/>
      <c r="H39" s="21">
        <v>116</v>
      </c>
      <c r="I39" s="21">
        <v>124</v>
      </c>
      <c r="J39" s="21">
        <v>140</v>
      </c>
      <c r="K39" s="15">
        <f t="shared" si="0"/>
        <v>86.8</v>
      </c>
      <c r="L39" s="15">
        <f t="array" ref="L39">(($H39+Game_Min_IV_Attack)*SQRT(($I39+Game_Min_IV_Defense))*SQRT(($J39+Game_Min_IV_Stamina))*(INDEX(Game_CP_Multipliers,MATCH(Species_Level,Game_Levels,0)))^2)/10</f>
        <v>681.86743817650597</v>
      </c>
      <c r="M39" s="21">
        <f t="array" ref="M39">(($H39+Game_Max_IV_Attack)*SQRT(($I39+Game_Max_IV_Defense))*SQRT(($J39+Game_Max_IV_Stamina))*(INDEX(Game_CP_Multipliers,MATCH(Species_Level,Game_Levels,0)))^2)/10</f>
        <v>857.85057541052834</v>
      </c>
    </row>
    <row r="40" spans="1:13" ht="12.75" x14ac:dyDescent="0.2">
      <c r="B40" s="11">
        <v>36</v>
      </c>
      <c r="C40" s="13" t="s">
        <v>164</v>
      </c>
      <c r="D40" s="15">
        <v>1</v>
      </c>
      <c r="E40" s="17" t="s">
        <v>42</v>
      </c>
      <c r="F40" s="19" t="s">
        <v>162</v>
      </c>
      <c r="G40" s="19"/>
      <c r="H40" s="21">
        <v>178</v>
      </c>
      <c r="I40" s="21">
        <v>178</v>
      </c>
      <c r="J40" s="21">
        <v>190</v>
      </c>
      <c r="K40" s="15">
        <f t="shared" si="0"/>
        <v>169.1</v>
      </c>
      <c r="L40" s="15">
        <f t="array" ref="L40">(($H40+Game_Min_IV_Attack)*SQRT(($I40+Game_Min_IV_Defense))*SQRT(($J40+Game_Min_IV_Stamina))*(INDEX(Game_CP_Multipliers,MATCH(Species_Level,Game_Levels,0)))^2)/10</f>
        <v>1460.4070001504688</v>
      </c>
      <c r="M40" s="21">
        <f t="array" ref="M40">(($H40+Game_Max_IV_Attack)*SQRT(($I40+Game_Max_IV_Defense))*SQRT(($J40+Game_Max_IV_Stamina))*(INDEX(Game_CP_Multipliers,MATCH(Species_Level,Game_Levels,0)))^2)/10</f>
        <v>1712.6948667892393</v>
      </c>
    </row>
    <row r="41" spans="1:13" ht="12.75" x14ac:dyDescent="0.2">
      <c r="B41" s="11">
        <v>37</v>
      </c>
      <c r="C41" s="13" t="s">
        <v>166</v>
      </c>
      <c r="D41" s="15">
        <v>2</v>
      </c>
      <c r="E41" s="17" t="s">
        <v>42</v>
      </c>
      <c r="F41" s="19" t="s">
        <v>72</v>
      </c>
      <c r="G41" s="19"/>
      <c r="H41" s="21">
        <v>106</v>
      </c>
      <c r="I41" s="21">
        <v>118</v>
      </c>
      <c r="J41" s="21">
        <v>76</v>
      </c>
      <c r="K41" s="15">
        <f t="shared" si="0"/>
        <v>44.84</v>
      </c>
      <c r="L41" s="15">
        <f t="array" ref="L41">(($H41+Game_Min_IV_Attack)*SQRT(($I41+Game_Min_IV_Defense))*SQRT(($J41+Game_Min_IV_Stamina))*(INDEX(Game_CP_Multipliers,MATCH(Species_Level,Game_Levels,0)))^2)/10</f>
        <v>447.83782004688771</v>
      </c>
      <c r="M41" s="21">
        <f t="array" ref="M41">(($H41+Game_Max_IV_Attack)*SQRT(($I41+Game_Max_IV_Defense))*SQRT(($J41+Game_Max_IV_Stamina))*(INDEX(Game_CP_Multipliers,MATCH(Species_Level,Game_Levels,0)))^2)/10</f>
        <v>593.88039539132751</v>
      </c>
    </row>
    <row r="42" spans="1:13" ht="12.75" x14ac:dyDescent="0.2">
      <c r="B42" s="11">
        <v>38</v>
      </c>
      <c r="C42" s="13" t="s">
        <v>167</v>
      </c>
      <c r="D42" s="15">
        <v>1</v>
      </c>
      <c r="E42" s="17" t="s">
        <v>42</v>
      </c>
      <c r="F42" s="19" t="s">
        <v>72</v>
      </c>
      <c r="G42" s="19"/>
      <c r="H42" s="21">
        <v>176</v>
      </c>
      <c r="I42" s="21">
        <v>194</v>
      </c>
      <c r="J42" s="21">
        <v>146</v>
      </c>
      <c r="K42" s="15">
        <f t="shared" si="0"/>
        <v>141.62</v>
      </c>
      <c r="L42" s="15">
        <f t="array" ref="L42">(($H42+Game_Min_IV_Attack)*SQRT(($I42+Game_Min_IV_Defense))*SQRT(($J42+Game_Min_IV_Stamina))*(INDEX(Game_CP_Multipliers,MATCH(Species_Level,Game_Levels,0)))^2)/10</f>
        <v>1321.4692529400704</v>
      </c>
      <c r="M42" s="21">
        <f t="array" ref="M42">(($H42+Game_Max_IV_Attack)*SQRT(($I42+Game_Max_IV_Defense))*SQRT(($J42+Game_Max_IV_Stamina))*(INDEX(Game_CP_Multipliers,MATCH(Species_Level,Game_Levels,0)))^2)/10</f>
        <v>1563.0992343654179</v>
      </c>
    </row>
    <row r="43" spans="1:13" ht="12.75" x14ac:dyDescent="0.2">
      <c r="B43" s="11">
        <v>39</v>
      </c>
      <c r="C43" s="13" t="s">
        <v>168</v>
      </c>
      <c r="D43" s="15">
        <v>2</v>
      </c>
      <c r="E43" s="17" t="s">
        <v>42</v>
      </c>
      <c r="F43" s="19" t="s">
        <v>35</v>
      </c>
      <c r="G43" s="19" t="s">
        <v>162</v>
      </c>
      <c r="H43" s="21">
        <v>98</v>
      </c>
      <c r="I43" s="21">
        <v>54</v>
      </c>
      <c r="J43" s="21">
        <v>230</v>
      </c>
      <c r="K43" s="15">
        <f t="shared" si="0"/>
        <v>62.1</v>
      </c>
      <c r="L43" s="15">
        <f t="array" ref="L43">(($H43+Game_Min_IV_Attack)*SQRT(($I43+Game_Min_IV_Defense))*SQRT(($J43+Game_Min_IV_Stamina))*(INDEX(Game_CP_Multipliers,MATCH(Species_Level,Game_Levels,0)))^2)/10</f>
        <v>487.25238733040976</v>
      </c>
      <c r="M43" s="21">
        <f t="array" ref="M43">(($H43+Game_Max_IV_Attack)*SQRT(($I43+Game_Max_IV_Defense))*SQRT(($J43+Game_Max_IV_Stamina))*(INDEX(Game_CP_Multipliers,MATCH(Species_Level,Game_Levels,0)))^2)/10</f>
        <v>655.47047343257509</v>
      </c>
    </row>
    <row r="44" spans="1:13" ht="12.75" x14ac:dyDescent="0.2">
      <c r="B44" s="11">
        <v>40</v>
      </c>
      <c r="C44" s="13" t="s">
        <v>171</v>
      </c>
      <c r="D44" s="15">
        <v>1</v>
      </c>
      <c r="E44" s="17" t="s">
        <v>42</v>
      </c>
      <c r="F44" s="19" t="s">
        <v>35</v>
      </c>
      <c r="G44" s="19" t="s">
        <v>162</v>
      </c>
      <c r="H44" s="21">
        <v>168</v>
      </c>
      <c r="I44" s="21">
        <v>108</v>
      </c>
      <c r="J44" s="21">
        <v>280</v>
      </c>
      <c r="K44" s="15">
        <f t="shared" si="0"/>
        <v>151.19999999999999</v>
      </c>
      <c r="L44" s="15">
        <f t="array" ref="L44">(($H44+Game_Min_IV_Attack)*SQRT(($I44+Game_Min_IV_Defense))*SQRT(($J44+Game_Min_IV_Stamina))*(INDEX(Game_CP_Multipliers,MATCH(Species_Level,Game_Levels,0)))^2)/10</f>
        <v>1303.3686695259084</v>
      </c>
      <c r="M44" s="21">
        <f t="array" ref="M44">(($H44+Game_Max_IV_Attack)*SQRT(($I44+Game_Max_IV_Defense))*SQRT(($J44+Game_Max_IV_Stamina))*(INDEX(Game_CP_Multipliers,MATCH(Species_Level,Game_Levels,0)))^2)/10</f>
        <v>1555.1839139549802</v>
      </c>
    </row>
    <row r="45" spans="1:13" ht="12.75" x14ac:dyDescent="0.2">
      <c r="B45" s="11">
        <v>41</v>
      </c>
      <c r="C45" s="13" t="s">
        <v>173</v>
      </c>
      <c r="D45" s="15">
        <v>2</v>
      </c>
      <c r="E45" s="17" t="s">
        <v>42</v>
      </c>
      <c r="F45" s="19" t="s">
        <v>44</v>
      </c>
      <c r="G45" s="19" t="s">
        <v>70</v>
      </c>
      <c r="H45" s="21">
        <v>88</v>
      </c>
      <c r="I45" s="21">
        <v>90</v>
      </c>
      <c r="J45" s="21">
        <v>80</v>
      </c>
      <c r="K45" s="15">
        <f t="shared" si="0"/>
        <v>36</v>
      </c>
      <c r="L45" s="15">
        <f t="array" ref="L45">(($H45+Game_Min_IV_Attack)*SQRT(($I45+Game_Min_IV_Defense))*SQRT(($J45+Game_Min_IV_Stamina))*(INDEX(Game_CP_Multipliers,MATCH(Species_Level,Game_Levels,0)))^2)/10</f>
        <v>333.13174705621032</v>
      </c>
      <c r="M45" s="21">
        <f t="array" ref="M45">(($H45+Game_Max_IV_Attack)*SQRT(($I45+Game_Max_IV_Defense))*SQRT(($J45+Game_Max_IV_Stamina))*(INDEX(Game_CP_Multipliers,MATCH(Species_Level,Game_Levels,0)))^2)/10</f>
        <v>458.94514387829486</v>
      </c>
    </row>
    <row r="46" spans="1:13" ht="12.75" x14ac:dyDescent="0.2">
      <c r="B46" s="11">
        <v>42</v>
      </c>
      <c r="C46" s="13" t="s">
        <v>175</v>
      </c>
      <c r="D46" s="15">
        <v>1</v>
      </c>
      <c r="E46" s="17" t="s">
        <v>42</v>
      </c>
      <c r="F46" s="19" t="s">
        <v>44</v>
      </c>
      <c r="G46" s="19" t="s">
        <v>70</v>
      </c>
      <c r="H46" s="21">
        <v>164</v>
      </c>
      <c r="I46" s="21">
        <v>164</v>
      </c>
      <c r="J46" s="21">
        <v>150</v>
      </c>
      <c r="K46" s="15">
        <f t="shared" si="0"/>
        <v>123</v>
      </c>
      <c r="L46" s="15">
        <f t="array" ref="L46">(($H46+Game_Min_IV_Attack)*SQRT(($I46+Game_Min_IV_Defense))*SQRT(($J46+Game_Min_IV_Stamina))*(INDEX(Game_CP_Multipliers,MATCH(Species_Level,Game_Levels,0)))^2)/10</f>
        <v>1147.5681961288242</v>
      </c>
      <c r="M46" s="21">
        <f t="array" ref="M46">(($H46+Game_Max_IV_Attack)*SQRT(($I46+Game_Max_IV_Defense))*SQRT(($J46+Game_Max_IV_Stamina))*(INDEX(Game_CP_Multipliers,MATCH(Species_Level,Game_Levels,0)))^2)/10</f>
        <v>1372.4250002628994</v>
      </c>
    </row>
    <row r="47" spans="1:13" ht="12.75" x14ac:dyDescent="0.2">
      <c r="B47" s="11">
        <v>43</v>
      </c>
      <c r="C47" s="13" t="s">
        <v>177</v>
      </c>
      <c r="D47" s="15">
        <v>3</v>
      </c>
      <c r="E47" s="17" t="s">
        <v>42</v>
      </c>
      <c r="F47" s="19" t="s">
        <v>43</v>
      </c>
      <c r="G47" s="19" t="s">
        <v>44</v>
      </c>
      <c r="H47" s="21">
        <v>134</v>
      </c>
      <c r="I47" s="21">
        <v>130</v>
      </c>
      <c r="J47" s="21">
        <v>90</v>
      </c>
      <c r="K47" s="15">
        <f t="shared" si="0"/>
        <v>58.5</v>
      </c>
      <c r="L47" s="15">
        <f t="array" ref="L47">(($H47+Game_Min_IV_Attack)*SQRT(($I47+Game_Min_IV_Defense))*SQRT(($J47+Game_Min_IV_Stamina))*(INDEX(Game_CP_Multipliers,MATCH(Species_Level,Game_Levels,0)))^2)/10</f>
        <v>646.64337319358197</v>
      </c>
      <c r="M47" s="21">
        <f t="array" ref="M47">(($H47+Game_Max_IV_Attack)*SQRT(($I47+Game_Max_IV_Defense))*SQRT(($J47+Game_Max_IV_Stamina))*(INDEX(Game_CP_Multipliers,MATCH(Species_Level,Game_Levels,0)))^2)/10</f>
        <v>820.22314705838801</v>
      </c>
    </row>
    <row r="48" spans="1:13" ht="12.75" x14ac:dyDescent="0.2">
      <c r="B48" s="11">
        <v>44</v>
      </c>
      <c r="C48" s="13" t="s">
        <v>179</v>
      </c>
      <c r="D48" s="15">
        <v>2</v>
      </c>
      <c r="E48" s="17" t="s">
        <v>42</v>
      </c>
      <c r="F48" s="19" t="s">
        <v>43</v>
      </c>
      <c r="G48" s="19" t="s">
        <v>44</v>
      </c>
      <c r="H48" s="21">
        <v>162</v>
      </c>
      <c r="I48" s="21">
        <v>158</v>
      </c>
      <c r="J48" s="21">
        <v>120</v>
      </c>
      <c r="K48" s="15">
        <f t="shared" si="0"/>
        <v>94.8</v>
      </c>
      <c r="L48" s="15">
        <f t="array" ref="L48">(($H48+Game_Min_IV_Attack)*SQRT(($I48+Game_Min_IV_Defense))*SQRT(($J48+Game_Min_IV_Stamina))*(INDEX(Game_CP_Multipliers,MATCH(Species_Level,Game_Levels,0)))^2)/10</f>
        <v>995.17918333465946</v>
      </c>
      <c r="M48" s="21">
        <f t="array" ref="M48">(($H48+Game_Max_IV_Attack)*SQRT(($I48+Game_Max_IV_Defense))*SQRT(($J48+Game_Max_IV_Stamina))*(INDEX(Game_CP_Multipliers,MATCH(Species_Level,Game_Levels,0)))^2)/10</f>
        <v>1206.7861138172893</v>
      </c>
    </row>
    <row r="49" spans="2:13" ht="12.75" x14ac:dyDescent="0.2">
      <c r="B49" s="11">
        <v>45</v>
      </c>
      <c r="C49" s="13" t="s">
        <v>181</v>
      </c>
      <c r="D49" s="15">
        <v>1</v>
      </c>
      <c r="E49" s="17" t="s">
        <v>42</v>
      </c>
      <c r="F49" s="19" t="s">
        <v>43</v>
      </c>
      <c r="G49" s="19" t="s">
        <v>44</v>
      </c>
      <c r="H49" s="21">
        <v>202</v>
      </c>
      <c r="I49" s="21">
        <v>190</v>
      </c>
      <c r="J49" s="21">
        <v>150</v>
      </c>
      <c r="K49" s="15">
        <f t="shared" si="0"/>
        <v>142.5</v>
      </c>
      <c r="L49" s="15">
        <f t="array" ref="L49">(($H49+Game_Min_IV_Attack)*SQRT(($I49+Game_Min_IV_Defense))*SQRT(($J49+Game_Min_IV_Stamina))*(INDEX(Game_CP_Multipliers,MATCH(Species_Level,Game_Levels,0)))^2)/10</f>
        <v>1521.3912056158817</v>
      </c>
      <c r="M49" s="21">
        <f t="array" ref="M49">(($H49+Game_Max_IV_Attack)*SQRT(($I49+Game_Max_IV_Defense))*SQRT(($J49+Game_Max_IV_Stamina))*(INDEX(Game_CP_Multipliers,MATCH(Species_Level,Game_Levels,0)))^2)/10</f>
        <v>1780.51541724553</v>
      </c>
    </row>
    <row r="50" spans="2:13" ht="12.75" x14ac:dyDescent="0.2">
      <c r="B50" s="11">
        <v>46</v>
      </c>
      <c r="C50" s="13" t="s">
        <v>182</v>
      </c>
      <c r="D50" s="15">
        <v>2</v>
      </c>
      <c r="E50" s="17" t="s">
        <v>42</v>
      </c>
      <c r="F50" s="19" t="s">
        <v>83</v>
      </c>
      <c r="G50" s="19" t="s">
        <v>43</v>
      </c>
      <c r="H50" s="21">
        <v>122</v>
      </c>
      <c r="I50" s="21">
        <v>120</v>
      </c>
      <c r="J50" s="21">
        <v>70</v>
      </c>
      <c r="K50" s="15">
        <f t="shared" si="0"/>
        <v>42</v>
      </c>
      <c r="L50" s="15">
        <f t="array" ref="L50">(($H50+Game_Min_IV_Attack)*SQRT(($I50+Game_Min_IV_Defense))*SQRT(($J50+Game_Min_IV_Stamina))*(INDEX(Game_CP_Multipliers,MATCH(Species_Level,Game_Levels,0)))^2)/10</f>
        <v>498.84609369625986</v>
      </c>
      <c r="M50" s="21">
        <f t="array" ref="M50">(($H50+Game_Max_IV_Attack)*SQRT(($I50+Game_Max_IV_Defense))*SQRT(($J50+Game_Max_IV_Stamina))*(INDEX(Game_CP_Multipliers,MATCH(Species_Level,Game_Levels,0)))^2)/10</f>
        <v>654.73267650448201</v>
      </c>
    </row>
    <row r="51" spans="2:13" ht="12.75" x14ac:dyDescent="0.2">
      <c r="B51" s="11">
        <v>47</v>
      </c>
      <c r="C51" s="13" t="s">
        <v>184</v>
      </c>
      <c r="D51" s="15">
        <v>1</v>
      </c>
      <c r="E51" s="17" t="s">
        <v>42</v>
      </c>
      <c r="F51" s="19" t="s">
        <v>83</v>
      </c>
      <c r="G51" s="19" t="s">
        <v>43</v>
      </c>
      <c r="H51" s="21">
        <v>162</v>
      </c>
      <c r="I51" s="21">
        <v>170</v>
      </c>
      <c r="J51" s="21">
        <v>120</v>
      </c>
      <c r="K51" s="15">
        <f t="shared" si="0"/>
        <v>102</v>
      </c>
      <c r="L51" s="15">
        <f t="array" ref="L51">(($H51+Game_Min_IV_Attack)*SQRT(($I51+Game_Min_IV_Defense))*SQRT(($J51+Game_Min_IV_Stamina))*(INDEX(Game_CP_Multipliers,MATCH(Species_Level,Game_Levels,0)))^2)/10</f>
        <v>1032.2792563866287</v>
      </c>
      <c r="M51" s="21">
        <f t="array" ref="M51">(($H51+Game_Max_IV_Attack)*SQRT(($I51+Game_Max_IV_Defense))*SQRT(($J51+Game_Max_IV_Stamina))*(INDEX(Game_CP_Multipliers,MATCH(Species_Level,Game_Levels,0)))^2)/10</f>
        <v>1247.938309096904</v>
      </c>
    </row>
    <row r="52" spans="2:13" ht="12.75" x14ac:dyDescent="0.2">
      <c r="B52" s="11">
        <v>48</v>
      </c>
      <c r="C52" s="13" t="s">
        <v>187</v>
      </c>
      <c r="D52" s="15">
        <v>2</v>
      </c>
      <c r="E52" s="17" t="s">
        <v>42</v>
      </c>
      <c r="F52" s="19" t="s">
        <v>83</v>
      </c>
      <c r="G52" s="19" t="s">
        <v>44</v>
      </c>
      <c r="H52" s="21">
        <v>108</v>
      </c>
      <c r="I52" s="21">
        <v>118</v>
      </c>
      <c r="J52" s="21">
        <v>120</v>
      </c>
      <c r="K52" s="15">
        <f t="shared" si="0"/>
        <v>70.8</v>
      </c>
      <c r="L52" s="15">
        <f t="array" ref="L52">(($H52+Game_Min_IV_Attack)*SQRT(($I52+Game_Min_IV_Defense))*SQRT(($J52+Game_Min_IV_Stamina))*(INDEX(Game_CP_Multipliers,MATCH(Species_Level,Game_Levels,0)))^2)/10</f>
        <v>573.35352142661236</v>
      </c>
      <c r="M52" s="21">
        <f t="array" ref="M52">(($H52+Game_Max_IV_Attack)*SQRT(($I52+Game_Max_IV_Defense))*SQRT(($J52+Game_Max_IV_Stamina))*(INDEX(Game_CP_Multipliers,MATCH(Species_Level,Game_Levels,0)))^2)/10</f>
        <v>735.30059637437228</v>
      </c>
    </row>
    <row r="53" spans="2:13" ht="12.75" x14ac:dyDescent="0.2">
      <c r="B53" s="11">
        <v>49</v>
      </c>
      <c r="C53" s="13" t="s">
        <v>189</v>
      </c>
      <c r="D53" s="15">
        <v>1</v>
      </c>
      <c r="E53" s="17" t="s">
        <v>42</v>
      </c>
      <c r="F53" s="19" t="s">
        <v>83</v>
      </c>
      <c r="G53" s="19" t="s">
        <v>44</v>
      </c>
      <c r="H53" s="21">
        <v>172</v>
      </c>
      <c r="I53" s="21">
        <v>154</v>
      </c>
      <c r="J53" s="21">
        <v>140</v>
      </c>
      <c r="K53" s="15">
        <f t="shared" si="0"/>
        <v>107.8</v>
      </c>
      <c r="L53" s="15">
        <f t="array" ref="L53">(($H53+Game_Min_IV_Attack)*SQRT(($I53+Game_Min_IV_Defense))*SQRT(($J53+Game_Min_IV_Stamina))*(INDEX(Game_CP_Multipliers,MATCH(Species_Level,Game_Levels,0)))^2)/10</f>
        <v>1126.7301798713067</v>
      </c>
      <c r="M53" s="21">
        <f t="array" ref="M53">(($H53+Game_Max_IV_Attack)*SQRT(($I53+Game_Max_IV_Defense))*SQRT(($J53+Game_Max_IV_Stamina))*(INDEX(Game_CP_Multipliers,MATCH(Species_Level,Game_Levels,0)))^2)/10</f>
        <v>1350.2615782607593</v>
      </c>
    </row>
    <row r="54" spans="2:13" ht="12.75" x14ac:dyDescent="0.2">
      <c r="B54" s="11">
        <v>50</v>
      </c>
      <c r="C54" s="13" t="s">
        <v>191</v>
      </c>
      <c r="D54" s="15">
        <v>2</v>
      </c>
      <c r="E54" s="17" t="s">
        <v>42</v>
      </c>
      <c r="F54" s="19" t="s">
        <v>85</v>
      </c>
      <c r="G54" s="19"/>
      <c r="H54" s="21">
        <v>108</v>
      </c>
      <c r="I54" s="21">
        <v>86</v>
      </c>
      <c r="J54" s="21">
        <v>20</v>
      </c>
      <c r="K54" s="15">
        <f t="shared" si="0"/>
        <v>8.6</v>
      </c>
      <c r="L54" s="15">
        <f t="array" ref="L54">(($H54+Game_Min_IV_Attack)*SQRT(($I54+Game_Min_IV_Defense))*SQRT(($J54+Game_Min_IV_Stamina))*(INDEX(Game_CP_Multipliers,MATCH(Species_Level,Game_Levels,0)))^2)/10</f>
        <v>199.82741991096552</v>
      </c>
      <c r="M54" s="21">
        <f t="array" ref="M54">(($H54+Game_Max_IV_Attack)*SQRT(($I54+Game_Max_IV_Defense))*SQRT(($J54+Game_Max_IV_Stamina))*(INDEX(Game_CP_Multipliers,MATCH(Species_Level,Game_Levels,0)))^2)/10</f>
        <v>326.26232186743522</v>
      </c>
    </row>
    <row r="55" spans="2:13" ht="12.75" x14ac:dyDescent="0.2">
      <c r="B55" s="11">
        <v>51</v>
      </c>
      <c r="C55" s="13" t="s">
        <v>193</v>
      </c>
      <c r="D55" s="15">
        <v>1</v>
      </c>
      <c r="E55" s="17" t="s">
        <v>42</v>
      </c>
      <c r="F55" s="19" t="s">
        <v>85</v>
      </c>
      <c r="G55" s="19"/>
      <c r="H55" s="21">
        <v>148</v>
      </c>
      <c r="I55" s="21">
        <v>140</v>
      </c>
      <c r="J55" s="21">
        <v>70</v>
      </c>
      <c r="K55" s="15">
        <f t="shared" si="0"/>
        <v>49</v>
      </c>
      <c r="L55" s="15">
        <f t="array" ref="L55">(($H55+Game_Min_IV_Attack)*SQRT(($I55+Game_Min_IV_Defense))*SQRT(($J55+Game_Min_IV_Stamina))*(INDEX(Game_CP_Multipliers,MATCH(Species_Level,Game_Levels,0)))^2)/10</f>
        <v>653.64486732998853</v>
      </c>
      <c r="M55" s="21">
        <f t="array" ref="M55">(($H55+Game_Max_IV_Attack)*SQRT(($I55+Game_Max_IV_Defense))*SQRT(($J55+Game_Max_IV_Stamina))*(INDEX(Game_CP_Multipliers,MATCH(Species_Level,Game_Levels,0)))^2)/10</f>
        <v>834.69924060434937</v>
      </c>
    </row>
    <row r="56" spans="2:13" ht="12.75" x14ac:dyDescent="0.2">
      <c r="B56" s="11">
        <v>52</v>
      </c>
      <c r="C56" s="13" t="s">
        <v>194</v>
      </c>
      <c r="D56" s="15">
        <v>2</v>
      </c>
      <c r="E56" s="17" t="s">
        <v>42</v>
      </c>
      <c r="F56" s="19" t="s">
        <v>35</v>
      </c>
      <c r="G56" s="19"/>
      <c r="H56" s="21">
        <v>104</v>
      </c>
      <c r="I56" s="21">
        <v>94</v>
      </c>
      <c r="J56" s="21">
        <v>80</v>
      </c>
      <c r="K56" s="15">
        <f t="shared" si="0"/>
        <v>37.6</v>
      </c>
      <c r="L56" s="15">
        <f t="array" ref="L56">(($H56+Game_Min_IV_Attack)*SQRT(($I56+Game_Min_IV_Defense))*SQRT(($J56+Game_Min_IV_Stamina))*(INDEX(Game_CP_Multipliers,MATCH(Species_Level,Game_Levels,0)))^2)/10</f>
        <v>402.35496204543574</v>
      </c>
      <c r="M56" s="21">
        <f t="array" ref="M56">(($H56+Game_Max_IV_Attack)*SQRT(($I56+Game_Max_IV_Defense))*SQRT(($J56+Game_Max_IV_Stamina))*(INDEX(Game_CP_Multipliers,MATCH(Species_Level,Game_Levels,0)))^2)/10</f>
        <v>540.24295853618014</v>
      </c>
    </row>
    <row r="57" spans="2:13" ht="12.75" x14ac:dyDescent="0.2">
      <c r="B57" s="11">
        <v>53</v>
      </c>
      <c r="C57" s="13" t="s">
        <v>195</v>
      </c>
      <c r="D57" s="15">
        <v>1</v>
      </c>
      <c r="E57" s="17" t="s">
        <v>42</v>
      </c>
      <c r="F57" s="19" t="s">
        <v>35</v>
      </c>
      <c r="G57" s="19"/>
      <c r="H57" s="21">
        <v>156</v>
      </c>
      <c r="I57" s="21">
        <v>146</v>
      </c>
      <c r="J57" s="21">
        <v>130</v>
      </c>
      <c r="K57" s="15">
        <f t="shared" si="0"/>
        <v>94.9</v>
      </c>
      <c r="L57" s="15">
        <f t="array" ref="L57">(($H57+Game_Min_IV_Attack)*SQRT(($I57+Game_Min_IV_Defense))*SQRT(($J57+Game_Min_IV_Stamina))*(INDEX(Game_CP_Multipliers,MATCH(Species_Level,Game_Levels,0)))^2)/10</f>
        <v>958.82600524579289</v>
      </c>
      <c r="M57" s="21">
        <f t="array" ref="M57">(($H57+Game_Max_IV_Attack)*SQRT(($I57+Game_Max_IV_Defense))*SQRT(($J57+Game_Max_IV_Stamina))*(INDEX(Game_CP_Multipliers,MATCH(Species_Level,Game_Levels,0)))^2)/10</f>
        <v>1165.6284839825594</v>
      </c>
    </row>
    <row r="58" spans="2:13" ht="12.75" x14ac:dyDescent="0.2">
      <c r="B58" s="11">
        <v>54</v>
      </c>
      <c r="C58" s="13" t="s">
        <v>197</v>
      </c>
      <c r="D58" s="15">
        <v>2</v>
      </c>
      <c r="E58" s="17" t="s">
        <v>42</v>
      </c>
      <c r="F58" s="19" t="s">
        <v>66</v>
      </c>
      <c r="G58" s="19"/>
      <c r="H58" s="21">
        <v>132</v>
      </c>
      <c r="I58" s="21">
        <v>112</v>
      </c>
      <c r="J58" s="21">
        <v>100</v>
      </c>
      <c r="K58" s="15">
        <f t="shared" si="0"/>
        <v>56</v>
      </c>
      <c r="L58" s="15">
        <f t="array" ref="L58">(($H58+Game_Min_IV_Attack)*SQRT(($I58+Game_Min_IV_Defense))*SQRT(($J58+Game_Min_IV_Stamina))*(INDEX(Game_CP_Multipliers,MATCH(Species_Level,Game_Levels,0)))^2)/10</f>
        <v>623.23243107088877</v>
      </c>
      <c r="M58" s="21">
        <f t="array" ref="M58">(($H58+Game_Max_IV_Attack)*SQRT(($I58+Game_Max_IV_Defense))*SQRT(($J58+Game_Max_IV_Stamina))*(INDEX(Game_CP_Multipliers,MATCH(Species_Level,Game_Levels,0)))^2)/10</f>
        <v>792.56559793990562</v>
      </c>
    </row>
    <row r="59" spans="2:13" ht="12.75" x14ac:dyDescent="0.2">
      <c r="B59" s="11">
        <v>55</v>
      </c>
      <c r="C59" s="13" t="s">
        <v>199</v>
      </c>
      <c r="D59" s="15">
        <v>1</v>
      </c>
      <c r="E59" s="17" t="s">
        <v>42</v>
      </c>
      <c r="F59" s="19" t="s">
        <v>66</v>
      </c>
      <c r="G59" s="19"/>
      <c r="H59" s="21">
        <v>194</v>
      </c>
      <c r="I59" s="21">
        <v>176</v>
      </c>
      <c r="J59" s="21">
        <v>160</v>
      </c>
      <c r="K59" s="15">
        <f t="shared" si="0"/>
        <v>140.80000000000001</v>
      </c>
      <c r="L59" s="15">
        <f t="array" ref="L59">(($H59+Game_Min_IV_Attack)*SQRT(($I59+Game_Min_IV_Defense))*SQRT(($J59+Game_Min_IV_Stamina))*(INDEX(Game_CP_Multipliers,MATCH(Species_Level,Game_Levels,0)))^2)/10</f>
        <v>1452.3963780400895</v>
      </c>
      <c r="M59" s="21">
        <f t="array" ref="M59">(($H59+Game_Max_IV_Attack)*SQRT(($I59+Game_Max_IV_Defense))*SQRT(($J59+Game_Max_IV_Stamina))*(INDEX(Game_CP_Multipliers,MATCH(Species_Level,Game_Levels,0)))^2)/10</f>
        <v>1704.7044549920895</v>
      </c>
    </row>
    <row r="60" spans="2:13" ht="12.75" x14ac:dyDescent="0.2">
      <c r="B60" s="11">
        <v>56</v>
      </c>
      <c r="C60" s="13" t="s">
        <v>201</v>
      </c>
      <c r="D60" s="15">
        <v>2</v>
      </c>
      <c r="E60" s="17" t="s">
        <v>42</v>
      </c>
      <c r="F60" s="19" t="s">
        <v>98</v>
      </c>
      <c r="G60" s="19"/>
      <c r="H60" s="21">
        <v>122</v>
      </c>
      <c r="I60" s="21">
        <v>96</v>
      </c>
      <c r="J60" s="21">
        <v>80</v>
      </c>
      <c r="K60" s="15">
        <f t="shared" si="0"/>
        <v>38.4</v>
      </c>
      <c r="L60" s="15">
        <f t="array" ref="L60">(($H60+Game_Min_IV_Attack)*SQRT(($I60+Game_Min_IV_Defense))*SQRT(($J60+Game_Min_IV_Stamina))*(INDEX(Game_CP_Multipliers,MATCH(Species_Level,Game_Levels,0)))^2)/10</f>
        <v>476.98809827238017</v>
      </c>
      <c r="M60" s="21">
        <f t="array" ref="M60">(($H60+Game_Max_IV_Attack)*SQRT(($I60+Game_Max_IV_Defense))*SQRT(($J60+Game_Max_IV_Stamina))*(INDEX(Game_CP_Multipliers,MATCH(Species_Level,Game_Levels,0)))^2)/10</f>
        <v>627.64050220991885</v>
      </c>
    </row>
    <row r="61" spans="2:13" ht="12.75" x14ac:dyDescent="0.2">
      <c r="B61" s="11">
        <v>57</v>
      </c>
      <c r="C61" s="13" t="s">
        <v>203</v>
      </c>
      <c r="D61" s="15">
        <v>1</v>
      </c>
      <c r="E61" s="17" t="s">
        <v>42</v>
      </c>
      <c r="F61" s="19" t="s">
        <v>98</v>
      </c>
      <c r="G61" s="19"/>
      <c r="H61" s="21">
        <v>178</v>
      </c>
      <c r="I61" s="21">
        <v>150</v>
      </c>
      <c r="J61" s="21">
        <v>130</v>
      </c>
      <c r="K61" s="15">
        <f t="shared" si="0"/>
        <v>97.5</v>
      </c>
      <c r="L61" s="15">
        <f t="array" ref="L61">(($H61+Game_Min_IV_Attack)*SQRT(($I61+Game_Min_IV_Defense))*SQRT(($J61+Game_Min_IV_Stamina))*(INDEX(Game_CP_Multipliers,MATCH(Species_Level,Game_Levels,0)))^2)/10</f>
        <v>1108.930708273421</v>
      </c>
      <c r="M61" s="21">
        <f t="array" ref="M61">(($H61+Game_Max_IV_Attack)*SQRT(($I61+Game_Max_IV_Defense))*SQRT(($J61+Game_Max_IV_Stamina))*(INDEX(Game_CP_Multipliers,MATCH(Species_Level,Game_Levels,0)))^2)/10</f>
        <v>1331.8348789015772</v>
      </c>
    </row>
    <row r="62" spans="2:13" ht="12.75" x14ac:dyDescent="0.2">
      <c r="B62" s="11">
        <v>58</v>
      </c>
      <c r="C62" s="13" t="s">
        <v>205</v>
      </c>
      <c r="D62" s="15">
        <v>2</v>
      </c>
      <c r="E62" s="17" t="s">
        <v>42</v>
      </c>
      <c r="F62" s="19" t="s">
        <v>72</v>
      </c>
      <c r="G62" s="19"/>
      <c r="H62" s="21">
        <v>156</v>
      </c>
      <c r="I62" s="21">
        <v>110</v>
      </c>
      <c r="J62" s="21">
        <v>110</v>
      </c>
      <c r="K62" s="15">
        <f t="shared" si="0"/>
        <v>60.5</v>
      </c>
      <c r="L62" s="15">
        <f t="array" ref="L62">(($H62+Game_Min_IV_Attack)*SQRT(($I62+Game_Min_IV_Defense))*SQRT(($J62+Game_Min_IV_Stamina))*(INDEX(Game_CP_Multipliers,MATCH(Species_Level,Game_Levels,0)))^2)/10</f>
        <v>765.56908145889599</v>
      </c>
      <c r="M62" s="21">
        <f t="array" ref="M62">(($H62+Game_Max_IV_Attack)*SQRT(($I62+Game_Max_IV_Defense))*SQRT(($J62+Game_Max_IV_Stamina))*(INDEX(Game_CP_Multipliers,MATCH(Species_Level,Game_Levels,0)))^2)/10</f>
        <v>953.61533311095025</v>
      </c>
    </row>
    <row r="63" spans="2:13" ht="12.75" x14ac:dyDescent="0.2">
      <c r="B63" s="11">
        <v>59</v>
      </c>
      <c r="C63" s="13" t="s">
        <v>208</v>
      </c>
      <c r="D63" s="15">
        <v>1</v>
      </c>
      <c r="E63" s="17" t="s">
        <v>42</v>
      </c>
      <c r="F63" s="19" t="s">
        <v>72</v>
      </c>
      <c r="G63" s="19"/>
      <c r="H63" s="21">
        <v>230</v>
      </c>
      <c r="I63" s="21">
        <v>180</v>
      </c>
      <c r="J63" s="21">
        <v>180</v>
      </c>
      <c r="K63" s="15">
        <f t="shared" si="0"/>
        <v>162</v>
      </c>
      <c r="L63" s="15">
        <f t="array" ref="L63">(($H63+Game_Min_IV_Attack)*SQRT(($I63+Game_Min_IV_Defense))*SQRT(($J63+Game_Min_IV_Stamina))*(INDEX(Game_CP_Multipliers,MATCH(Species_Level,Game_Levels,0)))^2)/10</f>
        <v>1847.00232939384</v>
      </c>
      <c r="M63" s="21">
        <f t="array" ref="M63">(($H63+Game_Max_IV_Attack)*SQRT(($I63+Game_Max_IV_Defense))*SQRT(($J63+Game_Max_IV_Stamina))*(INDEX(Game_CP_Multipliers,MATCH(Species_Level,Game_Levels,0)))^2)/10</f>
        <v>2131.4139199707902</v>
      </c>
    </row>
    <row r="64" spans="2:13" ht="12.75" x14ac:dyDescent="0.2">
      <c r="B64" s="11">
        <v>60</v>
      </c>
      <c r="C64" s="13" t="s">
        <v>210</v>
      </c>
      <c r="D64" s="15">
        <v>3</v>
      </c>
      <c r="E64" s="17" t="s">
        <v>42</v>
      </c>
      <c r="F64" s="19" t="s">
        <v>66</v>
      </c>
      <c r="G64" s="19"/>
      <c r="H64" s="21">
        <v>108</v>
      </c>
      <c r="I64" s="21">
        <v>98</v>
      </c>
      <c r="J64" s="21">
        <v>80</v>
      </c>
      <c r="K64" s="15">
        <f t="shared" si="0"/>
        <v>39.200000000000003</v>
      </c>
      <c r="L64" s="15">
        <f t="array" ref="L64">(($H64+Game_Min_IV_Attack)*SQRT(($I64+Game_Min_IV_Defense))*SQRT(($J64+Game_Min_IV_Stamina))*(INDEX(Game_CP_Multipliers,MATCH(Species_Level,Game_Levels,0)))^2)/10</f>
        <v>426.62754189545421</v>
      </c>
      <c r="M64" s="21">
        <f t="array" ref="M64">(($H64+Game_Max_IV_Attack)*SQRT(($I64+Game_Max_IV_Defense))*SQRT(($J64+Game_Max_IV_Stamina))*(INDEX(Game_CP_Multipliers,MATCH(Species_Level,Game_Levels,0)))^2)/10</f>
        <v>568.5559880115735</v>
      </c>
    </row>
    <row r="65" spans="2:13" ht="12.75" x14ac:dyDescent="0.2">
      <c r="B65" s="11">
        <v>61</v>
      </c>
      <c r="C65" s="13" t="s">
        <v>212</v>
      </c>
      <c r="D65" s="15">
        <v>2</v>
      </c>
      <c r="E65" s="17" t="s">
        <v>42</v>
      </c>
      <c r="F65" s="19" t="s">
        <v>66</v>
      </c>
      <c r="G65" s="19"/>
      <c r="H65" s="21">
        <v>132</v>
      </c>
      <c r="I65" s="21">
        <v>132</v>
      </c>
      <c r="J65" s="21">
        <v>130</v>
      </c>
      <c r="K65" s="15">
        <f t="shared" si="0"/>
        <v>85.8</v>
      </c>
      <c r="L65" s="15">
        <f t="array" ref="L65">(($H65+Game_Min_IV_Attack)*SQRT(($I65+Game_Min_IV_Defense))*SQRT(($J65+Game_Min_IV_Stamina))*(INDEX(Game_CP_Multipliers,MATCH(Species_Level,Game_Levels,0)))^2)/10</f>
        <v>771.43559699347338</v>
      </c>
      <c r="M65" s="21">
        <f t="array" ref="M65">(($H65+Game_Max_IV_Attack)*SQRT(($I65+Game_Max_IV_Defense))*SQRT(($J65+Game_Max_IV_Stamina))*(INDEX(Game_CP_Multipliers,MATCH(Species_Level,Game_Levels,0)))^2)/10</f>
        <v>957.47425497656843</v>
      </c>
    </row>
    <row r="66" spans="2:13" ht="12.75" x14ac:dyDescent="0.2">
      <c r="B66" s="11">
        <v>62</v>
      </c>
      <c r="C66" s="13" t="s">
        <v>215</v>
      </c>
      <c r="D66" s="15">
        <v>1</v>
      </c>
      <c r="E66" s="17" t="s">
        <v>42</v>
      </c>
      <c r="F66" s="19" t="s">
        <v>66</v>
      </c>
      <c r="G66" s="19" t="s">
        <v>98</v>
      </c>
      <c r="H66" s="21">
        <v>180</v>
      </c>
      <c r="I66" s="21">
        <v>202</v>
      </c>
      <c r="J66" s="21">
        <v>180</v>
      </c>
      <c r="K66" s="15">
        <f t="shared" si="0"/>
        <v>181.8</v>
      </c>
      <c r="L66" s="15">
        <f t="array" ref="L66">(($H66+Game_Min_IV_Attack)*SQRT(($I66+Game_Min_IV_Defense))*SQRT(($J66+Game_Min_IV_Stamina))*(INDEX(Game_CP_Multipliers,MATCH(Species_Level,Game_Levels,0)))^2)/10</f>
        <v>1531.2691902120914</v>
      </c>
      <c r="M66" s="21">
        <f t="array" ref="M66">(($H66+Game_Max_IV_Attack)*SQRT(($I66+Game_Max_IV_Defense))*SQRT(($J66+Game_Max_IV_Stamina))*(INDEX(Game_CP_Multipliers,MATCH(Species_Level,Game_Levels,0)))^2)/10</f>
        <v>1789.5708047071937</v>
      </c>
    </row>
    <row r="67" spans="2:13" ht="12.75" x14ac:dyDescent="0.2">
      <c r="B67" s="11">
        <v>63</v>
      </c>
      <c r="C67" s="13" t="s">
        <v>217</v>
      </c>
      <c r="D67" s="15">
        <v>3</v>
      </c>
      <c r="E67" s="17" t="s">
        <v>42</v>
      </c>
      <c r="F67" s="19" t="s">
        <v>58</v>
      </c>
      <c r="G67" s="19"/>
      <c r="H67" s="21">
        <v>110</v>
      </c>
      <c r="I67" s="21">
        <v>76</v>
      </c>
      <c r="J67" s="21">
        <v>50</v>
      </c>
      <c r="K67" s="15">
        <f t="shared" si="0"/>
        <v>19</v>
      </c>
      <c r="L67" s="15">
        <f t="array" ref="L67">(($H67+Game_Min_IV_Attack)*SQRT(($I67+Game_Min_IV_Defense))*SQRT(($J67+Game_Min_IV_Stamina))*(INDEX(Game_CP_Multipliers,MATCH(Species_Level,Game_Levels,0)))^2)/10</f>
        <v>302.51825422982796</v>
      </c>
      <c r="M67" s="21">
        <f t="array" ref="M67">(($H67+Game_Max_IV_Attack)*SQRT(($I67+Game_Max_IV_Defense))*SQRT(($J67+Game_Max_IV_Stamina))*(INDEX(Game_CP_Multipliers,MATCH(Species_Level,Game_Levels,0)))^2)/10</f>
        <v>428.89846263116641</v>
      </c>
    </row>
    <row r="68" spans="2:13" ht="12.75" x14ac:dyDescent="0.2">
      <c r="B68" s="11">
        <v>64</v>
      </c>
      <c r="C68" s="13" t="s">
        <v>219</v>
      </c>
      <c r="D68" s="15">
        <v>2</v>
      </c>
      <c r="E68" s="17" t="s">
        <v>42</v>
      </c>
      <c r="F68" s="19" t="s">
        <v>58</v>
      </c>
      <c r="G68" s="19"/>
      <c r="H68" s="21">
        <v>150</v>
      </c>
      <c r="I68" s="21">
        <v>112</v>
      </c>
      <c r="J68" s="21">
        <v>80</v>
      </c>
      <c r="K68" s="15">
        <f t="shared" si="0"/>
        <v>44.8</v>
      </c>
      <c r="L68" s="15">
        <f t="array" ref="L68">(($H68+Game_Min_IV_Attack)*SQRT(($I68+Game_Min_IV_Defense))*SQRT(($J68+Game_Min_IV_Stamina))*(INDEX(Game_CP_Multipliers,MATCH(Species_Level,Game_Levels,0)))^2)/10</f>
        <v>633.45003711679976</v>
      </c>
      <c r="M68" s="21">
        <f t="array" ref="M68">(($H68+Game_Max_IV_Attack)*SQRT(($I68+Game_Max_IV_Defense))*SQRT(($J68+Game_Max_IV_Stamina))*(INDEX(Game_CP_Multipliers,MATCH(Species_Level,Game_Levels,0)))^2)/10</f>
        <v>808.56457381509722</v>
      </c>
    </row>
    <row r="69" spans="2:13" ht="12.75" x14ac:dyDescent="0.2">
      <c r="B69" s="11">
        <v>65</v>
      </c>
      <c r="C69" s="13" t="s">
        <v>221</v>
      </c>
      <c r="D69" s="15">
        <v>1</v>
      </c>
      <c r="E69" s="17" t="s">
        <v>42</v>
      </c>
      <c r="F69" s="19" t="s">
        <v>58</v>
      </c>
      <c r="G69" s="19"/>
      <c r="H69" s="21">
        <v>186</v>
      </c>
      <c r="I69" s="21">
        <v>152</v>
      </c>
      <c r="J69" s="21">
        <v>110</v>
      </c>
      <c r="K69" s="15">
        <f t="shared" si="0"/>
        <v>83.6</v>
      </c>
      <c r="L69" s="15">
        <f t="array" ref="L69">(($H69+Game_Min_IV_Attack)*SQRT(($I69+Game_Min_IV_Defense))*SQRT(($J69+Game_Min_IV_Stamina))*(INDEX(Game_CP_Multipliers,MATCH(Species_Level,Game_Levels,0)))^2)/10</f>
        <v>1072.9961972559445</v>
      </c>
      <c r="M69" s="21">
        <f t="array" ref="M69">(($H69+Game_Max_IV_Attack)*SQRT(($I69+Game_Max_IV_Defense))*SQRT(($J69+Game_Max_IV_Stamina))*(INDEX(Game_CP_Multipliers,MATCH(Species_Level,Game_Levels,0)))^2)/10</f>
        <v>1295.6162951013198</v>
      </c>
    </row>
    <row r="70" spans="2:13" ht="12.75" x14ac:dyDescent="0.2">
      <c r="B70" s="11">
        <v>66</v>
      </c>
      <c r="C70" s="13" t="s">
        <v>223</v>
      </c>
      <c r="D70" s="15">
        <v>3</v>
      </c>
      <c r="E70" s="17" t="s">
        <v>42</v>
      </c>
      <c r="F70" s="19" t="s">
        <v>98</v>
      </c>
      <c r="G70" s="19"/>
      <c r="H70" s="21">
        <v>118</v>
      </c>
      <c r="I70" s="21">
        <v>96</v>
      </c>
      <c r="J70" s="21">
        <v>140</v>
      </c>
      <c r="K70" s="15">
        <f t="shared" si="0"/>
        <v>67.2</v>
      </c>
      <c r="L70" s="15">
        <f t="array" ref="L70">(($H70+Game_Min_IV_Attack)*SQRT(($I70+Game_Min_IV_Defense))*SQRT(($J70+Game_Min_IV_Stamina))*(INDEX(Game_CP_Multipliers,MATCH(Species_Level,Game_Levels,0)))^2)/10</f>
        <v>610.30755160340152</v>
      </c>
      <c r="M70" s="21">
        <f t="array" ref="M70">(($H70+Game_Max_IV_Attack)*SQRT(($I70+Game_Max_IV_Defense))*SQRT(($J70+Game_Max_IV_Stamina))*(INDEX(Game_CP_Multipliers,MATCH(Species_Level,Game_Levels,0)))^2)/10</f>
        <v>778.2982993651442</v>
      </c>
    </row>
    <row r="71" spans="2:13" ht="12.75" x14ac:dyDescent="0.2">
      <c r="B71" s="11">
        <v>67</v>
      </c>
      <c r="C71" s="13" t="s">
        <v>225</v>
      </c>
      <c r="D71" s="15">
        <v>2</v>
      </c>
      <c r="E71" s="17" t="s">
        <v>42</v>
      </c>
      <c r="F71" s="19" t="s">
        <v>98</v>
      </c>
      <c r="G71" s="19"/>
      <c r="H71" s="21">
        <v>154</v>
      </c>
      <c r="I71" s="21">
        <v>144</v>
      </c>
      <c r="J71" s="21">
        <v>160</v>
      </c>
      <c r="K71" s="15">
        <f t="shared" si="0"/>
        <v>115.2</v>
      </c>
      <c r="L71" s="15">
        <f t="array" ref="L71">(($H71+Game_Min_IV_Attack)*SQRT(($I71+Game_Min_IV_Defense))*SQRT(($J71+Game_Min_IV_Stamina))*(INDEX(Game_CP_Multipliers,MATCH(Species_Level,Game_Levels,0)))^2)/10</f>
        <v>1042.8673246333324</v>
      </c>
      <c r="M71" s="21">
        <f t="array" ref="M71">(($H71+Game_Max_IV_Attack)*SQRT(($I71+Game_Max_IV_Defense))*SQRT(($J71+Game_Max_IV_Stamina))*(INDEX(Game_CP_Multipliers,MATCH(Species_Level,Game_Levels,0)))^2)/10</f>
        <v>1257.6835864980726</v>
      </c>
    </row>
    <row r="72" spans="2:13" ht="12.75" x14ac:dyDescent="0.2">
      <c r="B72" s="11">
        <v>68</v>
      </c>
      <c r="C72" s="13" t="s">
        <v>227</v>
      </c>
      <c r="D72" s="15">
        <v>1</v>
      </c>
      <c r="E72" s="17" t="s">
        <v>42</v>
      </c>
      <c r="F72" s="19" t="s">
        <v>98</v>
      </c>
      <c r="G72" s="19"/>
      <c r="H72" s="21">
        <v>198</v>
      </c>
      <c r="I72" s="21">
        <v>180</v>
      </c>
      <c r="J72" s="21">
        <v>180</v>
      </c>
      <c r="K72" s="15">
        <f t="shared" si="0"/>
        <v>162</v>
      </c>
      <c r="L72" s="15">
        <f t="array" ref="L72">(($H72+Game_Min_IV_Attack)*SQRT(($I72+Game_Min_IV_Defense))*SQRT(($J72+Game_Min_IV_Stamina))*(INDEX(Game_CP_Multipliers,MATCH(Species_Level,Game_Levels,0)))^2)/10</f>
        <v>1590.0280922607844</v>
      </c>
      <c r="M72" s="21">
        <f t="array" ref="M72">(($H72+Game_Max_IV_Attack)*SQRT(($I72+Game_Max_IV_Defense))*SQRT(($J72+Game_Max_IV_Stamina))*(INDEX(Game_CP_Multipliers,MATCH(Species_Level,Game_Levels,0)))^2)/10</f>
        <v>1853.0251630766459</v>
      </c>
    </row>
    <row r="73" spans="2:13" ht="12.75" x14ac:dyDescent="0.2">
      <c r="B73" s="11">
        <v>69</v>
      </c>
      <c r="C73" s="13" t="s">
        <v>229</v>
      </c>
      <c r="D73" s="15">
        <v>3</v>
      </c>
      <c r="E73" s="17" t="s">
        <v>42</v>
      </c>
      <c r="F73" s="19" t="s">
        <v>43</v>
      </c>
      <c r="G73" s="19" t="s">
        <v>44</v>
      </c>
      <c r="H73" s="21">
        <v>158</v>
      </c>
      <c r="I73" s="21">
        <v>78</v>
      </c>
      <c r="J73" s="21">
        <v>100</v>
      </c>
      <c r="K73" s="15">
        <f t="shared" si="0"/>
        <v>39</v>
      </c>
      <c r="L73" s="15">
        <f t="array" ref="L73">(($H73+Game_Min_IV_Attack)*SQRT(($I73+Game_Min_IV_Defense))*SQRT(($J73+Game_Min_IV_Stamina))*(INDEX(Game_CP_Multipliers,MATCH(Species_Level,Game_Levels,0)))^2)/10</f>
        <v>622.54606209072199</v>
      </c>
      <c r="M73" s="21">
        <f t="array" ref="M73">(($H73+Game_Max_IV_Attack)*SQRT(($I73+Game_Max_IV_Defense))*SQRT(($J73+Game_Max_IV_Stamina))*(INDEX(Game_CP_Multipliers,MATCH(Species_Level,Game_Levels,0)))^2)/10</f>
        <v>798.18506917279637</v>
      </c>
    </row>
    <row r="74" spans="2:13" ht="12.75" x14ac:dyDescent="0.2">
      <c r="B74" s="11">
        <v>70</v>
      </c>
      <c r="C74" s="13" t="s">
        <v>231</v>
      </c>
      <c r="D74" s="15">
        <v>2</v>
      </c>
      <c r="E74" s="17" t="s">
        <v>42</v>
      </c>
      <c r="F74" s="19" t="s">
        <v>43</v>
      </c>
      <c r="G74" s="19" t="s">
        <v>44</v>
      </c>
      <c r="H74" s="21">
        <v>190</v>
      </c>
      <c r="I74" s="21">
        <v>110</v>
      </c>
      <c r="J74" s="21">
        <v>130</v>
      </c>
      <c r="K74" s="15">
        <f t="shared" si="0"/>
        <v>71.5</v>
      </c>
      <c r="L74" s="15">
        <f t="array" ref="L74">(($H74+Game_Min_IV_Attack)*SQRT(($I74+Game_Min_IV_Defense))*SQRT(($J74+Game_Min_IV_Stamina))*(INDEX(Game_CP_Multipliers,MATCH(Species_Level,Game_Levels,0)))^2)/10</f>
        <v>1013.6516268409099</v>
      </c>
      <c r="M74" s="21">
        <f t="array" ref="M74">(($H74+Game_Max_IV_Attack)*SQRT(($I74+Game_Max_IV_Defense))*SQRT(($J74+Game_Max_IV_Stamina))*(INDEX(Game_CP_Multipliers,MATCH(Species_Level,Game_Levels,0)))^2)/10</f>
        <v>1231.2889180580723</v>
      </c>
    </row>
    <row r="75" spans="2:13" ht="12.75" x14ac:dyDescent="0.2">
      <c r="B75" s="11">
        <v>71</v>
      </c>
      <c r="C75" s="13" t="s">
        <v>233</v>
      </c>
      <c r="D75" s="15">
        <v>1</v>
      </c>
      <c r="E75" s="17" t="s">
        <v>42</v>
      </c>
      <c r="F75" s="19" t="s">
        <v>43</v>
      </c>
      <c r="G75" s="19" t="s">
        <v>44</v>
      </c>
      <c r="H75" s="21">
        <v>222</v>
      </c>
      <c r="I75" s="21">
        <v>152</v>
      </c>
      <c r="J75" s="21">
        <v>160</v>
      </c>
      <c r="K75" s="15">
        <f t="shared" si="0"/>
        <v>121.6</v>
      </c>
      <c r="L75" s="15">
        <f t="array" ref="L75">(($H75+Game_Min_IV_Attack)*SQRT(($I75+Game_Min_IV_Defense))*SQRT(($J75+Game_Min_IV_Stamina))*(INDEX(Game_CP_Multipliers,MATCH(Species_Level,Game_Levels,0)))^2)/10</f>
        <v>1544.5496087708752</v>
      </c>
      <c r="M75" s="21">
        <f t="array" ref="M75">(($H75+Game_Max_IV_Attack)*SQRT(($I75+Game_Max_IV_Defense))*SQRT(($J75+Game_Max_IV_Stamina))*(INDEX(Game_CP_Multipliers,MATCH(Species_Level,Game_Levels,0)))^2)/10</f>
        <v>1807.5599410094449</v>
      </c>
    </row>
    <row r="76" spans="2:13" ht="12.75" x14ac:dyDescent="0.2">
      <c r="B76" s="11">
        <v>72</v>
      </c>
      <c r="C76" s="13" t="s">
        <v>235</v>
      </c>
      <c r="D76" s="15">
        <v>2</v>
      </c>
      <c r="E76" s="17" t="s">
        <v>42</v>
      </c>
      <c r="F76" s="19" t="s">
        <v>66</v>
      </c>
      <c r="G76" s="19" t="s">
        <v>44</v>
      </c>
      <c r="H76" s="21">
        <v>106</v>
      </c>
      <c r="I76" s="21">
        <v>136</v>
      </c>
      <c r="J76" s="21">
        <v>80</v>
      </c>
      <c r="K76" s="15">
        <f t="shared" si="0"/>
        <v>54.4</v>
      </c>
      <c r="L76" s="15">
        <f t="array" ref="L76">(($H76+Game_Min_IV_Attack)*SQRT(($I76+Game_Min_IV_Defense))*SQRT(($J76+Game_Min_IV_Stamina))*(INDEX(Game_CP_Multipliers,MATCH(Species_Level,Game_Levels,0)))^2)/10</f>
        <v>493.27308018903079</v>
      </c>
      <c r="M76" s="21">
        <f t="array" ref="M76">(($H76+Game_Max_IV_Attack)*SQRT(($I76+Game_Max_IV_Defense))*SQRT(($J76+Game_Max_IV_Stamina))*(INDEX(Game_CP_Multipliers,MATCH(Species_Level,Game_Levels,0)))^2)/10</f>
        <v>646.55094178132697</v>
      </c>
    </row>
    <row r="77" spans="2:13" ht="12.75" x14ac:dyDescent="0.2">
      <c r="B77" s="11">
        <v>73</v>
      </c>
      <c r="C77" s="13" t="s">
        <v>237</v>
      </c>
      <c r="D77" s="15">
        <v>1</v>
      </c>
      <c r="E77" s="17" t="s">
        <v>42</v>
      </c>
      <c r="F77" s="19" t="s">
        <v>66</v>
      </c>
      <c r="G77" s="19" t="s">
        <v>44</v>
      </c>
      <c r="H77" s="21">
        <v>170</v>
      </c>
      <c r="I77" s="21">
        <v>196</v>
      </c>
      <c r="J77" s="21">
        <v>160</v>
      </c>
      <c r="K77" s="15">
        <f t="shared" si="0"/>
        <v>156.80000000000001</v>
      </c>
      <c r="L77" s="15">
        <f t="array" ref="L77">(($H77+Game_Min_IV_Attack)*SQRT(($I77+Game_Min_IV_Defense))*SQRT(($J77+Game_Min_IV_Stamina))*(INDEX(Game_CP_Multipliers,MATCH(Species_Level,Game_Levels,0)))^2)/10</f>
        <v>1343.0867059671705</v>
      </c>
      <c r="M77" s="21">
        <f t="array" ref="M77">(($H77+Game_Max_IV_Attack)*SQRT(($I77+Game_Max_IV_Defense))*SQRT(($J77+Game_Max_IV_Stamina))*(INDEX(Game_CP_Multipliers,MATCH(Species_Level,Game_Levels,0)))^2)/10</f>
        <v>1585.9850252891688</v>
      </c>
    </row>
    <row r="78" spans="2:13" ht="12.75" x14ac:dyDescent="0.2">
      <c r="B78" s="11">
        <v>74</v>
      </c>
      <c r="C78" s="13" t="s">
        <v>240</v>
      </c>
      <c r="D78" s="15">
        <v>3</v>
      </c>
      <c r="E78" s="17" t="s">
        <v>42</v>
      </c>
      <c r="F78" s="19" t="s">
        <v>113</v>
      </c>
      <c r="G78" s="19" t="s">
        <v>85</v>
      </c>
      <c r="H78" s="21">
        <v>106</v>
      </c>
      <c r="I78" s="21">
        <v>118</v>
      </c>
      <c r="J78" s="21">
        <v>80</v>
      </c>
      <c r="K78" s="15">
        <f t="shared" si="0"/>
        <v>47.2</v>
      </c>
      <c r="L78" s="15">
        <f t="array" ref="L78">(($H78+Game_Min_IV_Attack)*SQRT(($I78+Game_Min_IV_Defense))*SQRT(($J78+Game_Min_IV_Stamina))*(INDEX(Game_CP_Multipliers,MATCH(Species_Level,Game_Levels,0)))^2)/10</f>
        <v>459.47190861311367</v>
      </c>
      <c r="M78" s="21">
        <f t="array" ref="M78">(($H78+Game_Max_IV_Attack)*SQRT(($I78+Game_Max_IV_Defense))*SQRT(($J78+Game_Max_IV_Stamina))*(INDEX(Game_CP_Multipliers,MATCH(Species_Level,Game_Levels,0)))^2)/10</f>
        <v>606.79234805480098</v>
      </c>
    </row>
    <row r="79" spans="2:13" ht="12.75" x14ac:dyDescent="0.2">
      <c r="B79" s="11">
        <v>75</v>
      </c>
      <c r="C79" s="13" t="s">
        <v>242</v>
      </c>
      <c r="D79" s="15">
        <v>2</v>
      </c>
      <c r="E79" s="17" t="s">
        <v>42</v>
      </c>
      <c r="F79" s="19" t="s">
        <v>113</v>
      </c>
      <c r="G79" s="19" t="s">
        <v>85</v>
      </c>
      <c r="H79" s="21">
        <v>142</v>
      </c>
      <c r="I79" s="21">
        <v>156</v>
      </c>
      <c r="J79" s="21">
        <v>110</v>
      </c>
      <c r="K79" s="15">
        <f t="shared" si="0"/>
        <v>85.8</v>
      </c>
      <c r="L79" s="15">
        <f t="array" ref="L79">(($H79+Game_Min_IV_Attack)*SQRT(($I79+Game_Min_IV_Defense))*SQRT(($J79+Game_Min_IV_Stamina))*(INDEX(Game_CP_Multipliers,MATCH(Species_Level,Game_Levels,0)))^2)/10</f>
        <v>829.87768767479702</v>
      </c>
      <c r="M79" s="21">
        <f t="array" ref="M79">(($H79+Game_Max_IV_Attack)*SQRT(($I79+Game_Max_IV_Defense))*SQRT(($J79+Game_Max_IV_Stamina))*(INDEX(Game_CP_Multipliers,MATCH(Species_Level,Game_Levels,0)))^2)/10</f>
        <v>1024.0468267610954</v>
      </c>
    </row>
    <row r="80" spans="2:13" ht="12.75" x14ac:dyDescent="0.2">
      <c r="B80" s="11">
        <v>76</v>
      </c>
      <c r="C80" s="13" t="s">
        <v>244</v>
      </c>
      <c r="D80" s="15">
        <v>1</v>
      </c>
      <c r="E80" s="17" t="s">
        <v>42</v>
      </c>
      <c r="F80" s="19" t="s">
        <v>113</v>
      </c>
      <c r="G80" s="19" t="s">
        <v>85</v>
      </c>
      <c r="H80" s="21">
        <v>176</v>
      </c>
      <c r="I80" s="21">
        <v>198</v>
      </c>
      <c r="J80" s="21">
        <v>160</v>
      </c>
      <c r="K80" s="15">
        <f t="shared" si="0"/>
        <v>158.4</v>
      </c>
      <c r="L80" s="15">
        <f t="array" ref="L80">(($H80+Game_Min_IV_Attack)*SQRT(($I80+Game_Min_IV_Defense))*SQRT(($J80+Game_Min_IV_Stamina))*(INDEX(Game_CP_Multipliers,MATCH(Species_Level,Game_Levels,0)))^2)/10</f>
        <v>1397.566095675737</v>
      </c>
      <c r="M80" s="21">
        <f t="array" ref="M80">(($H80+Game_Max_IV_Attack)*SQRT(($I80+Game_Max_IV_Defense))*SQRT(($J80+Game_Max_IV_Stamina))*(INDEX(Game_CP_Multipliers,MATCH(Species_Level,Game_Levels,0)))^2)/10</f>
        <v>1645.164370402649</v>
      </c>
    </row>
    <row r="81" spans="2:13" ht="12.75" x14ac:dyDescent="0.2">
      <c r="B81" s="11">
        <v>77</v>
      </c>
      <c r="C81" s="13" t="s">
        <v>246</v>
      </c>
      <c r="D81" s="15">
        <v>2</v>
      </c>
      <c r="E81" s="17" t="s">
        <v>42</v>
      </c>
      <c r="F81" s="19" t="s">
        <v>72</v>
      </c>
      <c r="G81" s="19"/>
      <c r="H81" s="21">
        <v>168</v>
      </c>
      <c r="I81" s="21">
        <v>138</v>
      </c>
      <c r="J81" s="21">
        <v>100</v>
      </c>
      <c r="K81" s="15">
        <f t="shared" si="0"/>
        <v>69</v>
      </c>
      <c r="L81" s="15">
        <f t="array" ref="L81">(($H81+Game_Min_IV_Attack)*SQRT(($I81+Game_Min_IV_Defense))*SQRT(($J81+Game_Min_IV_Stamina))*(INDEX(Game_CP_Multipliers,MATCH(Species_Level,Game_Levels,0)))^2)/10</f>
        <v>880.47276532495141</v>
      </c>
      <c r="M81" s="21">
        <f t="array" ref="M81">(($H81+Game_Max_IV_Attack)*SQRT(($I81+Game_Max_IV_Defense))*SQRT(($J81+Game_Max_IV_Stamina))*(INDEX(Game_CP_Multipliers,MATCH(Species_Level,Game_Levels,0)))^2)/10</f>
        <v>1082.9610260008285</v>
      </c>
    </row>
    <row r="82" spans="2:13" ht="12.75" x14ac:dyDescent="0.2">
      <c r="B82" s="11">
        <v>78</v>
      </c>
      <c r="C82" s="13" t="s">
        <v>248</v>
      </c>
      <c r="D82" s="15">
        <v>1</v>
      </c>
      <c r="E82" s="17" t="s">
        <v>42</v>
      </c>
      <c r="F82" s="19" t="s">
        <v>72</v>
      </c>
      <c r="G82" s="19"/>
      <c r="H82" s="21">
        <v>200</v>
      </c>
      <c r="I82" s="21">
        <v>170</v>
      </c>
      <c r="J82" s="21">
        <v>130</v>
      </c>
      <c r="K82" s="15">
        <f t="shared" si="0"/>
        <v>110.5</v>
      </c>
      <c r="L82" s="15">
        <f t="array" ref="L82">(($H82+Game_Min_IV_Attack)*SQRT(($I82+Game_Min_IV_Defense))*SQRT(($J82+Game_Min_IV_Stamina))*(INDEX(Game_CP_Multipliers,MATCH(Species_Level,Game_Levels,0)))^2)/10</f>
        <v>1326.4571789964371</v>
      </c>
      <c r="M82" s="21">
        <f t="array" ref="M82">(($H82+Game_Max_IV_Attack)*SQRT(($I82+Game_Max_IV_Defense))*SQRT(($J82+Game_Max_IV_Stamina))*(INDEX(Game_CP_Multipliers,MATCH(Species_Level,Game_Levels,0)))^2)/10</f>
        <v>1570.9972588956502</v>
      </c>
    </row>
    <row r="83" spans="2:13" ht="12.75" x14ac:dyDescent="0.2">
      <c r="B83" s="11">
        <v>79</v>
      </c>
      <c r="C83" s="13" t="s">
        <v>250</v>
      </c>
      <c r="D83" s="15">
        <v>2</v>
      </c>
      <c r="E83" s="17" t="s">
        <v>42</v>
      </c>
      <c r="F83" s="19" t="s">
        <v>66</v>
      </c>
      <c r="G83" s="19" t="s">
        <v>58</v>
      </c>
      <c r="H83" s="21">
        <v>110</v>
      </c>
      <c r="I83" s="21">
        <v>110</v>
      </c>
      <c r="J83" s="21">
        <v>180</v>
      </c>
      <c r="K83" s="15">
        <f t="shared" si="0"/>
        <v>99</v>
      </c>
      <c r="L83" s="15">
        <f t="array" ref="L83">(($H83+Game_Min_IV_Attack)*SQRT(($I83+Game_Min_IV_Defense))*SQRT(($J83+Game_Min_IV_Stamina))*(INDEX(Game_CP_Multipliers,MATCH(Species_Level,Game_Levels,0)))^2)/10</f>
        <v>690.54563171314476</v>
      </c>
      <c r="M83" s="21">
        <f t="array" ref="M83">(($H83+Game_Max_IV_Attack)*SQRT(($I83+Game_Max_IV_Defense))*SQRT(($J83+Game_Max_IV_Stamina))*(INDEX(Game_CP_Multipliers,MATCH(Species_Level,Game_Levels,0)))^2)/10</f>
        <v>870.66167346782242</v>
      </c>
    </row>
    <row r="84" spans="2:13" ht="12.75" x14ac:dyDescent="0.2">
      <c r="B84" s="11">
        <v>80</v>
      </c>
      <c r="C84" s="13" t="s">
        <v>252</v>
      </c>
      <c r="D84" s="15">
        <v>1</v>
      </c>
      <c r="E84" s="17" t="s">
        <v>42</v>
      </c>
      <c r="F84" s="19" t="s">
        <v>66</v>
      </c>
      <c r="G84" s="19" t="s">
        <v>58</v>
      </c>
      <c r="H84" s="21">
        <v>184</v>
      </c>
      <c r="I84" s="21">
        <v>198</v>
      </c>
      <c r="J84" s="21">
        <v>190</v>
      </c>
      <c r="K84" s="15">
        <f t="shared" si="0"/>
        <v>188.1</v>
      </c>
      <c r="L84" s="15">
        <f t="array" ref="L84">(($H84+Game_Min_IV_Attack)*SQRT(($I84+Game_Min_IV_Defense))*SQRT(($J84+Game_Min_IV_Stamina))*(INDEX(Game_CP_Multipliers,MATCH(Species_Level,Game_Levels,0)))^2)/10</f>
        <v>1592.187905605595</v>
      </c>
      <c r="M84" s="21">
        <f t="array" ref="M84">(($H84+Game_Max_IV_Attack)*SQRT(($I84+Game_Max_IV_Defense))*SQRT(($J84+Game_Max_IV_Stamina))*(INDEX(Game_CP_Multipliers,MATCH(Species_Level,Game_Levels,0)))^2)/10</f>
        <v>1855.1836608971546</v>
      </c>
    </row>
    <row r="85" spans="2:13" ht="12.75" x14ac:dyDescent="0.2">
      <c r="B85" s="11">
        <v>81</v>
      </c>
      <c r="C85" s="13" t="s">
        <v>254</v>
      </c>
      <c r="D85" s="15">
        <v>2</v>
      </c>
      <c r="E85" s="17" t="s">
        <v>42</v>
      </c>
      <c r="F85" s="19" t="s">
        <v>107</v>
      </c>
      <c r="G85" s="19" t="s">
        <v>56</v>
      </c>
      <c r="H85" s="21">
        <v>128</v>
      </c>
      <c r="I85" s="21">
        <v>138</v>
      </c>
      <c r="J85" s="21">
        <v>50</v>
      </c>
      <c r="K85" s="15">
        <f t="shared" si="0"/>
        <v>34.5</v>
      </c>
      <c r="L85" s="15">
        <f t="array" ref="L85">(($H85+Game_Min_IV_Attack)*SQRT(($I85+Game_Min_IV_Defense))*SQRT(($J85+Game_Min_IV_Stamina))*(INDEX(Game_CP_Multipliers,MATCH(Species_Level,Game_Levels,0)))^2)/10</f>
        <v>474.35296229435801</v>
      </c>
      <c r="M85" s="21">
        <f t="array" ref="M85">(($H85+Game_Max_IV_Attack)*SQRT(($I85+Game_Max_IV_Defense))*SQRT(($J85+Game_Max_IV_Stamina))*(INDEX(Game_CP_Multipliers,MATCH(Species_Level,Game_Levels,0)))^2)/10</f>
        <v>636.21738640716808</v>
      </c>
    </row>
    <row r="86" spans="2:13" ht="12.75" x14ac:dyDescent="0.2">
      <c r="B86" s="11">
        <v>82</v>
      </c>
      <c r="C86" s="13" t="s">
        <v>256</v>
      </c>
      <c r="D86" s="15">
        <v>1</v>
      </c>
      <c r="E86" s="17" t="s">
        <v>42</v>
      </c>
      <c r="F86" s="19" t="s">
        <v>107</v>
      </c>
      <c r="G86" s="19" t="s">
        <v>56</v>
      </c>
      <c r="H86" s="21">
        <v>186</v>
      </c>
      <c r="I86" s="21">
        <v>180</v>
      </c>
      <c r="J86" s="21">
        <v>100</v>
      </c>
      <c r="K86" s="15">
        <f t="shared" si="0"/>
        <v>90</v>
      </c>
      <c r="L86" s="15">
        <f t="array" ref="L86">(($H86+Game_Min_IV_Attack)*SQRT(($I86+Game_Min_IV_Defense))*SQRT(($J86+Game_Min_IV_Stamina))*(INDEX(Game_CP_Multipliers,MATCH(Species_Level,Game_Levels,0)))^2)/10</f>
        <v>1113.3104839728489</v>
      </c>
      <c r="M86" s="21">
        <f t="array" ref="M86">(($H86+Game_Max_IV_Attack)*SQRT(($I86+Game_Max_IV_Defense))*SQRT(($J86+Game_Max_IV_Stamina))*(INDEX(Game_CP_Multipliers,MATCH(Species_Level,Game_Levels,0)))^2)/10</f>
        <v>1342.8558186419116</v>
      </c>
    </row>
    <row r="87" spans="2:13" ht="12.75" x14ac:dyDescent="0.2">
      <c r="B87" s="11">
        <v>83</v>
      </c>
      <c r="C87" s="13" t="s">
        <v>259</v>
      </c>
      <c r="D87" s="15">
        <v>1</v>
      </c>
      <c r="E87" s="17" t="s">
        <v>42</v>
      </c>
      <c r="F87" s="19" t="s">
        <v>35</v>
      </c>
      <c r="G87" s="19" t="s">
        <v>70</v>
      </c>
      <c r="H87" s="21">
        <v>138</v>
      </c>
      <c r="I87" s="21">
        <v>132</v>
      </c>
      <c r="J87" s="21">
        <v>104</v>
      </c>
      <c r="K87" s="15">
        <f t="shared" si="0"/>
        <v>68.64</v>
      </c>
      <c r="L87" s="15">
        <f t="array" ref="L87">(($H87+Game_Min_IV_Attack)*SQRT(($I87+Game_Min_IV_Defense))*SQRT(($J87+Game_Min_IV_Stamina))*(INDEX(Game_CP_Multipliers,MATCH(Species_Level,Game_Levels,0)))^2)/10</f>
        <v>721.35629105877069</v>
      </c>
      <c r="M87" s="21">
        <f t="array" ref="M87">(($H87+Game_Max_IV_Attack)*SQRT(($I87+Game_Max_IV_Defense))*SQRT(($J87+Game_Max_IV_Stamina))*(INDEX(Game_CP_Multipliers,MATCH(Species_Level,Game_Levels,0)))^2)/10</f>
        <v>902.79819255665188</v>
      </c>
    </row>
    <row r="88" spans="2:13" ht="12.75" x14ac:dyDescent="0.2">
      <c r="B88" s="11">
        <v>84</v>
      </c>
      <c r="C88" s="13" t="s">
        <v>261</v>
      </c>
      <c r="D88" s="15">
        <v>2</v>
      </c>
      <c r="E88" s="17" t="s">
        <v>42</v>
      </c>
      <c r="F88" s="19" t="s">
        <v>35</v>
      </c>
      <c r="G88" s="19" t="s">
        <v>70</v>
      </c>
      <c r="H88" s="21">
        <v>126</v>
      </c>
      <c r="I88" s="21">
        <v>96</v>
      </c>
      <c r="J88" s="21">
        <v>70</v>
      </c>
      <c r="K88" s="15">
        <f t="shared" si="0"/>
        <v>33.6</v>
      </c>
      <c r="L88" s="15">
        <f t="array" ref="L88">(($H88+Game_Min_IV_Attack)*SQRT(($I88+Game_Min_IV_Defense))*SQRT(($J88+Game_Min_IV_Stamina))*(INDEX(Game_CP_Multipliers,MATCH(Species_Level,Game_Levels,0)))^2)/10</f>
        <v>460.81041230392896</v>
      </c>
      <c r="M88" s="21">
        <f t="array" ref="M88">(($H88+Game_Max_IV_Attack)*SQRT(($I88+Game_Max_IV_Defense))*SQRT(($J88+Game_Max_IV_Stamina))*(INDEX(Game_CP_Multipliers,MATCH(Species_Level,Game_Levels,0)))^2)/10</f>
        <v>611.02244957272046</v>
      </c>
    </row>
    <row r="89" spans="2:13" ht="12.75" x14ac:dyDescent="0.2">
      <c r="B89" s="11">
        <v>85</v>
      </c>
      <c r="C89" s="13" t="s">
        <v>263</v>
      </c>
      <c r="D89" s="15">
        <v>1</v>
      </c>
      <c r="E89" s="17" t="s">
        <v>42</v>
      </c>
      <c r="F89" s="19" t="s">
        <v>35</v>
      </c>
      <c r="G89" s="19" t="s">
        <v>70</v>
      </c>
      <c r="H89" s="21">
        <v>182</v>
      </c>
      <c r="I89" s="21">
        <v>150</v>
      </c>
      <c r="J89" s="21">
        <v>120</v>
      </c>
      <c r="K89" s="15">
        <f t="shared" si="0"/>
        <v>90</v>
      </c>
      <c r="L89" s="15">
        <f t="array" ref="L89">(($H89+Game_Min_IV_Attack)*SQRT(($I89+Game_Min_IV_Defense))*SQRT(($J89+Game_Min_IV_Stamina))*(INDEX(Game_CP_Multipliers,MATCH(Species_Level,Game_Levels,0)))^2)/10</f>
        <v>1089.3683230271963</v>
      </c>
      <c r="M89" s="21">
        <f t="array" ref="M89">(($H89+Game_Max_IV_Attack)*SQRT(($I89+Game_Max_IV_Defense))*SQRT(($J89+Game_Max_IV_Stamina))*(INDEX(Game_CP_Multipliers,MATCH(Species_Level,Game_Levels,0)))^2)/10</f>
        <v>1311.7231538715444</v>
      </c>
    </row>
    <row r="90" spans="2:13" ht="12.75" x14ac:dyDescent="0.2">
      <c r="B90" s="11">
        <v>86</v>
      </c>
      <c r="C90" s="13" t="s">
        <v>265</v>
      </c>
      <c r="D90" s="15">
        <v>2</v>
      </c>
      <c r="E90" s="17" t="s">
        <v>42</v>
      </c>
      <c r="F90" s="19" t="s">
        <v>66</v>
      </c>
      <c r="G90" s="19"/>
      <c r="H90" s="21">
        <v>104</v>
      </c>
      <c r="I90" s="21">
        <v>138</v>
      </c>
      <c r="J90" s="21">
        <v>130</v>
      </c>
      <c r="K90" s="15">
        <f t="shared" si="0"/>
        <v>89.7</v>
      </c>
      <c r="L90" s="15">
        <f t="array" ref="L90">(($H90+Game_Min_IV_Attack)*SQRT(($I90+Game_Min_IV_Defense))*SQRT(($J90+Game_Min_IV_Stamina))*(INDEX(Game_CP_Multipliers,MATCH(Species_Level,Game_Levels,0)))^2)/10</f>
        <v>621.45782492398428</v>
      </c>
      <c r="M90" s="21">
        <f t="array" ref="M90">(($H90+Game_Max_IV_Attack)*SQRT(($I90+Game_Max_IV_Defense))*SQRT(($J90+Game_Max_IV_Stamina))*(INDEX(Game_CP_Multipliers,MATCH(Species_Level,Game_Levels,0)))^2)/10</f>
        <v>790.7583380237304</v>
      </c>
    </row>
    <row r="91" spans="2:13" ht="12.75" x14ac:dyDescent="0.2">
      <c r="B91" s="11">
        <v>87</v>
      </c>
      <c r="C91" s="13" t="s">
        <v>268</v>
      </c>
      <c r="D91" s="15">
        <v>1</v>
      </c>
      <c r="E91" s="17" t="s">
        <v>42</v>
      </c>
      <c r="F91" s="19" t="s">
        <v>66</v>
      </c>
      <c r="G91" s="19" t="s">
        <v>88</v>
      </c>
      <c r="H91" s="21">
        <v>156</v>
      </c>
      <c r="I91" s="21">
        <v>192</v>
      </c>
      <c r="J91" s="21">
        <v>180</v>
      </c>
      <c r="K91" s="15">
        <f t="shared" si="0"/>
        <v>172.8</v>
      </c>
      <c r="L91" s="15">
        <f t="array" ref="L91">(($H91+Game_Min_IV_Attack)*SQRT(($I91+Game_Min_IV_Defense))*SQRT(($J91+Game_Min_IV_Stamina))*(INDEX(Game_CP_Multipliers,MATCH(Species_Level,Game_Levels,0)))^2)/10</f>
        <v>1293.8340230668862</v>
      </c>
      <c r="M91" s="21">
        <f t="array" ref="M91">(($H91+Game_Max_IV_Attack)*SQRT(($I91+Game_Max_IV_Defense))*SQRT(($J91+Game_Max_IV_Stamina))*(INDEX(Game_CP_Multipliers,MATCH(Species_Level,Game_Levels,0)))^2)/10</f>
        <v>1532.7301162788656</v>
      </c>
    </row>
    <row r="92" spans="2:13" ht="12.75" x14ac:dyDescent="0.2">
      <c r="B92" s="11">
        <v>88</v>
      </c>
      <c r="C92" s="13" t="s">
        <v>270</v>
      </c>
      <c r="D92" s="15">
        <v>2</v>
      </c>
      <c r="E92" s="17" t="s">
        <v>42</v>
      </c>
      <c r="F92" s="19" t="s">
        <v>44</v>
      </c>
      <c r="G92" s="19"/>
      <c r="H92" s="21">
        <v>124</v>
      </c>
      <c r="I92" s="21">
        <v>110</v>
      </c>
      <c r="J92" s="21">
        <v>160</v>
      </c>
      <c r="K92" s="15">
        <f t="shared" si="0"/>
        <v>88</v>
      </c>
      <c r="L92" s="15">
        <f t="array" ref="L92">(($H92+Game_Min_IV_Attack)*SQRT(($I92+Game_Min_IV_Defense))*SQRT(($J92+Game_Min_IV_Stamina))*(INDEX(Game_CP_Multipliers,MATCH(Species_Level,Game_Levels,0)))^2)/10</f>
        <v>733.91391350286051</v>
      </c>
      <c r="M92" s="21">
        <f t="array" ref="M92">(($H92+Game_Max_IV_Attack)*SQRT(($I92+Game_Max_IV_Defense))*SQRT(($J92+Game_Max_IV_Stamina))*(INDEX(Game_CP_Multipliers,MATCH(Species_Level,Game_Levels,0)))^2)/10</f>
        <v>917.18286624203301</v>
      </c>
    </row>
    <row r="93" spans="2:13" ht="12.75" x14ac:dyDescent="0.2">
      <c r="B93" s="11">
        <v>89</v>
      </c>
      <c r="C93" s="13" t="s">
        <v>272</v>
      </c>
      <c r="D93" s="15">
        <v>1</v>
      </c>
      <c r="E93" s="17" t="s">
        <v>42</v>
      </c>
      <c r="F93" s="19" t="s">
        <v>44</v>
      </c>
      <c r="G93" s="19"/>
      <c r="H93" s="21">
        <v>180</v>
      </c>
      <c r="I93" s="21">
        <v>188</v>
      </c>
      <c r="J93" s="21">
        <v>210</v>
      </c>
      <c r="K93" s="15">
        <f t="shared" si="0"/>
        <v>197.4</v>
      </c>
      <c r="L93" s="15">
        <f t="array" ref="L93">(($H93+Game_Min_IV_Attack)*SQRT(($I93+Game_Min_IV_Defense))*SQRT(($J93+Game_Min_IV_Stamina))*(INDEX(Game_CP_Multipliers,MATCH(Species_Level,Game_Levels,0)))^2)/10</f>
        <v>1595.6152527239076</v>
      </c>
      <c r="M93" s="21">
        <f t="array" ref="M93">(($H93+Game_Max_IV_Attack)*SQRT(($I93+Game_Max_IV_Defense))*SQRT(($J93+Game_Max_IV_Stamina))*(INDEX(Game_CP_Multipliers,MATCH(Species_Level,Game_Levels,0)))^2)/10</f>
        <v>1859.2637048898494</v>
      </c>
    </row>
    <row r="94" spans="2:13" ht="12.75" x14ac:dyDescent="0.2">
      <c r="B94" s="11">
        <v>90</v>
      </c>
      <c r="C94" s="13" t="s">
        <v>274</v>
      </c>
      <c r="D94" s="15">
        <v>2</v>
      </c>
      <c r="E94" s="17" t="s">
        <v>42</v>
      </c>
      <c r="F94" s="19" t="s">
        <v>66</v>
      </c>
      <c r="G94" s="19"/>
      <c r="H94" s="21">
        <v>120</v>
      </c>
      <c r="I94" s="21">
        <v>112</v>
      </c>
      <c r="J94" s="21">
        <v>60</v>
      </c>
      <c r="K94" s="15">
        <f t="shared" si="0"/>
        <v>33.6</v>
      </c>
      <c r="L94" s="15">
        <f t="array" ref="L94">(($H94+Game_Min_IV_Attack)*SQRT(($I94+Game_Min_IV_Defense))*SQRT(($J94+Game_Min_IV_Stamina))*(INDEX(Game_CP_Multipliers,MATCH(Species_Level,Game_Levels,0)))^2)/10</f>
        <v>438.86705933707537</v>
      </c>
      <c r="M94" s="21">
        <f t="array" ref="M94">(($H94+Game_Max_IV_Attack)*SQRT(($I94+Game_Max_IV_Defense))*SQRT(($J94+Game_Max_IV_Stamina))*(INDEX(Game_CP_Multipliers,MATCH(Species_Level,Game_Levels,0)))^2)/10</f>
        <v>587.80511741675241</v>
      </c>
    </row>
    <row r="95" spans="2:13" ht="12.75" x14ac:dyDescent="0.2">
      <c r="B95" s="11">
        <v>91</v>
      </c>
      <c r="C95" s="13" t="s">
        <v>277</v>
      </c>
      <c r="D95" s="15">
        <v>1</v>
      </c>
      <c r="E95" s="17" t="s">
        <v>42</v>
      </c>
      <c r="F95" s="19" t="s">
        <v>66</v>
      </c>
      <c r="G95" s="19" t="s">
        <v>88</v>
      </c>
      <c r="H95" s="21">
        <v>196</v>
      </c>
      <c r="I95" s="21">
        <v>196</v>
      </c>
      <c r="J95" s="21">
        <v>100</v>
      </c>
      <c r="K95" s="15">
        <f t="shared" si="0"/>
        <v>98</v>
      </c>
      <c r="L95" s="15">
        <f t="array" ref="L95">(($H95+Game_Min_IV_Attack)*SQRT(($I95+Game_Min_IV_Defense))*SQRT(($J95+Game_Min_IV_Stamina))*(INDEX(Game_CP_Multipliers,MATCH(Species_Level,Game_Levels,0)))^2)/10</f>
        <v>1224.196713008864</v>
      </c>
      <c r="M95" s="21">
        <f t="array" ref="M95">(($H95+Game_Max_IV_Attack)*SQRT(($I95+Game_Max_IV_Defense))*SQRT(($J95+Game_Max_IV_Stamina))*(INDEX(Game_CP_Multipliers,MATCH(Species_Level,Game_Levels,0)))^2)/10</f>
        <v>1466.356960959029</v>
      </c>
    </row>
    <row r="96" spans="2:13" ht="12.75" x14ac:dyDescent="0.2">
      <c r="B96" s="11">
        <v>92</v>
      </c>
      <c r="C96" s="13" t="s">
        <v>279</v>
      </c>
      <c r="D96" s="15">
        <v>3</v>
      </c>
      <c r="E96" s="17" t="s">
        <v>42</v>
      </c>
      <c r="F96" s="19" t="s">
        <v>75</v>
      </c>
      <c r="G96" s="19" t="s">
        <v>44</v>
      </c>
      <c r="H96" s="21">
        <v>136</v>
      </c>
      <c r="I96" s="21">
        <v>82</v>
      </c>
      <c r="J96" s="21">
        <v>60</v>
      </c>
      <c r="K96" s="15">
        <f t="shared" si="0"/>
        <v>24.6</v>
      </c>
      <c r="L96" s="15">
        <f t="array" ref="L96">(($H96+Game_Min_IV_Attack)*SQRT(($I96+Game_Min_IV_Defense))*SQRT(($J96+Game_Min_IV_Stamina))*(INDEX(Game_CP_Multipliers,MATCH(Species_Level,Game_Levels,0)))^2)/10</f>
        <v>425.58720410863077</v>
      </c>
      <c r="M96" s="21">
        <f t="array" ref="M96">(($H96+Game_Max_IV_Attack)*SQRT(($I96+Game_Max_IV_Defense))*SQRT(($J96+Game_Max_IV_Stamina))*(INDEX(Game_CP_Multipliers,MATCH(Species_Level,Game_Levels,0)))^2)/10</f>
        <v>574.59328747672521</v>
      </c>
    </row>
    <row r="97" spans="2:13" ht="12.75" x14ac:dyDescent="0.2">
      <c r="B97" s="11">
        <v>93</v>
      </c>
      <c r="C97" s="13" t="s">
        <v>282</v>
      </c>
      <c r="D97" s="15">
        <v>2</v>
      </c>
      <c r="E97" s="17" t="s">
        <v>42</v>
      </c>
      <c r="F97" s="19" t="s">
        <v>75</v>
      </c>
      <c r="G97" s="19" t="s">
        <v>44</v>
      </c>
      <c r="H97" s="21">
        <v>172</v>
      </c>
      <c r="I97" s="21">
        <v>118</v>
      </c>
      <c r="J97" s="21">
        <v>90</v>
      </c>
      <c r="K97" s="15">
        <f t="shared" si="0"/>
        <v>53.1</v>
      </c>
      <c r="L97" s="15">
        <f t="array" ref="L97">(($H97+Game_Min_IV_Attack)*SQRT(($I97+Game_Min_IV_Defense))*SQRT(($J97+Game_Min_IV_Stamina))*(INDEX(Game_CP_Multipliers,MATCH(Species_Level,Game_Levels,0)))^2)/10</f>
        <v>790.78387929268899</v>
      </c>
      <c r="M97" s="21">
        <f t="array" ref="M97">(($H97+Game_Max_IV_Attack)*SQRT(($I97+Game_Max_IV_Defense))*SQRT(($J97+Game_Max_IV_Stamina))*(INDEX(Game_CP_Multipliers,MATCH(Species_Level,Game_Levels,0)))^2)/10</f>
        <v>985.89162779761841</v>
      </c>
    </row>
    <row r="98" spans="2:13" ht="12.75" x14ac:dyDescent="0.2">
      <c r="B98" s="11">
        <v>94</v>
      </c>
      <c r="C98" s="13" t="s">
        <v>284</v>
      </c>
      <c r="D98" s="15">
        <v>1</v>
      </c>
      <c r="E98" s="17" t="s">
        <v>42</v>
      </c>
      <c r="F98" s="19" t="s">
        <v>75</v>
      </c>
      <c r="G98" s="19" t="s">
        <v>44</v>
      </c>
      <c r="H98" s="21">
        <v>204</v>
      </c>
      <c r="I98" s="21">
        <v>156</v>
      </c>
      <c r="J98" s="21">
        <v>120</v>
      </c>
      <c r="K98" s="15">
        <f t="shared" si="0"/>
        <v>93.6</v>
      </c>
      <c r="L98" s="15">
        <f t="array" ref="L98">(($H98+Game_Min_IV_Attack)*SQRT(($I98+Game_Min_IV_Defense))*SQRT(($J98+Game_Min_IV_Stamina))*(INDEX(Game_CP_Multipliers,MATCH(Species_Level,Game_Levels,0)))^2)/10</f>
        <v>1245.2317677665126</v>
      </c>
      <c r="M98" s="21">
        <f t="array" ref="M98">(($H98+Game_Max_IV_Attack)*SQRT(($I98+Game_Max_IV_Defense))*SQRT(($J98+Game_Max_IV_Stamina))*(INDEX(Game_CP_Multipliers,MATCH(Species_Level,Game_Levels,0)))^2)/10</f>
        <v>1484.4861714202491</v>
      </c>
    </row>
    <row r="99" spans="2:13" ht="12.75" x14ac:dyDescent="0.2">
      <c r="B99" s="11">
        <v>95</v>
      </c>
      <c r="C99" s="13" t="s">
        <v>288</v>
      </c>
      <c r="D99" s="15">
        <v>1</v>
      </c>
      <c r="E99" s="17" t="s">
        <v>42</v>
      </c>
      <c r="F99" s="19" t="s">
        <v>113</v>
      </c>
      <c r="G99" s="19" t="s">
        <v>85</v>
      </c>
      <c r="H99" s="21">
        <v>90</v>
      </c>
      <c r="I99" s="21">
        <v>186</v>
      </c>
      <c r="J99" s="21">
        <v>70</v>
      </c>
      <c r="K99" s="15">
        <f t="shared" si="0"/>
        <v>65.099999999999994</v>
      </c>
      <c r="L99" s="15">
        <f t="array" ref="L99">(($H99+Game_Min_IV_Attack)*SQRT(($I99+Game_Min_IV_Defense))*SQRT(($J99+Game_Min_IV_Stamina))*(INDEX(Game_CP_Multipliers,MATCH(Species_Level,Game_Levels,0)))^2)/10</f>
        <v>458.15781993693309</v>
      </c>
      <c r="M99" s="21">
        <f t="array" ref="M99">(($H99+Game_Max_IV_Attack)*SQRT(($I99+Game_Max_IV_Defense))*SQRT(($J99+Game_Max_IV_Stamina))*(INDEX(Game_CP_Multipliers,MATCH(Species_Level,Game_Levels,0)))^2)/10</f>
        <v>612.29948291917924</v>
      </c>
    </row>
    <row r="100" spans="2:13" ht="12.75" x14ac:dyDescent="0.2">
      <c r="B100" s="11">
        <v>96</v>
      </c>
      <c r="C100" s="13" t="s">
        <v>290</v>
      </c>
      <c r="D100" s="15">
        <v>2</v>
      </c>
      <c r="E100" s="17" t="s">
        <v>42</v>
      </c>
      <c r="F100" s="19" t="s">
        <v>58</v>
      </c>
      <c r="G100" s="19"/>
      <c r="H100" s="21">
        <v>104</v>
      </c>
      <c r="I100" s="21">
        <v>140</v>
      </c>
      <c r="J100" s="21">
        <v>120</v>
      </c>
      <c r="K100" s="15">
        <f t="shared" si="0"/>
        <v>84</v>
      </c>
      <c r="L100" s="15">
        <f t="array" ref="L100">(($H100+Game_Min_IV_Attack)*SQRT(($I100+Game_Min_IV_Defense))*SQRT(($J100+Game_Min_IV_Stamina))*(INDEX(Game_CP_Multipliers,MATCH(Species_Level,Game_Levels,0)))^2)/10</f>
        <v>601.38844892768361</v>
      </c>
      <c r="M100" s="21">
        <f t="array" ref="M100">(($H100+Game_Max_IV_Attack)*SQRT(($I100+Game_Max_IV_Defense))*SQRT(($J100+Game_Max_IV_Stamina))*(INDEX(Game_CP_Multipliers,MATCH(Species_Level,Game_Levels,0)))^2)/10</f>
        <v>767.97449453273373</v>
      </c>
    </row>
    <row r="101" spans="2:13" ht="12.75" x14ac:dyDescent="0.2">
      <c r="B101" s="11">
        <v>97</v>
      </c>
      <c r="C101" s="13" t="s">
        <v>293</v>
      </c>
      <c r="D101" s="15">
        <v>1</v>
      </c>
      <c r="E101" s="17" t="s">
        <v>42</v>
      </c>
      <c r="F101" s="19" t="s">
        <v>58</v>
      </c>
      <c r="G101" s="19"/>
      <c r="H101" s="21">
        <v>162</v>
      </c>
      <c r="I101" s="21">
        <v>196</v>
      </c>
      <c r="J101" s="21">
        <v>170</v>
      </c>
      <c r="K101" s="15">
        <f t="shared" si="0"/>
        <v>166.6</v>
      </c>
      <c r="L101" s="15">
        <f t="array" ref="L101">(($H101+Game_Min_IV_Attack)*SQRT(($I101+Game_Min_IV_Defense))*SQRT(($J101+Game_Min_IV_Stamina))*(INDEX(Game_CP_Multipliers,MATCH(Species_Level,Game_Levels,0)))^2)/10</f>
        <v>1319.2728135244361</v>
      </c>
      <c r="M101" s="21">
        <f t="array" ref="M101">(($H101+Game_Max_IV_Attack)*SQRT(($I101+Game_Max_IV_Defense))*SQRT(($J101+Game_Max_IV_Stamina))*(INDEX(Game_CP_Multipliers,MATCH(Species_Level,Game_Levels,0)))^2)/10</f>
        <v>1560.1539689420401</v>
      </c>
    </row>
    <row r="102" spans="2:13" ht="12.75" x14ac:dyDescent="0.2">
      <c r="B102" s="11">
        <v>98</v>
      </c>
      <c r="C102" s="13" t="s">
        <v>295</v>
      </c>
      <c r="D102" s="15">
        <v>2</v>
      </c>
      <c r="E102" s="17" t="s">
        <v>42</v>
      </c>
      <c r="F102" s="19" t="s">
        <v>66</v>
      </c>
      <c r="G102" s="19"/>
      <c r="H102" s="21">
        <v>116</v>
      </c>
      <c r="I102" s="21">
        <v>110</v>
      </c>
      <c r="J102" s="21">
        <v>60</v>
      </c>
      <c r="K102" s="15">
        <f t="shared" si="0"/>
        <v>33</v>
      </c>
      <c r="L102" s="15">
        <f t="array" ref="L102">(($H102+Game_Min_IV_Attack)*SQRT(($I102+Game_Min_IV_Defense))*SQRT(($J102+Game_Min_IV_Stamina))*(INDEX(Game_CP_Multipliers,MATCH(Species_Level,Game_Levels,0)))^2)/10</f>
        <v>420.43325397679365</v>
      </c>
      <c r="M102" s="21">
        <f t="array" ref="M102">(($H102+Game_Max_IV_Attack)*SQRT(($I102+Game_Max_IV_Defense))*SQRT(($J102+Game_Max_IV_Stamina))*(INDEX(Game_CP_Multipliers,MATCH(Species_Level,Game_Levels,0)))^2)/10</f>
        <v>565.87959742842577</v>
      </c>
    </row>
    <row r="103" spans="2:13" ht="12.75" x14ac:dyDescent="0.2">
      <c r="B103" s="11">
        <v>99</v>
      </c>
      <c r="C103" s="13" t="s">
        <v>298</v>
      </c>
      <c r="D103" s="15">
        <v>1</v>
      </c>
      <c r="E103" s="17" t="s">
        <v>42</v>
      </c>
      <c r="F103" s="19" t="s">
        <v>66</v>
      </c>
      <c r="G103" s="19"/>
      <c r="H103" s="21">
        <v>178</v>
      </c>
      <c r="I103" s="21">
        <v>168</v>
      </c>
      <c r="J103" s="21">
        <v>110</v>
      </c>
      <c r="K103" s="15">
        <f t="shared" si="0"/>
        <v>92.4</v>
      </c>
      <c r="L103" s="15">
        <f t="array" ref="L103">(($H103+Game_Min_IV_Attack)*SQRT(($I103+Game_Min_IV_Defense))*SQRT(($J103+Game_Min_IV_Stamina))*(INDEX(Game_CP_Multipliers,MATCH(Species_Level,Game_Levels,0)))^2)/10</f>
        <v>1079.5383817618911</v>
      </c>
      <c r="M103" s="21">
        <f t="array" ref="M103">(($H103+Game_Max_IV_Attack)*SQRT(($I103+Game_Max_IV_Defense))*SQRT(($J103+Game_Max_IV_Stamina))*(INDEX(Game_CP_Multipliers,MATCH(Species_Level,Game_Levels,0)))^2)/10</f>
        <v>1302.2817738726521</v>
      </c>
    </row>
    <row r="104" spans="2:13" ht="12.75" x14ac:dyDescent="0.2">
      <c r="B104" s="11">
        <v>100</v>
      </c>
      <c r="C104" s="13" t="s">
        <v>301</v>
      </c>
      <c r="D104" s="15">
        <v>2</v>
      </c>
      <c r="E104" s="17" t="s">
        <v>42</v>
      </c>
      <c r="F104" s="19" t="s">
        <v>107</v>
      </c>
      <c r="G104" s="19"/>
      <c r="H104" s="21">
        <v>102</v>
      </c>
      <c r="I104" s="21">
        <v>124</v>
      </c>
      <c r="J104" s="21">
        <v>80</v>
      </c>
      <c r="K104" s="15">
        <f t="shared" si="0"/>
        <v>49.6</v>
      </c>
      <c r="L104" s="15">
        <f t="array" ref="L104">(($H104+Game_Min_IV_Attack)*SQRT(($I104+Game_Min_IV_Defense))*SQRT(($J104+Game_Min_IV_Stamina))*(INDEX(Game_CP_Multipliers,MATCH(Species_Level,Game_Levels,0)))^2)/10</f>
        <v>453.23465563997513</v>
      </c>
      <c r="M104" s="21">
        <f t="array" ref="M104">(($H104+Game_Max_IV_Attack)*SQRT(($I104+Game_Max_IV_Defense))*SQRT(($J104+Game_Max_IV_Stamina))*(INDEX(Game_CP_Multipliers,MATCH(Species_Level,Game_Levels,0)))^2)/10</f>
        <v>599.82169060598369</v>
      </c>
    </row>
    <row r="105" spans="2:13" ht="12.75" x14ac:dyDescent="0.2">
      <c r="B105" s="11">
        <v>101</v>
      </c>
      <c r="C105" s="13" t="s">
        <v>303</v>
      </c>
      <c r="D105" s="15">
        <v>1</v>
      </c>
      <c r="E105" s="17" t="s">
        <v>42</v>
      </c>
      <c r="F105" s="19" t="s">
        <v>107</v>
      </c>
      <c r="G105" s="19"/>
      <c r="H105" s="21">
        <v>150</v>
      </c>
      <c r="I105" s="21">
        <v>174</v>
      </c>
      <c r="J105" s="21">
        <v>120</v>
      </c>
      <c r="K105" s="15">
        <f t="shared" si="0"/>
        <v>104.4</v>
      </c>
      <c r="L105" s="15">
        <f t="array" ref="L105">(($H105+Game_Min_IV_Attack)*SQRT(($I105+Game_Min_IV_Defense))*SQRT(($J105+Game_Min_IV_Stamina))*(INDEX(Game_CP_Multipliers,MATCH(Species_Level,Game_Levels,0)))^2)/10</f>
        <v>966.99361898459176</v>
      </c>
      <c r="M105" s="21">
        <f t="array" ref="M105">(($H105+Game_Max_IV_Attack)*SQRT(($I105+Game_Max_IV_Defense))*SQRT(($J105+Game_Max_IV_Stamina))*(INDEX(Game_CP_Multipliers,MATCH(Species_Level,Game_Levels,0)))^2)/10</f>
        <v>1175.8416313980595</v>
      </c>
    </row>
    <row r="106" spans="2:13" ht="12.75" x14ac:dyDescent="0.2">
      <c r="B106" s="11">
        <v>102</v>
      </c>
      <c r="C106" s="13" t="s">
        <v>305</v>
      </c>
      <c r="D106" s="15">
        <v>2</v>
      </c>
      <c r="E106" s="17" t="s">
        <v>42</v>
      </c>
      <c r="F106" s="19" t="s">
        <v>43</v>
      </c>
      <c r="G106" s="19" t="s">
        <v>58</v>
      </c>
      <c r="H106" s="21">
        <v>110</v>
      </c>
      <c r="I106" s="21">
        <v>132</v>
      </c>
      <c r="J106" s="21">
        <v>120</v>
      </c>
      <c r="K106" s="15">
        <f t="shared" si="0"/>
        <v>79.2</v>
      </c>
      <c r="L106" s="15">
        <f t="array" ref="L106">(($H106+Game_Min_IV_Attack)*SQRT(($I106+Game_Min_IV_Defense))*SQRT(($J106+Game_Min_IV_Stamina))*(INDEX(Game_CP_Multipliers,MATCH(Species_Level,Game_Levels,0)))^2)/10</f>
        <v>617.64278963045047</v>
      </c>
      <c r="M106" s="21">
        <f t="array" ref="M106">(($H106+Game_Max_IV_Attack)*SQRT(($I106+Game_Max_IV_Defense))*SQRT(($J106+Game_Max_IV_Stamina))*(INDEX(Game_CP_Multipliers,MATCH(Species_Level,Game_Levels,0)))^2)/10</f>
        <v>785.60215602922801</v>
      </c>
    </row>
    <row r="107" spans="2:13" ht="12.75" x14ac:dyDescent="0.2">
      <c r="B107" s="11">
        <v>103</v>
      </c>
      <c r="C107" s="13" t="s">
        <v>309</v>
      </c>
      <c r="D107" s="15">
        <v>1</v>
      </c>
      <c r="E107" s="17" t="s">
        <v>42</v>
      </c>
      <c r="F107" s="19" t="s">
        <v>43</v>
      </c>
      <c r="G107" s="19" t="s">
        <v>58</v>
      </c>
      <c r="H107" s="21">
        <v>232</v>
      </c>
      <c r="I107" s="21">
        <v>164</v>
      </c>
      <c r="J107" s="21">
        <v>190</v>
      </c>
      <c r="K107" s="15">
        <f t="shared" si="0"/>
        <v>155.80000000000001</v>
      </c>
      <c r="L107" s="15">
        <f t="array" ref="L107">(($H107+Game_Min_IV_Attack)*SQRT(($I107+Game_Min_IV_Defense))*SQRT(($J107+Game_Min_IV_Stamina))*(INDEX(Game_CP_Multipliers,MATCH(Species_Level,Game_Levels,0)))^2)/10</f>
        <v>1827.0642144099668</v>
      </c>
      <c r="M107" s="21">
        <f t="array" ref="M107">(($H107+Game_Max_IV_Attack)*SQRT(($I107+Game_Max_IV_Defense))*SQRT(($J107+Game_Max_IV_Stamina))*(INDEX(Game_CP_Multipliers,MATCH(Species_Level,Game_Levels,0)))^2)/10</f>
        <v>2110.8992292420103</v>
      </c>
    </row>
    <row r="108" spans="2:13" ht="12.75" x14ac:dyDescent="0.2">
      <c r="B108" s="11">
        <v>104</v>
      </c>
      <c r="C108" s="13" t="s">
        <v>311</v>
      </c>
      <c r="D108" s="15">
        <v>2</v>
      </c>
      <c r="E108" s="17" t="s">
        <v>42</v>
      </c>
      <c r="F108" s="19" t="s">
        <v>85</v>
      </c>
      <c r="G108" s="19"/>
      <c r="H108" s="21">
        <v>102</v>
      </c>
      <c r="I108" s="21">
        <v>150</v>
      </c>
      <c r="J108" s="21">
        <v>100</v>
      </c>
      <c r="K108" s="15">
        <f t="shared" si="0"/>
        <v>75</v>
      </c>
      <c r="L108" s="15">
        <f t="array" ref="L108">(($H108+Game_Min_IV_Attack)*SQRT(($I108+Game_Min_IV_Defense))*SQRT(($J108+Game_Min_IV_Stamina))*(INDEX(Game_CP_Multipliers,MATCH(Species_Level,Game_Levels,0)))^2)/10</f>
        <v>557.33061907751028</v>
      </c>
      <c r="M108" s="21">
        <f t="array" ref="M108">(($H108+Game_Max_IV_Attack)*SQRT(($I108+Game_Max_IV_Defense))*SQRT(($J108+Game_Max_IV_Stamina))*(INDEX(Game_CP_Multipliers,MATCH(Species_Level,Game_Levels,0)))^2)/10</f>
        <v>719.02477700197892</v>
      </c>
    </row>
    <row r="109" spans="2:13" ht="12.75" x14ac:dyDescent="0.2">
      <c r="B109" s="11">
        <v>105</v>
      </c>
      <c r="C109" s="13" t="s">
        <v>313</v>
      </c>
      <c r="D109" s="15">
        <v>1</v>
      </c>
      <c r="E109" s="17" t="s">
        <v>42</v>
      </c>
      <c r="F109" s="19" t="s">
        <v>85</v>
      </c>
      <c r="G109" s="19"/>
      <c r="H109" s="21">
        <v>140</v>
      </c>
      <c r="I109" s="21">
        <v>202</v>
      </c>
      <c r="J109" s="21">
        <v>120</v>
      </c>
      <c r="K109" s="15">
        <f t="shared" si="0"/>
        <v>121.2</v>
      </c>
      <c r="L109" s="15">
        <f t="array" ref="L109">(($H109+Game_Min_IV_Attack)*SQRT(($I109+Game_Min_IV_Defense))*SQRT(($J109+Game_Min_IV_Stamina))*(INDEX(Game_CP_Multipliers,MATCH(Species_Level,Game_Levels,0)))^2)/10</f>
        <v>972.43693422410922</v>
      </c>
      <c r="M109" s="21">
        <f t="array" ref="M109">(($H109+Game_Max_IV_Attack)*SQRT(($I109+Game_Max_IV_Defense))*SQRT(($J109+Game_Max_IV_Stamina))*(INDEX(Game_CP_Multipliers,MATCH(Species_Level,Game_Levels,0)))^2)/10</f>
        <v>1183.5743681704105</v>
      </c>
    </row>
    <row r="110" spans="2:13" ht="12.75" x14ac:dyDescent="0.2">
      <c r="B110" s="11">
        <v>106</v>
      </c>
      <c r="C110" s="13" t="s">
        <v>315</v>
      </c>
      <c r="D110" s="15">
        <v>1</v>
      </c>
      <c r="E110" s="17" t="s">
        <v>42</v>
      </c>
      <c r="F110" s="19" t="s">
        <v>98</v>
      </c>
      <c r="G110" s="19"/>
      <c r="H110" s="21">
        <v>148</v>
      </c>
      <c r="I110" s="21">
        <v>172</v>
      </c>
      <c r="J110" s="21">
        <v>100</v>
      </c>
      <c r="K110" s="15">
        <f t="shared" si="0"/>
        <v>86</v>
      </c>
      <c r="L110" s="15">
        <f t="array" ref="L110">(($H110+Game_Min_IV_Attack)*SQRT(($I110+Game_Min_IV_Defense))*SQRT(($J110+Game_Min_IV_Stamina))*(INDEX(Game_CP_Multipliers,MATCH(Species_Level,Game_Levels,0)))^2)/10</f>
        <v>865.95044730817369</v>
      </c>
      <c r="M110" s="21">
        <f t="array" ref="M110">(($H110+Game_Max_IV_Attack)*SQRT(($I110+Game_Max_IV_Defense))*SQRT(($J110+Game_Max_IV_Stamina))*(INDEX(Game_CP_Multipliers,MATCH(Species_Level,Game_Levels,0)))^2)/10</f>
        <v>1066.4105426032056</v>
      </c>
    </row>
    <row r="111" spans="2:13" ht="12.75" x14ac:dyDescent="0.2">
      <c r="B111" s="11">
        <v>107</v>
      </c>
      <c r="C111" s="13" t="s">
        <v>317</v>
      </c>
      <c r="D111" s="15">
        <v>1</v>
      </c>
      <c r="E111" s="17" t="s">
        <v>42</v>
      </c>
      <c r="F111" s="19" t="s">
        <v>98</v>
      </c>
      <c r="G111" s="19"/>
      <c r="H111" s="21">
        <v>138</v>
      </c>
      <c r="I111" s="21">
        <v>204</v>
      </c>
      <c r="J111" s="21">
        <v>100</v>
      </c>
      <c r="K111" s="15">
        <f t="shared" si="0"/>
        <v>102</v>
      </c>
      <c r="L111" s="15">
        <f t="array" ref="L111">(($H111+Game_Min_IV_Attack)*SQRT(($I111+Game_Min_IV_Defense))*SQRT(($J111+Game_Min_IV_Stamina))*(INDEX(Game_CP_Multipliers,MATCH(Species_Level,Game_Levels,0)))^2)/10</f>
        <v>879.34899618120232</v>
      </c>
      <c r="M111" s="21">
        <f t="array" ref="M111">(($H111+Game_Max_IV_Attack)*SQRT(($I111+Game_Max_IV_Defense))*SQRT(($J111+Game_Max_IV_Stamina))*(INDEX(Game_CP_Multipliers,MATCH(Species_Level,Game_Levels,0)))^2)/10</f>
        <v>1083.2520272222571</v>
      </c>
    </row>
    <row r="112" spans="2:13" ht="12.75" x14ac:dyDescent="0.2">
      <c r="B112" s="11">
        <v>108</v>
      </c>
      <c r="C112" s="13" t="s">
        <v>320</v>
      </c>
      <c r="D112" s="15">
        <v>1</v>
      </c>
      <c r="E112" s="17" t="s">
        <v>42</v>
      </c>
      <c r="F112" s="19" t="s">
        <v>35</v>
      </c>
      <c r="G112" s="19"/>
      <c r="H112" s="21">
        <v>126</v>
      </c>
      <c r="I112" s="21">
        <v>160</v>
      </c>
      <c r="J112" s="21">
        <v>180</v>
      </c>
      <c r="K112" s="15">
        <f t="shared" si="0"/>
        <v>144</v>
      </c>
      <c r="L112" s="15">
        <f t="array" ref="L112">(($H112+Game_Min_IV_Attack)*SQRT(($I112+Game_Min_IV_Defense))*SQRT(($J112+Game_Min_IV_Stamina))*(INDEX(Game_CP_Multipliers,MATCH(Species_Level,Game_Levels,0)))^2)/10</f>
        <v>953.96818475187501</v>
      </c>
      <c r="M112" s="21">
        <f t="array" ref="M112">(($H112+Game_Max_IV_Attack)*SQRT(($I112+Game_Max_IV_Defense))*SQRT(($J112+Game_Max_IV_Stamina))*(INDEX(Game_CP_Multipliers,MATCH(Species_Level,Game_Levels,0)))^2)/10</f>
        <v>1162.0439253271929</v>
      </c>
    </row>
    <row r="113" spans="2:13" ht="12.75" x14ac:dyDescent="0.2">
      <c r="B113" s="11">
        <v>109</v>
      </c>
      <c r="C113" s="13" t="s">
        <v>322</v>
      </c>
      <c r="D113" s="15">
        <v>2</v>
      </c>
      <c r="E113" s="17" t="s">
        <v>42</v>
      </c>
      <c r="F113" s="19" t="s">
        <v>44</v>
      </c>
      <c r="G113" s="19"/>
      <c r="H113" s="21">
        <v>136</v>
      </c>
      <c r="I113" s="21">
        <v>142</v>
      </c>
      <c r="J113" s="21">
        <v>80</v>
      </c>
      <c r="K113" s="15">
        <f t="shared" si="0"/>
        <v>56.8</v>
      </c>
      <c r="L113" s="15">
        <f t="array" ref="L113">(($H113+Game_Min_IV_Attack)*SQRT(($I113+Game_Min_IV_Defense))*SQRT(($J113+Game_Min_IV_Stamina))*(INDEX(Game_CP_Multipliers,MATCH(Species_Level,Game_Levels,0)))^2)/10</f>
        <v>646.68855673379755</v>
      </c>
      <c r="M113" s="21">
        <f t="array" ref="M113">(($H113+Game_Max_IV_Attack)*SQRT(($I113+Game_Max_IV_Defense))*SQRT(($J113+Game_Max_IV_Stamina))*(INDEX(Game_CP_Multipliers,MATCH(Species_Level,Game_Levels,0)))^2)/10</f>
        <v>822.72686379550885</v>
      </c>
    </row>
    <row r="114" spans="2:13" ht="12.75" x14ac:dyDescent="0.2">
      <c r="B114" s="11">
        <v>110</v>
      </c>
      <c r="C114" s="13" t="s">
        <v>323</v>
      </c>
      <c r="D114" s="15">
        <v>1</v>
      </c>
      <c r="E114" s="17" t="s">
        <v>42</v>
      </c>
      <c r="F114" s="19" t="s">
        <v>44</v>
      </c>
      <c r="G114" s="19"/>
      <c r="H114" s="21">
        <v>190</v>
      </c>
      <c r="I114" s="21">
        <v>198</v>
      </c>
      <c r="J114" s="21">
        <v>130</v>
      </c>
      <c r="K114" s="15">
        <f t="shared" si="0"/>
        <v>128.69999999999999</v>
      </c>
      <c r="L114" s="15">
        <f t="array" ref="L114">(($H114+Game_Min_IV_Attack)*SQRT(($I114+Game_Min_IV_Defense))*SQRT(($J114+Game_Min_IV_Stamina))*(INDEX(Game_CP_Multipliers,MATCH(Species_Level,Game_Levels,0)))^2)/10</f>
        <v>1359.956365871715</v>
      </c>
      <c r="M114" s="21">
        <f t="array" ref="M114">(($H114+Game_Max_IV_Attack)*SQRT(($I114+Game_Max_IV_Defense))*SQRT(($J114+Game_Max_IV_Stamina))*(INDEX(Game_CP_Multipliers,MATCH(Species_Level,Game_Levels,0)))^2)/10</f>
        <v>1607.2919365020098</v>
      </c>
    </row>
    <row r="115" spans="2:13" ht="12.75" x14ac:dyDescent="0.2">
      <c r="B115" s="11">
        <v>111</v>
      </c>
      <c r="C115" s="13" t="s">
        <v>324</v>
      </c>
      <c r="D115" s="15">
        <v>2</v>
      </c>
      <c r="E115" s="17" t="s">
        <v>42</v>
      </c>
      <c r="F115" s="19" t="s">
        <v>85</v>
      </c>
      <c r="G115" s="19" t="s">
        <v>113</v>
      </c>
      <c r="H115" s="21">
        <v>110</v>
      </c>
      <c r="I115" s="21">
        <v>116</v>
      </c>
      <c r="J115" s="21">
        <v>160</v>
      </c>
      <c r="K115" s="15">
        <f t="shared" si="0"/>
        <v>92.8</v>
      </c>
      <c r="L115" s="15">
        <f t="array" ref="L115">(($H115+Game_Min_IV_Attack)*SQRT(($I115+Game_Min_IV_Defense))*SQRT(($J115+Game_Min_IV_Stamina))*(INDEX(Game_CP_Multipliers,MATCH(Species_Level,Game_Levels,0)))^2)/10</f>
        <v>668.57290656261137</v>
      </c>
      <c r="M115" s="21">
        <f t="array" ref="M115">(($H115+Game_Max_IV_Attack)*SQRT(($I115+Game_Max_IV_Defense))*SQRT(($J115+Game_Max_IV_Stamina))*(INDEX(Game_CP_Multipliers,MATCH(Species_Level,Game_Levels,0)))^2)/10</f>
        <v>844.36804129126028</v>
      </c>
    </row>
    <row r="116" spans="2:13" ht="12.75" x14ac:dyDescent="0.2">
      <c r="B116" s="11">
        <v>112</v>
      </c>
      <c r="C116" s="13" t="s">
        <v>325</v>
      </c>
      <c r="D116" s="15">
        <v>1</v>
      </c>
      <c r="E116" s="17" t="s">
        <v>42</v>
      </c>
      <c r="F116" s="19" t="s">
        <v>85</v>
      </c>
      <c r="G116" s="19" t="s">
        <v>113</v>
      </c>
      <c r="H116" s="21">
        <v>166</v>
      </c>
      <c r="I116" s="21">
        <v>160</v>
      </c>
      <c r="J116" s="21">
        <v>210</v>
      </c>
      <c r="K116" s="15">
        <f t="shared" si="0"/>
        <v>168</v>
      </c>
      <c r="L116" s="15">
        <f t="array" ref="L116">(($H116+Game_Min_IV_Attack)*SQRT(($I116+Game_Min_IV_Defense))*SQRT(($J116+Game_Min_IV_Stamina))*(INDEX(Game_CP_Multipliers,MATCH(Species_Level,Game_Levels,0)))^2)/10</f>
        <v>1357.5155992390023</v>
      </c>
      <c r="M116" s="21">
        <f t="array" ref="M116">(($H116+Game_Max_IV_Attack)*SQRT(($I116+Game_Max_IV_Defense))*SQRT(($J116+Game_Max_IV_Stamina))*(INDEX(Game_CP_Multipliers,MATCH(Species_Level,Game_Levels,0)))^2)/10</f>
        <v>1602.3447446566884</v>
      </c>
    </row>
    <row r="117" spans="2:13" ht="12.75" x14ac:dyDescent="0.2">
      <c r="B117" s="11">
        <v>113</v>
      </c>
      <c r="C117" s="13" t="s">
        <v>326</v>
      </c>
      <c r="D117" s="15">
        <v>1</v>
      </c>
      <c r="E117" s="17" t="s">
        <v>42</v>
      </c>
      <c r="F117" s="19" t="s">
        <v>35</v>
      </c>
      <c r="G117" s="19"/>
      <c r="H117" s="21">
        <v>40</v>
      </c>
      <c r="I117" s="21">
        <v>60</v>
      </c>
      <c r="J117" s="21">
        <v>500</v>
      </c>
      <c r="K117" s="15">
        <f t="shared" si="0"/>
        <v>150</v>
      </c>
      <c r="L117" s="15">
        <f t="array" ref="L117">(($H117+Game_Min_IV_Attack)*SQRT(($I117+Game_Min_IV_Defense))*SQRT(($J117+Game_Min_IV_Stamina))*(INDEX(Game_CP_Multipliers,MATCH(Species_Level,Game_Levels,0)))^2)/10</f>
        <v>309.09196871576796</v>
      </c>
      <c r="M117" s="21">
        <f t="array" ref="M117">(($H117+Game_Max_IV_Attack)*SQRT(($I117+Game_Max_IV_Defense))*SQRT(($J117+Game_Max_IV_Stamina))*(INDEX(Game_CP_Multipliers,MATCH(Species_Level,Game_Levels,0)))^2)/10</f>
        <v>482.2408962228277</v>
      </c>
    </row>
    <row r="118" spans="2:13" ht="12.75" x14ac:dyDescent="0.2">
      <c r="B118" s="11">
        <v>114</v>
      </c>
      <c r="C118" s="13" t="s">
        <v>327</v>
      </c>
      <c r="D118" s="15">
        <v>1</v>
      </c>
      <c r="E118" s="17" t="s">
        <v>42</v>
      </c>
      <c r="F118" s="19" t="s">
        <v>43</v>
      </c>
      <c r="G118" s="19"/>
      <c r="H118" s="21">
        <v>164</v>
      </c>
      <c r="I118" s="21">
        <v>152</v>
      </c>
      <c r="J118" s="21">
        <v>130</v>
      </c>
      <c r="K118" s="15">
        <f t="shared" si="0"/>
        <v>98.8</v>
      </c>
      <c r="L118" s="15">
        <f t="array" ref="L118">(($H118+Game_Min_IV_Attack)*SQRT(($I118+Game_Min_IV_Defense))*SQRT(($J118+Game_Min_IV_Stamina))*(INDEX(Game_CP_Multipliers,MATCH(Species_Level,Game_Levels,0)))^2)/10</f>
        <v>1028.5002940935615</v>
      </c>
      <c r="M118" s="21">
        <f t="array" ref="M118">(($H118+Game_Max_IV_Attack)*SQRT(($I118+Game_Max_IV_Defense))*SQRT(($J118+Game_Max_IV_Stamina))*(INDEX(Game_CP_Multipliers,MATCH(Species_Level,Game_Levels,0)))^2)/10</f>
        <v>1242.6887585984098</v>
      </c>
    </row>
    <row r="119" spans="2:13" ht="12.75" x14ac:dyDescent="0.2">
      <c r="B119" s="11">
        <v>115</v>
      </c>
      <c r="C119" s="13" t="s">
        <v>328</v>
      </c>
      <c r="D119" s="15">
        <v>1</v>
      </c>
      <c r="E119" s="17" t="s">
        <v>42</v>
      </c>
      <c r="F119" s="19" t="s">
        <v>35</v>
      </c>
      <c r="G119" s="19"/>
      <c r="H119" s="21">
        <v>142</v>
      </c>
      <c r="I119" s="21">
        <v>178</v>
      </c>
      <c r="J119" s="21">
        <v>210</v>
      </c>
      <c r="K119" s="15">
        <f t="shared" si="0"/>
        <v>186.9</v>
      </c>
      <c r="L119" s="15">
        <f t="array" ref="L119">(($H119+Game_Min_IV_Attack)*SQRT(($I119+Game_Min_IV_Defense))*SQRT(($J119+Game_Min_IV_Stamina))*(INDEX(Game_CP_Multipliers,MATCH(Species_Level,Game_Levels,0)))^2)/10</f>
        <v>1224.8279690248605</v>
      </c>
      <c r="M119" s="21">
        <f t="array" ref="M119">(($H119+Game_Max_IV_Attack)*SQRT(($I119+Game_Max_IV_Defense))*SQRT(($J119+Game_Max_IV_Stamina))*(INDEX(Game_CP_Multipliers,MATCH(Species_Level,Game_Levels,0)))^2)/10</f>
        <v>1459.6094551773538</v>
      </c>
    </row>
    <row r="120" spans="2:13" ht="12.75" x14ac:dyDescent="0.2">
      <c r="B120" s="11">
        <v>116</v>
      </c>
      <c r="C120" s="13" t="s">
        <v>329</v>
      </c>
      <c r="D120" s="15">
        <v>2</v>
      </c>
      <c r="E120" s="17" t="s">
        <v>42</v>
      </c>
      <c r="F120" s="19" t="s">
        <v>66</v>
      </c>
      <c r="G120" s="19"/>
      <c r="H120" s="21">
        <v>122</v>
      </c>
      <c r="I120" s="21">
        <v>100</v>
      </c>
      <c r="J120" s="21">
        <v>60</v>
      </c>
      <c r="K120" s="15">
        <f t="shared" si="0"/>
        <v>30</v>
      </c>
      <c r="L120" s="15">
        <f t="array" ref="L120">(($H120+Game_Min_IV_Attack)*SQRT(($I120+Game_Min_IV_Defense))*SQRT(($J120+Game_Min_IV_Stamina))*(INDEX(Game_CP_Multipliers,MATCH(Species_Level,Game_Levels,0)))^2)/10</f>
        <v>421.60189854209432</v>
      </c>
      <c r="M120" s="21">
        <f t="array" ref="M120">(($H120+Game_Max_IV_Attack)*SQRT(($I120+Game_Max_IV_Defense))*SQRT(($J120+Game_Max_IV_Stamina))*(INDEX(Game_CP_Multipliers,MATCH(Species_Level,Game_Levels,0)))^2)/10</f>
        <v>567.63245802947392</v>
      </c>
    </row>
    <row r="121" spans="2:13" ht="12.75" x14ac:dyDescent="0.2">
      <c r="B121" s="11">
        <v>117</v>
      </c>
      <c r="C121" s="13" t="s">
        <v>330</v>
      </c>
      <c r="D121" s="15">
        <v>1</v>
      </c>
      <c r="E121" s="17" t="s">
        <v>42</v>
      </c>
      <c r="F121" s="19" t="s">
        <v>66</v>
      </c>
      <c r="G121" s="19"/>
      <c r="H121" s="21">
        <v>176</v>
      </c>
      <c r="I121" s="21">
        <v>150</v>
      </c>
      <c r="J121" s="21">
        <v>110</v>
      </c>
      <c r="K121" s="15">
        <f t="shared" si="0"/>
        <v>82.5</v>
      </c>
      <c r="L121" s="15">
        <f t="array" ref="L121">(($H121+Game_Min_IV_Attack)*SQRT(($I121+Game_Min_IV_Defense))*SQRT(($J121+Game_Min_IV_Stamina))*(INDEX(Game_CP_Multipliers,MATCH(Species_Level,Game_Levels,0)))^2)/10</f>
        <v>1008.6064519358512</v>
      </c>
      <c r="M121" s="21">
        <f t="array" ref="M121">(($H121+Game_Max_IV_Attack)*SQRT(($I121+Game_Max_IV_Defense))*SQRT(($J121+Game_Max_IV_Stamina))*(INDEX(Game_CP_Multipliers,MATCH(Species_Level,Game_Levels,0)))^2)/10</f>
        <v>1223.7633650938258</v>
      </c>
    </row>
    <row r="122" spans="2:13" ht="12.75" x14ac:dyDescent="0.2">
      <c r="B122" s="11">
        <v>118</v>
      </c>
      <c r="C122" s="13" t="s">
        <v>331</v>
      </c>
      <c r="D122" s="15">
        <v>2</v>
      </c>
      <c r="E122" s="17" t="s">
        <v>42</v>
      </c>
      <c r="F122" s="19" t="s">
        <v>66</v>
      </c>
      <c r="G122" s="19"/>
      <c r="H122" s="21">
        <v>112</v>
      </c>
      <c r="I122" s="21">
        <v>126</v>
      </c>
      <c r="J122" s="21">
        <v>90</v>
      </c>
      <c r="K122" s="15">
        <f t="shared" si="0"/>
        <v>56.7</v>
      </c>
      <c r="L122" s="15">
        <f t="array" ref="L122">(($H122+Game_Min_IV_Attack)*SQRT(($I122+Game_Min_IV_Defense))*SQRT(($J122+Game_Min_IV_Stamina))*(INDEX(Game_CP_Multipliers,MATCH(Species_Level,Game_Levels,0)))^2)/10</f>
        <v>532.09803117811168</v>
      </c>
      <c r="M122" s="21">
        <f t="array" ref="M122">(($H122+Game_Max_IV_Attack)*SQRT(($I122+Game_Max_IV_Defense))*SQRT(($J122+Game_Max_IV_Stamina))*(INDEX(Game_CP_Multipliers,MATCH(Species_Level,Game_Levels,0)))^2)/10</f>
        <v>689.40595244708504</v>
      </c>
    </row>
    <row r="123" spans="2:13" ht="12.75" x14ac:dyDescent="0.2">
      <c r="B123" s="11">
        <v>119</v>
      </c>
      <c r="C123" s="13" t="s">
        <v>332</v>
      </c>
      <c r="D123" s="15">
        <v>1</v>
      </c>
      <c r="E123" s="17" t="s">
        <v>42</v>
      </c>
      <c r="F123" s="19" t="s">
        <v>66</v>
      </c>
      <c r="G123" s="19"/>
      <c r="H123" s="21">
        <v>172</v>
      </c>
      <c r="I123" s="21">
        <v>160</v>
      </c>
      <c r="J123" s="21">
        <v>160</v>
      </c>
      <c r="K123" s="15">
        <f t="shared" si="0"/>
        <v>128</v>
      </c>
      <c r="L123" s="15">
        <f t="array" ref="L123">(($H123+Game_Min_IV_Attack)*SQRT(($I123+Game_Min_IV_Defense))*SQRT(($J123+Game_Min_IV_Stamina))*(INDEX(Game_CP_Multipliers,MATCH(Species_Level,Game_Levels,0)))^2)/10</f>
        <v>1227.7657996357123</v>
      </c>
      <c r="M123" s="21">
        <f t="array" ref="M123">(($H123+Game_Max_IV_Attack)*SQRT(($I123+Game_Max_IV_Defense))*SQRT(($J123+Game_Max_IV_Stamina))*(INDEX(Game_CP_Multipliers,MATCH(Species_Level,Game_Levels,0)))^2)/10</f>
        <v>1459.97949829501</v>
      </c>
    </row>
    <row r="124" spans="2:13" ht="12.75" x14ac:dyDescent="0.2">
      <c r="B124" s="11">
        <v>120</v>
      </c>
      <c r="C124" s="13" t="s">
        <v>334</v>
      </c>
      <c r="D124" s="15">
        <v>2</v>
      </c>
      <c r="E124" s="17" t="s">
        <v>42</v>
      </c>
      <c r="F124" s="19" t="s">
        <v>66</v>
      </c>
      <c r="G124" s="19"/>
      <c r="H124" s="21">
        <v>130</v>
      </c>
      <c r="I124" s="21">
        <v>128</v>
      </c>
      <c r="J124" s="21">
        <v>60</v>
      </c>
      <c r="K124" s="15">
        <f t="shared" si="0"/>
        <v>38.4</v>
      </c>
      <c r="L124" s="15">
        <f t="array" ref="L124">(($H124+Game_Min_IV_Attack)*SQRT(($I124+Game_Min_IV_Defense))*SQRT(($J124+Game_Min_IV_Stamina))*(INDEX(Game_CP_Multipliers,MATCH(Species_Level,Game_Levels,0)))^2)/10</f>
        <v>508.26600635581508</v>
      </c>
      <c r="M124" s="21">
        <f t="array" ref="M124">(($H124+Game_Max_IV_Attack)*SQRT(($I124+Game_Max_IV_Defense))*SQRT(($J124+Game_Max_IV_Stamina))*(INDEX(Game_CP_Multipliers,MATCH(Species_Level,Game_Levels,0)))^2)/10</f>
        <v>669.93667693468194</v>
      </c>
    </row>
    <row r="125" spans="2:13" ht="12.75" x14ac:dyDescent="0.2">
      <c r="B125" s="11">
        <v>121</v>
      </c>
      <c r="C125" s="13" t="s">
        <v>338</v>
      </c>
      <c r="D125" s="15">
        <v>1</v>
      </c>
      <c r="E125" s="17" t="s">
        <v>42</v>
      </c>
      <c r="F125" s="19" t="s">
        <v>66</v>
      </c>
      <c r="G125" s="19" t="s">
        <v>58</v>
      </c>
      <c r="H125" s="21">
        <v>194</v>
      </c>
      <c r="I125" s="21">
        <v>192</v>
      </c>
      <c r="J125" s="21">
        <v>120</v>
      </c>
      <c r="K125" s="15">
        <f t="shared" si="0"/>
        <v>115.2</v>
      </c>
      <c r="L125" s="15">
        <f t="array" ref="L125">(($H125+Game_Min_IV_Attack)*SQRT(($I125+Game_Min_IV_Defense))*SQRT(($J125+Game_Min_IV_Stamina))*(INDEX(Game_CP_Multipliers,MATCH(Species_Level,Game_Levels,0)))^2)/10</f>
        <v>1313.741954408224</v>
      </c>
      <c r="M125" s="21">
        <f t="array" ref="M125">(($H125+Game_Max_IV_Attack)*SQRT(($I125+Game_Max_IV_Defense))*SQRT(($J125+Game_Max_IV_Stamina))*(INDEX(Game_CP_Multipliers,MATCH(Species_Level,Game_Levels,0)))^2)/10</f>
        <v>1558.710443143709</v>
      </c>
    </row>
    <row r="126" spans="2:13" ht="12.75" x14ac:dyDescent="0.2">
      <c r="B126" s="11">
        <v>122</v>
      </c>
      <c r="C126" s="13" t="s">
        <v>339</v>
      </c>
      <c r="D126" s="15">
        <v>1</v>
      </c>
      <c r="E126" s="17" t="s">
        <v>42</v>
      </c>
      <c r="F126" s="19" t="s">
        <v>58</v>
      </c>
      <c r="G126" s="19"/>
      <c r="H126" s="21">
        <v>154</v>
      </c>
      <c r="I126" s="21">
        <v>196</v>
      </c>
      <c r="J126" s="21">
        <v>80</v>
      </c>
      <c r="K126" s="15">
        <f t="shared" si="0"/>
        <v>78.400000000000006</v>
      </c>
      <c r="L126" s="15">
        <f t="array" ref="L126">(($H126+Game_Min_IV_Attack)*SQRT(($I126+Game_Min_IV_Defense))*SQRT(($J126+Game_Min_IV_Stamina))*(INDEX(Game_CP_Multipliers,MATCH(Species_Level,Game_Levels,0)))^2)/10</f>
        <v>860.32164998045243</v>
      </c>
      <c r="M126" s="21">
        <f t="array" ref="M126">(($H126+Game_Max_IV_Attack)*SQRT(($I126+Game_Max_IV_Defense))*SQRT(($J126+Game_Max_IV_Stamina))*(INDEX(Game_CP_Multipliers,MATCH(Species_Level,Game_Levels,0)))^2)/10</f>
        <v>1067.4728473305638</v>
      </c>
    </row>
    <row r="127" spans="2:13" ht="12.75" x14ac:dyDescent="0.2">
      <c r="B127" s="11">
        <v>123</v>
      </c>
      <c r="C127" s="13" t="s">
        <v>340</v>
      </c>
      <c r="D127" s="15">
        <v>1</v>
      </c>
      <c r="E127" s="17" t="s">
        <v>42</v>
      </c>
      <c r="F127" s="19" t="s">
        <v>83</v>
      </c>
      <c r="G127" s="19" t="s">
        <v>70</v>
      </c>
      <c r="H127" s="21">
        <v>176</v>
      </c>
      <c r="I127" s="21">
        <v>180</v>
      </c>
      <c r="J127" s="21">
        <v>140</v>
      </c>
      <c r="K127" s="15">
        <f t="shared" si="0"/>
        <v>126</v>
      </c>
      <c r="L127" s="15">
        <f t="array" ref="L127">(($H127+Game_Min_IV_Attack)*SQRT(($I127+Game_Min_IV_Defense))*SQRT(($J127+Game_Min_IV_Stamina))*(INDEX(Game_CP_Multipliers,MATCH(Species_Level,Game_Levels,0)))^2)/10</f>
        <v>1246.4648621417775</v>
      </c>
      <c r="M127" s="21">
        <f t="array" ref="M127">(($H127+Game_Max_IV_Attack)*SQRT(($I127+Game_Max_IV_Defense))*SQRT(($J127+Game_Max_IV_Stamina))*(INDEX(Game_CP_Multipliers,MATCH(Species_Level,Game_Levels,0)))^2)/10</f>
        <v>1481.4384898954772</v>
      </c>
    </row>
    <row r="128" spans="2:13" ht="12.75" x14ac:dyDescent="0.2">
      <c r="B128" s="11">
        <v>124</v>
      </c>
      <c r="C128" s="13" t="s">
        <v>341</v>
      </c>
      <c r="D128" s="15">
        <v>1</v>
      </c>
      <c r="E128" s="17" t="s">
        <v>42</v>
      </c>
      <c r="F128" s="19" t="s">
        <v>88</v>
      </c>
      <c r="G128" s="19" t="s">
        <v>58</v>
      </c>
      <c r="H128" s="21">
        <v>172</v>
      </c>
      <c r="I128" s="21">
        <v>134</v>
      </c>
      <c r="J128" s="21">
        <v>130</v>
      </c>
      <c r="K128" s="15">
        <f t="shared" si="0"/>
        <v>87.1</v>
      </c>
      <c r="L128" s="15">
        <f t="array" ref="L128">(($H128+Game_Min_IV_Attack)*SQRT(($I128+Game_Min_IV_Defense))*SQRT(($J128+Game_Min_IV_Stamina))*(INDEX(Game_CP_Multipliers,MATCH(Species_Level,Game_Levels,0)))^2)/10</f>
        <v>1012.7905123252401</v>
      </c>
      <c r="M128" s="21">
        <f t="array" ref="M128">(($H128+Game_Max_IV_Attack)*SQRT(($I128+Game_Max_IV_Defense))*SQRT(($J128+Game_Max_IV_Stamina))*(INDEX(Game_CP_Multipliers,MATCH(Species_Level,Game_Levels,0)))^2)/10</f>
        <v>1226.2692666480384</v>
      </c>
    </row>
    <row r="129" spans="2:13" ht="12.75" x14ac:dyDescent="0.2">
      <c r="B129" s="11">
        <v>125</v>
      </c>
      <c r="C129" s="13" t="s">
        <v>342</v>
      </c>
      <c r="D129" s="15">
        <v>1</v>
      </c>
      <c r="E129" s="17" t="s">
        <v>42</v>
      </c>
      <c r="F129" s="19" t="s">
        <v>107</v>
      </c>
      <c r="G129" s="19"/>
      <c r="H129" s="21">
        <v>198</v>
      </c>
      <c r="I129" s="21">
        <v>160</v>
      </c>
      <c r="J129" s="21">
        <v>130</v>
      </c>
      <c r="K129" s="15">
        <f t="shared" si="0"/>
        <v>104</v>
      </c>
      <c r="L129" s="15">
        <f t="array" ref="L129">(($H129+Game_Min_IV_Attack)*SQRT(($I129+Game_Min_IV_Defense))*SQRT(($J129+Game_Min_IV_Stamina))*(INDEX(Game_CP_Multipliers,MATCH(Species_Level,Game_Levels,0)))^2)/10</f>
        <v>1273.9839591276541</v>
      </c>
      <c r="M129" s="21">
        <f t="array" ref="M129">(($H129+Game_Max_IV_Attack)*SQRT(($I129+Game_Max_IV_Defense))*SQRT(($J129+Game_Max_IV_Stamina))*(INDEX(Game_CP_Multipliers,MATCH(Species_Level,Game_Levels,0)))^2)/10</f>
        <v>1513.7345758382494</v>
      </c>
    </row>
    <row r="130" spans="2:13" ht="12.75" x14ac:dyDescent="0.2">
      <c r="B130" s="11">
        <v>126</v>
      </c>
      <c r="C130" s="13" t="s">
        <v>343</v>
      </c>
      <c r="D130" s="15">
        <v>1</v>
      </c>
      <c r="E130" s="17" t="s">
        <v>42</v>
      </c>
      <c r="F130" s="19" t="s">
        <v>72</v>
      </c>
      <c r="G130" s="19"/>
      <c r="H130" s="21">
        <v>214</v>
      </c>
      <c r="I130" s="21">
        <v>158</v>
      </c>
      <c r="J130" s="21">
        <v>130</v>
      </c>
      <c r="K130" s="15">
        <f t="shared" si="0"/>
        <v>102.7</v>
      </c>
      <c r="L130" s="15">
        <f t="array" ref="L130">(($H130+Game_Min_IV_Attack)*SQRT(($I130+Game_Min_IV_Defense))*SQRT(($J130+Game_Min_IV_Stamina))*(INDEX(Game_CP_Multipliers,MATCH(Species_Level,Game_Levels,0)))^2)/10</f>
        <v>1368.2992692450184</v>
      </c>
      <c r="M130" s="21">
        <f t="array" ref="M130">(($H130+Game_Max_IV_Attack)*SQRT(($I130+Game_Max_IV_Defense))*SQRT(($J130+Game_Max_IV_Stamina))*(INDEX(Game_CP_Multipliers,MATCH(Species_Level,Game_Levels,0)))^2)/10</f>
        <v>1618.1159434923577</v>
      </c>
    </row>
    <row r="131" spans="2:13" ht="12.75" x14ac:dyDescent="0.2">
      <c r="B131" s="11">
        <v>127</v>
      </c>
      <c r="C131" s="13" t="s">
        <v>344</v>
      </c>
      <c r="D131" s="15">
        <v>1</v>
      </c>
      <c r="E131" s="17" t="s">
        <v>42</v>
      </c>
      <c r="F131" s="19" t="s">
        <v>83</v>
      </c>
      <c r="G131" s="19"/>
      <c r="H131" s="21">
        <v>184</v>
      </c>
      <c r="I131" s="21">
        <v>186</v>
      </c>
      <c r="J131" s="21">
        <v>130</v>
      </c>
      <c r="K131" s="15">
        <f t="shared" si="0"/>
        <v>120.9</v>
      </c>
      <c r="L131" s="15">
        <f t="array" ref="L131">(($H131+Game_Min_IV_Attack)*SQRT(($I131+Game_Min_IV_Defense))*SQRT(($J131+Game_Min_IV_Stamina))*(INDEX(Game_CP_Multipliers,MATCH(Species_Level,Game_Levels,0)))^2)/10</f>
        <v>1276.477233281528</v>
      </c>
      <c r="M131" s="21">
        <f t="array" ref="M131">(($H131+Game_Max_IV_Attack)*SQRT(($I131+Game_Max_IV_Defense))*SQRT(($J131+Game_Max_IV_Stamina))*(INDEX(Game_CP_Multipliers,MATCH(Species_Level,Game_Levels,0)))^2)/10</f>
        <v>1515.6614624361748</v>
      </c>
    </row>
    <row r="132" spans="2:13" ht="12.75" x14ac:dyDescent="0.2">
      <c r="B132" s="11">
        <v>128</v>
      </c>
      <c r="C132" s="13" t="s">
        <v>345</v>
      </c>
      <c r="D132" s="15">
        <v>1</v>
      </c>
      <c r="E132" s="17" t="s">
        <v>42</v>
      </c>
      <c r="F132" s="19" t="s">
        <v>35</v>
      </c>
      <c r="G132" s="19"/>
      <c r="H132" s="21">
        <v>148</v>
      </c>
      <c r="I132" s="21">
        <v>184</v>
      </c>
      <c r="J132" s="21">
        <v>150</v>
      </c>
      <c r="K132" s="15">
        <f t="shared" si="0"/>
        <v>138</v>
      </c>
      <c r="L132" s="15">
        <f t="array" ref="L132">(($H132+Game_Min_IV_Attack)*SQRT(($I132+Game_Min_IV_Defense))*SQRT(($J132+Game_Min_IV_Stamina))*(INDEX(Game_CP_Multipliers,MATCH(Species_Level,Game_Levels,0)))^2)/10</f>
        <v>1096.941225305703</v>
      </c>
      <c r="M132" s="21">
        <f t="array" ref="M132">(($H132+Game_Max_IV_Attack)*SQRT(($I132+Game_Max_IV_Defense))*SQRT(($J132+Game_Max_IV_Stamina))*(INDEX(Game_CP_Multipliers,MATCH(Species_Level,Game_Levels,0)))^2)/10</f>
        <v>1317.7202401988634</v>
      </c>
    </row>
    <row r="133" spans="2:13" ht="12.75" x14ac:dyDescent="0.2">
      <c r="B133" s="11">
        <v>129</v>
      </c>
      <c r="C133" s="13" t="s">
        <v>346</v>
      </c>
      <c r="D133" s="15">
        <v>2</v>
      </c>
      <c r="E133" s="17" t="s">
        <v>42</v>
      </c>
      <c r="F133" s="19" t="s">
        <v>66</v>
      </c>
      <c r="G133" s="19"/>
      <c r="H133" s="21">
        <v>42</v>
      </c>
      <c r="I133" s="21">
        <v>84</v>
      </c>
      <c r="J133" s="21">
        <v>40</v>
      </c>
      <c r="K133" s="15">
        <f t="shared" si="0"/>
        <v>16.8</v>
      </c>
      <c r="L133" s="15">
        <f t="array" ref="L133">(($H133+Game_Min_IV_Attack)*SQRT(($I133+Game_Min_IV_Defense))*SQRT(($J133+Game_Min_IV_Stamina))*(INDEX(Game_CP_Multipliers,MATCH(Species_Level,Game_Levels,0)))^2)/10</f>
        <v>108.61405579382571</v>
      </c>
      <c r="M133" s="21">
        <f t="array" ref="M133">(($H133+Game_Max_IV_Attack)*SQRT(($I133+Game_Max_IV_Defense))*SQRT(($J133+Game_Max_IV_Stamina))*(INDEX(Game_CP_Multipliers,MATCH(Species_Level,Game_Levels,0)))^2)/10</f>
        <v>187.64668641155276</v>
      </c>
    </row>
    <row r="134" spans="2:13" ht="12.75" x14ac:dyDescent="0.2">
      <c r="B134" s="11">
        <v>130</v>
      </c>
      <c r="C134" s="13" t="s">
        <v>347</v>
      </c>
      <c r="D134" s="15">
        <v>1</v>
      </c>
      <c r="E134" s="17" t="s">
        <v>42</v>
      </c>
      <c r="F134" s="19" t="s">
        <v>66</v>
      </c>
      <c r="G134" s="19" t="s">
        <v>70</v>
      </c>
      <c r="H134" s="21">
        <v>192</v>
      </c>
      <c r="I134" s="21">
        <v>196</v>
      </c>
      <c r="J134" s="21">
        <v>190</v>
      </c>
      <c r="K134" s="15">
        <f t="shared" si="0"/>
        <v>186.2</v>
      </c>
      <c r="L134" s="15">
        <f t="array" ref="L134">(($H134+Game_Min_IV_Attack)*SQRT(($I134+Game_Min_IV_Defense))*SQRT(($J134+Game_Min_IV_Stamina))*(INDEX(Game_CP_Multipliers,MATCH(Species_Level,Game_Levels,0)))^2)/10</f>
        <v>1653.0011925808442</v>
      </c>
      <c r="M134" s="21">
        <f t="array" ref="M134">(($H134+Game_Max_IV_Attack)*SQRT(($I134+Game_Max_IV_Defense))*SQRT(($J134+Game_Max_IV_Stamina))*(INDEX(Game_CP_Multipliers,MATCH(Species_Level,Game_Levels,0)))^2)/10</f>
        <v>1920.6826162528141</v>
      </c>
    </row>
    <row r="135" spans="2:13" ht="12.75" x14ac:dyDescent="0.2">
      <c r="B135" s="11">
        <v>131</v>
      </c>
      <c r="C135" s="13" t="s">
        <v>348</v>
      </c>
      <c r="D135" s="15">
        <v>1</v>
      </c>
      <c r="E135" s="17" t="s">
        <v>42</v>
      </c>
      <c r="F135" s="19" t="s">
        <v>66</v>
      </c>
      <c r="G135" s="19" t="s">
        <v>88</v>
      </c>
      <c r="H135" s="21">
        <v>186</v>
      </c>
      <c r="I135" s="21">
        <v>190</v>
      </c>
      <c r="J135" s="21">
        <v>260</v>
      </c>
      <c r="K135" s="15">
        <f t="shared" si="0"/>
        <v>247</v>
      </c>
      <c r="L135" s="15">
        <f t="array" ref="L135">(($H135+Game_Min_IV_Attack)*SQRT(($I135+Game_Min_IV_Defense))*SQRT(($J135+Game_Min_IV_Stamina))*(INDEX(Game_CP_Multipliers,MATCH(Species_Level,Game_Levels,0)))^2)/10</f>
        <v>1844.3507672222374</v>
      </c>
      <c r="M135" s="21">
        <f t="array" ref="M135">(($H135+Game_Max_IV_Attack)*SQRT(($I135+Game_Max_IV_Defense))*SQRT(($J135+Game_Max_IV_Stamina))*(INDEX(Game_CP_Multipliers,MATCH(Species_Level,Game_Levels,0)))^2)/10</f>
        <v>2129.1508729495472</v>
      </c>
    </row>
    <row r="136" spans="2:13" ht="12.75" x14ac:dyDescent="0.2">
      <c r="B136" s="11">
        <v>132</v>
      </c>
      <c r="C136" s="13" t="s">
        <v>349</v>
      </c>
      <c r="D136" s="15">
        <v>1</v>
      </c>
      <c r="E136" s="17" t="s">
        <v>350</v>
      </c>
      <c r="F136" s="19" t="s">
        <v>35</v>
      </c>
      <c r="G136" s="19"/>
      <c r="H136" s="21">
        <v>110</v>
      </c>
      <c r="I136" s="21">
        <v>110</v>
      </c>
      <c r="J136" s="21">
        <v>96</v>
      </c>
      <c r="K136" s="15">
        <f t="shared" si="0"/>
        <v>52.8</v>
      </c>
      <c r="L136" s="15">
        <f t="array" ref="L136">(($H136+Game_Min_IV_Attack)*SQRT(($I136+Game_Min_IV_Defense))*SQRT(($J136+Game_Min_IV_Stamina))*(INDEX(Game_CP_Multipliers,MATCH(Species_Level,Game_Levels,0)))^2)/10</f>
        <v>504.30322596792558</v>
      </c>
      <c r="M136" s="21">
        <f t="array" ref="M136">(($H136+Game_Max_IV_Attack)*SQRT(($I136+Game_Max_IV_Defense))*SQRT(($J136+Game_Max_IV_Stamina))*(INDEX(Game_CP_Multipliers,MATCH(Species_Level,Game_Levels,0)))^2)/10</f>
        <v>656.891452652265</v>
      </c>
    </row>
    <row r="137" spans="2:13" ht="12.75" x14ac:dyDescent="0.2">
      <c r="B137" s="11">
        <v>133</v>
      </c>
      <c r="C137" s="13" t="s">
        <v>351</v>
      </c>
      <c r="D137" s="15">
        <v>2</v>
      </c>
      <c r="E137" s="17" t="s">
        <v>42</v>
      </c>
      <c r="F137" s="19" t="s">
        <v>35</v>
      </c>
      <c r="G137" s="19"/>
      <c r="H137" s="21">
        <v>114</v>
      </c>
      <c r="I137" s="21">
        <v>128</v>
      </c>
      <c r="J137" s="21">
        <v>110</v>
      </c>
      <c r="K137" s="15">
        <f t="shared" si="0"/>
        <v>70.400000000000006</v>
      </c>
      <c r="L137" s="15">
        <f t="array" ref="L137">(($H137+Game_Min_IV_Attack)*SQRT(($I137+Game_Min_IV_Defense))*SQRT(($J137+Game_Min_IV_Stamina))*(INDEX(Game_CP_Multipliers,MATCH(Species_Level,Game_Levels,0)))^2)/10</f>
        <v>603.49445040543185</v>
      </c>
      <c r="M137" s="21">
        <f t="array" ref="M137">(($H137+Game_Max_IV_Attack)*SQRT(($I137+Game_Max_IV_Defense))*SQRT(($J137+Game_Max_IV_Stamina))*(INDEX(Game_CP_Multipliers,MATCH(Species_Level,Game_Levels,0)))^2)/10</f>
        <v>769.44899648004935</v>
      </c>
    </row>
    <row r="138" spans="2:13" ht="12.75" x14ac:dyDescent="0.2">
      <c r="B138" s="11">
        <v>134</v>
      </c>
      <c r="C138" s="13" t="s">
        <v>352</v>
      </c>
      <c r="D138" s="15">
        <v>1</v>
      </c>
      <c r="E138" s="17" t="s">
        <v>42</v>
      </c>
      <c r="F138" s="19" t="s">
        <v>66</v>
      </c>
      <c r="G138" s="19"/>
      <c r="H138" s="21">
        <v>186</v>
      </c>
      <c r="I138" s="21">
        <v>168</v>
      </c>
      <c r="J138" s="21">
        <v>260</v>
      </c>
      <c r="K138" s="15">
        <f t="shared" si="0"/>
        <v>218.4</v>
      </c>
      <c r="L138" s="15">
        <f t="array" ref="L138">(($H138+Game_Min_IV_Attack)*SQRT(($I138+Game_Min_IV_Defense))*SQRT(($J138+Game_Min_IV_Stamina))*(INDEX(Game_CP_Multipliers,MATCH(Species_Level,Game_Levels,0)))^2)/10</f>
        <v>1734.2885670604428</v>
      </c>
      <c r="M138" s="21">
        <f t="array" ref="M138">(($H138+Game_Max_IV_Attack)*SQRT(($I138+Game_Max_IV_Defense))*SQRT(($J138+Game_Max_IV_Stamina))*(INDEX(Game_CP_Multipliers,MATCH(Species_Level,Game_Levels,0)))^2)/10</f>
        <v>2011.6621806782284</v>
      </c>
    </row>
    <row r="139" spans="2:13" ht="12.75" x14ac:dyDescent="0.2">
      <c r="B139" s="11">
        <v>135</v>
      </c>
      <c r="C139" s="13" t="s">
        <v>353</v>
      </c>
      <c r="D139" s="15">
        <v>1</v>
      </c>
      <c r="E139" s="17" t="s">
        <v>42</v>
      </c>
      <c r="F139" s="19" t="s">
        <v>107</v>
      </c>
      <c r="G139" s="19"/>
      <c r="H139" s="21">
        <v>192</v>
      </c>
      <c r="I139" s="21">
        <v>174</v>
      </c>
      <c r="J139" s="21">
        <v>130</v>
      </c>
      <c r="K139" s="15">
        <f t="shared" si="0"/>
        <v>113.1</v>
      </c>
      <c r="L139" s="15">
        <f t="array" ref="L139">(($H139+Game_Min_IV_Attack)*SQRT(($I139+Game_Min_IV_Defense))*SQRT(($J139+Game_Min_IV_Stamina))*(INDEX(Game_CP_Multipliers,MATCH(Species_Level,Game_Levels,0)))^2)/10</f>
        <v>1288.2929525381967</v>
      </c>
      <c r="M139" s="21">
        <f t="array" ref="M139">(($H139+Game_Max_IV_Attack)*SQRT(($I139+Game_Max_IV_Defense))*SQRT(($J139+Game_Max_IV_Stamina))*(INDEX(Game_CP_Multipliers,MATCH(Species_Level,Game_Levels,0)))^2)/10</f>
        <v>1528.8059021599813</v>
      </c>
    </row>
    <row r="140" spans="2:13" ht="12.75" x14ac:dyDescent="0.2">
      <c r="B140" s="11">
        <v>136</v>
      </c>
      <c r="C140" s="13" t="s">
        <v>354</v>
      </c>
      <c r="D140" s="15">
        <v>1</v>
      </c>
      <c r="E140" s="17" t="s">
        <v>42</v>
      </c>
      <c r="F140" s="19" t="s">
        <v>72</v>
      </c>
      <c r="G140" s="19"/>
      <c r="H140" s="21">
        <v>238</v>
      </c>
      <c r="I140" s="21">
        <v>178</v>
      </c>
      <c r="J140" s="21">
        <v>130</v>
      </c>
      <c r="K140" s="15">
        <f t="shared" si="0"/>
        <v>115.7</v>
      </c>
      <c r="L140" s="15">
        <f t="array" ref="L140">(($H140+Game_Min_IV_Attack)*SQRT(($I140+Game_Min_IV_Defense))*SQRT(($J140+Game_Min_IV_Stamina))*(INDEX(Game_CP_Multipliers,MATCH(Species_Level,Game_Levels,0)))^2)/10</f>
        <v>1615.1978818421237</v>
      </c>
      <c r="M140" s="21">
        <f t="array" ref="M140">(($H140+Game_Max_IV_Attack)*SQRT(($I140+Game_Max_IV_Defense))*SQRT(($J140+Game_Max_IV_Stamina))*(INDEX(Game_CP_Multipliers,MATCH(Species_Level,Game_Levels,0)))^2)/10</f>
        <v>1888.2099369691095</v>
      </c>
    </row>
    <row r="141" spans="2:13" ht="12.75" x14ac:dyDescent="0.2">
      <c r="B141" s="11">
        <v>137</v>
      </c>
      <c r="C141" s="13" t="s">
        <v>355</v>
      </c>
      <c r="D141" s="15">
        <v>1</v>
      </c>
      <c r="E141" s="17" t="s">
        <v>42</v>
      </c>
      <c r="F141" s="19" t="s">
        <v>35</v>
      </c>
      <c r="G141" s="19"/>
      <c r="H141" s="21">
        <v>156</v>
      </c>
      <c r="I141" s="21">
        <v>158</v>
      </c>
      <c r="J141" s="21">
        <v>130</v>
      </c>
      <c r="K141" s="15">
        <f t="shared" si="0"/>
        <v>102.7</v>
      </c>
      <c r="L141" s="15">
        <f t="array" ref="L141">(($H141+Game_Min_IV_Attack)*SQRT(($I141+Game_Min_IV_Defense))*SQRT(($J141+Game_Min_IV_Stamina))*(INDEX(Game_CP_Multipliers,MATCH(Species_Level,Game_Levels,0)))^2)/10</f>
        <v>997.45180374870506</v>
      </c>
      <c r="M141" s="21">
        <f t="array" ref="M141">(($H141+Game_Max_IV_Attack)*SQRT(($I141+Game_Max_IV_Defense))*SQRT(($J141+Game_Max_IV_Stamina))*(INDEX(Game_CP_Multipliers,MATCH(Species_Level,Game_Levels,0)))^2)/10</f>
        <v>1208.2874512541187</v>
      </c>
    </row>
    <row r="142" spans="2:13" ht="12.75" x14ac:dyDescent="0.2">
      <c r="B142" s="11">
        <v>138</v>
      </c>
      <c r="C142" s="13" t="s">
        <v>356</v>
      </c>
      <c r="D142" s="15">
        <v>2</v>
      </c>
      <c r="E142" s="17" t="s">
        <v>42</v>
      </c>
      <c r="F142" s="19" t="s">
        <v>113</v>
      </c>
      <c r="G142" s="19" t="s">
        <v>66</v>
      </c>
      <c r="H142" s="21">
        <v>132</v>
      </c>
      <c r="I142" s="21">
        <v>160</v>
      </c>
      <c r="J142" s="21">
        <v>70</v>
      </c>
      <c r="K142" s="15">
        <f t="shared" si="0"/>
        <v>56</v>
      </c>
      <c r="L142" s="15">
        <f t="array" ref="L142">(($H142+Game_Min_IV_Attack)*SQRT(($I142+Game_Min_IV_Defense))*SQRT(($J142+Game_Min_IV_Stamina))*(INDEX(Game_CP_Multipliers,MATCH(Species_Level,Game_Levels,0)))^2)/10</f>
        <v>623.23243107088888</v>
      </c>
      <c r="M142" s="21">
        <f t="array" ref="M142">(($H142+Game_Max_IV_Attack)*SQRT(($I142+Game_Max_IV_Defense))*SQRT(($J142+Game_Max_IV_Stamina))*(INDEX(Game_CP_Multipliers,MATCH(Species_Level,Game_Levels,0)))^2)/10</f>
        <v>799.85805729759772</v>
      </c>
    </row>
    <row r="143" spans="2:13" ht="12.75" x14ac:dyDescent="0.2">
      <c r="B143" s="11">
        <v>139</v>
      </c>
      <c r="C143" s="13" t="s">
        <v>357</v>
      </c>
      <c r="D143" s="15">
        <v>1</v>
      </c>
      <c r="E143" s="17" t="s">
        <v>42</v>
      </c>
      <c r="F143" s="19" t="s">
        <v>113</v>
      </c>
      <c r="G143" s="19" t="s">
        <v>66</v>
      </c>
      <c r="H143" s="21">
        <v>180</v>
      </c>
      <c r="I143" s="21">
        <v>202</v>
      </c>
      <c r="J143" s="21">
        <v>140</v>
      </c>
      <c r="K143" s="15">
        <f t="shared" si="0"/>
        <v>141.4</v>
      </c>
      <c r="L143" s="15">
        <f t="array" ref="L143">(($H143+Game_Min_IV_Attack)*SQRT(($I143+Game_Min_IV_Defense))*SQRT(($J143+Game_Min_IV_Stamina))*(INDEX(Game_CP_Multipliers,MATCH(Species_Level,Game_Levels,0)))^2)/10</f>
        <v>1350.4524891988183</v>
      </c>
      <c r="M143" s="21">
        <f t="array" ref="M143">(($H143+Game_Max_IV_Attack)*SQRT(($I143+Game_Max_IV_Defense))*SQRT(($J143+Game_Max_IV_Stamina))*(INDEX(Game_CP_Multipliers,MATCH(Species_Level,Game_Levels,0)))^2)/10</f>
        <v>1595.5022809879392</v>
      </c>
    </row>
    <row r="144" spans="2:13" ht="12.75" x14ac:dyDescent="0.2">
      <c r="B144" s="11">
        <v>140</v>
      </c>
      <c r="C144" s="13" t="s">
        <v>358</v>
      </c>
      <c r="D144" s="15">
        <v>2</v>
      </c>
      <c r="E144" s="17" t="s">
        <v>42</v>
      </c>
      <c r="F144" s="19" t="s">
        <v>113</v>
      </c>
      <c r="G144" s="19" t="s">
        <v>66</v>
      </c>
      <c r="H144" s="21">
        <v>148</v>
      </c>
      <c r="I144" s="21">
        <v>142</v>
      </c>
      <c r="J144" s="21">
        <v>60</v>
      </c>
      <c r="K144" s="15">
        <f t="shared" si="0"/>
        <v>42.6</v>
      </c>
      <c r="L144" s="15">
        <f t="array" ref="L144">(($H144+Game_Min_IV_Attack)*SQRT(($I144+Game_Min_IV_Defense))*SQRT(($J144+Game_Min_IV_Stamina))*(INDEX(Game_CP_Multipliers,MATCH(Species_Level,Game_Levels,0)))^2)/10</f>
        <v>609.46478186241256</v>
      </c>
      <c r="M144" s="21">
        <f t="array" ref="M144">(($H144+Game_Max_IV_Attack)*SQRT(($I144+Game_Max_IV_Defense))*SQRT(($J144+Game_Max_IV_Stamina))*(INDEX(Game_CP_Multipliers,MATCH(Species_Level,Game_Levels,0)))^2)/10</f>
        <v>789.10567071714206</v>
      </c>
    </row>
    <row r="145" spans="2:13" ht="12.75" x14ac:dyDescent="0.2">
      <c r="B145" s="11">
        <v>141</v>
      </c>
      <c r="C145" s="13" t="s">
        <v>359</v>
      </c>
      <c r="D145" s="15">
        <v>1</v>
      </c>
      <c r="E145" s="17" t="s">
        <v>42</v>
      </c>
      <c r="F145" s="19" t="s">
        <v>113</v>
      </c>
      <c r="G145" s="19" t="s">
        <v>66</v>
      </c>
      <c r="H145" s="21">
        <v>190</v>
      </c>
      <c r="I145" s="21">
        <v>190</v>
      </c>
      <c r="J145" s="21">
        <v>120</v>
      </c>
      <c r="K145" s="15">
        <f t="shared" si="0"/>
        <v>114</v>
      </c>
      <c r="L145" s="15">
        <f t="array" ref="L145">(($H145+Game_Min_IV_Attack)*SQRT(($I145+Game_Min_IV_Defense))*SQRT(($J145+Game_Min_IV_Stamina))*(INDEX(Game_CP_Multipliers,MATCH(Species_Level,Game_Levels,0)))^2)/10</f>
        <v>1279.9356230974643</v>
      </c>
      <c r="M145" s="21">
        <f t="array" ref="M145">(($H145+Game_Max_IV_Attack)*SQRT(($I145+Game_Max_IV_Defense))*SQRT(($J145+Game_Max_IV_Stamina))*(INDEX(Game_CP_Multipliers,MATCH(Species_Level,Game_Levels,0)))^2)/10</f>
        <v>1521.4748500438229</v>
      </c>
    </row>
    <row r="146" spans="2:13" ht="12.75" x14ac:dyDescent="0.2">
      <c r="B146" s="11">
        <v>142</v>
      </c>
      <c r="C146" s="13" t="s">
        <v>360</v>
      </c>
      <c r="D146" s="15">
        <v>1</v>
      </c>
      <c r="E146" s="17" t="s">
        <v>42</v>
      </c>
      <c r="F146" s="19" t="s">
        <v>113</v>
      </c>
      <c r="G146" s="19" t="s">
        <v>70</v>
      </c>
      <c r="H146" s="21">
        <v>182</v>
      </c>
      <c r="I146" s="21">
        <v>162</v>
      </c>
      <c r="J146" s="21">
        <v>160</v>
      </c>
      <c r="K146" s="15">
        <f t="shared" si="0"/>
        <v>129.6</v>
      </c>
      <c r="L146" s="15">
        <f t="array" ref="L146">(($H146+Game_Min_IV_Attack)*SQRT(($I146+Game_Min_IV_Defense))*SQRT(($J146+Game_Min_IV_Stamina))*(INDEX(Game_CP_Multipliers,MATCH(Species_Level,Game_Levels,0)))^2)/10</f>
        <v>1307.2419876326355</v>
      </c>
      <c r="M146" s="21">
        <f t="array" ref="M146">(($H146+Game_Max_IV_Attack)*SQRT(($I146+Game_Max_IV_Defense))*SQRT(($J146+Game_Max_IV_Stamina))*(INDEX(Game_CP_Multipliers,MATCH(Species_Level,Game_Levels,0)))^2)/10</f>
        <v>1546.8171754771943</v>
      </c>
    </row>
    <row r="147" spans="2:13" ht="12.75" x14ac:dyDescent="0.2">
      <c r="B147" s="11">
        <v>143</v>
      </c>
      <c r="C147" s="13" t="s">
        <v>127</v>
      </c>
      <c r="D147" s="15">
        <v>1</v>
      </c>
      <c r="E147" s="17" t="s">
        <v>42</v>
      </c>
      <c r="F147" s="19" t="s">
        <v>35</v>
      </c>
      <c r="G147" s="16"/>
      <c r="H147" s="21">
        <v>180</v>
      </c>
      <c r="I147" s="21">
        <v>180</v>
      </c>
      <c r="J147" s="21">
        <v>320</v>
      </c>
      <c r="K147" s="15">
        <f t="shared" si="0"/>
        <v>288</v>
      </c>
      <c r="L147" s="15">
        <f t="array" ref="L147">(($H147+Game_Min_IV_Attack)*SQRT(($I147+Game_Min_IV_Defense))*SQRT(($J147+Game_Min_IV_Stamina))*(INDEX(Game_CP_Multipliers,MATCH(Species_Level,Game_Levels,0)))^2)/10</f>
        <v>1927.30677849792</v>
      </c>
      <c r="M147" s="21">
        <f t="array" ref="M147">(($H147+Game_Max_IV_Attack)*SQRT(($I147+Game_Max_IV_Defense))*SQRT(($J147+Game_Max_IV_Stamina))*(INDEX(Game_CP_Multipliers,MATCH(Species_Level,Game_Levels,0)))^2)/10</f>
        <v>2223.5219579922787</v>
      </c>
    </row>
    <row r="148" spans="2:13" ht="12.75" x14ac:dyDescent="0.2">
      <c r="B148" s="11">
        <v>144</v>
      </c>
      <c r="C148" s="13" t="s">
        <v>361</v>
      </c>
      <c r="D148" s="15">
        <v>1</v>
      </c>
      <c r="E148" s="17" t="s">
        <v>350</v>
      </c>
      <c r="F148" s="19" t="s">
        <v>88</v>
      </c>
      <c r="G148" s="19" t="s">
        <v>70</v>
      </c>
      <c r="H148" s="21">
        <v>198</v>
      </c>
      <c r="I148" s="21">
        <v>242</v>
      </c>
      <c r="J148" s="21">
        <v>180</v>
      </c>
      <c r="K148" s="15">
        <f t="shared" si="0"/>
        <v>217.8</v>
      </c>
      <c r="L148" s="15">
        <f t="array" ref="L148">(($H148+Game_Min_IV_Attack)*SQRT(($I148+Game_Min_IV_Defense))*SQRT(($J148+Game_Min_IV_Stamina))*(INDEX(Game_CP_Multipliers,MATCH(Species_Level,Game_Levels,0)))^2)/10</f>
        <v>1843.6404489053555</v>
      </c>
      <c r="M148" s="21">
        <f t="array" ref="M148">(($H148+Game_Max_IV_Attack)*SQRT(($I148+Game_Max_IV_Defense))*SQRT(($J148+Game_Max_IV_Stamina))*(INDEX(Game_CP_Multipliers,MATCH(Species_Level,Game_Levels,0)))^2)/10</f>
        <v>2127.3089772735379</v>
      </c>
    </row>
    <row r="149" spans="2:13" ht="12.75" x14ac:dyDescent="0.2">
      <c r="B149" s="11">
        <v>145</v>
      </c>
      <c r="C149" s="13" t="s">
        <v>362</v>
      </c>
      <c r="D149" s="15">
        <v>1</v>
      </c>
      <c r="E149" s="17" t="s">
        <v>350</v>
      </c>
      <c r="F149" s="19" t="s">
        <v>107</v>
      </c>
      <c r="G149" s="19" t="s">
        <v>70</v>
      </c>
      <c r="H149" s="21">
        <v>232</v>
      </c>
      <c r="I149" s="21">
        <v>194</v>
      </c>
      <c r="J149" s="21">
        <v>180</v>
      </c>
      <c r="K149" s="15">
        <f t="shared" si="0"/>
        <v>174.6</v>
      </c>
      <c r="L149" s="15">
        <f t="array" ref="L149">(($H149+Game_Min_IV_Attack)*SQRT(($I149+Game_Min_IV_Defense))*SQRT(($J149+Game_Min_IV_Stamina))*(INDEX(Game_CP_Multipliers,MATCH(Species_Level,Game_Levels,0)))^2)/10</f>
        <v>1934.1591403061273</v>
      </c>
      <c r="M149" s="21">
        <f t="array" ref="M149">(($H149+Game_Max_IV_Attack)*SQRT(($I149+Game_Max_IV_Defense))*SQRT(($J149+Game_Max_IV_Stamina))*(INDEX(Game_CP_Multipliers,MATCH(Species_Level,Game_Levels,0)))^2)/10</f>
        <v>2224.6131703301871</v>
      </c>
    </row>
    <row r="150" spans="2:13" ht="12.75" x14ac:dyDescent="0.2">
      <c r="B150" s="11">
        <v>146</v>
      </c>
      <c r="C150" s="13" t="s">
        <v>363</v>
      </c>
      <c r="D150" s="15">
        <v>1</v>
      </c>
      <c r="E150" s="17" t="s">
        <v>350</v>
      </c>
      <c r="F150" s="19" t="s">
        <v>72</v>
      </c>
      <c r="G150" s="19" t="s">
        <v>70</v>
      </c>
      <c r="H150" s="21">
        <v>242</v>
      </c>
      <c r="I150" s="21">
        <v>194</v>
      </c>
      <c r="J150" s="21">
        <v>180</v>
      </c>
      <c r="K150" s="15">
        <f t="shared" si="0"/>
        <v>174.6</v>
      </c>
      <c r="L150" s="15">
        <f t="array" ref="L150">(($H150+Game_Min_IV_Attack)*SQRT(($I150+Game_Min_IV_Defense))*SQRT(($J150+Game_Min_IV_Stamina))*(INDEX(Game_CP_Multipliers,MATCH(Species_Level,Game_Levels,0)))^2)/10</f>
        <v>2017.5280687675981</v>
      </c>
      <c r="M150" s="21">
        <f t="array" ref="M150">(($H150+Game_Max_IV_Attack)*SQRT(($I150+Game_Max_IV_Defense))*SQRT(($J150+Game_Max_IV_Stamina))*(INDEX(Game_CP_Multipliers,MATCH(Species_Level,Game_Levels,0)))^2)/10</f>
        <v>2314.6784808698708</v>
      </c>
    </row>
    <row r="151" spans="2:13" ht="12.75" x14ac:dyDescent="0.2">
      <c r="B151" s="11">
        <v>147</v>
      </c>
      <c r="C151" s="13" t="s">
        <v>364</v>
      </c>
      <c r="D151" s="15">
        <v>3</v>
      </c>
      <c r="E151" s="17" t="s">
        <v>42</v>
      </c>
      <c r="F151" s="19" t="s">
        <v>63</v>
      </c>
      <c r="G151" s="19"/>
      <c r="H151" s="21">
        <v>128</v>
      </c>
      <c r="I151" s="21">
        <v>110</v>
      </c>
      <c r="J151" s="21">
        <v>82</v>
      </c>
      <c r="K151" s="15">
        <f t="shared" si="0"/>
        <v>45.1</v>
      </c>
      <c r="L151" s="15">
        <f t="array" ref="L151">(($H151+Game_Min_IV_Attack)*SQRT(($I151+Game_Min_IV_Defense))*SQRT(($J151+Game_Min_IV_Stamina))*(INDEX(Game_CP_Multipliers,MATCH(Species_Level,Game_Levels,0)))^2)/10</f>
        <v>542.35086912943677</v>
      </c>
      <c r="M151" s="21">
        <f t="array" ref="M151">(($H151+Game_Max_IV_Attack)*SQRT(($I151+Game_Max_IV_Defense))*SQRT(($J151+Game_Max_IV_Stamina))*(INDEX(Game_CP_Multipliers,MATCH(Species_Level,Game_Levels,0)))^2)/10</f>
        <v>702.49625464306757</v>
      </c>
    </row>
    <row r="152" spans="2:13" ht="12.75" x14ac:dyDescent="0.2">
      <c r="B152" s="11">
        <v>148</v>
      </c>
      <c r="C152" s="13" t="s">
        <v>365</v>
      </c>
      <c r="D152" s="15">
        <v>2</v>
      </c>
      <c r="E152" s="17" t="s">
        <v>42</v>
      </c>
      <c r="F152" s="19" t="s">
        <v>63</v>
      </c>
      <c r="G152" s="19"/>
      <c r="H152" s="21">
        <v>170</v>
      </c>
      <c r="I152" s="21">
        <v>152</v>
      </c>
      <c r="J152" s="21">
        <v>122</v>
      </c>
      <c r="K152" s="15">
        <f t="shared" si="0"/>
        <v>92.72</v>
      </c>
      <c r="L152" s="15">
        <f t="array" ref="L152">(($H152+Game_Min_IV_Attack)*SQRT(($I152+Game_Min_IV_Defense))*SQRT(($J152+Game_Min_IV_Stamina))*(INDEX(Game_CP_Multipliers,MATCH(Species_Level,Game_Levels,0)))^2)/10</f>
        <v>1032.803575425103</v>
      </c>
      <c r="M152" s="21">
        <f t="array" ref="M152">(($H152+Game_Max_IV_Attack)*SQRT(($I152+Game_Max_IV_Defense))*SQRT(($J152+Game_Max_IV_Stamina))*(INDEX(Game_CP_Multipliers,MATCH(Species_Level,Game_Levels,0)))^2)/10</f>
        <v>1248.4103185257284</v>
      </c>
    </row>
    <row r="153" spans="2:13" ht="12.75" x14ac:dyDescent="0.2">
      <c r="B153" s="11">
        <v>149</v>
      </c>
      <c r="C153" s="13" t="s">
        <v>204</v>
      </c>
      <c r="D153" s="15">
        <v>1</v>
      </c>
      <c r="E153" s="17" t="s">
        <v>42</v>
      </c>
      <c r="F153" s="19" t="s">
        <v>63</v>
      </c>
      <c r="G153" s="19" t="s">
        <v>70</v>
      </c>
      <c r="H153" s="21">
        <v>250</v>
      </c>
      <c r="I153" s="21">
        <v>212</v>
      </c>
      <c r="J153" s="21">
        <v>182</v>
      </c>
      <c r="K153" s="15">
        <f t="shared" si="0"/>
        <v>192.92</v>
      </c>
      <c r="L153" s="15">
        <f t="array" ref="L153">(($H153+Game_Min_IV_Attack)*SQRT(($I153+Game_Min_IV_Defense))*SQRT(($J153+Game_Min_IV_Stamina))*(INDEX(Game_CP_Multipliers,MATCH(Species_Level,Game_Levels,0)))^2)/10</f>
        <v>2190.8403710959633</v>
      </c>
      <c r="M153" s="21">
        <f t="array" ref="M153">(($H153+Game_Max_IV_Attack)*SQRT(($I153+Game_Max_IV_Defense))*SQRT(($J153+Game_Max_IV_Stamina))*(INDEX(Game_CP_Multipliers,MATCH(Species_Level,Game_Levels,0)))^2)/10</f>
        <v>2500.1094268988336</v>
      </c>
    </row>
    <row r="154" spans="2:13" ht="12.75" x14ac:dyDescent="0.2">
      <c r="B154" s="11">
        <v>150</v>
      </c>
      <c r="C154" s="13" t="s">
        <v>366</v>
      </c>
      <c r="D154" s="15">
        <v>1</v>
      </c>
      <c r="E154" s="17" t="s">
        <v>350</v>
      </c>
      <c r="F154" s="19" t="s">
        <v>58</v>
      </c>
      <c r="G154" s="19"/>
      <c r="H154" s="21">
        <v>284</v>
      </c>
      <c r="I154" s="21">
        <v>202</v>
      </c>
      <c r="J154" s="21">
        <v>212</v>
      </c>
      <c r="K154" s="15">
        <f t="shared" si="0"/>
        <v>214.12</v>
      </c>
      <c r="L154" s="15">
        <f t="array" ref="L154">(($H154+Game_Min_IV_Attack)*SQRT(($I154+Game_Min_IV_Defense))*SQRT(($J154+Game_Min_IV_Stamina))*(INDEX(Game_CP_Multipliers,MATCH(Species_Level,Game_Levels,0)))^2)/10</f>
        <v>2621.9780839372202</v>
      </c>
      <c r="M154" s="15">
        <f t="array" ref="M154">(($H154+Game_Max_IV_Attack)*SQRT(($I154+Game_Max_IV_Defense))*SQRT(($J154+Game_Max_IV_Stamina))*(INDEX(Game_CP_Multipliers,MATCH(Species_Level,Game_Levels,0)))^2)/10</f>
        <v>2960.6092103942137</v>
      </c>
    </row>
    <row r="155" spans="2:13" ht="12.75" x14ac:dyDescent="0.2">
      <c r="B155" s="11">
        <v>151</v>
      </c>
      <c r="C155" s="13" t="s">
        <v>367</v>
      </c>
      <c r="D155" s="15">
        <v>1</v>
      </c>
      <c r="E155" s="17" t="s">
        <v>350</v>
      </c>
      <c r="F155" s="19" t="s">
        <v>58</v>
      </c>
      <c r="G155" s="19"/>
      <c r="H155" s="21">
        <v>220</v>
      </c>
      <c r="I155" s="21">
        <v>220</v>
      </c>
      <c r="J155" s="21">
        <v>200</v>
      </c>
      <c r="K155" s="15">
        <f t="shared" si="0"/>
        <v>220</v>
      </c>
      <c r="L155" s="15">
        <f t="array" ref="L155">(($H155+Game_Min_IV_Attack)*SQRT(($I155+Game_Min_IV_Defense))*SQRT(($J155+Game_Min_IV_Stamina))*(INDEX(Game_CP_Multipliers,MATCH(Species_Level,Game_Levels,0)))^2)/10</f>
        <v>2058.8092987681684</v>
      </c>
      <c r="M155" s="21">
        <f t="array" ref="M155">(($H155+Game_Max_IV_Attack)*SQRT(($I155+Game_Max_IV_Defense))*SQRT(($J155+Game_Max_IV_Stamina))*(INDEX(Game_CP_Multipliers,MATCH(Species_Level,Game_Levels,0)))^2)/10</f>
        <v>2356.6122203290392</v>
      </c>
    </row>
    <row r="156" spans="2:13" ht="12.75" x14ac:dyDescent="0.2">
      <c r="K156" s="47"/>
    </row>
    <row r="157" spans="2:13" ht="12.75" x14ac:dyDescent="0.2">
      <c r="K157" s="47"/>
    </row>
    <row r="158" spans="2:13" ht="12.75" x14ac:dyDescent="0.2">
      <c r="K158" s="47"/>
    </row>
    <row r="159" spans="2:13" ht="12.75" x14ac:dyDescent="0.2">
      <c r="K159" s="47"/>
    </row>
    <row r="160" spans="2:13" ht="12.75" x14ac:dyDescent="0.2">
      <c r="K160" s="47"/>
    </row>
    <row r="161" spans="11:11" ht="12.75" x14ac:dyDescent="0.2">
      <c r="K161" s="47"/>
    </row>
    <row r="162" spans="11:11" ht="12.75" x14ac:dyDescent="0.2">
      <c r="K162" s="47"/>
    </row>
    <row r="163" spans="11:11" ht="12.75" x14ac:dyDescent="0.2">
      <c r="K163" s="47"/>
    </row>
    <row r="164" spans="11:11" ht="12.75" x14ac:dyDescent="0.2">
      <c r="K164" s="47"/>
    </row>
    <row r="165" spans="11:11" ht="12.75" x14ac:dyDescent="0.2">
      <c r="K165" s="47"/>
    </row>
    <row r="166" spans="11:11" ht="12.75" x14ac:dyDescent="0.2">
      <c r="K166" s="47"/>
    </row>
    <row r="167" spans="11:11" ht="12.75" x14ac:dyDescent="0.2">
      <c r="K167" s="47"/>
    </row>
    <row r="168" spans="11:11" ht="12.75" x14ac:dyDescent="0.2">
      <c r="K168" s="47"/>
    </row>
    <row r="169" spans="11:11" ht="12.75" x14ac:dyDescent="0.2">
      <c r="K169" s="47"/>
    </row>
    <row r="170" spans="11:11" ht="12.75" x14ac:dyDescent="0.2">
      <c r="K170" s="47"/>
    </row>
    <row r="171" spans="11:11" ht="12.75" x14ac:dyDescent="0.2">
      <c r="K171" s="47"/>
    </row>
    <row r="172" spans="11:11" ht="12.75" x14ac:dyDescent="0.2">
      <c r="K172" s="47"/>
    </row>
    <row r="173" spans="11:11" ht="12.75" x14ac:dyDescent="0.2">
      <c r="K173" s="47"/>
    </row>
    <row r="174" spans="11:11" ht="12.75" x14ac:dyDescent="0.2">
      <c r="K174" s="47"/>
    </row>
    <row r="175" spans="11:11" ht="12.75" x14ac:dyDescent="0.2">
      <c r="K175" s="47"/>
    </row>
    <row r="176" spans="11:11" ht="12.75" x14ac:dyDescent="0.2">
      <c r="K176" s="47"/>
    </row>
    <row r="177" spans="11:11" ht="12.75" x14ac:dyDescent="0.2">
      <c r="K177" s="47"/>
    </row>
    <row r="178" spans="11:11" ht="12.75" x14ac:dyDescent="0.2">
      <c r="K178" s="47"/>
    </row>
    <row r="179" spans="11:11" ht="12.75" x14ac:dyDescent="0.2">
      <c r="K179" s="47"/>
    </row>
    <row r="180" spans="11:11" ht="12.75" x14ac:dyDescent="0.2">
      <c r="K180" s="47"/>
    </row>
    <row r="181" spans="11:11" ht="12.75" x14ac:dyDescent="0.2">
      <c r="K181" s="47"/>
    </row>
    <row r="182" spans="11:11" ht="12.75" x14ac:dyDescent="0.2">
      <c r="K182" s="47"/>
    </row>
    <row r="183" spans="11:11" ht="12.75" x14ac:dyDescent="0.2">
      <c r="K183" s="47"/>
    </row>
    <row r="184" spans="11:11" ht="12.75" x14ac:dyDescent="0.2">
      <c r="K184" s="47"/>
    </row>
    <row r="185" spans="11:11" ht="12.75" x14ac:dyDescent="0.2">
      <c r="K185" s="47"/>
    </row>
    <row r="186" spans="11:11" ht="12.75" x14ac:dyDescent="0.2">
      <c r="K186" s="47"/>
    </row>
    <row r="187" spans="11:11" ht="12.75" x14ac:dyDescent="0.2">
      <c r="K187" s="47"/>
    </row>
    <row r="188" spans="11:11" ht="12.75" x14ac:dyDescent="0.2">
      <c r="K188" s="47"/>
    </row>
    <row r="189" spans="11:11" ht="12.75" x14ac:dyDescent="0.2">
      <c r="K189" s="47"/>
    </row>
    <row r="190" spans="11:11" ht="12.75" x14ac:dyDescent="0.2">
      <c r="K190" s="47"/>
    </row>
    <row r="191" spans="11:11" ht="12.75" x14ac:dyDescent="0.2">
      <c r="K191" s="47"/>
    </row>
    <row r="192" spans="11:11" ht="12.75" x14ac:dyDescent="0.2">
      <c r="K192" s="47"/>
    </row>
    <row r="193" spans="11:11" ht="12.75" x14ac:dyDescent="0.2">
      <c r="K193" s="47"/>
    </row>
    <row r="194" spans="11:11" ht="12.75" x14ac:dyDescent="0.2">
      <c r="K194" s="47"/>
    </row>
    <row r="195" spans="11:11" ht="12.75" x14ac:dyDescent="0.2">
      <c r="K195" s="47"/>
    </row>
    <row r="196" spans="11:11" ht="12.75" x14ac:dyDescent="0.2">
      <c r="K196" s="47"/>
    </row>
    <row r="197" spans="11:11" ht="12.75" x14ac:dyDescent="0.2">
      <c r="K197" s="47"/>
    </row>
    <row r="198" spans="11:11" ht="12.75" x14ac:dyDescent="0.2">
      <c r="K198" s="47"/>
    </row>
    <row r="199" spans="11:11" ht="12.75" x14ac:dyDescent="0.2">
      <c r="K199" s="47"/>
    </row>
    <row r="200" spans="11:11" ht="12.75" x14ac:dyDescent="0.2">
      <c r="K200" s="47"/>
    </row>
    <row r="201" spans="11:11" ht="12.75" x14ac:dyDescent="0.2">
      <c r="K201" s="47"/>
    </row>
    <row r="202" spans="11:11" ht="12.75" x14ac:dyDescent="0.2">
      <c r="K202" s="47"/>
    </row>
    <row r="203" spans="11:11" ht="12.75" x14ac:dyDescent="0.2">
      <c r="K203" s="47"/>
    </row>
    <row r="204" spans="11:11" ht="12.75" x14ac:dyDescent="0.2">
      <c r="K204" s="47"/>
    </row>
    <row r="205" spans="11:11" ht="12.75" x14ac:dyDescent="0.2">
      <c r="K205" s="47"/>
    </row>
    <row r="206" spans="11:11" ht="12.75" x14ac:dyDescent="0.2">
      <c r="K206" s="47"/>
    </row>
    <row r="207" spans="11:11" ht="12.75" x14ac:dyDescent="0.2">
      <c r="K207" s="47"/>
    </row>
    <row r="208" spans="11:11" ht="12.75" x14ac:dyDescent="0.2">
      <c r="K208" s="47"/>
    </row>
    <row r="209" spans="11:11" ht="12.75" x14ac:dyDescent="0.2">
      <c r="K209" s="47"/>
    </row>
    <row r="210" spans="11:11" ht="12.75" x14ac:dyDescent="0.2">
      <c r="K210" s="47"/>
    </row>
    <row r="211" spans="11:11" ht="12.75" x14ac:dyDescent="0.2">
      <c r="K211" s="47"/>
    </row>
    <row r="212" spans="11:11" ht="12.75" x14ac:dyDescent="0.2">
      <c r="K212" s="47"/>
    </row>
    <row r="213" spans="11:11" ht="12.75" x14ac:dyDescent="0.2">
      <c r="K213" s="47"/>
    </row>
    <row r="214" spans="11:11" ht="12.75" x14ac:dyDescent="0.2">
      <c r="K214" s="47"/>
    </row>
    <row r="215" spans="11:11" ht="12.75" x14ac:dyDescent="0.2">
      <c r="K215" s="47"/>
    </row>
    <row r="216" spans="11:11" ht="12.75" x14ac:dyDescent="0.2">
      <c r="K216" s="47"/>
    </row>
    <row r="217" spans="11:11" ht="12.75" x14ac:dyDescent="0.2">
      <c r="K217" s="47"/>
    </row>
    <row r="218" spans="11:11" ht="12.75" x14ac:dyDescent="0.2">
      <c r="K218" s="47"/>
    </row>
    <row r="219" spans="11:11" ht="12.75" x14ac:dyDescent="0.2">
      <c r="K219" s="47"/>
    </row>
    <row r="220" spans="11:11" ht="12.75" x14ac:dyDescent="0.2">
      <c r="K220" s="47"/>
    </row>
    <row r="221" spans="11:11" ht="12.75" x14ac:dyDescent="0.2">
      <c r="K221" s="47"/>
    </row>
    <row r="222" spans="11:11" ht="12.75" x14ac:dyDescent="0.2">
      <c r="K222" s="47"/>
    </row>
    <row r="223" spans="11:11" ht="12.75" x14ac:dyDescent="0.2">
      <c r="K223" s="47"/>
    </row>
    <row r="224" spans="11:11" ht="12.75" x14ac:dyDescent="0.2">
      <c r="K224" s="47"/>
    </row>
    <row r="225" spans="11:11" ht="12.75" x14ac:dyDescent="0.2">
      <c r="K225" s="47"/>
    </row>
    <row r="226" spans="11:11" ht="12.75" x14ac:dyDescent="0.2">
      <c r="K226" s="47"/>
    </row>
    <row r="227" spans="11:11" ht="12.75" x14ac:dyDescent="0.2">
      <c r="K227" s="47"/>
    </row>
    <row r="228" spans="11:11" ht="12.75" x14ac:dyDescent="0.2">
      <c r="K228" s="47"/>
    </row>
    <row r="229" spans="11:11" ht="12.75" x14ac:dyDescent="0.2">
      <c r="K229" s="47"/>
    </row>
    <row r="230" spans="11:11" ht="12.75" x14ac:dyDescent="0.2">
      <c r="K230" s="47"/>
    </row>
    <row r="231" spans="11:11" ht="12.75" x14ac:dyDescent="0.2">
      <c r="K231" s="47"/>
    </row>
    <row r="232" spans="11:11" ht="12.75" x14ac:dyDescent="0.2">
      <c r="K232" s="47"/>
    </row>
    <row r="233" spans="11:11" ht="12.75" x14ac:dyDescent="0.2">
      <c r="K233" s="47"/>
    </row>
    <row r="234" spans="11:11" ht="12.75" x14ac:dyDescent="0.2">
      <c r="K234" s="47"/>
    </row>
    <row r="235" spans="11:11" ht="12.75" x14ac:dyDescent="0.2">
      <c r="K235" s="47"/>
    </row>
    <row r="236" spans="11:11" ht="12.75" x14ac:dyDescent="0.2">
      <c r="K236" s="47"/>
    </row>
    <row r="237" spans="11:11" ht="12.75" x14ac:dyDescent="0.2">
      <c r="K237" s="47"/>
    </row>
    <row r="238" spans="11:11" ht="12.75" x14ac:dyDescent="0.2">
      <c r="K238" s="47"/>
    </row>
    <row r="239" spans="11:11" ht="12.75" x14ac:dyDescent="0.2">
      <c r="K239" s="47"/>
    </row>
    <row r="240" spans="11:11" ht="12.75" x14ac:dyDescent="0.2">
      <c r="K240" s="47"/>
    </row>
    <row r="241" spans="11:11" ht="12.75" x14ac:dyDescent="0.2">
      <c r="K241" s="47"/>
    </row>
    <row r="242" spans="11:11" ht="12.75" x14ac:dyDescent="0.2">
      <c r="K242" s="47"/>
    </row>
    <row r="243" spans="11:11" ht="12.75" x14ac:dyDescent="0.2">
      <c r="K243" s="47"/>
    </row>
    <row r="244" spans="11:11" ht="12.75" x14ac:dyDescent="0.2">
      <c r="K244" s="47"/>
    </row>
    <row r="245" spans="11:11" ht="12.75" x14ac:dyDescent="0.2">
      <c r="K245" s="47"/>
    </row>
    <row r="246" spans="11:11" ht="12.75" x14ac:dyDescent="0.2">
      <c r="K246" s="47"/>
    </row>
    <row r="247" spans="11:11" ht="12.75" x14ac:dyDescent="0.2">
      <c r="K247" s="47"/>
    </row>
    <row r="248" spans="11:11" ht="12.75" x14ac:dyDescent="0.2">
      <c r="K248" s="47"/>
    </row>
    <row r="249" spans="11:11" ht="12.75" x14ac:dyDescent="0.2">
      <c r="K249" s="47"/>
    </row>
    <row r="250" spans="11:11" ht="12.75" x14ac:dyDescent="0.2">
      <c r="K250" s="47"/>
    </row>
    <row r="251" spans="11:11" ht="12.75" x14ac:dyDescent="0.2">
      <c r="K251" s="47"/>
    </row>
    <row r="252" spans="11:11" ht="12.75" x14ac:dyDescent="0.2">
      <c r="K252" s="47"/>
    </row>
    <row r="253" spans="11:11" ht="12.75" x14ac:dyDescent="0.2">
      <c r="K253" s="47"/>
    </row>
    <row r="254" spans="11:11" ht="12.75" x14ac:dyDescent="0.2">
      <c r="K254" s="47"/>
    </row>
    <row r="255" spans="11:11" ht="12.75" x14ac:dyDescent="0.2">
      <c r="K255" s="47"/>
    </row>
    <row r="256" spans="11:11" ht="12.75" x14ac:dyDescent="0.2">
      <c r="K256" s="47"/>
    </row>
    <row r="257" spans="11:11" ht="12.75" x14ac:dyDescent="0.2">
      <c r="K257" s="47"/>
    </row>
    <row r="258" spans="11:11" ht="12.75" x14ac:dyDescent="0.2">
      <c r="K258" s="47"/>
    </row>
    <row r="259" spans="11:11" ht="12.75" x14ac:dyDescent="0.2">
      <c r="K259" s="47"/>
    </row>
    <row r="260" spans="11:11" ht="12.75" x14ac:dyDescent="0.2">
      <c r="K260" s="47"/>
    </row>
    <row r="261" spans="11:11" ht="12.75" x14ac:dyDescent="0.2">
      <c r="K261" s="47"/>
    </row>
    <row r="262" spans="11:11" ht="12.75" x14ac:dyDescent="0.2">
      <c r="K262" s="47"/>
    </row>
    <row r="263" spans="11:11" ht="12.75" x14ac:dyDescent="0.2">
      <c r="K263" s="47"/>
    </row>
    <row r="264" spans="11:11" ht="12.75" x14ac:dyDescent="0.2">
      <c r="K264" s="47"/>
    </row>
    <row r="265" spans="11:11" ht="12.75" x14ac:dyDescent="0.2">
      <c r="K265" s="47"/>
    </row>
    <row r="266" spans="11:11" ht="12.75" x14ac:dyDescent="0.2">
      <c r="K266" s="47"/>
    </row>
    <row r="267" spans="11:11" ht="12.75" x14ac:dyDescent="0.2">
      <c r="K267" s="47"/>
    </row>
    <row r="268" spans="11:11" ht="12.75" x14ac:dyDescent="0.2">
      <c r="K268" s="47"/>
    </row>
    <row r="269" spans="11:11" ht="12.75" x14ac:dyDescent="0.2">
      <c r="K269" s="47"/>
    </row>
    <row r="270" spans="11:11" ht="12.75" x14ac:dyDescent="0.2">
      <c r="K270" s="47"/>
    </row>
    <row r="271" spans="11:11" ht="12.75" x14ac:dyDescent="0.2">
      <c r="K271" s="47"/>
    </row>
    <row r="272" spans="11:11" ht="12.75" x14ac:dyDescent="0.2">
      <c r="K272" s="47"/>
    </row>
    <row r="273" spans="11:11" ht="12.75" x14ac:dyDescent="0.2">
      <c r="K273" s="47"/>
    </row>
    <row r="274" spans="11:11" ht="12.75" x14ac:dyDescent="0.2">
      <c r="K274" s="47"/>
    </row>
    <row r="275" spans="11:11" ht="12.75" x14ac:dyDescent="0.2">
      <c r="K275" s="47"/>
    </row>
    <row r="276" spans="11:11" ht="12.75" x14ac:dyDescent="0.2">
      <c r="K276" s="47"/>
    </row>
    <row r="277" spans="11:11" ht="12.75" x14ac:dyDescent="0.2">
      <c r="K277" s="47"/>
    </row>
    <row r="278" spans="11:11" ht="12.75" x14ac:dyDescent="0.2">
      <c r="K278" s="47"/>
    </row>
    <row r="279" spans="11:11" ht="12.75" x14ac:dyDescent="0.2">
      <c r="K279" s="47"/>
    </row>
    <row r="280" spans="11:11" ht="12.75" x14ac:dyDescent="0.2">
      <c r="K280" s="47"/>
    </row>
    <row r="281" spans="11:11" ht="12.75" x14ac:dyDescent="0.2">
      <c r="K281" s="47"/>
    </row>
    <row r="282" spans="11:11" ht="12.75" x14ac:dyDescent="0.2">
      <c r="K282" s="47"/>
    </row>
    <row r="283" spans="11:11" ht="12.75" x14ac:dyDescent="0.2">
      <c r="K283" s="47"/>
    </row>
    <row r="284" spans="11:11" ht="12.75" x14ac:dyDescent="0.2">
      <c r="K284" s="47"/>
    </row>
    <row r="285" spans="11:11" ht="12.75" x14ac:dyDescent="0.2">
      <c r="K285" s="47"/>
    </row>
    <row r="286" spans="11:11" ht="12.75" x14ac:dyDescent="0.2">
      <c r="K286" s="47"/>
    </row>
    <row r="287" spans="11:11" ht="12.75" x14ac:dyDescent="0.2">
      <c r="K287" s="47"/>
    </row>
    <row r="288" spans="11:11" ht="12.75" x14ac:dyDescent="0.2">
      <c r="K288" s="47"/>
    </row>
    <row r="289" spans="11:11" ht="12.75" x14ac:dyDescent="0.2">
      <c r="K289" s="47"/>
    </row>
    <row r="290" spans="11:11" ht="12.75" x14ac:dyDescent="0.2">
      <c r="K290" s="47"/>
    </row>
    <row r="291" spans="11:11" ht="12.75" x14ac:dyDescent="0.2">
      <c r="K291" s="47"/>
    </row>
    <row r="292" spans="11:11" ht="12.75" x14ac:dyDescent="0.2">
      <c r="K292" s="47"/>
    </row>
    <row r="293" spans="11:11" ht="12.75" x14ac:dyDescent="0.2">
      <c r="K293" s="47"/>
    </row>
    <row r="294" spans="11:11" ht="12.75" x14ac:dyDescent="0.2">
      <c r="K294" s="47"/>
    </row>
    <row r="295" spans="11:11" ht="12.75" x14ac:dyDescent="0.2">
      <c r="K295" s="47"/>
    </row>
    <row r="296" spans="11:11" ht="12.75" x14ac:dyDescent="0.2">
      <c r="K296" s="47"/>
    </row>
    <row r="297" spans="11:11" ht="12.75" x14ac:dyDescent="0.2">
      <c r="K297" s="47"/>
    </row>
    <row r="298" spans="11:11" ht="12.75" x14ac:dyDescent="0.2">
      <c r="K298" s="47"/>
    </row>
    <row r="299" spans="11:11" ht="12.75" x14ac:dyDescent="0.2">
      <c r="K299" s="47"/>
    </row>
    <row r="300" spans="11:11" ht="12.75" x14ac:dyDescent="0.2">
      <c r="K300" s="47"/>
    </row>
    <row r="301" spans="11:11" ht="12.75" x14ac:dyDescent="0.2">
      <c r="K301" s="47"/>
    </row>
    <row r="302" spans="11:11" ht="12.75" x14ac:dyDescent="0.2">
      <c r="K302" s="47"/>
    </row>
    <row r="303" spans="11:11" ht="12.75" x14ac:dyDescent="0.2">
      <c r="K303" s="47"/>
    </row>
    <row r="304" spans="11:11" ht="12.75" x14ac:dyDescent="0.2">
      <c r="K304" s="47"/>
    </row>
    <row r="305" spans="11:11" ht="12.75" x14ac:dyDescent="0.2">
      <c r="K305" s="47"/>
    </row>
    <row r="306" spans="11:11" ht="12.75" x14ac:dyDescent="0.2">
      <c r="K306" s="47"/>
    </row>
    <row r="307" spans="11:11" ht="12.75" x14ac:dyDescent="0.2">
      <c r="K307" s="47"/>
    </row>
    <row r="308" spans="11:11" ht="12.75" x14ac:dyDescent="0.2">
      <c r="K308" s="47"/>
    </row>
    <row r="309" spans="11:11" ht="12.75" x14ac:dyDescent="0.2">
      <c r="K309" s="47"/>
    </row>
    <row r="310" spans="11:11" ht="12.75" x14ac:dyDescent="0.2">
      <c r="K310" s="47"/>
    </row>
    <row r="311" spans="11:11" ht="12.75" x14ac:dyDescent="0.2">
      <c r="K311" s="47"/>
    </row>
    <row r="312" spans="11:11" ht="12.75" x14ac:dyDescent="0.2">
      <c r="K312" s="47"/>
    </row>
    <row r="313" spans="11:11" ht="12.75" x14ac:dyDescent="0.2">
      <c r="K313" s="47"/>
    </row>
    <row r="314" spans="11:11" ht="12.75" x14ac:dyDescent="0.2">
      <c r="K314" s="47"/>
    </row>
    <row r="315" spans="11:11" ht="12.75" x14ac:dyDescent="0.2">
      <c r="K315" s="47"/>
    </row>
    <row r="316" spans="11:11" ht="12.75" x14ac:dyDescent="0.2">
      <c r="K316" s="47"/>
    </row>
    <row r="317" spans="11:11" ht="12.75" x14ac:dyDescent="0.2">
      <c r="K317" s="47"/>
    </row>
    <row r="318" spans="11:11" ht="12.75" x14ac:dyDescent="0.2">
      <c r="K318" s="47"/>
    </row>
    <row r="319" spans="11:11" ht="12.75" x14ac:dyDescent="0.2">
      <c r="K319" s="47"/>
    </row>
    <row r="320" spans="11:11" ht="12.75" x14ac:dyDescent="0.2">
      <c r="K320" s="47"/>
    </row>
    <row r="321" spans="11:11" ht="12.75" x14ac:dyDescent="0.2">
      <c r="K321" s="47"/>
    </row>
    <row r="322" spans="11:11" ht="12.75" x14ac:dyDescent="0.2">
      <c r="K322" s="47"/>
    </row>
    <row r="323" spans="11:11" ht="12.75" x14ac:dyDescent="0.2">
      <c r="K323" s="47"/>
    </row>
    <row r="324" spans="11:11" ht="12.75" x14ac:dyDescent="0.2">
      <c r="K324" s="47"/>
    </row>
    <row r="325" spans="11:11" ht="12.75" x14ac:dyDescent="0.2">
      <c r="K325" s="47"/>
    </row>
    <row r="326" spans="11:11" ht="12.75" x14ac:dyDescent="0.2">
      <c r="K326" s="47"/>
    </row>
    <row r="327" spans="11:11" ht="12.75" x14ac:dyDescent="0.2">
      <c r="K327" s="47"/>
    </row>
    <row r="328" spans="11:11" ht="12.75" x14ac:dyDescent="0.2">
      <c r="K328" s="47"/>
    </row>
    <row r="329" spans="11:11" ht="12.75" x14ac:dyDescent="0.2">
      <c r="K329" s="47"/>
    </row>
    <row r="330" spans="11:11" ht="12.75" x14ac:dyDescent="0.2">
      <c r="K330" s="47"/>
    </row>
    <row r="331" spans="11:11" ht="12.75" x14ac:dyDescent="0.2">
      <c r="K331" s="47"/>
    </row>
    <row r="332" spans="11:11" ht="12.75" x14ac:dyDescent="0.2">
      <c r="K332" s="47"/>
    </row>
    <row r="333" spans="11:11" ht="12.75" x14ac:dyDescent="0.2">
      <c r="K333" s="47"/>
    </row>
    <row r="334" spans="11:11" ht="12.75" x14ac:dyDescent="0.2">
      <c r="K334" s="47"/>
    </row>
    <row r="335" spans="11:11" ht="12.75" x14ac:dyDescent="0.2">
      <c r="K335" s="47"/>
    </row>
    <row r="336" spans="11:11" ht="12.75" x14ac:dyDescent="0.2">
      <c r="K336" s="47"/>
    </row>
    <row r="337" spans="11:11" ht="12.75" x14ac:dyDescent="0.2">
      <c r="K337" s="47"/>
    </row>
    <row r="338" spans="11:11" ht="12.75" x14ac:dyDescent="0.2">
      <c r="K338" s="47"/>
    </row>
    <row r="339" spans="11:11" ht="12.75" x14ac:dyDescent="0.2">
      <c r="K339" s="47"/>
    </row>
    <row r="340" spans="11:11" ht="12.75" x14ac:dyDescent="0.2">
      <c r="K340" s="47"/>
    </row>
    <row r="341" spans="11:11" ht="12.75" x14ac:dyDescent="0.2">
      <c r="K341" s="47"/>
    </row>
    <row r="342" spans="11:11" ht="12.75" x14ac:dyDescent="0.2">
      <c r="K342" s="47"/>
    </row>
    <row r="343" spans="11:11" ht="12.75" x14ac:dyDescent="0.2">
      <c r="K343" s="47"/>
    </row>
    <row r="344" spans="11:11" ht="12.75" x14ac:dyDescent="0.2">
      <c r="K344" s="47"/>
    </row>
    <row r="345" spans="11:11" ht="12.75" x14ac:dyDescent="0.2">
      <c r="K345" s="47"/>
    </row>
    <row r="346" spans="11:11" ht="12.75" x14ac:dyDescent="0.2">
      <c r="K346" s="47"/>
    </row>
    <row r="347" spans="11:11" ht="12.75" x14ac:dyDescent="0.2">
      <c r="K347" s="47"/>
    </row>
    <row r="348" spans="11:11" ht="12.75" x14ac:dyDescent="0.2">
      <c r="K348" s="47"/>
    </row>
    <row r="349" spans="11:11" ht="12.75" x14ac:dyDescent="0.2">
      <c r="K349" s="47"/>
    </row>
    <row r="350" spans="11:11" ht="12.75" x14ac:dyDescent="0.2">
      <c r="K350" s="47"/>
    </row>
    <row r="351" spans="11:11" ht="12.75" x14ac:dyDescent="0.2">
      <c r="K351" s="47"/>
    </row>
    <row r="352" spans="11:11" ht="12.75" x14ac:dyDescent="0.2">
      <c r="K352" s="47"/>
    </row>
    <row r="353" spans="11:11" ht="12.75" x14ac:dyDescent="0.2">
      <c r="K353" s="47"/>
    </row>
    <row r="354" spans="11:11" ht="12.75" x14ac:dyDescent="0.2">
      <c r="K354" s="47"/>
    </row>
    <row r="355" spans="11:11" ht="12.75" x14ac:dyDescent="0.2">
      <c r="K355" s="47"/>
    </row>
    <row r="356" spans="11:11" ht="12.75" x14ac:dyDescent="0.2">
      <c r="K356" s="47"/>
    </row>
    <row r="357" spans="11:11" ht="12.75" x14ac:dyDescent="0.2">
      <c r="K357" s="47"/>
    </row>
    <row r="358" spans="11:11" ht="12.75" x14ac:dyDescent="0.2">
      <c r="K358" s="47"/>
    </row>
    <row r="359" spans="11:11" ht="12.75" x14ac:dyDescent="0.2">
      <c r="K359" s="47"/>
    </row>
    <row r="360" spans="11:11" ht="12.75" x14ac:dyDescent="0.2">
      <c r="K360" s="47"/>
    </row>
    <row r="361" spans="11:11" ht="12.75" x14ac:dyDescent="0.2">
      <c r="K361" s="47"/>
    </row>
    <row r="362" spans="11:11" ht="12.75" x14ac:dyDescent="0.2">
      <c r="K362" s="47"/>
    </row>
    <row r="363" spans="11:11" ht="12.75" x14ac:dyDescent="0.2">
      <c r="K363" s="47"/>
    </row>
    <row r="364" spans="11:11" ht="12.75" x14ac:dyDescent="0.2">
      <c r="K364" s="47"/>
    </row>
    <row r="365" spans="11:11" ht="12.75" x14ac:dyDescent="0.2">
      <c r="K365" s="47"/>
    </row>
    <row r="366" spans="11:11" ht="12.75" x14ac:dyDescent="0.2">
      <c r="K366" s="47"/>
    </row>
    <row r="367" spans="11:11" ht="12.75" x14ac:dyDescent="0.2">
      <c r="K367" s="47"/>
    </row>
    <row r="368" spans="11:11" ht="12.75" x14ac:dyDescent="0.2">
      <c r="K368" s="47"/>
    </row>
    <row r="369" spans="11:11" ht="12.75" x14ac:dyDescent="0.2">
      <c r="K369" s="47"/>
    </row>
    <row r="370" spans="11:11" ht="12.75" x14ac:dyDescent="0.2">
      <c r="K370" s="47"/>
    </row>
    <row r="371" spans="11:11" ht="12.75" x14ac:dyDescent="0.2">
      <c r="K371" s="47"/>
    </row>
    <row r="372" spans="11:11" ht="12.75" x14ac:dyDescent="0.2">
      <c r="K372" s="47"/>
    </row>
    <row r="373" spans="11:11" ht="12.75" x14ac:dyDescent="0.2">
      <c r="K373" s="47"/>
    </row>
    <row r="374" spans="11:11" ht="12.75" x14ac:dyDescent="0.2">
      <c r="K374" s="47"/>
    </row>
    <row r="375" spans="11:11" ht="12.75" x14ac:dyDescent="0.2">
      <c r="K375" s="47"/>
    </row>
    <row r="376" spans="11:11" ht="12.75" x14ac:dyDescent="0.2">
      <c r="K376" s="47"/>
    </row>
    <row r="377" spans="11:11" ht="12.75" x14ac:dyDescent="0.2">
      <c r="K377" s="47"/>
    </row>
    <row r="378" spans="11:11" ht="12.75" x14ac:dyDescent="0.2">
      <c r="K378" s="47"/>
    </row>
    <row r="379" spans="11:11" ht="12.75" x14ac:dyDescent="0.2">
      <c r="K379" s="47"/>
    </row>
    <row r="380" spans="11:11" ht="12.75" x14ac:dyDescent="0.2">
      <c r="K380" s="47"/>
    </row>
    <row r="381" spans="11:11" ht="12.75" x14ac:dyDescent="0.2">
      <c r="K381" s="47"/>
    </row>
    <row r="382" spans="11:11" ht="12.75" x14ac:dyDescent="0.2">
      <c r="K382" s="47"/>
    </row>
    <row r="383" spans="11:11" ht="12.75" x14ac:dyDescent="0.2">
      <c r="K383" s="47"/>
    </row>
    <row r="384" spans="11:11" ht="12.75" x14ac:dyDescent="0.2">
      <c r="K384" s="47"/>
    </row>
    <row r="385" spans="11:11" ht="12.75" x14ac:dyDescent="0.2">
      <c r="K385" s="47"/>
    </row>
    <row r="386" spans="11:11" ht="12.75" x14ac:dyDescent="0.2">
      <c r="K386" s="47"/>
    </row>
    <row r="387" spans="11:11" ht="12.75" x14ac:dyDescent="0.2">
      <c r="K387" s="47"/>
    </row>
    <row r="388" spans="11:11" ht="12.75" x14ac:dyDescent="0.2">
      <c r="K388" s="47"/>
    </row>
    <row r="389" spans="11:11" ht="12.75" x14ac:dyDescent="0.2">
      <c r="K389" s="47"/>
    </row>
    <row r="390" spans="11:11" ht="12.75" x14ac:dyDescent="0.2">
      <c r="K390" s="47"/>
    </row>
    <row r="391" spans="11:11" ht="12.75" x14ac:dyDescent="0.2">
      <c r="K391" s="47"/>
    </row>
    <row r="392" spans="11:11" ht="12.75" x14ac:dyDescent="0.2">
      <c r="K392" s="47"/>
    </row>
    <row r="393" spans="11:11" ht="12.75" x14ac:dyDescent="0.2">
      <c r="K393" s="47"/>
    </row>
    <row r="394" spans="11:11" ht="12.75" x14ac:dyDescent="0.2">
      <c r="K394" s="47"/>
    </row>
    <row r="395" spans="11:11" ht="12.75" x14ac:dyDescent="0.2">
      <c r="K395" s="47"/>
    </row>
    <row r="396" spans="11:11" ht="12.75" x14ac:dyDescent="0.2">
      <c r="K396" s="47"/>
    </row>
    <row r="397" spans="11:11" ht="12.75" x14ac:dyDescent="0.2">
      <c r="K397" s="47"/>
    </row>
    <row r="398" spans="11:11" ht="12.75" x14ac:dyDescent="0.2">
      <c r="K398" s="47"/>
    </row>
    <row r="399" spans="11:11" ht="12.75" x14ac:dyDescent="0.2">
      <c r="K399" s="47"/>
    </row>
    <row r="400" spans="11:11" ht="12.75" x14ac:dyDescent="0.2">
      <c r="K400" s="47"/>
    </row>
    <row r="401" spans="11:11" ht="12.75" x14ac:dyDescent="0.2">
      <c r="K401" s="47"/>
    </row>
    <row r="402" spans="11:11" ht="12.75" x14ac:dyDescent="0.2">
      <c r="K402" s="47"/>
    </row>
    <row r="403" spans="11:11" ht="12.75" x14ac:dyDescent="0.2">
      <c r="K403" s="47"/>
    </row>
    <row r="404" spans="11:11" ht="12.75" x14ac:dyDescent="0.2">
      <c r="K404" s="47"/>
    </row>
    <row r="405" spans="11:11" ht="12.75" x14ac:dyDescent="0.2">
      <c r="K405" s="47"/>
    </row>
    <row r="406" spans="11:11" ht="12.75" x14ac:dyDescent="0.2">
      <c r="K406" s="47"/>
    </row>
    <row r="407" spans="11:11" ht="12.75" x14ac:dyDescent="0.2">
      <c r="K407" s="47"/>
    </row>
    <row r="408" spans="11:11" ht="12.75" x14ac:dyDescent="0.2">
      <c r="K408" s="47"/>
    </row>
    <row r="409" spans="11:11" ht="12.75" x14ac:dyDescent="0.2">
      <c r="K409" s="47"/>
    </row>
    <row r="410" spans="11:11" ht="12.75" x14ac:dyDescent="0.2">
      <c r="K410" s="47"/>
    </row>
    <row r="411" spans="11:11" ht="12.75" x14ac:dyDescent="0.2">
      <c r="K411" s="47"/>
    </row>
    <row r="412" spans="11:11" ht="12.75" x14ac:dyDescent="0.2">
      <c r="K412" s="47"/>
    </row>
    <row r="413" spans="11:11" ht="12.75" x14ac:dyDescent="0.2">
      <c r="K413" s="47"/>
    </row>
    <row r="414" spans="11:11" ht="12.75" x14ac:dyDescent="0.2">
      <c r="K414" s="47"/>
    </row>
    <row r="415" spans="11:11" ht="12.75" x14ac:dyDescent="0.2">
      <c r="K415" s="47"/>
    </row>
    <row r="416" spans="11:11" ht="12.75" x14ac:dyDescent="0.2">
      <c r="K416" s="47"/>
    </row>
    <row r="417" spans="11:11" ht="12.75" x14ac:dyDescent="0.2">
      <c r="K417" s="47"/>
    </row>
    <row r="418" spans="11:11" ht="12.75" x14ac:dyDescent="0.2">
      <c r="K418" s="47"/>
    </row>
    <row r="419" spans="11:11" ht="12.75" x14ac:dyDescent="0.2">
      <c r="K419" s="47"/>
    </row>
    <row r="420" spans="11:11" ht="12.75" x14ac:dyDescent="0.2">
      <c r="K420" s="47"/>
    </row>
    <row r="421" spans="11:11" ht="12.75" x14ac:dyDescent="0.2">
      <c r="K421" s="47"/>
    </row>
    <row r="422" spans="11:11" ht="12.75" x14ac:dyDescent="0.2">
      <c r="K422" s="47"/>
    </row>
    <row r="423" spans="11:11" ht="12.75" x14ac:dyDescent="0.2">
      <c r="K423" s="47"/>
    </row>
    <row r="424" spans="11:11" ht="12.75" x14ac:dyDescent="0.2">
      <c r="K424" s="47"/>
    </row>
    <row r="425" spans="11:11" ht="12.75" x14ac:dyDescent="0.2">
      <c r="K425" s="47"/>
    </row>
    <row r="426" spans="11:11" ht="12.75" x14ac:dyDescent="0.2">
      <c r="K426" s="47"/>
    </row>
    <row r="427" spans="11:11" ht="12.75" x14ac:dyDescent="0.2">
      <c r="K427" s="47"/>
    </row>
    <row r="428" spans="11:11" ht="12.75" x14ac:dyDescent="0.2">
      <c r="K428" s="47"/>
    </row>
    <row r="429" spans="11:11" ht="12.75" x14ac:dyDescent="0.2">
      <c r="K429" s="47"/>
    </row>
    <row r="430" spans="11:11" ht="12.75" x14ac:dyDescent="0.2">
      <c r="K430" s="47"/>
    </row>
    <row r="431" spans="11:11" ht="12.75" x14ac:dyDescent="0.2">
      <c r="K431" s="47"/>
    </row>
    <row r="432" spans="11:11" ht="12.75" x14ac:dyDescent="0.2">
      <c r="K432" s="47"/>
    </row>
    <row r="433" spans="11:11" ht="12.75" x14ac:dyDescent="0.2">
      <c r="K433" s="47"/>
    </row>
    <row r="434" spans="11:11" ht="12.75" x14ac:dyDescent="0.2">
      <c r="K434" s="47"/>
    </row>
    <row r="435" spans="11:11" ht="12.75" x14ac:dyDescent="0.2">
      <c r="K435" s="47"/>
    </row>
    <row r="436" spans="11:11" ht="12.75" x14ac:dyDescent="0.2">
      <c r="K436" s="47"/>
    </row>
    <row r="437" spans="11:11" ht="12.75" x14ac:dyDescent="0.2">
      <c r="K437" s="47"/>
    </row>
    <row r="438" spans="11:11" ht="12.75" x14ac:dyDescent="0.2">
      <c r="K438" s="47"/>
    </row>
    <row r="439" spans="11:11" ht="12.75" x14ac:dyDescent="0.2">
      <c r="K439" s="47"/>
    </row>
    <row r="440" spans="11:11" ht="12.75" x14ac:dyDescent="0.2">
      <c r="K440" s="47"/>
    </row>
    <row r="441" spans="11:11" ht="12.75" x14ac:dyDescent="0.2">
      <c r="K441" s="47"/>
    </row>
    <row r="442" spans="11:11" ht="12.75" x14ac:dyDescent="0.2">
      <c r="K442" s="47"/>
    </row>
    <row r="443" spans="11:11" ht="12.75" x14ac:dyDescent="0.2">
      <c r="K443" s="47"/>
    </row>
    <row r="444" spans="11:11" ht="12.75" x14ac:dyDescent="0.2">
      <c r="K444" s="47"/>
    </row>
    <row r="445" spans="11:11" ht="12.75" x14ac:dyDescent="0.2">
      <c r="K445" s="47"/>
    </row>
    <row r="446" spans="11:11" ht="12.75" x14ac:dyDescent="0.2">
      <c r="K446" s="47"/>
    </row>
    <row r="447" spans="11:11" ht="12.75" x14ac:dyDescent="0.2">
      <c r="K447" s="47"/>
    </row>
    <row r="448" spans="11:11" ht="12.75" x14ac:dyDescent="0.2">
      <c r="K448" s="47"/>
    </row>
    <row r="449" spans="11:11" ht="12.75" x14ac:dyDescent="0.2">
      <c r="K449" s="47"/>
    </row>
    <row r="450" spans="11:11" ht="12.75" x14ac:dyDescent="0.2">
      <c r="K450" s="47"/>
    </row>
    <row r="451" spans="11:11" ht="12.75" x14ac:dyDescent="0.2">
      <c r="K451" s="47"/>
    </row>
    <row r="452" spans="11:11" ht="12.75" x14ac:dyDescent="0.2">
      <c r="K452" s="47"/>
    </row>
    <row r="453" spans="11:11" ht="12.75" x14ac:dyDescent="0.2">
      <c r="K453" s="47"/>
    </row>
    <row r="454" spans="11:11" ht="12.75" x14ac:dyDescent="0.2">
      <c r="K454" s="47"/>
    </row>
    <row r="455" spans="11:11" ht="12.75" x14ac:dyDescent="0.2">
      <c r="K455" s="47"/>
    </row>
    <row r="456" spans="11:11" ht="12.75" x14ac:dyDescent="0.2">
      <c r="K456" s="47"/>
    </row>
    <row r="457" spans="11:11" ht="12.75" x14ac:dyDescent="0.2">
      <c r="K457" s="47"/>
    </row>
    <row r="458" spans="11:11" ht="12.75" x14ac:dyDescent="0.2">
      <c r="K458" s="47"/>
    </row>
    <row r="459" spans="11:11" ht="12.75" x14ac:dyDescent="0.2">
      <c r="K459" s="47"/>
    </row>
    <row r="460" spans="11:11" ht="12.75" x14ac:dyDescent="0.2">
      <c r="K460" s="47"/>
    </row>
    <row r="461" spans="11:11" ht="12.75" x14ac:dyDescent="0.2">
      <c r="K461" s="47"/>
    </row>
    <row r="462" spans="11:11" ht="12.75" x14ac:dyDescent="0.2">
      <c r="K462" s="47"/>
    </row>
    <row r="463" spans="11:11" ht="12.75" x14ac:dyDescent="0.2">
      <c r="K463" s="47"/>
    </row>
    <row r="464" spans="11:11" ht="12.75" x14ac:dyDescent="0.2">
      <c r="K464" s="47"/>
    </row>
    <row r="465" spans="11:11" ht="12.75" x14ac:dyDescent="0.2">
      <c r="K465" s="47"/>
    </row>
    <row r="466" spans="11:11" ht="12.75" x14ac:dyDescent="0.2">
      <c r="K466" s="47"/>
    </row>
    <row r="467" spans="11:11" ht="12.75" x14ac:dyDescent="0.2">
      <c r="K467" s="47"/>
    </row>
    <row r="468" spans="11:11" ht="12.75" x14ac:dyDescent="0.2">
      <c r="K468" s="47"/>
    </row>
    <row r="469" spans="11:11" ht="12.75" x14ac:dyDescent="0.2">
      <c r="K469" s="47"/>
    </row>
    <row r="470" spans="11:11" ht="12.75" x14ac:dyDescent="0.2">
      <c r="K470" s="47"/>
    </row>
    <row r="471" spans="11:11" ht="12.75" x14ac:dyDescent="0.2">
      <c r="K471" s="47"/>
    </row>
    <row r="472" spans="11:11" ht="12.75" x14ac:dyDescent="0.2">
      <c r="K472" s="47"/>
    </row>
    <row r="473" spans="11:11" ht="12.75" x14ac:dyDescent="0.2">
      <c r="K473" s="47"/>
    </row>
    <row r="474" spans="11:11" ht="12.75" x14ac:dyDescent="0.2">
      <c r="K474" s="47"/>
    </row>
    <row r="475" spans="11:11" ht="12.75" x14ac:dyDescent="0.2">
      <c r="K475" s="47"/>
    </row>
    <row r="476" spans="11:11" ht="12.75" x14ac:dyDescent="0.2">
      <c r="K476" s="47"/>
    </row>
    <row r="477" spans="11:11" ht="12.75" x14ac:dyDescent="0.2">
      <c r="K477" s="47"/>
    </row>
    <row r="478" spans="11:11" ht="12.75" x14ac:dyDescent="0.2">
      <c r="K478" s="47"/>
    </row>
    <row r="479" spans="11:11" ht="12.75" x14ac:dyDescent="0.2">
      <c r="K479" s="47"/>
    </row>
    <row r="480" spans="11:11" ht="12.75" x14ac:dyDescent="0.2">
      <c r="K480" s="47"/>
    </row>
    <row r="481" spans="11:11" ht="12.75" x14ac:dyDescent="0.2">
      <c r="K481" s="47"/>
    </row>
    <row r="482" spans="11:11" ht="12.75" x14ac:dyDescent="0.2">
      <c r="K482" s="47"/>
    </row>
    <row r="483" spans="11:11" ht="12.75" x14ac:dyDescent="0.2">
      <c r="K483" s="47"/>
    </row>
    <row r="484" spans="11:11" ht="12.75" x14ac:dyDescent="0.2">
      <c r="K484" s="47"/>
    </row>
    <row r="485" spans="11:11" ht="12.75" x14ac:dyDescent="0.2">
      <c r="K485" s="47"/>
    </row>
    <row r="486" spans="11:11" ht="12.75" x14ac:dyDescent="0.2">
      <c r="K486" s="47"/>
    </row>
    <row r="487" spans="11:11" ht="12.75" x14ac:dyDescent="0.2">
      <c r="K487" s="47"/>
    </row>
    <row r="488" spans="11:11" ht="12.75" x14ac:dyDescent="0.2">
      <c r="K488" s="47"/>
    </row>
    <row r="489" spans="11:11" ht="12.75" x14ac:dyDescent="0.2">
      <c r="K489" s="47"/>
    </row>
    <row r="490" spans="11:11" ht="12.75" x14ac:dyDescent="0.2">
      <c r="K490" s="47"/>
    </row>
    <row r="491" spans="11:11" ht="12.75" x14ac:dyDescent="0.2">
      <c r="K491" s="47"/>
    </row>
    <row r="492" spans="11:11" ht="12.75" x14ac:dyDescent="0.2">
      <c r="K492" s="47"/>
    </row>
    <row r="493" spans="11:11" ht="12.75" x14ac:dyDescent="0.2">
      <c r="K493" s="47"/>
    </row>
    <row r="494" spans="11:11" ht="12.75" x14ac:dyDescent="0.2">
      <c r="K494" s="47"/>
    </row>
    <row r="495" spans="11:11" ht="12.75" x14ac:dyDescent="0.2">
      <c r="K495" s="47"/>
    </row>
    <row r="496" spans="11:11" ht="12.75" x14ac:dyDescent="0.2">
      <c r="K496" s="47"/>
    </row>
    <row r="497" spans="11:11" ht="12.75" x14ac:dyDescent="0.2">
      <c r="K497" s="47"/>
    </row>
    <row r="498" spans="11:11" ht="12.75" x14ac:dyDescent="0.2">
      <c r="K498" s="47"/>
    </row>
    <row r="499" spans="11:11" ht="12.75" x14ac:dyDescent="0.2">
      <c r="K499" s="47"/>
    </row>
    <row r="500" spans="11:11" ht="12.75" x14ac:dyDescent="0.2">
      <c r="K500" s="47"/>
    </row>
    <row r="501" spans="11:11" ht="12.75" x14ac:dyDescent="0.2">
      <c r="K501" s="47"/>
    </row>
    <row r="502" spans="11:11" ht="12.75" x14ac:dyDescent="0.2">
      <c r="K502" s="47"/>
    </row>
    <row r="503" spans="11:11" ht="12.75" x14ac:dyDescent="0.2">
      <c r="K503" s="47"/>
    </row>
    <row r="504" spans="11:11" ht="12.75" x14ac:dyDescent="0.2">
      <c r="K504" s="47"/>
    </row>
    <row r="505" spans="11:11" ht="12.75" x14ac:dyDescent="0.2">
      <c r="K505" s="47"/>
    </row>
    <row r="506" spans="11:11" ht="12.75" x14ac:dyDescent="0.2">
      <c r="K506" s="47"/>
    </row>
    <row r="507" spans="11:11" ht="12.75" x14ac:dyDescent="0.2">
      <c r="K507" s="47"/>
    </row>
    <row r="508" spans="11:11" ht="12.75" x14ac:dyDescent="0.2">
      <c r="K508" s="47"/>
    </row>
    <row r="509" spans="11:11" ht="12.75" x14ac:dyDescent="0.2">
      <c r="K509" s="47"/>
    </row>
    <row r="510" spans="11:11" ht="12.75" x14ac:dyDescent="0.2">
      <c r="K510" s="47"/>
    </row>
    <row r="511" spans="11:11" ht="12.75" x14ac:dyDescent="0.2">
      <c r="K511" s="47"/>
    </row>
    <row r="512" spans="11:11" ht="12.75" x14ac:dyDescent="0.2">
      <c r="K512" s="47"/>
    </row>
    <row r="513" spans="11:11" ht="12.75" x14ac:dyDescent="0.2">
      <c r="K513" s="47"/>
    </row>
    <row r="514" spans="11:11" ht="12.75" x14ac:dyDescent="0.2">
      <c r="K514" s="47"/>
    </row>
    <row r="515" spans="11:11" ht="12.75" x14ac:dyDescent="0.2">
      <c r="K515" s="47"/>
    </row>
    <row r="516" spans="11:11" ht="12.75" x14ac:dyDescent="0.2">
      <c r="K516" s="47"/>
    </row>
    <row r="517" spans="11:11" ht="12.75" x14ac:dyDescent="0.2">
      <c r="K517" s="47"/>
    </row>
    <row r="518" spans="11:11" ht="12.75" x14ac:dyDescent="0.2">
      <c r="K518" s="47"/>
    </row>
    <row r="519" spans="11:11" ht="12.75" x14ac:dyDescent="0.2">
      <c r="K519" s="47"/>
    </row>
    <row r="520" spans="11:11" ht="12.75" x14ac:dyDescent="0.2">
      <c r="K520" s="47"/>
    </row>
    <row r="521" spans="11:11" ht="12.75" x14ac:dyDescent="0.2">
      <c r="K521" s="47"/>
    </row>
    <row r="522" spans="11:11" ht="12.75" x14ac:dyDescent="0.2">
      <c r="K522" s="47"/>
    </row>
    <row r="523" spans="11:11" ht="12.75" x14ac:dyDescent="0.2">
      <c r="K523" s="47"/>
    </row>
    <row r="524" spans="11:11" ht="12.75" x14ac:dyDescent="0.2">
      <c r="K524" s="47"/>
    </row>
    <row r="525" spans="11:11" ht="12.75" x14ac:dyDescent="0.2">
      <c r="K525" s="47"/>
    </row>
    <row r="526" spans="11:11" ht="12.75" x14ac:dyDescent="0.2">
      <c r="K526" s="47"/>
    </row>
    <row r="527" spans="11:11" ht="12.75" x14ac:dyDescent="0.2">
      <c r="K527" s="47"/>
    </row>
    <row r="528" spans="11:11" ht="12.75" x14ac:dyDescent="0.2">
      <c r="K528" s="47"/>
    </row>
    <row r="529" spans="11:11" ht="12.75" x14ac:dyDescent="0.2">
      <c r="K529" s="47"/>
    </row>
    <row r="530" spans="11:11" ht="12.75" x14ac:dyDescent="0.2">
      <c r="K530" s="47"/>
    </row>
    <row r="531" spans="11:11" ht="12.75" x14ac:dyDescent="0.2">
      <c r="K531" s="47"/>
    </row>
    <row r="532" spans="11:11" ht="12.75" x14ac:dyDescent="0.2">
      <c r="K532" s="47"/>
    </row>
    <row r="533" spans="11:11" ht="12.75" x14ac:dyDescent="0.2">
      <c r="K533" s="47"/>
    </row>
    <row r="534" spans="11:11" ht="12.75" x14ac:dyDescent="0.2">
      <c r="K534" s="47"/>
    </row>
    <row r="535" spans="11:11" ht="12.75" x14ac:dyDescent="0.2">
      <c r="K535" s="47"/>
    </row>
    <row r="536" spans="11:11" ht="12.75" x14ac:dyDescent="0.2">
      <c r="K536" s="47"/>
    </row>
    <row r="537" spans="11:11" ht="12.75" x14ac:dyDescent="0.2">
      <c r="K537" s="47"/>
    </row>
    <row r="538" spans="11:11" ht="12.75" x14ac:dyDescent="0.2">
      <c r="K538" s="47"/>
    </row>
    <row r="539" spans="11:11" ht="12.75" x14ac:dyDescent="0.2">
      <c r="K539" s="47"/>
    </row>
    <row r="540" spans="11:11" ht="12.75" x14ac:dyDescent="0.2">
      <c r="K540" s="47"/>
    </row>
    <row r="541" spans="11:11" ht="12.75" x14ac:dyDescent="0.2">
      <c r="K541" s="47"/>
    </row>
    <row r="542" spans="11:11" ht="12.75" x14ac:dyDescent="0.2">
      <c r="K542" s="47"/>
    </row>
    <row r="543" spans="11:11" ht="12.75" x14ac:dyDescent="0.2">
      <c r="K543" s="47"/>
    </row>
    <row r="544" spans="11:11" ht="12.75" x14ac:dyDescent="0.2">
      <c r="K544" s="47"/>
    </row>
    <row r="545" spans="11:11" ht="12.75" x14ac:dyDescent="0.2">
      <c r="K545" s="47"/>
    </row>
    <row r="546" spans="11:11" ht="12.75" x14ac:dyDescent="0.2">
      <c r="K546" s="47"/>
    </row>
    <row r="547" spans="11:11" ht="12.75" x14ac:dyDescent="0.2">
      <c r="K547" s="47"/>
    </row>
    <row r="548" spans="11:11" ht="12.75" x14ac:dyDescent="0.2">
      <c r="K548" s="47"/>
    </row>
    <row r="549" spans="11:11" ht="12.75" x14ac:dyDescent="0.2">
      <c r="K549" s="47"/>
    </row>
    <row r="550" spans="11:11" ht="12.75" x14ac:dyDescent="0.2">
      <c r="K550" s="47"/>
    </row>
    <row r="551" spans="11:11" ht="12.75" x14ac:dyDescent="0.2">
      <c r="K551" s="47"/>
    </row>
    <row r="552" spans="11:11" ht="12.75" x14ac:dyDescent="0.2">
      <c r="K552" s="47"/>
    </row>
    <row r="553" spans="11:11" ht="12.75" x14ac:dyDescent="0.2">
      <c r="K553" s="47"/>
    </row>
    <row r="554" spans="11:11" ht="12.75" x14ac:dyDescent="0.2">
      <c r="K554" s="47"/>
    </row>
    <row r="555" spans="11:11" ht="12.75" x14ac:dyDescent="0.2">
      <c r="K555" s="47"/>
    </row>
    <row r="556" spans="11:11" ht="12.75" x14ac:dyDescent="0.2">
      <c r="K556" s="47"/>
    </row>
    <row r="557" spans="11:11" ht="12.75" x14ac:dyDescent="0.2">
      <c r="K557" s="47"/>
    </row>
    <row r="558" spans="11:11" ht="12.75" x14ac:dyDescent="0.2">
      <c r="K558" s="47"/>
    </row>
    <row r="559" spans="11:11" ht="12.75" x14ac:dyDescent="0.2">
      <c r="K559" s="47"/>
    </row>
    <row r="560" spans="11:11" ht="12.75" x14ac:dyDescent="0.2">
      <c r="K560" s="47"/>
    </row>
    <row r="561" spans="11:11" ht="12.75" x14ac:dyDescent="0.2">
      <c r="K561" s="47"/>
    </row>
    <row r="562" spans="11:11" ht="12.75" x14ac:dyDescent="0.2">
      <c r="K562" s="47"/>
    </row>
    <row r="563" spans="11:11" ht="12.75" x14ac:dyDescent="0.2">
      <c r="K563" s="47"/>
    </row>
    <row r="564" spans="11:11" ht="12.75" x14ac:dyDescent="0.2">
      <c r="K564" s="47"/>
    </row>
    <row r="565" spans="11:11" ht="12.75" x14ac:dyDescent="0.2">
      <c r="K565" s="47"/>
    </row>
    <row r="566" spans="11:11" ht="12.75" x14ac:dyDescent="0.2">
      <c r="K566" s="47"/>
    </row>
    <row r="567" spans="11:11" ht="12.75" x14ac:dyDescent="0.2">
      <c r="K567" s="47"/>
    </row>
    <row r="568" spans="11:11" ht="12.75" x14ac:dyDescent="0.2">
      <c r="K568" s="47"/>
    </row>
    <row r="569" spans="11:11" ht="12.75" x14ac:dyDescent="0.2">
      <c r="K569" s="47"/>
    </row>
    <row r="570" spans="11:11" ht="12.75" x14ac:dyDescent="0.2">
      <c r="K570" s="47"/>
    </row>
    <row r="571" spans="11:11" ht="12.75" x14ac:dyDescent="0.2">
      <c r="K571" s="47"/>
    </row>
    <row r="572" spans="11:11" ht="12.75" x14ac:dyDescent="0.2">
      <c r="K572" s="47"/>
    </row>
    <row r="573" spans="11:11" ht="12.75" x14ac:dyDescent="0.2">
      <c r="K573" s="47"/>
    </row>
    <row r="574" spans="11:11" ht="12.75" x14ac:dyDescent="0.2">
      <c r="K574" s="47"/>
    </row>
    <row r="575" spans="11:11" ht="12.75" x14ac:dyDescent="0.2">
      <c r="K575" s="47"/>
    </row>
    <row r="576" spans="11:11" ht="12.75" x14ac:dyDescent="0.2">
      <c r="K576" s="47"/>
    </row>
    <row r="577" spans="11:11" ht="12.75" x14ac:dyDescent="0.2">
      <c r="K577" s="47"/>
    </row>
    <row r="578" spans="11:11" ht="12.75" x14ac:dyDescent="0.2">
      <c r="K578" s="47"/>
    </row>
    <row r="579" spans="11:11" ht="12.75" x14ac:dyDescent="0.2">
      <c r="K579" s="47"/>
    </row>
    <row r="580" spans="11:11" ht="12.75" x14ac:dyDescent="0.2">
      <c r="K580" s="47"/>
    </row>
    <row r="581" spans="11:11" ht="12.75" x14ac:dyDescent="0.2">
      <c r="K581" s="47"/>
    </row>
    <row r="582" spans="11:11" ht="12.75" x14ac:dyDescent="0.2">
      <c r="K582" s="47"/>
    </row>
    <row r="583" spans="11:11" ht="12.75" x14ac:dyDescent="0.2">
      <c r="K583" s="47"/>
    </row>
    <row r="584" spans="11:11" ht="12.75" x14ac:dyDescent="0.2">
      <c r="K584" s="47"/>
    </row>
    <row r="585" spans="11:11" ht="12.75" x14ac:dyDescent="0.2">
      <c r="K585" s="47"/>
    </row>
    <row r="586" spans="11:11" ht="12.75" x14ac:dyDescent="0.2">
      <c r="K586" s="47"/>
    </row>
    <row r="587" spans="11:11" ht="12.75" x14ac:dyDescent="0.2">
      <c r="K587" s="47"/>
    </row>
    <row r="588" spans="11:11" ht="12.75" x14ac:dyDescent="0.2">
      <c r="K588" s="47"/>
    </row>
    <row r="589" spans="11:11" ht="12.75" x14ac:dyDescent="0.2">
      <c r="K589" s="47"/>
    </row>
    <row r="590" spans="11:11" ht="12.75" x14ac:dyDescent="0.2">
      <c r="K590" s="47"/>
    </row>
    <row r="591" spans="11:11" ht="12.75" x14ac:dyDescent="0.2">
      <c r="K591" s="47"/>
    </row>
    <row r="592" spans="11:11" ht="12.75" x14ac:dyDescent="0.2">
      <c r="K592" s="47"/>
    </row>
    <row r="593" spans="11:11" ht="12.75" x14ac:dyDescent="0.2">
      <c r="K593" s="47"/>
    </row>
    <row r="594" spans="11:11" ht="12.75" x14ac:dyDescent="0.2">
      <c r="K594" s="47"/>
    </row>
    <row r="595" spans="11:11" ht="12.75" x14ac:dyDescent="0.2">
      <c r="K595" s="47"/>
    </row>
    <row r="596" spans="11:11" ht="12.75" x14ac:dyDescent="0.2">
      <c r="K596" s="47"/>
    </row>
    <row r="597" spans="11:11" ht="12.75" x14ac:dyDescent="0.2">
      <c r="K597" s="47"/>
    </row>
    <row r="598" spans="11:11" ht="12.75" x14ac:dyDescent="0.2">
      <c r="K598" s="47"/>
    </row>
    <row r="599" spans="11:11" ht="12.75" x14ac:dyDescent="0.2">
      <c r="K599" s="47"/>
    </row>
    <row r="600" spans="11:11" ht="12.75" x14ac:dyDescent="0.2">
      <c r="K600" s="47"/>
    </row>
    <row r="601" spans="11:11" ht="12.75" x14ac:dyDescent="0.2">
      <c r="K601" s="47"/>
    </row>
    <row r="602" spans="11:11" ht="12.75" x14ac:dyDescent="0.2">
      <c r="K602" s="47"/>
    </row>
    <row r="603" spans="11:11" ht="12.75" x14ac:dyDescent="0.2">
      <c r="K603" s="47"/>
    </row>
    <row r="604" spans="11:11" ht="12.75" x14ac:dyDescent="0.2">
      <c r="K604" s="47"/>
    </row>
    <row r="605" spans="11:11" ht="12.75" x14ac:dyDescent="0.2">
      <c r="K605" s="47"/>
    </row>
    <row r="606" spans="11:11" ht="12.75" x14ac:dyDescent="0.2">
      <c r="K606" s="47"/>
    </row>
    <row r="607" spans="11:11" ht="12.75" x14ac:dyDescent="0.2">
      <c r="K607" s="47"/>
    </row>
    <row r="608" spans="11:11" ht="12.75" x14ac:dyDescent="0.2">
      <c r="K608" s="47"/>
    </row>
    <row r="609" spans="11:11" ht="12.75" x14ac:dyDescent="0.2">
      <c r="K609" s="47"/>
    </row>
    <row r="610" spans="11:11" ht="12.75" x14ac:dyDescent="0.2">
      <c r="K610" s="47"/>
    </row>
    <row r="611" spans="11:11" ht="12.75" x14ac:dyDescent="0.2">
      <c r="K611" s="47"/>
    </row>
    <row r="612" spans="11:11" ht="12.75" x14ac:dyDescent="0.2">
      <c r="K612" s="47"/>
    </row>
    <row r="613" spans="11:11" ht="12.75" x14ac:dyDescent="0.2">
      <c r="K613" s="47"/>
    </row>
    <row r="614" spans="11:11" ht="12.75" x14ac:dyDescent="0.2">
      <c r="K614" s="47"/>
    </row>
    <row r="615" spans="11:11" ht="12.75" x14ac:dyDescent="0.2">
      <c r="K615" s="47"/>
    </row>
    <row r="616" spans="11:11" ht="12.75" x14ac:dyDescent="0.2">
      <c r="K616" s="47"/>
    </row>
    <row r="617" spans="11:11" ht="12.75" x14ac:dyDescent="0.2">
      <c r="K617" s="47"/>
    </row>
    <row r="618" spans="11:11" ht="12.75" x14ac:dyDescent="0.2">
      <c r="K618" s="47"/>
    </row>
    <row r="619" spans="11:11" ht="12.75" x14ac:dyDescent="0.2">
      <c r="K619" s="47"/>
    </row>
    <row r="620" spans="11:11" ht="12.75" x14ac:dyDescent="0.2">
      <c r="K620" s="47"/>
    </row>
    <row r="621" spans="11:11" ht="12.75" x14ac:dyDescent="0.2">
      <c r="K621" s="47"/>
    </row>
    <row r="622" spans="11:11" ht="12.75" x14ac:dyDescent="0.2">
      <c r="K622" s="47"/>
    </row>
    <row r="623" spans="11:11" ht="12.75" x14ac:dyDescent="0.2">
      <c r="K623" s="47"/>
    </row>
    <row r="624" spans="11:11" ht="12.75" x14ac:dyDescent="0.2">
      <c r="K624" s="47"/>
    </row>
    <row r="625" spans="11:11" ht="12.75" x14ac:dyDescent="0.2">
      <c r="K625" s="47"/>
    </row>
    <row r="626" spans="11:11" ht="12.75" x14ac:dyDescent="0.2">
      <c r="K626" s="47"/>
    </row>
    <row r="627" spans="11:11" ht="12.75" x14ac:dyDescent="0.2">
      <c r="K627" s="47"/>
    </row>
    <row r="628" spans="11:11" ht="12.75" x14ac:dyDescent="0.2">
      <c r="K628" s="47"/>
    </row>
    <row r="629" spans="11:11" ht="12.75" x14ac:dyDescent="0.2">
      <c r="K629" s="47"/>
    </row>
    <row r="630" spans="11:11" ht="12.75" x14ac:dyDescent="0.2">
      <c r="K630" s="47"/>
    </row>
    <row r="631" spans="11:11" ht="12.75" x14ac:dyDescent="0.2">
      <c r="K631" s="47"/>
    </row>
    <row r="632" spans="11:11" ht="12.75" x14ac:dyDescent="0.2">
      <c r="K632" s="47"/>
    </row>
    <row r="633" spans="11:11" ht="12.75" x14ac:dyDescent="0.2">
      <c r="K633" s="47"/>
    </row>
    <row r="634" spans="11:11" ht="12.75" x14ac:dyDescent="0.2">
      <c r="K634" s="47"/>
    </row>
    <row r="635" spans="11:11" ht="12.75" x14ac:dyDescent="0.2">
      <c r="K635" s="47"/>
    </row>
    <row r="636" spans="11:11" ht="12.75" x14ac:dyDescent="0.2">
      <c r="K636" s="47"/>
    </row>
    <row r="637" spans="11:11" ht="12.75" x14ac:dyDescent="0.2">
      <c r="K637" s="47"/>
    </row>
    <row r="638" spans="11:11" ht="12.75" x14ac:dyDescent="0.2">
      <c r="K638" s="47"/>
    </row>
    <row r="639" spans="11:11" ht="12.75" x14ac:dyDescent="0.2">
      <c r="K639" s="47"/>
    </row>
    <row r="640" spans="11:11" ht="12.75" x14ac:dyDescent="0.2">
      <c r="K640" s="47"/>
    </row>
    <row r="641" spans="11:11" ht="12.75" x14ac:dyDescent="0.2">
      <c r="K641" s="47"/>
    </row>
    <row r="642" spans="11:11" ht="12.75" x14ac:dyDescent="0.2">
      <c r="K642" s="47"/>
    </row>
    <row r="643" spans="11:11" ht="12.75" x14ac:dyDescent="0.2">
      <c r="K643" s="47"/>
    </row>
    <row r="644" spans="11:11" ht="12.75" x14ac:dyDescent="0.2">
      <c r="K644" s="47"/>
    </row>
    <row r="645" spans="11:11" ht="12.75" x14ac:dyDescent="0.2">
      <c r="K645" s="47"/>
    </row>
    <row r="646" spans="11:11" ht="12.75" x14ac:dyDescent="0.2">
      <c r="K646" s="47"/>
    </row>
    <row r="647" spans="11:11" ht="12.75" x14ac:dyDescent="0.2">
      <c r="K647" s="47"/>
    </row>
    <row r="648" spans="11:11" ht="12.75" x14ac:dyDescent="0.2">
      <c r="K648" s="47"/>
    </row>
    <row r="649" spans="11:11" ht="12.75" x14ac:dyDescent="0.2">
      <c r="K649" s="47"/>
    </row>
    <row r="650" spans="11:11" ht="12.75" x14ac:dyDescent="0.2">
      <c r="K650" s="47"/>
    </row>
    <row r="651" spans="11:11" ht="12.75" x14ac:dyDescent="0.2">
      <c r="K651" s="47"/>
    </row>
    <row r="652" spans="11:11" ht="12.75" x14ac:dyDescent="0.2">
      <c r="K652" s="47"/>
    </row>
    <row r="653" spans="11:11" ht="12.75" x14ac:dyDescent="0.2">
      <c r="K653" s="47"/>
    </row>
    <row r="654" spans="11:11" ht="12.75" x14ac:dyDescent="0.2">
      <c r="K654" s="47"/>
    </row>
    <row r="655" spans="11:11" ht="12.75" x14ac:dyDescent="0.2">
      <c r="K655" s="47"/>
    </row>
    <row r="656" spans="11:11" ht="12.75" x14ac:dyDescent="0.2">
      <c r="K656" s="47"/>
    </row>
    <row r="657" spans="11:11" ht="12.75" x14ac:dyDescent="0.2">
      <c r="K657" s="47"/>
    </row>
    <row r="658" spans="11:11" ht="12.75" x14ac:dyDescent="0.2">
      <c r="K658" s="47"/>
    </row>
    <row r="659" spans="11:11" ht="12.75" x14ac:dyDescent="0.2">
      <c r="K659" s="47"/>
    </row>
    <row r="660" spans="11:11" ht="12.75" x14ac:dyDescent="0.2">
      <c r="K660" s="47"/>
    </row>
    <row r="661" spans="11:11" ht="12.75" x14ac:dyDescent="0.2">
      <c r="K661" s="47"/>
    </row>
    <row r="662" spans="11:11" ht="12.75" x14ac:dyDescent="0.2">
      <c r="K662" s="47"/>
    </row>
    <row r="663" spans="11:11" ht="12.75" x14ac:dyDescent="0.2">
      <c r="K663" s="47"/>
    </row>
    <row r="664" spans="11:11" ht="12.75" x14ac:dyDescent="0.2">
      <c r="K664" s="47"/>
    </row>
    <row r="665" spans="11:11" ht="12.75" x14ac:dyDescent="0.2">
      <c r="K665" s="47"/>
    </row>
    <row r="666" spans="11:11" ht="12.75" x14ac:dyDescent="0.2">
      <c r="K666" s="47"/>
    </row>
    <row r="667" spans="11:11" ht="12.75" x14ac:dyDescent="0.2">
      <c r="K667" s="47"/>
    </row>
    <row r="668" spans="11:11" ht="12.75" x14ac:dyDescent="0.2">
      <c r="K668" s="47"/>
    </row>
    <row r="669" spans="11:11" ht="12.75" x14ac:dyDescent="0.2">
      <c r="K669" s="47"/>
    </row>
    <row r="670" spans="11:11" ht="12.75" x14ac:dyDescent="0.2">
      <c r="K670" s="47"/>
    </row>
    <row r="671" spans="11:11" ht="12.75" x14ac:dyDescent="0.2">
      <c r="K671" s="47"/>
    </row>
    <row r="672" spans="11:11" ht="12.75" x14ac:dyDescent="0.2">
      <c r="K672" s="47"/>
    </row>
    <row r="673" spans="11:11" ht="12.75" x14ac:dyDescent="0.2">
      <c r="K673" s="47"/>
    </row>
    <row r="674" spans="11:11" ht="12.75" x14ac:dyDescent="0.2">
      <c r="K674" s="47"/>
    </row>
    <row r="675" spans="11:11" ht="12.75" x14ac:dyDescent="0.2">
      <c r="K675" s="47"/>
    </row>
    <row r="676" spans="11:11" ht="12.75" x14ac:dyDescent="0.2">
      <c r="K676" s="47"/>
    </row>
    <row r="677" spans="11:11" ht="12.75" x14ac:dyDescent="0.2">
      <c r="K677" s="47"/>
    </row>
    <row r="678" spans="11:11" ht="12.75" x14ac:dyDescent="0.2">
      <c r="K678" s="47"/>
    </row>
    <row r="679" spans="11:11" ht="12.75" x14ac:dyDescent="0.2">
      <c r="K679" s="47"/>
    </row>
    <row r="680" spans="11:11" ht="12.75" x14ac:dyDescent="0.2">
      <c r="K680" s="47"/>
    </row>
    <row r="681" spans="11:11" ht="12.75" x14ac:dyDescent="0.2">
      <c r="K681" s="47"/>
    </row>
    <row r="682" spans="11:11" ht="12.75" x14ac:dyDescent="0.2">
      <c r="K682" s="47"/>
    </row>
    <row r="683" spans="11:11" ht="12.75" x14ac:dyDescent="0.2">
      <c r="K683" s="47"/>
    </row>
    <row r="684" spans="11:11" ht="12.75" x14ac:dyDescent="0.2">
      <c r="K684" s="47"/>
    </row>
    <row r="685" spans="11:11" ht="12.75" x14ac:dyDescent="0.2">
      <c r="K685" s="47"/>
    </row>
    <row r="686" spans="11:11" ht="12.75" x14ac:dyDescent="0.2">
      <c r="K686" s="47"/>
    </row>
    <row r="687" spans="11:11" ht="12.75" x14ac:dyDescent="0.2">
      <c r="K687" s="47"/>
    </row>
    <row r="688" spans="11:11" ht="12.75" x14ac:dyDescent="0.2">
      <c r="K688" s="47"/>
    </row>
    <row r="689" spans="11:11" ht="12.75" x14ac:dyDescent="0.2">
      <c r="K689" s="47"/>
    </row>
    <row r="690" spans="11:11" ht="12.75" x14ac:dyDescent="0.2">
      <c r="K690" s="47"/>
    </row>
    <row r="691" spans="11:11" ht="12.75" x14ac:dyDescent="0.2">
      <c r="K691" s="47"/>
    </row>
    <row r="692" spans="11:11" ht="12.75" x14ac:dyDescent="0.2">
      <c r="K692" s="47"/>
    </row>
    <row r="693" spans="11:11" ht="12.75" x14ac:dyDescent="0.2">
      <c r="K693" s="47"/>
    </row>
    <row r="694" spans="11:11" ht="12.75" x14ac:dyDescent="0.2">
      <c r="K694" s="47"/>
    </row>
    <row r="695" spans="11:11" ht="12.75" x14ac:dyDescent="0.2">
      <c r="K695" s="47"/>
    </row>
    <row r="696" spans="11:11" ht="12.75" x14ac:dyDescent="0.2">
      <c r="K696" s="47"/>
    </row>
    <row r="697" spans="11:11" ht="12.75" x14ac:dyDescent="0.2">
      <c r="K697" s="47"/>
    </row>
    <row r="698" spans="11:11" ht="12.75" x14ac:dyDescent="0.2">
      <c r="K698" s="47"/>
    </row>
    <row r="699" spans="11:11" ht="12.75" x14ac:dyDescent="0.2">
      <c r="K699" s="47"/>
    </row>
    <row r="700" spans="11:11" ht="12.75" x14ac:dyDescent="0.2">
      <c r="K700" s="47"/>
    </row>
    <row r="701" spans="11:11" ht="12.75" x14ac:dyDescent="0.2">
      <c r="K701" s="47"/>
    </row>
    <row r="702" spans="11:11" ht="12.75" x14ac:dyDescent="0.2">
      <c r="K702" s="47"/>
    </row>
    <row r="703" spans="11:11" ht="12.75" x14ac:dyDescent="0.2">
      <c r="K703" s="47"/>
    </row>
    <row r="704" spans="11:11" ht="12.75" x14ac:dyDescent="0.2">
      <c r="K704" s="47"/>
    </row>
    <row r="705" spans="11:11" ht="12.75" x14ac:dyDescent="0.2">
      <c r="K705" s="47"/>
    </row>
    <row r="706" spans="11:11" ht="12.75" x14ac:dyDescent="0.2">
      <c r="K706" s="47"/>
    </row>
    <row r="707" spans="11:11" ht="12.75" x14ac:dyDescent="0.2">
      <c r="K707" s="47"/>
    </row>
    <row r="708" spans="11:11" ht="12.75" x14ac:dyDescent="0.2">
      <c r="K708" s="47"/>
    </row>
    <row r="709" spans="11:11" ht="12.75" x14ac:dyDescent="0.2">
      <c r="K709" s="47"/>
    </row>
    <row r="710" spans="11:11" ht="12.75" x14ac:dyDescent="0.2">
      <c r="K710" s="47"/>
    </row>
    <row r="711" spans="11:11" ht="12.75" x14ac:dyDescent="0.2">
      <c r="K711" s="47"/>
    </row>
    <row r="712" spans="11:11" ht="12.75" x14ac:dyDescent="0.2">
      <c r="K712" s="47"/>
    </row>
    <row r="713" spans="11:11" ht="12.75" x14ac:dyDescent="0.2">
      <c r="K713" s="47"/>
    </row>
    <row r="714" spans="11:11" ht="12.75" x14ac:dyDescent="0.2">
      <c r="K714" s="47"/>
    </row>
    <row r="715" spans="11:11" ht="12.75" x14ac:dyDescent="0.2">
      <c r="K715" s="47"/>
    </row>
    <row r="716" spans="11:11" ht="12.75" x14ac:dyDescent="0.2">
      <c r="K716" s="47"/>
    </row>
    <row r="717" spans="11:11" ht="12.75" x14ac:dyDescent="0.2">
      <c r="K717" s="47"/>
    </row>
    <row r="718" spans="11:11" ht="12.75" x14ac:dyDescent="0.2">
      <c r="K718" s="47"/>
    </row>
    <row r="719" spans="11:11" ht="12.75" x14ac:dyDescent="0.2">
      <c r="K719" s="47"/>
    </row>
    <row r="720" spans="11:11" ht="12.75" x14ac:dyDescent="0.2">
      <c r="K720" s="47"/>
    </row>
    <row r="721" spans="11:11" ht="12.75" x14ac:dyDescent="0.2">
      <c r="K721" s="47"/>
    </row>
    <row r="722" spans="11:11" ht="12.75" x14ac:dyDescent="0.2">
      <c r="K722" s="47"/>
    </row>
    <row r="723" spans="11:11" ht="12.75" x14ac:dyDescent="0.2">
      <c r="K723" s="47"/>
    </row>
    <row r="724" spans="11:11" ht="12.75" x14ac:dyDescent="0.2">
      <c r="K724" s="47"/>
    </row>
    <row r="725" spans="11:11" ht="12.75" x14ac:dyDescent="0.2">
      <c r="K725" s="47"/>
    </row>
    <row r="726" spans="11:11" ht="12.75" x14ac:dyDescent="0.2">
      <c r="K726" s="47"/>
    </row>
    <row r="727" spans="11:11" ht="12.75" x14ac:dyDescent="0.2">
      <c r="K727" s="47"/>
    </row>
    <row r="728" spans="11:11" ht="12.75" x14ac:dyDescent="0.2">
      <c r="K728" s="47"/>
    </row>
    <row r="729" spans="11:11" ht="12.75" x14ac:dyDescent="0.2">
      <c r="K729" s="47"/>
    </row>
    <row r="730" spans="11:11" ht="12.75" x14ac:dyDescent="0.2">
      <c r="K730" s="47"/>
    </row>
    <row r="731" spans="11:11" ht="12.75" x14ac:dyDescent="0.2">
      <c r="K731" s="47"/>
    </row>
    <row r="732" spans="11:11" ht="12.75" x14ac:dyDescent="0.2">
      <c r="K732" s="47"/>
    </row>
    <row r="733" spans="11:11" ht="12.75" x14ac:dyDescent="0.2">
      <c r="K733" s="47"/>
    </row>
    <row r="734" spans="11:11" ht="12.75" x14ac:dyDescent="0.2">
      <c r="K734" s="47"/>
    </row>
    <row r="735" spans="11:11" ht="12.75" x14ac:dyDescent="0.2">
      <c r="K735" s="47"/>
    </row>
    <row r="736" spans="11:11" ht="12.75" x14ac:dyDescent="0.2">
      <c r="K736" s="47"/>
    </row>
    <row r="737" spans="11:11" ht="12.75" x14ac:dyDescent="0.2">
      <c r="K737" s="47"/>
    </row>
    <row r="738" spans="11:11" ht="12.75" x14ac:dyDescent="0.2">
      <c r="K738" s="47"/>
    </row>
    <row r="739" spans="11:11" ht="12.75" x14ac:dyDescent="0.2">
      <c r="K739" s="47"/>
    </row>
    <row r="740" spans="11:11" ht="12.75" x14ac:dyDescent="0.2">
      <c r="K740" s="47"/>
    </row>
    <row r="741" spans="11:11" ht="12.75" x14ac:dyDescent="0.2">
      <c r="K741" s="47"/>
    </row>
    <row r="742" spans="11:11" ht="12.75" x14ac:dyDescent="0.2">
      <c r="K742" s="47"/>
    </row>
    <row r="743" spans="11:11" ht="12.75" x14ac:dyDescent="0.2">
      <c r="K743" s="47"/>
    </row>
    <row r="744" spans="11:11" ht="12.75" x14ac:dyDescent="0.2">
      <c r="K744" s="47"/>
    </row>
    <row r="745" spans="11:11" ht="12.75" x14ac:dyDescent="0.2">
      <c r="K745" s="47"/>
    </row>
    <row r="746" spans="11:11" ht="12.75" x14ac:dyDescent="0.2">
      <c r="K746" s="47"/>
    </row>
    <row r="747" spans="11:11" ht="12.75" x14ac:dyDescent="0.2">
      <c r="K747" s="47"/>
    </row>
    <row r="748" spans="11:11" ht="12.75" x14ac:dyDescent="0.2">
      <c r="K748" s="47"/>
    </row>
    <row r="749" spans="11:11" ht="12.75" x14ac:dyDescent="0.2">
      <c r="K749" s="47"/>
    </row>
    <row r="750" spans="11:11" ht="12.75" x14ac:dyDescent="0.2">
      <c r="K750" s="47"/>
    </row>
    <row r="751" spans="11:11" ht="12.75" x14ac:dyDescent="0.2">
      <c r="K751" s="47"/>
    </row>
    <row r="752" spans="11:11" ht="12.75" x14ac:dyDescent="0.2">
      <c r="K752" s="47"/>
    </row>
    <row r="753" spans="11:11" ht="12.75" x14ac:dyDescent="0.2">
      <c r="K753" s="47"/>
    </row>
    <row r="754" spans="11:11" ht="12.75" x14ac:dyDescent="0.2">
      <c r="K754" s="47"/>
    </row>
    <row r="755" spans="11:11" ht="12.75" x14ac:dyDescent="0.2">
      <c r="K755" s="47"/>
    </row>
    <row r="756" spans="11:11" ht="12.75" x14ac:dyDescent="0.2">
      <c r="K756" s="47"/>
    </row>
    <row r="757" spans="11:11" ht="12.75" x14ac:dyDescent="0.2">
      <c r="K757" s="47"/>
    </row>
    <row r="758" spans="11:11" ht="12.75" x14ac:dyDescent="0.2">
      <c r="K758" s="47"/>
    </row>
    <row r="759" spans="11:11" ht="12.75" x14ac:dyDescent="0.2">
      <c r="K759" s="47"/>
    </row>
    <row r="760" spans="11:11" ht="12.75" x14ac:dyDescent="0.2">
      <c r="K760" s="47"/>
    </row>
    <row r="761" spans="11:11" ht="12.75" x14ac:dyDescent="0.2">
      <c r="K761" s="47"/>
    </row>
    <row r="762" spans="11:11" ht="12.75" x14ac:dyDescent="0.2">
      <c r="K762" s="47"/>
    </row>
    <row r="763" spans="11:11" ht="12.75" x14ac:dyDescent="0.2">
      <c r="K763" s="47"/>
    </row>
    <row r="764" spans="11:11" ht="12.75" x14ac:dyDescent="0.2">
      <c r="K764" s="47"/>
    </row>
    <row r="765" spans="11:11" ht="12.75" x14ac:dyDescent="0.2">
      <c r="K765" s="47"/>
    </row>
    <row r="766" spans="11:11" ht="12.75" x14ac:dyDescent="0.2">
      <c r="K766" s="47"/>
    </row>
    <row r="767" spans="11:11" ht="12.75" x14ac:dyDescent="0.2">
      <c r="K767" s="47"/>
    </row>
    <row r="768" spans="11:11" ht="12.75" x14ac:dyDescent="0.2">
      <c r="K768" s="47"/>
    </row>
    <row r="769" spans="11:11" ht="12.75" x14ac:dyDescent="0.2">
      <c r="K769" s="47"/>
    </row>
    <row r="770" spans="11:11" ht="12.75" x14ac:dyDescent="0.2">
      <c r="K770" s="47"/>
    </row>
    <row r="771" spans="11:11" ht="12.75" x14ac:dyDescent="0.2">
      <c r="K771" s="47"/>
    </row>
    <row r="772" spans="11:11" ht="12.75" x14ac:dyDescent="0.2">
      <c r="K772" s="47"/>
    </row>
    <row r="773" spans="11:11" ht="12.75" x14ac:dyDescent="0.2">
      <c r="K773" s="47"/>
    </row>
    <row r="774" spans="11:11" ht="12.75" x14ac:dyDescent="0.2">
      <c r="K774" s="47"/>
    </row>
    <row r="775" spans="11:11" ht="12.75" x14ac:dyDescent="0.2">
      <c r="K775" s="47"/>
    </row>
    <row r="776" spans="11:11" ht="12.75" x14ac:dyDescent="0.2">
      <c r="K776" s="47"/>
    </row>
    <row r="777" spans="11:11" ht="12.75" x14ac:dyDescent="0.2">
      <c r="K777" s="47"/>
    </row>
    <row r="778" spans="11:11" ht="12.75" x14ac:dyDescent="0.2">
      <c r="K778" s="47"/>
    </row>
    <row r="779" spans="11:11" ht="12.75" x14ac:dyDescent="0.2">
      <c r="K779" s="47"/>
    </row>
    <row r="780" spans="11:11" ht="12.75" x14ac:dyDescent="0.2">
      <c r="K780" s="47"/>
    </row>
    <row r="781" spans="11:11" ht="12.75" x14ac:dyDescent="0.2">
      <c r="K781" s="47"/>
    </row>
    <row r="782" spans="11:11" ht="12.75" x14ac:dyDescent="0.2">
      <c r="K782" s="47"/>
    </row>
    <row r="783" spans="11:11" ht="12.75" x14ac:dyDescent="0.2">
      <c r="K783" s="47"/>
    </row>
    <row r="784" spans="11:11" ht="12.75" x14ac:dyDescent="0.2">
      <c r="K784" s="47"/>
    </row>
    <row r="785" spans="11:11" ht="12.75" x14ac:dyDescent="0.2">
      <c r="K785" s="47"/>
    </row>
    <row r="786" spans="11:11" ht="12.75" x14ac:dyDescent="0.2">
      <c r="K786" s="47"/>
    </row>
    <row r="787" spans="11:11" ht="12.75" x14ac:dyDescent="0.2">
      <c r="K787" s="47"/>
    </row>
    <row r="788" spans="11:11" ht="12.75" x14ac:dyDescent="0.2">
      <c r="K788" s="47"/>
    </row>
    <row r="789" spans="11:11" ht="12.75" x14ac:dyDescent="0.2">
      <c r="K789" s="47"/>
    </row>
    <row r="790" spans="11:11" ht="12.75" x14ac:dyDescent="0.2">
      <c r="K790" s="47"/>
    </row>
    <row r="791" spans="11:11" ht="12.75" x14ac:dyDescent="0.2">
      <c r="K791" s="47"/>
    </row>
    <row r="792" spans="11:11" ht="12.75" x14ac:dyDescent="0.2">
      <c r="K792" s="47"/>
    </row>
    <row r="793" spans="11:11" ht="12.75" x14ac:dyDescent="0.2">
      <c r="K793" s="47"/>
    </row>
    <row r="794" spans="11:11" ht="12.75" x14ac:dyDescent="0.2">
      <c r="K794" s="47"/>
    </row>
    <row r="795" spans="11:11" ht="12.75" x14ac:dyDescent="0.2">
      <c r="K795" s="47"/>
    </row>
    <row r="796" spans="11:11" ht="12.75" x14ac:dyDescent="0.2">
      <c r="K796" s="47"/>
    </row>
    <row r="797" spans="11:11" ht="12.75" x14ac:dyDescent="0.2">
      <c r="K797" s="47"/>
    </row>
    <row r="798" spans="11:11" ht="12.75" x14ac:dyDescent="0.2">
      <c r="K798" s="47"/>
    </row>
    <row r="799" spans="11:11" ht="12.75" x14ac:dyDescent="0.2">
      <c r="K799" s="47"/>
    </row>
    <row r="800" spans="11:11" ht="12.75" x14ac:dyDescent="0.2">
      <c r="K800" s="47"/>
    </row>
    <row r="801" spans="11:11" ht="12.75" x14ac:dyDescent="0.2">
      <c r="K801" s="47"/>
    </row>
    <row r="802" spans="11:11" ht="12.75" x14ac:dyDescent="0.2">
      <c r="K802" s="47"/>
    </row>
    <row r="803" spans="11:11" ht="12.75" x14ac:dyDescent="0.2">
      <c r="K803" s="47"/>
    </row>
    <row r="804" spans="11:11" ht="12.75" x14ac:dyDescent="0.2">
      <c r="K804" s="47"/>
    </row>
    <row r="805" spans="11:11" ht="12.75" x14ac:dyDescent="0.2">
      <c r="K805" s="47"/>
    </row>
    <row r="806" spans="11:11" ht="12.75" x14ac:dyDescent="0.2">
      <c r="K806" s="47"/>
    </row>
    <row r="807" spans="11:11" ht="12.75" x14ac:dyDescent="0.2">
      <c r="K807" s="47"/>
    </row>
    <row r="808" spans="11:11" ht="12.75" x14ac:dyDescent="0.2">
      <c r="K808" s="47"/>
    </row>
    <row r="809" spans="11:11" ht="12.75" x14ac:dyDescent="0.2">
      <c r="K809" s="47"/>
    </row>
    <row r="810" spans="11:11" ht="12.75" x14ac:dyDescent="0.2">
      <c r="K810" s="47"/>
    </row>
    <row r="811" spans="11:11" ht="12.75" x14ac:dyDescent="0.2">
      <c r="K811" s="47"/>
    </row>
    <row r="812" spans="11:11" ht="12.75" x14ac:dyDescent="0.2">
      <c r="K812" s="47"/>
    </row>
    <row r="813" spans="11:11" ht="12.75" x14ac:dyDescent="0.2">
      <c r="K813" s="47"/>
    </row>
    <row r="814" spans="11:11" ht="12.75" x14ac:dyDescent="0.2">
      <c r="K814" s="47"/>
    </row>
    <row r="815" spans="11:11" ht="12.75" x14ac:dyDescent="0.2">
      <c r="K815" s="47"/>
    </row>
    <row r="816" spans="11:11" ht="12.75" x14ac:dyDescent="0.2">
      <c r="K816" s="47"/>
    </row>
    <row r="817" spans="11:11" ht="12.75" x14ac:dyDescent="0.2">
      <c r="K817" s="47"/>
    </row>
    <row r="818" spans="11:11" ht="12.75" x14ac:dyDescent="0.2">
      <c r="K818" s="47"/>
    </row>
    <row r="819" spans="11:11" ht="12.75" x14ac:dyDescent="0.2">
      <c r="K819" s="47"/>
    </row>
    <row r="820" spans="11:11" ht="12.75" x14ac:dyDescent="0.2">
      <c r="K820" s="47"/>
    </row>
    <row r="821" spans="11:11" ht="12.75" x14ac:dyDescent="0.2">
      <c r="K821" s="47"/>
    </row>
    <row r="822" spans="11:11" ht="12.75" x14ac:dyDescent="0.2">
      <c r="K822" s="47"/>
    </row>
    <row r="823" spans="11:11" ht="12.75" x14ac:dyDescent="0.2">
      <c r="K823" s="47"/>
    </row>
    <row r="824" spans="11:11" ht="12.75" x14ac:dyDescent="0.2">
      <c r="K824" s="47"/>
    </row>
    <row r="825" spans="11:11" ht="12.75" x14ac:dyDescent="0.2">
      <c r="K825" s="47"/>
    </row>
    <row r="826" spans="11:11" ht="12.75" x14ac:dyDescent="0.2">
      <c r="K826" s="47"/>
    </row>
    <row r="827" spans="11:11" ht="12.75" x14ac:dyDescent="0.2">
      <c r="K827" s="47"/>
    </row>
    <row r="828" spans="11:11" ht="12.75" x14ac:dyDescent="0.2">
      <c r="K828" s="47"/>
    </row>
    <row r="829" spans="11:11" ht="12.75" x14ac:dyDescent="0.2">
      <c r="K829" s="47"/>
    </row>
    <row r="830" spans="11:11" ht="12.75" x14ac:dyDescent="0.2">
      <c r="K830" s="47"/>
    </row>
    <row r="831" spans="11:11" ht="12.75" x14ac:dyDescent="0.2">
      <c r="K831" s="47"/>
    </row>
    <row r="832" spans="11:11" ht="12.75" x14ac:dyDescent="0.2">
      <c r="K832" s="47"/>
    </row>
    <row r="833" spans="11:11" ht="12.75" x14ac:dyDescent="0.2">
      <c r="K833" s="47"/>
    </row>
    <row r="834" spans="11:11" ht="12.75" x14ac:dyDescent="0.2">
      <c r="K834" s="47"/>
    </row>
    <row r="835" spans="11:11" ht="12.75" x14ac:dyDescent="0.2">
      <c r="K835" s="47"/>
    </row>
    <row r="836" spans="11:11" ht="12.75" x14ac:dyDescent="0.2">
      <c r="K836" s="47"/>
    </row>
    <row r="837" spans="11:11" ht="12.75" x14ac:dyDescent="0.2">
      <c r="K837" s="47"/>
    </row>
    <row r="838" spans="11:11" ht="12.75" x14ac:dyDescent="0.2">
      <c r="K838" s="47"/>
    </row>
    <row r="839" spans="11:11" ht="12.75" x14ac:dyDescent="0.2">
      <c r="K839" s="47"/>
    </row>
    <row r="840" spans="11:11" ht="12.75" x14ac:dyDescent="0.2">
      <c r="K840" s="47"/>
    </row>
    <row r="841" spans="11:11" ht="12.75" x14ac:dyDescent="0.2">
      <c r="K841" s="47"/>
    </row>
    <row r="842" spans="11:11" ht="12.75" x14ac:dyDescent="0.2">
      <c r="K842" s="47"/>
    </row>
    <row r="843" spans="11:11" ht="12.75" x14ac:dyDescent="0.2">
      <c r="K843" s="47"/>
    </row>
    <row r="844" spans="11:11" ht="12.75" x14ac:dyDescent="0.2">
      <c r="K844" s="47"/>
    </row>
    <row r="845" spans="11:11" ht="12.75" x14ac:dyDescent="0.2">
      <c r="K845" s="47"/>
    </row>
    <row r="846" spans="11:11" ht="12.75" x14ac:dyDescent="0.2">
      <c r="K846" s="47"/>
    </row>
    <row r="847" spans="11:11" ht="12.75" x14ac:dyDescent="0.2">
      <c r="K847" s="47"/>
    </row>
    <row r="848" spans="11:11" ht="12.75" x14ac:dyDescent="0.2">
      <c r="K848" s="47"/>
    </row>
    <row r="849" spans="11:11" ht="12.75" x14ac:dyDescent="0.2">
      <c r="K849" s="47"/>
    </row>
    <row r="850" spans="11:11" ht="12.75" x14ac:dyDescent="0.2">
      <c r="K850" s="47"/>
    </row>
    <row r="851" spans="11:11" ht="12.75" x14ac:dyDescent="0.2">
      <c r="K851" s="47"/>
    </row>
    <row r="852" spans="11:11" ht="12.75" x14ac:dyDescent="0.2">
      <c r="K852" s="47"/>
    </row>
    <row r="853" spans="11:11" ht="12.75" x14ac:dyDescent="0.2">
      <c r="K853" s="47"/>
    </row>
    <row r="854" spans="11:11" ht="12.75" x14ac:dyDescent="0.2">
      <c r="K854" s="47"/>
    </row>
    <row r="855" spans="11:11" ht="12.75" x14ac:dyDescent="0.2">
      <c r="K855" s="47"/>
    </row>
    <row r="856" spans="11:11" ht="12.75" x14ac:dyDescent="0.2">
      <c r="K856" s="47"/>
    </row>
    <row r="857" spans="11:11" ht="12.75" x14ac:dyDescent="0.2">
      <c r="K857" s="47"/>
    </row>
    <row r="858" spans="11:11" ht="12.75" x14ac:dyDescent="0.2">
      <c r="K858" s="47"/>
    </row>
    <row r="859" spans="11:11" ht="12.75" x14ac:dyDescent="0.2">
      <c r="K859" s="47"/>
    </row>
    <row r="860" spans="11:11" ht="12.75" x14ac:dyDescent="0.2">
      <c r="K860" s="47"/>
    </row>
    <row r="861" spans="11:11" ht="12.75" x14ac:dyDescent="0.2">
      <c r="K861" s="47"/>
    </row>
    <row r="862" spans="11:11" ht="12.75" x14ac:dyDescent="0.2">
      <c r="K862" s="47"/>
    </row>
    <row r="863" spans="11:11" ht="12.75" x14ac:dyDescent="0.2">
      <c r="K863" s="47"/>
    </row>
    <row r="864" spans="11:11" ht="12.75" x14ac:dyDescent="0.2">
      <c r="K864" s="47"/>
    </row>
    <row r="865" spans="11:11" ht="12.75" x14ac:dyDescent="0.2">
      <c r="K865" s="47"/>
    </row>
    <row r="866" spans="11:11" ht="12.75" x14ac:dyDescent="0.2">
      <c r="K866" s="47"/>
    </row>
    <row r="867" spans="11:11" ht="12.75" x14ac:dyDescent="0.2">
      <c r="K867" s="47"/>
    </row>
    <row r="868" spans="11:11" ht="12.75" x14ac:dyDescent="0.2">
      <c r="K868" s="47"/>
    </row>
    <row r="869" spans="11:11" ht="12.75" x14ac:dyDescent="0.2">
      <c r="K869" s="47"/>
    </row>
    <row r="870" spans="11:11" ht="12.75" x14ac:dyDescent="0.2">
      <c r="K870" s="47"/>
    </row>
    <row r="871" spans="11:11" ht="12.75" x14ac:dyDescent="0.2">
      <c r="K871" s="47"/>
    </row>
    <row r="872" spans="11:11" ht="12.75" x14ac:dyDescent="0.2">
      <c r="K872" s="47"/>
    </row>
    <row r="873" spans="11:11" ht="12.75" x14ac:dyDescent="0.2">
      <c r="K873" s="47"/>
    </row>
    <row r="874" spans="11:11" ht="12.75" x14ac:dyDescent="0.2">
      <c r="K874" s="47"/>
    </row>
    <row r="875" spans="11:11" ht="12.75" x14ac:dyDescent="0.2">
      <c r="K875" s="47"/>
    </row>
    <row r="876" spans="11:11" ht="12.75" x14ac:dyDescent="0.2">
      <c r="K876" s="47"/>
    </row>
    <row r="877" spans="11:11" ht="12.75" x14ac:dyDescent="0.2">
      <c r="K877" s="47"/>
    </row>
    <row r="878" spans="11:11" ht="12.75" x14ac:dyDescent="0.2">
      <c r="K878" s="47"/>
    </row>
    <row r="879" spans="11:11" ht="12.75" x14ac:dyDescent="0.2">
      <c r="K879" s="47"/>
    </row>
    <row r="880" spans="11:11" ht="12.75" x14ac:dyDescent="0.2">
      <c r="K880" s="47"/>
    </row>
    <row r="881" spans="11:11" ht="12.75" x14ac:dyDescent="0.2">
      <c r="K881" s="47"/>
    </row>
    <row r="882" spans="11:11" ht="12.75" x14ac:dyDescent="0.2">
      <c r="K882" s="47"/>
    </row>
    <row r="883" spans="11:11" ht="12.75" x14ac:dyDescent="0.2">
      <c r="K883" s="47"/>
    </row>
    <row r="884" spans="11:11" ht="12.75" x14ac:dyDescent="0.2">
      <c r="K884" s="47"/>
    </row>
    <row r="885" spans="11:11" ht="12.75" x14ac:dyDescent="0.2">
      <c r="K885" s="47"/>
    </row>
    <row r="886" spans="11:11" ht="12.75" x14ac:dyDescent="0.2">
      <c r="K886" s="47"/>
    </row>
    <row r="887" spans="11:11" ht="12.75" x14ac:dyDescent="0.2">
      <c r="K887" s="47"/>
    </row>
    <row r="888" spans="11:11" ht="12.75" x14ac:dyDescent="0.2">
      <c r="K888" s="47"/>
    </row>
    <row r="889" spans="11:11" ht="12.75" x14ac:dyDescent="0.2">
      <c r="K889" s="47"/>
    </row>
    <row r="890" spans="11:11" ht="12.75" x14ac:dyDescent="0.2">
      <c r="K890" s="47"/>
    </row>
    <row r="891" spans="11:11" ht="12.75" x14ac:dyDescent="0.2">
      <c r="K891" s="47"/>
    </row>
    <row r="892" spans="11:11" ht="12.75" x14ac:dyDescent="0.2">
      <c r="K892" s="47"/>
    </row>
    <row r="893" spans="11:11" ht="12.75" x14ac:dyDescent="0.2">
      <c r="K893" s="47"/>
    </row>
    <row r="894" spans="11:11" ht="12.75" x14ac:dyDescent="0.2">
      <c r="K894" s="47"/>
    </row>
    <row r="895" spans="11:11" ht="12.75" x14ac:dyDescent="0.2">
      <c r="K895" s="47"/>
    </row>
    <row r="896" spans="11:11" ht="12.75" x14ac:dyDescent="0.2">
      <c r="K896" s="47"/>
    </row>
    <row r="897" spans="11:11" ht="12.75" x14ac:dyDescent="0.2">
      <c r="K897" s="47"/>
    </row>
    <row r="898" spans="11:11" ht="12.75" x14ac:dyDescent="0.2">
      <c r="K898" s="47"/>
    </row>
    <row r="899" spans="11:11" ht="12.75" x14ac:dyDescent="0.2">
      <c r="K899" s="47"/>
    </row>
    <row r="900" spans="11:11" ht="12.75" x14ac:dyDescent="0.2">
      <c r="K900" s="47"/>
    </row>
    <row r="901" spans="11:11" ht="12.75" x14ac:dyDescent="0.2">
      <c r="K901" s="47"/>
    </row>
    <row r="902" spans="11:11" ht="12.75" x14ac:dyDescent="0.2">
      <c r="K902" s="47"/>
    </row>
    <row r="903" spans="11:11" ht="12.75" x14ac:dyDescent="0.2">
      <c r="K903" s="47"/>
    </row>
    <row r="904" spans="11:11" ht="12.75" x14ac:dyDescent="0.2">
      <c r="K904" s="47"/>
    </row>
    <row r="905" spans="11:11" ht="12.75" x14ac:dyDescent="0.2">
      <c r="K905" s="47"/>
    </row>
    <row r="906" spans="11:11" ht="12.75" x14ac:dyDescent="0.2">
      <c r="K906" s="47"/>
    </row>
    <row r="907" spans="11:11" ht="12.75" x14ac:dyDescent="0.2">
      <c r="K907" s="47"/>
    </row>
    <row r="908" spans="11:11" ht="12.75" x14ac:dyDescent="0.2">
      <c r="K908" s="47"/>
    </row>
    <row r="909" spans="11:11" ht="12.75" x14ac:dyDescent="0.2">
      <c r="K909" s="47"/>
    </row>
    <row r="910" spans="11:11" ht="12.75" x14ac:dyDescent="0.2">
      <c r="K910" s="47"/>
    </row>
    <row r="911" spans="11:11" ht="12.75" x14ac:dyDescent="0.2">
      <c r="K911" s="47"/>
    </row>
    <row r="912" spans="11:11" ht="12.75" x14ac:dyDescent="0.2">
      <c r="K912" s="47"/>
    </row>
    <row r="913" spans="11:11" ht="12.75" x14ac:dyDescent="0.2">
      <c r="K913" s="47"/>
    </row>
    <row r="914" spans="11:11" ht="12.75" x14ac:dyDescent="0.2">
      <c r="K914" s="47"/>
    </row>
    <row r="915" spans="11:11" ht="12.75" x14ac:dyDescent="0.2">
      <c r="K915" s="47"/>
    </row>
    <row r="916" spans="11:11" ht="12.75" x14ac:dyDescent="0.2">
      <c r="K916" s="47"/>
    </row>
    <row r="917" spans="11:11" ht="12.75" x14ac:dyDescent="0.2">
      <c r="K917" s="47"/>
    </row>
    <row r="918" spans="11:11" ht="12.75" x14ac:dyDescent="0.2">
      <c r="K918" s="47"/>
    </row>
    <row r="919" spans="11:11" ht="12.75" x14ac:dyDescent="0.2">
      <c r="K919" s="47"/>
    </row>
    <row r="920" spans="11:11" ht="12.75" x14ac:dyDescent="0.2">
      <c r="K920" s="47"/>
    </row>
    <row r="921" spans="11:11" ht="12.75" x14ac:dyDescent="0.2">
      <c r="K921" s="47"/>
    </row>
    <row r="922" spans="11:11" ht="12.75" x14ac:dyDescent="0.2">
      <c r="K922" s="47"/>
    </row>
    <row r="923" spans="11:11" ht="12.75" x14ac:dyDescent="0.2">
      <c r="K923" s="47"/>
    </row>
    <row r="924" spans="11:11" ht="12.75" x14ac:dyDescent="0.2">
      <c r="K924" s="47"/>
    </row>
    <row r="925" spans="11:11" ht="12.75" x14ac:dyDescent="0.2">
      <c r="K925" s="47"/>
    </row>
    <row r="926" spans="11:11" ht="12.75" x14ac:dyDescent="0.2">
      <c r="K926" s="47"/>
    </row>
    <row r="927" spans="11:11" ht="12.75" x14ac:dyDescent="0.2">
      <c r="K927" s="47"/>
    </row>
    <row r="928" spans="11:11" ht="12.75" x14ac:dyDescent="0.2">
      <c r="K928" s="47"/>
    </row>
    <row r="929" spans="11:11" ht="12.75" x14ac:dyDescent="0.2">
      <c r="K929" s="47"/>
    </row>
    <row r="930" spans="11:11" ht="12.75" x14ac:dyDescent="0.2">
      <c r="K930" s="47"/>
    </row>
    <row r="931" spans="11:11" ht="12.75" x14ac:dyDescent="0.2">
      <c r="K931" s="47"/>
    </row>
    <row r="932" spans="11:11" ht="12.75" x14ac:dyDescent="0.2">
      <c r="K932" s="47"/>
    </row>
    <row r="933" spans="11:11" ht="12.75" x14ac:dyDescent="0.2">
      <c r="K933" s="47"/>
    </row>
    <row r="934" spans="11:11" ht="12.75" x14ac:dyDescent="0.2">
      <c r="K934" s="47"/>
    </row>
    <row r="935" spans="11:11" ht="12.75" x14ac:dyDescent="0.2">
      <c r="K935" s="47"/>
    </row>
    <row r="936" spans="11:11" ht="12.75" x14ac:dyDescent="0.2">
      <c r="K936" s="47"/>
    </row>
    <row r="937" spans="11:11" ht="12.75" x14ac:dyDescent="0.2">
      <c r="K937" s="47"/>
    </row>
    <row r="938" spans="11:11" ht="12.75" x14ac:dyDescent="0.2">
      <c r="K938" s="47"/>
    </row>
    <row r="939" spans="11:11" ht="12.75" x14ac:dyDescent="0.2">
      <c r="K939" s="47"/>
    </row>
    <row r="940" spans="11:11" ht="12.75" x14ac:dyDescent="0.2">
      <c r="K940" s="47"/>
    </row>
    <row r="941" spans="11:11" ht="12.75" x14ac:dyDescent="0.2">
      <c r="K941" s="47"/>
    </row>
    <row r="942" spans="11:11" ht="12.75" x14ac:dyDescent="0.2">
      <c r="K942" s="47"/>
    </row>
    <row r="943" spans="11:11" ht="12.75" x14ac:dyDescent="0.2">
      <c r="K943" s="47"/>
    </row>
    <row r="944" spans="11:11" ht="12.75" x14ac:dyDescent="0.2">
      <c r="K944" s="47"/>
    </row>
    <row r="945" spans="11:11" ht="12.75" x14ac:dyDescent="0.2">
      <c r="K945" s="47"/>
    </row>
    <row r="946" spans="11:11" ht="12.75" x14ac:dyDescent="0.2">
      <c r="K946" s="47"/>
    </row>
    <row r="947" spans="11:11" ht="12.75" x14ac:dyDescent="0.2">
      <c r="K947" s="47"/>
    </row>
    <row r="948" spans="11:11" ht="12.75" x14ac:dyDescent="0.2">
      <c r="K948" s="47"/>
    </row>
    <row r="949" spans="11:11" ht="12.75" x14ac:dyDescent="0.2">
      <c r="K949" s="47"/>
    </row>
    <row r="950" spans="11:11" ht="12.75" x14ac:dyDescent="0.2">
      <c r="K950" s="47"/>
    </row>
    <row r="951" spans="11:11" ht="12.75" x14ac:dyDescent="0.2">
      <c r="K951" s="47"/>
    </row>
    <row r="952" spans="11:11" ht="12.75" x14ac:dyDescent="0.2">
      <c r="K952" s="47"/>
    </row>
    <row r="953" spans="11:11" ht="12.75" x14ac:dyDescent="0.2">
      <c r="K953" s="47"/>
    </row>
    <row r="954" spans="11:11" ht="12.75" x14ac:dyDescent="0.2">
      <c r="K954" s="47"/>
    </row>
    <row r="955" spans="11:11" ht="12.75" x14ac:dyDescent="0.2">
      <c r="K955" s="47"/>
    </row>
    <row r="956" spans="11:11" ht="12.75" x14ac:dyDescent="0.2">
      <c r="K956" s="47"/>
    </row>
    <row r="957" spans="11:11" ht="12.75" x14ac:dyDescent="0.2">
      <c r="K957" s="47"/>
    </row>
    <row r="958" spans="11:11" ht="12.75" x14ac:dyDescent="0.2">
      <c r="K958" s="47"/>
    </row>
    <row r="959" spans="11:11" ht="12.75" x14ac:dyDescent="0.2">
      <c r="K959" s="47"/>
    </row>
    <row r="960" spans="11:11" ht="12.75" x14ac:dyDescent="0.2">
      <c r="K960" s="47"/>
    </row>
    <row r="961" spans="11:11" ht="12.75" x14ac:dyDescent="0.2">
      <c r="K961" s="47"/>
    </row>
    <row r="962" spans="11:11" ht="12.75" x14ac:dyDescent="0.2">
      <c r="K962" s="47"/>
    </row>
    <row r="963" spans="11:11" ht="12.75" x14ac:dyDescent="0.2">
      <c r="K963" s="47"/>
    </row>
    <row r="964" spans="11:11" ht="12.75" x14ac:dyDescent="0.2">
      <c r="K964" s="47"/>
    </row>
    <row r="965" spans="11:11" ht="12.75" x14ac:dyDescent="0.2">
      <c r="K965" s="47"/>
    </row>
    <row r="966" spans="11:11" ht="12.75" x14ac:dyDescent="0.2">
      <c r="K966" s="47"/>
    </row>
    <row r="967" spans="11:11" ht="12.75" x14ac:dyDescent="0.2">
      <c r="K967" s="47"/>
    </row>
    <row r="968" spans="11:11" ht="12.75" x14ac:dyDescent="0.2">
      <c r="K968" s="47"/>
    </row>
    <row r="969" spans="11:11" ht="12.75" x14ac:dyDescent="0.2">
      <c r="K969" s="47"/>
    </row>
    <row r="970" spans="11:11" ht="12.75" x14ac:dyDescent="0.2">
      <c r="K970" s="47"/>
    </row>
    <row r="971" spans="11:11" ht="12.75" x14ac:dyDescent="0.2">
      <c r="K971" s="47"/>
    </row>
    <row r="972" spans="11:11" ht="12.75" x14ac:dyDescent="0.2">
      <c r="K972" s="47"/>
    </row>
    <row r="973" spans="11:11" ht="12.75" x14ac:dyDescent="0.2">
      <c r="K973" s="47"/>
    </row>
    <row r="974" spans="11:11" ht="12.75" x14ac:dyDescent="0.2">
      <c r="K974" s="47"/>
    </row>
    <row r="975" spans="11:11" ht="12.75" x14ac:dyDescent="0.2">
      <c r="K975" s="47"/>
    </row>
    <row r="976" spans="11:11" ht="12.75" x14ac:dyDescent="0.2">
      <c r="K976" s="47"/>
    </row>
    <row r="977" spans="11:11" ht="12.75" x14ac:dyDescent="0.2">
      <c r="K977" s="47"/>
    </row>
    <row r="978" spans="11:11" ht="12.75" x14ac:dyDescent="0.2">
      <c r="K978" s="47"/>
    </row>
    <row r="979" spans="11:11" ht="12.75" x14ac:dyDescent="0.2">
      <c r="K979" s="47"/>
    </row>
    <row r="980" spans="11:11" ht="12.75" x14ac:dyDescent="0.2">
      <c r="K980" s="47"/>
    </row>
    <row r="981" spans="11:11" ht="12.75" x14ac:dyDescent="0.2">
      <c r="K981" s="47"/>
    </row>
    <row r="982" spans="11:11" ht="12.75" x14ac:dyDescent="0.2">
      <c r="K982" s="47"/>
    </row>
    <row r="983" spans="11:11" ht="12.75" x14ac:dyDescent="0.2">
      <c r="K983" s="47"/>
    </row>
    <row r="984" spans="11:11" ht="12.75" x14ac:dyDescent="0.2">
      <c r="K984" s="47"/>
    </row>
    <row r="985" spans="11:11" ht="12.75" x14ac:dyDescent="0.2">
      <c r="K985" s="47"/>
    </row>
    <row r="986" spans="11:11" ht="12.75" x14ac:dyDescent="0.2">
      <c r="K986" s="47"/>
    </row>
    <row r="987" spans="11:11" ht="12.75" x14ac:dyDescent="0.2">
      <c r="K987" s="47"/>
    </row>
    <row r="988" spans="11:11" ht="12.75" x14ac:dyDescent="0.2">
      <c r="K988" s="47"/>
    </row>
    <row r="989" spans="11:11" ht="12.75" x14ac:dyDescent="0.2">
      <c r="K989" s="47"/>
    </row>
    <row r="990" spans="11:11" ht="12.75" x14ac:dyDescent="0.2">
      <c r="K990" s="47"/>
    </row>
    <row r="991" spans="11:11" ht="12.75" x14ac:dyDescent="0.2">
      <c r="K991" s="47"/>
    </row>
    <row r="992" spans="11:11" ht="12.75" x14ac:dyDescent="0.2">
      <c r="K992" s="47"/>
    </row>
    <row r="993" spans="11:11" ht="12.75" x14ac:dyDescent="0.2">
      <c r="K993" s="47"/>
    </row>
    <row r="994" spans="11:11" ht="12.75" x14ac:dyDescent="0.2">
      <c r="K994" s="47"/>
    </row>
    <row r="995" spans="11:11" ht="12.75" x14ac:dyDescent="0.2">
      <c r="K995" s="47"/>
    </row>
    <row r="996" spans="11:11" ht="12.75" x14ac:dyDescent="0.2">
      <c r="K996" s="47"/>
    </row>
    <row r="997" spans="11:11" ht="12.75" x14ac:dyDescent="0.2">
      <c r="K997" s="47"/>
    </row>
    <row r="998" spans="11:11" ht="12.75" x14ac:dyDescent="0.2">
      <c r="K998" s="47"/>
    </row>
    <row r="999" spans="11:11" ht="12.75" x14ac:dyDescent="0.2">
      <c r="K999" s="47"/>
    </row>
    <row r="1000" spans="11:11" ht="12.75" x14ac:dyDescent="0.2">
      <c r="K1000" s="47"/>
    </row>
    <row r="1001" spans="11:11" ht="12.75" x14ac:dyDescent="0.2">
      <c r="K1001" s="47"/>
    </row>
    <row r="1002" spans="11:11" ht="12.75" x14ac:dyDescent="0.2">
      <c r="K1002" s="47"/>
    </row>
    <row r="1003" spans="11:11" ht="12.75" x14ac:dyDescent="0.2">
      <c r="K1003" s="47"/>
    </row>
  </sheetData>
  <autoFilter ref="B4:M155"/>
  <mergeCells count="4">
    <mergeCell ref="L3:M3"/>
    <mergeCell ref="B1:M1"/>
    <mergeCell ref="B2:M2"/>
    <mergeCell ref="B3:J3"/>
  </mergeCells>
  <conditionalFormatting sqref="F5:G155">
    <cfRule type="cellIs" dxfId="122" priority="1" operator="equal">
      <formula>$A$5</formula>
    </cfRule>
  </conditionalFormatting>
  <conditionalFormatting sqref="F5:G155">
    <cfRule type="cellIs" dxfId="121" priority="2" operator="equal">
      <formula>$A$6</formula>
    </cfRule>
  </conditionalFormatting>
  <conditionalFormatting sqref="F5:G155">
    <cfRule type="cellIs" dxfId="120" priority="3" operator="equal">
      <formula>$A$7</formula>
    </cfRule>
  </conditionalFormatting>
  <conditionalFormatting sqref="F5:G155">
    <cfRule type="cellIs" dxfId="119" priority="4" operator="equal">
      <formula>$A$8</formula>
    </cfRule>
  </conditionalFormatting>
  <conditionalFormatting sqref="F5:G155">
    <cfRule type="cellIs" dxfId="118" priority="5" operator="equal">
      <formula>$A$9</formula>
    </cfRule>
  </conditionalFormatting>
  <conditionalFormatting sqref="F5:G155">
    <cfRule type="cellIs" dxfId="117" priority="6" operator="equal">
      <formula>$A$10</formula>
    </cfRule>
  </conditionalFormatting>
  <conditionalFormatting sqref="F5:G155">
    <cfRule type="cellIs" dxfId="116" priority="7" operator="equal">
      <formula>$A$11</formula>
    </cfRule>
  </conditionalFormatting>
  <conditionalFormatting sqref="F5:G155">
    <cfRule type="cellIs" dxfId="115" priority="8" operator="equal">
      <formula>$A$12</formula>
    </cfRule>
  </conditionalFormatting>
  <conditionalFormatting sqref="F5:G155">
    <cfRule type="cellIs" dxfId="114" priority="9" operator="equal">
      <formula>$A$13</formula>
    </cfRule>
  </conditionalFormatting>
  <conditionalFormatting sqref="F5:G155">
    <cfRule type="cellIs" dxfId="113" priority="10" operator="equal">
      <formula>$A$14</formula>
    </cfRule>
  </conditionalFormatting>
  <conditionalFormatting sqref="F5:G155">
    <cfRule type="cellIs" dxfId="112" priority="11" operator="equal">
      <formula>$A$15</formula>
    </cfRule>
  </conditionalFormatting>
  <conditionalFormatting sqref="F5:G155">
    <cfRule type="cellIs" dxfId="111" priority="12" operator="equal">
      <formula>$A$16</formula>
    </cfRule>
  </conditionalFormatting>
  <conditionalFormatting sqref="F5:G155">
    <cfRule type="cellIs" dxfId="110" priority="13" operator="equal">
      <formula>$A$17</formula>
    </cfRule>
  </conditionalFormatting>
  <conditionalFormatting sqref="F5:G155">
    <cfRule type="cellIs" dxfId="109" priority="14" operator="equal">
      <formula>$A$18</formula>
    </cfRule>
  </conditionalFormatting>
  <conditionalFormatting sqref="F5:G155">
    <cfRule type="cellIs" dxfId="108" priority="15" operator="equal">
      <formula>$A$19</formula>
    </cfRule>
  </conditionalFormatting>
  <conditionalFormatting sqref="F5:G155">
    <cfRule type="cellIs" dxfId="107" priority="16" operator="equal">
      <formula>$A$20</formula>
    </cfRule>
  </conditionalFormatting>
  <conditionalFormatting sqref="F5:G155">
    <cfRule type="cellIs" dxfId="106" priority="17" operator="equal">
      <formula>$A$21</formula>
    </cfRule>
  </conditionalFormatting>
  <conditionalFormatting sqref="F5:G155">
    <cfRule type="cellIs" dxfId="105" priority="18" operator="equal">
      <formula>$A$22</formula>
    </cfRule>
  </conditionalFormatting>
  <conditionalFormatting sqref="F5:G155">
    <cfRule type="containsBlanks" dxfId="104" priority="19">
      <formula>LEN(TRIM(F5))=0</formula>
    </cfRule>
  </conditionalFormatting>
  <conditionalFormatting sqref="D5:D155">
    <cfRule type="cellIs" dxfId="103" priority="20" operator="equal">
      <formula>1</formula>
    </cfRule>
  </conditionalFormatting>
  <conditionalFormatting sqref="D5:D155">
    <cfRule type="cellIs" dxfId="102" priority="21" operator="equal">
      <formula>2</formula>
    </cfRule>
  </conditionalFormatting>
  <conditionalFormatting sqref="D5:D155">
    <cfRule type="cellIs" dxfId="101" priority="22" operator="equal">
      <formula>3</formula>
    </cfRule>
  </conditionalFormatting>
  <conditionalFormatting sqref="E5:E155">
    <cfRule type="cellIs" dxfId="100" priority="23" operator="equal">
      <formula>"Yes"</formula>
    </cfRule>
  </conditionalFormatting>
  <conditionalFormatting sqref="E5:E155">
    <cfRule type="cellIs" dxfId="99" priority="24" operator="equal">
      <formula>"No"</formula>
    </cfRule>
  </conditionalFormatting>
  <conditionalFormatting sqref="H5:H155">
    <cfRule type="colorScale" priority="25">
      <colorScale>
        <cfvo type="formula" val="$A$25"/>
        <cfvo type="formula" val="$A$24"/>
        <cfvo type="formula" val="$A$23"/>
        <color rgb="FFFF0000"/>
        <color rgb="FFFFFF00"/>
        <color rgb="FF6AA84F"/>
      </colorScale>
    </cfRule>
  </conditionalFormatting>
  <conditionalFormatting sqref="L5:M155">
    <cfRule type="colorScale" priority="26">
      <colorScale>
        <cfvo type="percentile" val="30"/>
        <cfvo type="percentile" val="65"/>
        <cfvo type="percentile" val="95"/>
        <color rgb="FFFF0000"/>
        <color rgb="FFFFD666"/>
        <color rgb="FF6AA84F"/>
      </colorScale>
    </cfRule>
  </conditionalFormatting>
  <conditionalFormatting sqref="L36:L155">
    <cfRule type="expression" dxfId="98" priority="27">
      <formula>OFFSET(L36,-1,0)&lt;L36</formula>
    </cfRule>
  </conditionalFormatting>
  <conditionalFormatting sqref="K5:K155">
    <cfRule type="colorScale" priority="28">
      <colorScale>
        <cfvo type="formula" val="$A$34"/>
        <cfvo type="formula" val="$A$33"/>
        <cfvo type="formula" val="$A$32"/>
        <color rgb="FFFF0000"/>
        <color rgb="FFFFFF00"/>
        <color rgb="FF6AA84F"/>
      </colorScale>
    </cfRule>
  </conditionalFormatting>
  <conditionalFormatting sqref="I5:I155">
    <cfRule type="colorScale" priority="29">
      <colorScale>
        <cfvo type="formula" val="$A$28"/>
        <cfvo type="formula" val="$A$27"/>
        <cfvo type="formula" val="$A$26"/>
        <color rgb="FFFF0000"/>
        <color rgb="FFFFFF00"/>
        <color rgb="FF6AA84F"/>
      </colorScale>
    </cfRule>
  </conditionalFormatting>
  <conditionalFormatting sqref="J5:J155">
    <cfRule type="colorScale" priority="30">
      <colorScale>
        <cfvo type="formula" val="$A$31"/>
        <cfvo type="formula" val="$A$30"/>
        <cfvo type="formula" val="$A$29"/>
        <color rgb="FFFF0000"/>
        <color rgb="FFFFFF00"/>
        <color rgb="FF6AA84F"/>
      </colorScale>
    </cfRule>
  </conditionalFormatting>
  <dataValidations count="7">
    <dataValidation type="list" allowBlank="1" showInputMessage="1" showErrorMessage="1" prompt="Select type from list" sqref="F5:G155">
      <formula1>Game_Types</formula1>
    </dataValidation>
    <dataValidation type="decimal" allowBlank="1" showInputMessage="1" showErrorMessage="1" prompt="Enter the Pokedex number." sqref="B5:B155">
      <formula1>1</formula1>
      <formula2>1000</formula2>
    </dataValidation>
    <dataValidation type="list" allowBlank="1" showInputMessage="1" showErrorMessage="1" prompt="Select the evolved state number (1 is the most evolved)" sqref="D5:D155">
      <formula1>"1,2,3"</formula1>
    </dataValidation>
    <dataValidation type="list" allowBlank="1" showInputMessage="1" showErrorMessage="1" prompt="Select a level from the list." sqref="L3">
      <formula1>Game_Levels</formula1>
    </dataValidation>
    <dataValidation type="decimal" allowBlank="1" showInputMessage="1" showErrorMessage="1" prompt="Enter a number between 10 and 1000" sqref="H5:J155">
      <formula1>10</formula1>
      <formula2>1000</formula2>
    </dataValidation>
    <dataValidation type="list" allowBlank="1" showInputMessage="1" showErrorMessage="1" prompt="Select &quot;Yes&quot; or &quot;No&quot; if currently available." sqref="E5:E155">
      <formula1>"Yes,No"</formula1>
    </dataValidation>
    <dataValidation type="custom" allowBlank="1" showInputMessage="1" prompt="Enter the name of the Pokemon" sqref="C154">
      <formula1>ISERROR(SEARCH(("Nonsense"),(C154)))</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5"/>
  <sheetViews>
    <sheetView showGridLines="0" tabSelected="1" workbookViewId="0">
      <pane ySplit="3" topLeftCell="A4" activePane="bottomLeft" state="frozen"/>
      <selection pane="bottomLeft" activeCell="O15" sqref="O15"/>
    </sheetView>
  </sheetViews>
  <sheetFormatPr defaultColWidth="14.42578125" defaultRowHeight="15.75" customHeight="1" x14ac:dyDescent="0.2"/>
  <cols>
    <col min="1" max="1" width="0" hidden="1"/>
    <col min="2" max="2" width="8" customWidth="1"/>
    <col min="3" max="3" width="20.5703125" customWidth="1"/>
    <col min="4" max="4" width="9.85546875" customWidth="1"/>
    <col min="5" max="6" width="9.42578125" customWidth="1"/>
    <col min="7" max="7" width="13.42578125" customWidth="1"/>
    <col min="8" max="9" width="9.7109375" customWidth="1"/>
    <col min="10" max="10" width="0" hidden="1"/>
    <col min="12" max="13" width="9.7109375" style="91" customWidth="1"/>
  </cols>
  <sheetData>
    <row r="1" spans="1:13" ht="15.75" customHeight="1" x14ac:dyDescent="0.2">
      <c r="A1" s="3"/>
      <c r="B1" s="103" t="s">
        <v>2</v>
      </c>
      <c r="C1" s="93"/>
      <c r="D1" s="93"/>
      <c r="E1" s="93"/>
      <c r="F1" s="93"/>
      <c r="G1" s="93"/>
      <c r="H1" s="93"/>
      <c r="I1" s="93"/>
      <c r="L1"/>
      <c r="M1"/>
    </row>
    <row r="2" spans="1:13" ht="15.75" customHeight="1" x14ac:dyDescent="0.2">
      <c r="A2" s="3"/>
      <c r="B2" s="102" t="str">
        <f>CONCATENATE("All fields are manual other than """,$H$3,""" and """,$I$3,""".")</f>
        <v>All fields are manual other than "QDPS" and "QEPS".</v>
      </c>
      <c r="C2" s="93"/>
      <c r="D2" s="93"/>
      <c r="E2" s="93"/>
      <c r="F2" s="93"/>
      <c r="G2" s="93"/>
      <c r="H2" s="93"/>
      <c r="I2" s="93"/>
      <c r="L2"/>
      <c r="M2"/>
    </row>
    <row r="3" spans="1:13" ht="15.75" customHeight="1" x14ac:dyDescent="0.2">
      <c r="A3" s="6" t="s">
        <v>4</v>
      </c>
      <c r="B3" s="8" t="s">
        <v>6</v>
      </c>
      <c r="C3" s="8" t="s">
        <v>8</v>
      </c>
      <c r="D3" s="8" t="s">
        <v>9</v>
      </c>
      <c r="E3" s="8" t="s">
        <v>10</v>
      </c>
      <c r="F3" s="8" t="s">
        <v>11</v>
      </c>
      <c r="G3" s="8" t="s">
        <v>12</v>
      </c>
      <c r="H3" s="8" t="s">
        <v>13</v>
      </c>
      <c r="I3" s="8" t="s">
        <v>14</v>
      </c>
      <c r="L3" s="8" t="s">
        <v>13</v>
      </c>
      <c r="M3" s="8" t="s">
        <v>14</v>
      </c>
    </row>
    <row r="4" spans="1:13" ht="15.75" customHeight="1" x14ac:dyDescent="0.2">
      <c r="A4" s="9" t="str">
        <f>Game_Type01</f>
        <v>Bug</v>
      </c>
      <c r="B4" s="12">
        <v>201</v>
      </c>
      <c r="C4" s="13" t="s">
        <v>82</v>
      </c>
      <c r="D4" s="16" t="s">
        <v>83</v>
      </c>
      <c r="E4" s="15">
        <v>5</v>
      </c>
      <c r="F4" s="15">
        <v>7</v>
      </c>
      <c r="G4" s="18">
        <v>450</v>
      </c>
      <c r="H4" s="20">
        <f>$E4/($G4/1000)</f>
        <v>11.111111111111111</v>
      </c>
      <c r="I4" s="20">
        <f>F4/(G4/1000)</f>
        <v>15.555555555555555</v>
      </c>
      <c r="J4" s="3"/>
      <c r="L4" s="20">
        <f>$E4/2</f>
        <v>2.5</v>
      </c>
      <c r="M4" s="20">
        <f>F4/2</f>
        <v>3.5</v>
      </c>
    </row>
    <row r="5" spans="1:13" ht="15.75" customHeight="1" x14ac:dyDescent="0.2">
      <c r="A5" s="9" t="str">
        <f>Game_Type02</f>
        <v>Dark</v>
      </c>
      <c r="B5" s="12">
        <v>200</v>
      </c>
      <c r="C5" s="13" t="s">
        <v>121</v>
      </c>
      <c r="D5" s="16" t="s">
        <v>83</v>
      </c>
      <c r="E5" s="15">
        <v>3</v>
      </c>
      <c r="F5" s="15">
        <v>6</v>
      </c>
      <c r="G5" s="18">
        <v>400</v>
      </c>
      <c r="H5" s="20">
        <f>$E5/($G5/1000)</f>
        <v>7.5</v>
      </c>
      <c r="I5" s="20">
        <f>$F5/($G5/1000)</f>
        <v>15</v>
      </c>
      <c r="J5" s="3"/>
      <c r="L5" s="20">
        <f t="shared" ref="L5:L45" si="0">$E5/2</f>
        <v>1.5</v>
      </c>
      <c r="M5" s="20">
        <f t="shared" ref="M5:M45" si="1">F5/2</f>
        <v>3</v>
      </c>
    </row>
    <row r="6" spans="1:13" ht="15.75" customHeight="1" x14ac:dyDescent="0.2">
      <c r="A6" s="9" t="str">
        <f>Game_Type03</f>
        <v>Dragon</v>
      </c>
      <c r="B6" s="12">
        <v>202</v>
      </c>
      <c r="C6" s="13" t="s">
        <v>59</v>
      </c>
      <c r="D6" s="16" t="s">
        <v>60</v>
      </c>
      <c r="E6" s="15">
        <v>6</v>
      </c>
      <c r="F6" s="15">
        <v>7</v>
      </c>
      <c r="G6" s="18">
        <v>500</v>
      </c>
      <c r="H6" s="20">
        <f>$E6/($G6/1000)</f>
        <v>12</v>
      </c>
      <c r="I6" s="20">
        <f>F6/(G6/1000)</f>
        <v>14</v>
      </c>
      <c r="L6" s="20">
        <f t="shared" si="0"/>
        <v>3</v>
      </c>
      <c r="M6" s="20">
        <f t="shared" si="1"/>
        <v>3.5</v>
      </c>
    </row>
    <row r="7" spans="1:13" ht="15.75" customHeight="1" x14ac:dyDescent="0.2">
      <c r="A7" s="9" t="str">
        <f>Game_Type04</f>
        <v>Electric</v>
      </c>
      <c r="B7" s="12">
        <v>204</v>
      </c>
      <c r="C7" s="13" t="s">
        <v>62</v>
      </c>
      <c r="D7" s="16" t="s">
        <v>63</v>
      </c>
      <c r="E7" s="15">
        <v>6</v>
      </c>
      <c r="F7" s="15">
        <v>7</v>
      </c>
      <c r="G7" s="18">
        <v>500</v>
      </c>
      <c r="H7" s="20">
        <f>$E7/($G7/1000)</f>
        <v>12</v>
      </c>
      <c r="I7" s="20">
        <f>F7/(G7/1000)</f>
        <v>14</v>
      </c>
      <c r="L7" s="20">
        <f t="shared" si="0"/>
        <v>3</v>
      </c>
      <c r="M7" s="20">
        <f t="shared" si="1"/>
        <v>3.5</v>
      </c>
    </row>
    <row r="8" spans="1:13" ht="15.75" customHeight="1" x14ac:dyDescent="0.2">
      <c r="A8" s="9" t="str">
        <f>Game_Type05</f>
        <v>Fairy</v>
      </c>
      <c r="B8" s="12">
        <v>220</v>
      </c>
      <c r="C8" s="13" t="s">
        <v>64</v>
      </c>
      <c r="D8" s="16" t="s">
        <v>35</v>
      </c>
      <c r="E8" s="15">
        <v>6</v>
      </c>
      <c r="F8" s="15">
        <v>7</v>
      </c>
      <c r="G8" s="18">
        <v>500</v>
      </c>
      <c r="H8" s="20">
        <f>$E8/($G8/1000)</f>
        <v>12</v>
      </c>
      <c r="I8" s="20">
        <f>F8/(G8/1000)</f>
        <v>14</v>
      </c>
      <c r="L8" s="20">
        <f t="shared" si="0"/>
        <v>3</v>
      </c>
      <c r="M8" s="20">
        <f t="shared" si="1"/>
        <v>3.5</v>
      </c>
    </row>
    <row r="9" spans="1:13" ht="15.75" customHeight="1" x14ac:dyDescent="0.2">
      <c r="A9" s="9" t="str">
        <f>Game_Type06</f>
        <v>Fighting</v>
      </c>
      <c r="B9" s="12">
        <v>230</v>
      </c>
      <c r="C9" s="13" t="s">
        <v>65</v>
      </c>
      <c r="D9" s="16" t="s">
        <v>66</v>
      </c>
      <c r="E9" s="15">
        <v>6</v>
      </c>
      <c r="F9" s="15">
        <v>7</v>
      </c>
      <c r="G9" s="18">
        <v>500</v>
      </c>
      <c r="H9" s="20">
        <f>$E9/($G9/1000)</f>
        <v>12</v>
      </c>
      <c r="I9" s="20">
        <f>F9/(G9/1000)</f>
        <v>14</v>
      </c>
      <c r="L9" s="20">
        <f t="shared" si="0"/>
        <v>3</v>
      </c>
      <c r="M9" s="20">
        <f t="shared" si="1"/>
        <v>3.5</v>
      </c>
    </row>
    <row r="10" spans="1:13" ht="15.75" customHeight="1" x14ac:dyDescent="0.2">
      <c r="A10" s="9" t="str">
        <f>Game_Type07</f>
        <v>Fire</v>
      </c>
      <c r="B10" s="12">
        <v>232</v>
      </c>
      <c r="C10" s="13" t="s">
        <v>68</v>
      </c>
      <c r="D10" s="16" t="s">
        <v>66</v>
      </c>
      <c r="E10" s="15">
        <v>6</v>
      </c>
      <c r="F10" s="15">
        <v>7</v>
      </c>
      <c r="G10" s="18">
        <v>500</v>
      </c>
      <c r="H10" s="20">
        <f>$E10/($G10/1000)</f>
        <v>12</v>
      </c>
      <c r="I10" s="20">
        <f>F10/(G10/1000)</f>
        <v>14</v>
      </c>
      <c r="J10" s="3"/>
      <c r="L10" s="20">
        <f t="shared" si="0"/>
        <v>3</v>
      </c>
      <c r="M10" s="20">
        <f t="shared" si="1"/>
        <v>3.5</v>
      </c>
    </row>
    <row r="11" spans="1:13" ht="15.75" customHeight="1" x14ac:dyDescent="0.2">
      <c r="A11" s="9" t="str">
        <f>Game_Type08</f>
        <v>Flying</v>
      </c>
      <c r="B11" s="12">
        <v>236</v>
      </c>
      <c r="C11" s="13" t="s">
        <v>101</v>
      </c>
      <c r="D11" s="16" t="s">
        <v>44</v>
      </c>
      <c r="E11" s="15">
        <v>6</v>
      </c>
      <c r="F11" s="15">
        <v>8</v>
      </c>
      <c r="G11" s="18">
        <v>575</v>
      </c>
      <c r="H11" s="20">
        <f>$E11/($G11/1000)</f>
        <v>10.434782608695652</v>
      </c>
      <c r="I11" s="20">
        <f>F11/(G11/1000)</f>
        <v>13.913043478260871</v>
      </c>
      <c r="L11" s="20">
        <f t="shared" si="0"/>
        <v>3</v>
      </c>
      <c r="M11" s="20">
        <f t="shared" si="1"/>
        <v>4</v>
      </c>
    </row>
    <row r="12" spans="1:13" ht="15.75" customHeight="1" x14ac:dyDescent="0.2">
      <c r="A12" s="9" t="str">
        <f>Game_Type09</f>
        <v>Ghost</v>
      </c>
      <c r="B12" s="12">
        <v>205</v>
      </c>
      <c r="C12" s="13" t="s">
        <v>115</v>
      </c>
      <c r="D12" s="16" t="s">
        <v>107</v>
      </c>
      <c r="E12" s="15">
        <v>5</v>
      </c>
      <c r="F12" s="15">
        <v>8</v>
      </c>
      <c r="G12" s="18">
        <v>600</v>
      </c>
      <c r="H12" s="20">
        <f>$E12/($G12/1000)</f>
        <v>8.3333333333333339</v>
      </c>
      <c r="I12" s="20">
        <f>F12/(G12/1000)</f>
        <v>13.333333333333334</v>
      </c>
      <c r="L12" s="20">
        <f t="shared" si="0"/>
        <v>2.5</v>
      </c>
      <c r="M12" s="20">
        <f t="shared" si="1"/>
        <v>4</v>
      </c>
    </row>
    <row r="13" spans="1:13" ht="15.75" customHeight="1" x14ac:dyDescent="0.2">
      <c r="A13" s="9" t="str">
        <f>Game_Type10</f>
        <v>Grass</v>
      </c>
      <c r="B13" s="12">
        <v>222</v>
      </c>
      <c r="C13" s="13" t="s">
        <v>32</v>
      </c>
      <c r="D13" s="16" t="s">
        <v>35</v>
      </c>
      <c r="E13" s="15">
        <v>7</v>
      </c>
      <c r="F13" s="15">
        <v>7</v>
      </c>
      <c r="G13" s="18">
        <v>540</v>
      </c>
      <c r="H13" s="20">
        <f>$E13/($G13/1000)</f>
        <v>12.962962962962962</v>
      </c>
      <c r="I13" s="20">
        <f>F13/(G13/1000)</f>
        <v>12.962962962962962</v>
      </c>
      <c r="J13" s="3"/>
      <c r="L13" s="20">
        <f t="shared" si="0"/>
        <v>3.5</v>
      </c>
      <c r="M13" s="20">
        <f t="shared" si="1"/>
        <v>3.5</v>
      </c>
    </row>
    <row r="14" spans="1:13" ht="15.75" customHeight="1" x14ac:dyDescent="0.2">
      <c r="A14" s="9" t="str">
        <f>Game_Type11</f>
        <v>Ground</v>
      </c>
      <c r="B14" s="12">
        <v>203</v>
      </c>
      <c r="C14" s="13" t="s">
        <v>103</v>
      </c>
      <c r="D14" s="16" t="s">
        <v>60</v>
      </c>
      <c r="E14" s="15">
        <v>7</v>
      </c>
      <c r="F14" s="15">
        <v>9</v>
      </c>
      <c r="G14" s="18">
        <v>700</v>
      </c>
      <c r="H14" s="20">
        <f>$E14/($G14/1000)</f>
        <v>10</v>
      </c>
      <c r="I14" s="20">
        <f>F14/(G14/1000)</f>
        <v>12.857142857142858</v>
      </c>
      <c r="L14" s="20">
        <f t="shared" si="0"/>
        <v>3.5</v>
      </c>
      <c r="M14" s="20">
        <f t="shared" si="1"/>
        <v>4.5</v>
      </c>
    </row>
    <row r="15" spans="1:13" ht="15.75" customHeight="1" x14ac:dyDescent="0.2">
      <c r="A15" s="9" t="str">
        <f>Game_Type12</f>
        <v>Ice</v>
      </c>
      <c r="B15" s="12">
        <v>216</v>
      </c>
      <c r="C15" s="13" t="s">
        <v>89</v>
      </c>
      <c r="D15" s="16" t="s">
        <v>85</v>
      </c>
      <c r="E15" s="15">
        <v>6</v>
      </c>
      <c r="F15" s="15">
        <v>7</v>
      </c>
      <c r="G15" s="18">
        <v>550</v>
      </c>
      <c r="H15" s="20">
        <f>$E15/($G15/1000)</f>
        <v>10.909090909090908</v>
      </c>
      <c r="I15" s="20">
        <f>F15/(G15/1000)</f>
        <v>12.727272727272727</v>
      </c>
      <c r="L15" s="20">
        <f t="shared" si="0"/>
        <v>3</v>
      </c>
      <c r="M15" s="20">
        <f t="shared" si="1"/>
        <v>3.5</v>
      </c>
    </row>
    <row r="16" spans="1:13" ht="15.75" customHeight="1" x14ac:dyDescent="0.2">
      <c r="A16" s="9" t="str">
        <f>Game_Type13</f>
        <v>Normal</v>
      </c>
      <c r="B16" s="12">
        <v>226</v>
      </c>
      <c r="C16" s="13" t="s">
        <v>57</v>
      </c>
      <c r="D16" s="16" t="s">
        <v>58</v>
      </c>
      <c r="E16" s="15">
        <v>7</v>
      </c>
      <c r="F16" s="15">
        <v>7</v>
      </c>
      <c r="G16" s="18">
        <v>570</v>
      </c>
      <c r="H16" s="20">
        <f>$E16/($G16/1000)</f>
        <v>12.280701754385966</v>
      </c>
      <c r="I16" s="20">
        <f>F16/(G16/1000)</f>
        <v>12.280701754385966</v>
      </c>
      <c r="L16" s="20">
        <f t="shared" si="0"/>
        <v>3.5</v>
      </c>
      <c r="M16" s="20">
        <f t="shared" si="1"/>
        <v>3.5</v>
      </c>
    </row>
    <row r="17" spans="1:13" ht="15.75" customHeight="1" x14ac:dyDescent="0.2">
      <c r="A17" s="9" t="str">
        <f>Game_Type14</f>
        <v>Poison</v>
      </c>
      <c r="B17" s="12">
        <v>212</v>
      </c>
      <c r="C17" s="13" t="s">
        <v>105</v>
      </c>
      <c r="D17" s="16" t="s">
        <v>75</v>
      </c>
      <c r="E17" s="15">
        <v>5</v>
      </c>
      <c r="F17" s="15">
        <v>6</v>
      </c>
      <c r="G17" s="18">
        <v>500</v>
      </c>
      <c r="H17" s="20">
        <f>$E17/($G17/1000)</f>
        <v>10</v>
      </c>
      <c r="I17" s="20">
        <f>F17/(G17/1000)</f>
        <v>12</v>
      </c>
      <c r="L17" s="20">
        <f t="shared" si="0"/>
        <v>2.5</v>
      </c>
      <c r="M17" s="20">
        <f t="shared" si="1"/>
        <v>3</v>
      </c>
    </row>
    <row r="18" spans="1:13" ht="15.75" customHeight="1" x14ac:dyDescent="0.2">
      <c r="A18" s="9" t="str">
        <f>Game_Type15</f>
        <v>Psychic</v>
      </c>
      <c r="B18" s="12">
        <v>207</v>
      </c>
      <c r="C18" s="13" t="s">
        <v>117</v>
      </c>
      <c r="D18" s="16" t="s">
        <v>98</v>
      </c>
      <c r="E18" s="15">
        <v>5</v>
      </c>
      <c r="F18" s="15">
        <v>7</v>
      </c>
      <c r="G18" s="18">
        <v>600</v>
      </c>
      <c r="H18" s="20">
        <f>$E18/($G18/1000)</f>
        <v>8.3333333333333339</v>
      </c>
      <c r="I18" s="20">
        <f>F18/(G18/1000)</f>
        <v>11.666666666666668</v>
      </c>
      <c r="J18" s="3"/>
      <c r="L18" s="20">
        <f t="shared" si="0"/>
        <v>2.5</v>
      </c>
      <c r="M18" s="20">
        <f t="shared" si="1"/>
        <v>3.5</v>
      </c>
    </row>
    <row r="19" spans="1:13" ht="15.75" customHeight="1" x14ac:dyDescent="0.2">
      <c r="A19" s="9" t="str">
        <f>Game_Type16</f>
        <v>Rock</v>
      </c>
      <c r="B19" s="12">
        <v>206</v>
      </c>
      <c r="C19" s="13" t="s">
        <v>106</v>
      </c>
      <c r="D19" s="16" t="s">
        <v>107</v>
      </c>
      <c r="E19" s="15">
        <v>7</v>
      </c>
      <c r="F19" s="15">
        <v>8</v>
      </c>
      <c r="G19" s="18">
        <v>700</v>
      </c>
      <c r="H19" s="20">
        <f>$E19/($G19/1000)</f>
        <v>10</v>
      </c>
      <c r="I19" s="20">
        <f>F19/(G19/1000)</f>
        <v>11.428571428571429</v>
      </c>
      <c r="L19" s="20">
        <f t="shared" si="0"/>
        <v>3.5</v>
      </c>
      <c r="M19" s="20">
        <f t="shared" si="1"/>
        <v>4</v>
      </c>
    </row>
    <row r="20" spans="1:13" ht="15.75" customHeight="1" x14ac:dyDescent="0.2">
      <c r="A20" s="9" t="str">
        <f>Game_Type17</f>
        <v>Steel</v>
      </c>
      <c r="B20" s="12">
        <v>228</v>
      </c>
      <c r="C20" s="13" t="s">
        <v>55</v>
      </c>
      <c r="D20" s="16" t="s">
        <v>56</v>
      </c>
      <c r="E20" s="15">
        <v>8</v>
      </c>
      <c r="F20" s="15">
        <v>7</v>
      </c>
      <c r="G20" s="18">
        <v>630</v>
      </c>
      <c r="H20" s="20">
        <f>$E20/($G20/1000)</f>
        <v>12.698412698412698</v>
      </c>
      <c r="I20" s="20">
        <f>F20/(G20/1000)</f>
        <v>11.111111111111111</v>
      </c>
      <c r="J20" s="3"/>
      <c r="L20" s="20">
        <f t="shared" si="0"/>
        <v>4</v>
      </c>
      <c r="M20" s="20">
        <f t="shared" si="1"/>
        <v>3.5</v>
      </c>
    </row>
    <row r="21" spans="1:13" ht="15.75" customHeight="1" x14ac:dyDescent="0.2">
      <c r="A21" s="9" t="str">
        <f>Game_Type18</f>
        <v>Water</v>
      </c>
      <c r="B21" s="12">
        <v>227</v>
      </c>
      <c r="C21" s="13" t="s">
        <v>112</v>
      </c>
      <c r="D21" s="16" t="s">
        <v>113</v>
      </c>
      <c r="E21" s="15">
        <v>12</v>
      </c>
      <c r="F21" s="15">
        <v>15</v>
      </c>
      <c r="G21" s="18">
        <v>1360</v>
      </c>
      <c r="H21" s="20">
        <f>$E21/($G21/1000)</f>
        <v>8.8235294117647047</v>
      </c>
      <c r="I21" s="20">
        <f>F21/(G21/1000)</f>
        <v>11.029411764705882</v>
      </c>
      <c r="L21" s="20">
        <f t="shared" si="0"/>
        <v>6</v>
      </c>
      <c r="M21" s="20">
        <f t="shared" si="1"/>
        <v>7.5</v>
      </c>
    </row>
    <row r="22" spans="1:13" ht="15.75" customHeight="1" x14ac:dyDescent="0.2">
      <c r="A22" s="26">
        <f>CF_High_QDPS</f>
        <v>12</v>
      </c>
      <c r="B22" s="12">
        <v>237</v>
      </c>
      <c r="C22" s="13" t="s">
        <v>92</v>
      </c>
      <c r="D22" s="16" t="s">
        <v>66</v>
      </c>
      <c r="E22" s="15">
        <v>25</v>
      </c>
      <c r="F22" s="15">
        <v>25</v>
      </c>
      <c r="G22" s="18">
        <v>2300</v>
      </c>
      <c r="H22" s="20">
        <f>$E22/($G22/1000)</f>
        <v>10.869565217391305</v>
      </c>
      <c r="I22" s="20">
        <f>F22/(G22/1000)</f>
        <v>10.869565217391305</v>
      </c>
      <c r="J22" s="3"/>
      <c r="L22" s="20">
        <f t="shared" si="0"/>
        <v>12.5</v>
      </c>
      <c r="M22" s="20">
        <f t="shared" si="1"/>
        <v>12.5</v>
      </c>
    </row>
    <row r="23" spans="1:13" ht="15.75" customHeight="1" x14ac:dyDescent="0.2">
      <c r="A23" s="26">
        <f>CF_Med_QDPS</f>
        <v>10.5</v>
      </c>
      <c r="B23" s="12">
        <v>214</v>
      </c>
      <c r="C23" s="13" t="s">
        <v>94</v>
      </c>
      <c r="D23" s="16" t="s">
        <v>43</v>
      </c>
      <c r="E23" s="15">
        <v>7</v>
      </c>
      <c r="F23" s="15">
        <v>7</v>
      </c>
      <c r="G23" s="18">
        <v>650</v>
      </c>
      <c r="H23" s="20">
        <f>$E23/($G23/1000)</f>
        <v>10.769230769230768</v>
      </c>
      <c r="I23" s="20">
        <f>F23/(G23/1000)</f>
        <v>10.769230769230768</v>
      </c>
      <c r="L23" s="20">
        <f t="shared" si="0"/>
        <v>3.5</v>
      </c>
      <c r="M23" s="20">
        <f t="shared" si="1"/>
        <v>3.5</v>
      </c>
    </row>
    <row r="24" spans="1:13" ht="15.75" customHeight="1" x14ac:dyDescent="0.2">
      <c r="A24" s="26">
        <f>CF_Low_QDPS</f>
        <v>9</v>
      </c>
      <c r="B24" s="12">
        <v>208</v>
      </c>
      <c r="C24" s="13" t="s">
        <v>122</v>
      </c>
      <c r="D24" s="16" t="s">
        <v>98</v>
      </c>
      <c r="E24" s="15">
        <v>6</v>
      </c>
      <c r="F24" s="15">
        <v>8</v>
      </c>
      <c r="G24" s="18">
        <v>800</v>
      </c>
      <c r="H24" s="20">
        <f>$E24/($G24/1000)</f>
        <v>7.5</v>
      </c>
      <c r="I24" s="20">
        <f>F24/(G24/1000)</f>
        <v>10</v>
      </c>
      <c r="J24" s="3"/>
      <c r="L24" s="20">
        <f t="shared" si="0"/>
        <v>3</v>
      </c>
      <c r="M24" s="20">
        <f t="shared" si="1"/>
        <v>4</v>
      </c>
    </row>
    <row r="25" spans="1:13" ht="15.75" customHeight="1" x14ac:dyDescent="0.2">
      <c r="A25" s="26">
        <f>CF_High_QEPS</f>
        <v>14</v>
      </c>
      <c r="B25" s="12">
        <v>238</v>
      </c>
      <c r="C25" s="13" t="s">
        <v>76</v>
      </c>
      <c r="D25" s="16" t="s">
        <v>60</v>
      </c>
      <c r="E25" s="15">
        <v>12</v>
      </c>
      <c r="F25" s="15">
        <v>10</v>
      </c>
      <c r="G25" s="18">
        <v>1040</v>
      </c>
      <c r="H25" s="20">
        <f>$E25/($G25/1000)</f>
        <v>11.538461538461538</v>
      </c>
      <c r="I25" s="20">
        <f>F25/(G25/1000)</f>
        <v>9.615384615384615</v>
      </c>
      <c r="L25" s="20">
        <f t="shared" si="0"/>
        <v>6</v>
      </c>
      <c r="M25" s="20">
        <f t="shared" si="1"/>
        <v>5</v>
      </c>
    </row>
    <row r="26" spans="1:13" ht="15.75" customHeight="1" x14ac:dyDescent="0.2">
      <c r="A26" s="26">
        <f>CF_Med_QEPS</f>
        <v>11.5</v>
      </c>
      <c r="B26" s="12">
        <v>240</v>
      </c>
      <c r="C26" s="13" t="s">
        <v>71</v>
      </c>
      <c r="D26" s="16" t="s">
        <v>72</v>
      </c>
      <c r="E26" s="15">
        <v>10</v>
      </c>
      <c r="F26" s="15">
        <v>8</v>
      </c>
      <c r="G26" s="18">
        <v>840</v>
      </c>
      <c r="H26" s="20">
        <f>$E26/($G26/1000)</f>
        <v>11.904761904761905</v>
      </c>
      <c r="I26" s="20">
        <f>F26/(G26/1000)</f>
        <v>9.5238095238095237</v>
      </c>
      <c r="J26" s="3"/>
      <c r="L26" s="20">
        <f t="shared" si="0"/>
        <v>5</v>
      </c>
      <c r="M26" s="20">
        <f t="shared" si="1"/>
        <v>4</v>
      </c>
    </row>
    <row r="27" spans="1:13" ht="15.75" customHeight="1" x14ac:dyDescent="0.2">
      <c r="A27" s="26">
        <f>CF_Low_QEPS</f>
        <v>9</v>
      </c>
      <c r="B27" s="12">
        <v>224</v>
      </c>
      <c r="C27" s="13" t="s">
        <v>77</v>
      </c>
      <c r="D27" s="16" t="s">
        <v>44</v>
      </c>
      <c r="E27" s="15">
        <v>12</v>
      </c>
      <c r="F27" s="15">
        <v>10</v>
      </c>
      <c r="G27" s="18">
        <v>1050</v>
      </c>
      <c r="H27" s="20">
        <f>$E27/($G27/1000)</f>
        <v>11.428571428571429</v>
      </c>
      <c r="I27" s="20">
        <f>F27/(G27/1000)</f>
        <v>9.5238095238095237</v>
      </c>
      <c r="L27" s="20">
        <f t="shared" si="0"/>
        <v>6</v>
      </c>
      <c r="M27" s="20">
        <f t="shared" si="1"/>
        <v>5</v>
      </c>
    </row>
    <row r="28" spans="1:13" ht="15.75" customHeight="1" x14ac:dyDescent="0.2">
      <c r="B28" s="12">
        <v>225</v>
      </c>
      <c r="C28" s="13" t="s">
        <v>110</v>
      </c>
      <c r="D28" s="16" t="s">
        <v>44</v>
      </c>
      <c r="E28" s="15">
        <v>10</v>
      </c>
      <c r="F28" s="15">
        <v>10</v>
      </c>
      <c r="G28" s="18">
        <v>1050</v>
      </c>
      <c r="H28" s="20">
        <f>$E28/($G28/1000)</f>
        <v>9.5238095238095237</v>
      </c>
      <c r="I28" s="20">
        <f>F28/(G28/1000)</f>
        <v>9.5238095238095237</v>
      </c>
      <c r="L28" s="20">
        <f t="shared" si="0"/>
        <v>5</v>
      </c>
      <c r="M28" s="20">
        <f t="shared" si="1"/>
        <v>5</v>
      </c>
    </row>
    <row r="29" spans="1:13" ht="15.75" customHeight="1" x14ac:dyDescent="0.2">
      <c r="B29" s="12">
        <v>209</v>
      </c>
      <c r="C29" s="13" t="s">
        <v>111</v>
      </c>
      <c r="D29" s="16" t="s">
        <v>72</v>
      </c>
      <c r="E29" s="15">
        <v>10</v>
      </c>
      <c r="F29" s="15">
        <v>10</v>
      </c>
      <c r="G29" s="18">
        <v>1050</v>
      </c>
      <c r="H29" s="20">
        <f>$E29/($G29/1000)</f>
        <v>9.5238095238095237</v>
      </c>
      <c r="I29" s="20">
        <f>F29/(G29/1000)</f>
        <v>9.5238095238095237</v>
      </c>
      <c r="J29" s="3"/>
      <c r="L29" s="20">
        <f t="shared" si="0"/>
        <v>5</v>
      </c>
      <c r="M29" s="20">
        <f t="shared" si="1"/>
        <v>5</v>
      </c>
    </row>
    <row r="30" spans="1:13" ht="15.75" customHeight="1" x14ac:dyDescent="0.2">
      <c r="B30" s="12">
        <v>210</v>
      </c>
      <c r="C30" s="13" t="s">
        <v>69</v>
      </c>
      <c r="D30" s="16" t="s">
        <v>70</v>
      </c>
      <c r="E30" s="15">
        <v>9</v>
      </c>
      <c r="F30" s="15">
        <v>7</v>
      </c>
      <c r="G30" s="18">
        <v>750</v>
      </c>
      <c r="H30" s="20">
        <f>$E30/($G30/1000)</f>
        <v>12</v>
      </c>
      <c r="I30" s="20">
        <f>F30/(G30/1000)</f>
        <v>9.3333333333333339</v>
      </c>
      <c r="J30" s="3"/>
      <c r="L30" s="20">
        <f t="shared" si="0"/>
        <v>4.5</v>
      </c>
      <c r="M30" s="20">
        <f t="shared" si="1"/>
        <v>3.5</v>
      </c>
    </row>
    <row r="31" spans="1:13" ht="15.75" customHeight="1" x14ac:dyDescent="0.2">
      <c r="B31" s="12">
        <v>235</v>
      </c>
      <c r="C31" s="13" t="s">
        <v>108</v>
      </c>
      <c r="D31" s="16" t="s">
        <v>58</v>
      </c>
      <c r="E31" s="15">
        <v>15</v>
      </c>
      <c r="F31" s="15">
        <v>14</v>
      </c>
      <c r="G31" s="18">
        <v>1510</v>
      </c>
      <c r="H31" s="20">
        <f>$E31/($G31/1000)</f>
        <v>9.9337748344370862</v>
      </c>
      <c r="I31" s="20">
        <f>F31/(G31/1000)</f>
        <v>9.2715231788079464</v>
      </c>
      <c r="L31" s="20">
        <f t="shared" si="0"/>
        <v>7.5</v>
      </c>
      <c r="M31" s="20">
        <f t="shared" si="1"/>
        <v>7</v>
      </c>
    </row>
    <row r="32" spans="1:13" ht="15.75" customHeight="1" x14ac:dyDescent="0.2">
      <c r="B32" s="12">
        <v>221</v>
      </c>
      <c r="C32" s="13" t="s">
        <v>91</v>
      </c>
      <c r="D32" s="16" t="s">
        <v>35</v>
      </c>
      <c r="E32" s="15">
        <v>12</v>
      </c>
      <c r="F32" s="15">
        <v>10</v>
      </c>
      <c r="G32" s="18">
        <v>1100</v>
      </c>
      <c r="H32" s="20">
        <f>$E32/($G32/1000)</f>
        <v>10.909090909090908</v>
      </c>
      <c r="I32" s="20">
        <f>F32/(G32/1000)</f>
        <v>9.0909090909090899</v>
      </c>
      <c r="J32" s="3"/>
      <c r="L32" s="20">
        <f t="shared" si="0"/>
        <v>6</v>
      </c>
      <c r="M32" s="20">
        <f t="shared" si="1"/>
        <v>5</v>
      </c>
    </row>
    <row r="33" spans="2:13" ht="15.75" customHeight="1" x14ac:dyDescent="0.2">
      <c r="B33" s="12">
        <v>239</v>
      </c>
      <c r="C33" s="13" t="s">
        <v>80</v>
      </c>
      <c r="D33" s="16" t="s">
        <v>56</v>
      </c>
      <c r="E33" s="15">
        <v>15</v>
      </c>
      <c r="F33" s="15">
        <v>12</v>
      </c>
      <c r="G33" s="18">
        <v>1330</v>
      </c>
      <c r="H33" s="20">
        <f>$E33/($G33/1000)</f>
        <v>11.278195488721805</v>
      </c>
      <c r="I33" s="20">
        <f>F33/(G33/1000)</f>
        <v>9.022556390977444</v>
      </c>
      <c r="L33" s="20">
        <f t="shared" si="0"/>
        <v>7.5</v>
      </c>
      <c r="M33" s="20">
        <f t="shared" si="1"/>
        <v>6</v>
      </c>
    </row>
    <row r="34" spans="2:13" ht="15.75" customHeight="1" x14ac:dyDescent="0.2">
      <c r="B34" s="12">
        <v>219</v>
      </c>
      <c r="C34" s="13" t="s">
        <v>119</v>
      </c>
      <c r="D34" s="16" t="s">
        <v>35</v>
      </c>
      <c r="E34" s="15">
        <v>10</v>
      </c>
      <c r="F34" s="15">
        <v>12</v>
      </c>
      <c r="G34" s="18">
        <v>1330</v>
      </c>
      <c r="H34" s="20">
        <f>$E34/($G34/1000)</f>
        <v>7.518796992481203</v>
      </c>
      <c r="I34" s="20">
        <f>F34/(G34/1000)</f>
        <v>9.022556390977444</v>
      </c>
      <c r="L34" s="20">
        <f t="shared" si="0"/>
        <v>5</v>
      </c>
      <c r="M34" s="20">
        <f t="shared" si="1"/>
        <v>6</v>
      </c>
    </row>
    <row r="35" spans="2:13" ht="15.75" customHeight="1" x14ac:dyDescent="0.2">
      <c r="B35" s="12">
        <v>233</v>
      </c>
      <c r="C35" s="13" t="s">
        <v>84</v>
      </c>
      <c r="D35" s="16" t="s">
        <v>85</v>
      </c>
      <c r="E35" s="15">
        <v>15</v>
      </c>
      <c r="F35" s="15">
        <v>12</v>
      </c>
      <c r="G35" s="18">
        <v>1350</v>
      </c>
      <c r="H35" s="20">
        <f>$E35/($G35/1000)</f>
        <v>11.111111111111111</v>
      </c>
      <c r="I35" s="20">
        <f>F35/(G35/1000)</f>
        <v>8.8888888888888875</v>
      </c>
      <c r="J35" s="3"/>
      <c r="L35" s="20">
        <f t="shared" si="0"/>
        <v>7.5</v>
      </c>
      <c r="M35" s="20">
        <f t="shared" si="1"/>
        <v>6</v>
      </c>
    </row>
    <row r="36" spans="2:13" ht="15.75" customHeight="1" x14ac:dyDescent="0.2">
      <c r="B36" s="12">
        <v>223</v>
      </c>
      <c r="C36" s="13" t="s">
        <v>100</v>
      </c>
      <c r="D36" s="16" t="s">
        <v>35</v>
      </c>
      <c r="E36" s="15">
        <v>12</v>
      </c>
      <c r="F36" s="15">
        <v>10</v>
      </c>
      <c r="G36" s="18">
        <v>1130</v>
      </c>
      <c r="H36" s="20">
        <f>$E36/($G36/1000)</f>
        <v>10.619469026548673</v>
      </c>
      <c r="I36" s="20">
        <f>F36/(G36/1000)</f>
        <v>8.8495575221238951</v>
      </c>
      <c r="L36" s="20">
        <f t="shared" si="0"/>
        <v>6</v>
      </c>
      <c r="M36" s="20">
        <f t="shared" si="1"/>
        <v>5</v>
      </c>
    </row>
    <row r="37" spans="2:13" ht="15.75" customHeight="1" x14ac:dyDescent="0.2">
      <c r="B37" s="12">
        <v>211</v>
      </c>
      <c r="C37" s="13" t="s">
        <v>114</v>
      </c>
      <c r="D37" s="16" t="s">
        <v>70</v>
      </c>
      <c r="E37" s="15">
        <v>10</v>
      </c>
      <c r="F37" s="15">
        <v>10</v>
      </c>
      <c r="G37" s="18">
        <v>1150</v>
      </c>
      <c r="H37" s="20">
        <f>$E37/($G37/1000)</f>
        <v>8.6956521739130448</v>
      </c>
      <c r="I37" s="20">
        <f>F37/(G37/1000)</f>
        <v>8.6956521739130448</v>
      </c>
      <c r="J37" s="3"/>
      <c r="L37" s="20">
        <f t="shared" si="0"/>
        <v>5</v>
      </c>
      <c r="M37" s="20">
        <f t="shared" si="1"/>
        <v>5</v>
      </c>
    </row>
    <row r="38" spans="2:13" ht="15.75" customHeight="1" x14ac:dyDescent="0.2">
      <c r="B38" s="12">
        <v>218</v>
      </c>
      <c r="C38" s="13" t="s">
        <v>87</v>
      </c>
      <c r="D38" s="16" t="s">
        <v>88</v>
      </c>
      <c r="E38" s="15">
        <v>9</v>
      </c>
      <c r="F38" s="15">
        <v>7</v>
      </c>
      <c r="G38" s="18">
        <v>810</v>
      </c>
      <c r="H38" s="20">
        <f>$E38/($G38/1000)</f>
        <v>11.111111111111111</v>
      </c>
      <c r="I38" s="20">
        <f>F38/(G38/1000)</f>
        <v>8.6419753086419746</v>
      </c>
      <c r="J38" s="3"/>
      <c r="L38" s="20">
        <f t="shared" si="0"/>
        <v>4.5</v>
      </c>
      <c r="M38" s="20">
        <f t="shared" si="1"/>
        <v>3.5</v>
      </c>
    </row>
    <row r="39" spans="2:13" ht="15.75" customHeight="1" x14ac:dyDescent="0.2">
      <c r="B39" s="12">
        <v>234</v>
      </c>
      <c r="C39" s="13" t="s">
        <v>79</v>
      </c>
      <c r="D39" s="16" t="s">
        <v>58</v>
      </c>
      <c r="E39" s="15">
        <v>12</v>
      </c>
      <c r="F39" s="15">
        <v>9</v>
      </c>
      <c r="G39" s="18">
        <v>1050</v>
      </c>
      <c r="H39" s="20">
        <f>$E39/($G39/1000)</f>
        <v>11.428571428571429</v>
      </c>
      <c r="I39" s="20">
        <f>F39/(G39/1000)</f>
        <v>8.5714285714285712</v>
      </c>
      <c r="L39" s="20">
        <f t="shared" si="0"/>
        <v>6</v>
      </c>
      <c r="M39" s="20">
        <f t="shared" si="1"/>
        <v>4.5</v>
      </c>
    </row>
    <row r="40" spans="2:13" ht="15.75" customHeight="1" x14ac:dyDescent="0.2">
      <c r="B40" s="12">
        <v>217</v>
      </c>
      <c r="C40" s="13" t="s">
        <v>95</v>
      </c>
      <c r="D40" s="16" t="s">
        <v>88</v>
      </c>
      <c r="E40" s="15">
        <v>15</v>
      </c>
      <c r="F40" s="15">
        <v>12</v>
      </c>
      <c r="G40" s="18">
        <v>1400</v>
      </c>
      <c r="H40" s="20">
        <f>$E40/($G40/1000)</f>
        <v>10.714285714285715</v>
      </c>
      <c r="I40" s="20">
        <f>F40/(G40/1000)</f>
        <v>8.5714285714285712</v>
      </c>
      <c r="J40" s="3"/>
      <c r="L40" s="20">
        <f t="shared" si="0"/>
        <v>7.5</v>
      </c>
      <c r="M40" s="20">
        <f t="shared" si="1"/>
        <v>6</v>
      </c>
    </row>
    <row r="41" spans="2:13" ht="15.75" customHeight="1" x14ac:dyDescent="0.2">
      <c r="B41" s="12">
        <v>241</v>
      </c>
      <c r="C41" s="13" t="s">
        <v>97</v>
      </c>
      <c r="D41" s="16" t="s">
        <v>98</v>
      </c>
      <c r="E41" s="15">
        <v>15</v>
      </c>
      <c r="F41" s="15">
        <v>12</v>
      </c>
      <c r="G41" s="18">
        <v>1410</v>
      </c>
      <c r="H41" s="20">
        <f>$E41/($G41/1000)</f>
        <v>10.638297872340425</v>
      </c>
      <c r="I41" s="20">
        <f>F41/(G41/1000)</f>
        <v>8.5106382978723403</v>
      </c>
      <c r="L41" s="20">
        <f t="shared" si="0"/>
        <v>7.5</v>
      </c>
      <c r="M41" s="20">
        <f t="shared" si="1"/>
        <v>6</v>
      </c>
    </row>
    <row r="42" spans="2:13" ht="15.75" customHeight="1" x14ac:dyDescent="0.2">
      <c r="B42" s="12">
        <v>213</v>
      </c>
      <c r="C42" s="13" t="s">
        <v>74</v>
      </c>
      <c r="D42" s="16" t="s">
        <v>75</v>
      </c>
      <c r="E42" s="15">
        <v>11</v>
      </c>
      <c r="F42" s="15">
        <v>8</v>
      </c>
      <c r="G42" s="18">
        <v>950</v>
      </c>
      <c r="H42" s="20">
        <f>$E42/($G42/1000)</f>
        <v>11.578947368421053</v>
      </c>
      <c r="I42" s="20">
        <f>F42/(G42/1000)</f>
        <v>8.4210526315789469</v>
      </c>
      <c r="L42" s="20">
        <f t="shared" si="0"/>
        <v>5.5</v>
      </c>
      <c r="M42" s="20">
        <f t="shared" si="1"/>
        <v>4</v>
      </c>
    </row>
    <row r="43" spans="2:13" ht="15.75" customHeight="1" x14ac:dyDescent="0.2">
      <c r="B43" s="12">
        <v>229</v>
      </c>
      <c r="C43" s="13" t="s">
        <v>118</v>
      </c>
      <c r="D43" s="16" t="s">
        <v>56</v>
      </c>
      <c r="E43" s="15">
        <v>10</v>
      </c>
      <c r="F43" s="15">
        <v>10</v>
      </c>
      <c r="G43" s="18">
        <v>1200</v>
      </c>
      <c r="H43" s="20">
        <f>$E43/($G43/1000)</f>
        <v>8.3333333333333339</v>
      </c>
      <c r="I43" s="20">
        <f>F43/(G43/1000)</f>
        <v>8.3333333333333339</v>
      </c>
      <c r="L43" s="20">
        <f t="shared" si="0"/>
        <v>5</v>
      </c>
      <c r="M43" s="20">
        <f t="shared" si="1"/>
        <v>5</v>
      </c>
    </row>
    <row r="44" spans="2:13" ht="12.75" x14ac:dyDescent="0.2">
      <c r="B44" s="12">
        <v>215</v>
      </c>
      <c r="C44" s="13" t="s">
        <v>102</v>
      </c>
      <c r="D44" s="16" t="s">
        <v>43</v>
      </c>
      <c r="E44" s="15">
        <v>15</v>
      </c>
      <c r="F44" s="15">
        <v>12</v>
      </c>
      <c r="G44" s="18">
        <v>1450</v>
      </c>
      <c r="H44" s="20">
        <f>$E44/($G44/1000)</f>
        <v>10.344827586206897</v>
      </c>
      <c r="I44" s="20">
        <f>F44/(G44/1000)</f>
        <v>8.2758620689655178</v>
      </c>
      <c r="L44" s="20">
        <f t="shared" si="0"/>
        <v>7.5</v>
      </c>
      <c r="M44" s="20">
        <f t="shared" si="1"/>
        <v>6</v>
      </c>
    </row>
    <row r="45" spans="2:13" ht="12.75" x14ac:dyDescent="0.2">
      <c r="B45" s="12">
        <v>231</v>
      </c>
      <c r="C45" s="13" t="s">
        <v>124</v>
      </c>
      <c r="D45" s="16" t="s">
        <v>66</v>
      </c>
      <c r="E45" s="15">
        <v>0</v>
      </c>
      <c r="F45" s="15">
        <v>10</v>
      </c>
      <c r="G45" s="18">
        <v>1230</v>
      </c>
      <c r="H45" s="20">
        <f>$E45/($G45/1000)</f>
        <v>0</v>
      </c>
      <c r="I45" s="20">
        <f>F45/(G45/1000)</f>
        <v>8.1300813008130088</v>
      </c>
      <c r="L45" s="20">
        <f t="shared" si="0"/>
        <v>0</v>
      </c>
      <c r="M45" s="20">
        <f t="shared" si="1"/>
        <v>5</v>
      </c>
    </row>
  </sheetData>
  <autoFilter ref="B3:I45">
    <sortState ref="B4:I45">
      <sortCondition descending="1" ref="I3:I45"/>
    </sortState>
  </autoFilter>
  <mergeCells count="2">
    <mergeCell ref="B2:I2"/>
    <mergeCell ref="B1:I1"/>
  </mergeCells>
  <conditionalFormatting sqref="D4:D45">
    <cfRule type="cellIs" dxfId="97" priority="5" operator="equal">
      <formula>$A$4</formula>
    </cfRule>
  </conditionalFormatting>
  <conditionalFormatting sqref="D4:D45">
    <cfRule type="cellIs" dxfId="96" priority="6" operator="equal">
      <formula>$A$5</formula>
    </cfRule>
  </conditionalFormatting>
  <conditionalFormatting sqref="D4:D45">
    <cfRule type="cellIs" dxfId="95" priority="7" operator="equal">
      <formula>$A$6</formula>
    </cfRule>
  </conditionalFormatting>
  <conditionalFormatting sqref="D4:D45">
    <cfRule type="cellIs" dxfId="94" priority="8" operator="equal">
      <formula>$A$7</formula>
    </cfRule>
  </conditionalFormatting>
  <conditionalFormatting sqref="D4:D45">
    <cfRule type="cellIs" dxfId="93" priority="9" operator="equal">
      <formula>$A$8</formula>
    </cfRule>
  </conditionalFormatting>
  <conditionalFormatting sqref="D4:D45">
    <cfRule type="cellIs" dxfId="92" priority="10" operator="equal">
      <formula>$A$9</formula>
    </cfRule>
  </conditionalFormatting>
  <conditionalFormatting sqref="D4:D45">
    <cfRule type="cellIs" dxfId="91" priority="11" operator="equal">
      <formula>$A$10</formula>
    </cfRule>
  </conditionalFormatting>
  <conditionalFormatting sqref="D4:D45">
    <cfRule type="cellIs" dxfId="90" priority="12" operator="equal">
      <formula>$A$11</formula>
    </cfRule>
  </conditionalFormatting>
  <conditionalFormatting sqref="D4:D45">
    <cfRule type="cellIs" dxfId="89" priority="13" operator="equal">
      <formula>$A$12</formula>
    </cfRule>
  </conditionalFormatting>
  <conditionalFormatting sqref="D4:D45">
    <cfRule type="cellIs" dxfId="88" priority="14" operator="equal">
      <formula>$A$13</formula>
    </cfRule>
  </conditionalFormatting>
  <conditionalFormatting sqref="D4:D45">
    <cfRule type="cellIs" dxfId="87" priority="15" operator="equal">
      <formula>$A$14</formula>
    </cfRule>
  </conditionalFormatting>
  <conditionalFormatting sqref="D4:D45">
    <cfRule type="cellIs" dxfId="86" priority="16" operator="equal">
      <formula>$A$15</formula>
    </cfRule>
  </conditionalFormatting>
  <conditionalFormatting sqref="D4:D45">
    <cfRule type="cellIs" dxfId="85" priority="17" operator="equal">
      <formula>$A$16</formula>
    </cfRule>
  </conditionalFormatting>
  <conditionalFormatting sqref="D4:D45">
    <cfRule type="cellIs" dxfId="84" priority="18" operator="equal">
      <formula>$A$17</formula>
    </cfRule>
  </conditionalFormatting>
  <conditionalFormatting sqref="D4:D45">
    <cfRule type="cellIs" dxfId="83" priority="19" operator="equal">
      <formula>$A$18</formula>
    </cfRule>
  </conditionalFormatting>
  <conditionalFormatting sqref="D4:D45">
    <cfRule type="cellIs" dxfId="82" priority="20" operator="equal">
      <formula>$A$19</formula>
    </cfRule>
  </conditionalFormatting>
  <conditionalFormatting sqref="D4:D45">
    <cfRule type="cellIs" dxfId="81" priority="21" operator="equal">
      <formula>$A$20</formula>
    </cfRule>
  </conditionalFormatting>
  <conditionalFormatting sqref="D4:D45">
    <cfRule type="cellIs" dxfId="80" priority="22" operator="equal">
      <formula>$A$21</formula>
    </cfRule>
  </conditionalFormatting>
  <conditionalFormatting sqref="D4:D45">
    <cfRule type="containsBlanks" dxfId="79" priority="23">
      <formula>LEN(TRIM(D4))=0</formula>
    </cfRule>
  </conditionalFormatting>
  <conditionalFormatting sqref="H4:H45">
    <cfRule type="colorScale" priority="24">
      <colorScale>
        <cfvo type="formula" val="$A$24"/>
        <cfvo type="formula" val="$A$23"/>
        <cfvo type="formula" val="$A$22"/>
        <color rgb="FFFF0000"/>
        <color rgb="FFFFFF00"/>
        <color rgb="FF6AA84F"/>
      </colorScale>
    </cfRule>
  </conditionalFormatting>
  <conditionalFormatting sqref="I4:I45">
    <cfRule type="colorScale" priority="25">
      <colorScale>
        <cfvo type="formula" val="$A$27"/>
        <cfvo type="formula" val="$A$26"/>
        <cfvo type="formula" val="$A$25"/>
        <color rgb="FFFF0000"/>
        <color rgb="FFFFFF00"/>
        <color rgb="FF6AA84F"/>
      </colorScale>
    </cfRule>
  </conditionalFormatting>
  <conditionalFormatting sqref="L4:L45">
    <cfRule type="colorScale" priority="1">
      <colorScale>
        <cfvo type="formula" val="$A$24"/>
        <cfvo type="formula" val="$A$23"/>
        <cfvo type="formula" val="$A$22"/>
        <color rgb="FFFF0000"/>
        <color rgb="FFFFFF00"/>
        <color rgb="FF6AA84F"/>
      </colorScale>
    </cfRule>
  </conditionalFormatting>
  <conditionalFormatting sqref="M4:M45">
    <cfRule type="colorScale" priority="2">
      <colorScale>
        <cfvo type="formula" val="$A$27"/>
        <cfvo type="formula" val="$A$26"/>
        <cfvo type="formula" val="$A$25"/>
        <color rgb="FFFF0000"/>
        <color rgb="FFFFFF00"/>
        <color rgb="FF6AA84F"/>
      </colorScale>
    </cfRule>
  </conditionalFormatting>
  <dataValidations count="6">
    <dataValidation type="decimal" allowBlank="1" showInputMessage="1" showErrorMessage="1" prompt="Enter the primary move number." sqref="B4:B45">
      <formula1>1</formula1>
      <formula2>1000</formula2>
    </dataValidation>
    <dataValidation type="list" allowBlank="1" showInputMessage="1" showErrorMessage="1" prompt="Select type from list" sqref="D4:D45">
      <formula1>Game_Types</formula1>
    </dataValidation>
    <dataValidation type="custom" allowBlank="1" showInputMessage="1" prompt="Enter the name of the primary move." sqref="C4:C45">
      <formula1>ISERROR(SEARCH(("Nonsense"),(C4)))</formula1>
    </dataValidation>
    <dataValidation type="decimal" allowBlank="1" showInputMessage="1" showErrorMessage="1" prompt="Input the raw energy generated." sqref="F4:F45">
      <formula1>0</formula1>
      <formula2>100</formula2>
    </dataValidation>
    <dataValidation type="decimal" allowBlank="1" showInputMessage="1" showErrorMessage="1" prompt="Input the duration in milliseconds." sqref="G4:G45">
      <formula1>1</formula1>
      <formula2>10000</formula2>
    </dataValidation>
    <dataValidation type="decimal" allowBlank="1" showInputMessage="1" showErrorMessage="1" prompt="Input the raw damage number." sqref="E4:E45">
      <formula1>0</formula1>
      <formula2>1000</formula2>
    </dataValidation>
  </dataValidation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98"/>
  <sheetViews>
    <sheetView showGridLines="0" workbookViewId="0">
      <pane ySplit="3" topLeftCell="A4" activePane="bottomLeft" state="frozen"/>
      <selection pane="bottomLeft" activeCell="B5" sqref="B5"/>
    </sheetView>
  </sheetViews>
  <sheetFormatPr defaultColWidth="14.42578125" defaultRowHeight="15.75" customHeight="1" x14ac:dyDescent="0.2"/>
  <cols>
    <col min="1" max="1" width="0" hidden="1"/>
    <col min="2" max="2" width="8" customWidth="1"/>
    <col min="3" max="3" width="20.7109375" customWidth="1"/>
    <col min="4" max="4" width="9.85546875" customWidth="1"/>
    <col min="5" max="5" width="9.42578125" customWidth="1"/>
    <col min="6" max="6" width="11.42578125" customWidth="1"/>
    <col min="7" max="7" width="13.42578125" customWidth="1"/>
    <col min="8" max="8" width="12.85546875" customWidth="1"/>
    <col min="9" max="9" width="10.42578125" customWidth="1"/>
    <col min="10" max="11" width="10.5703125" customWidth="1"/>
    <col min="12" max="12" width="10.5703125" hidden="1" customWidth="1"/>
  </cols>
  <sheetData>
    <row r="1" spans="1:12" ht="15.75" customHeight="1" x14ac:dyDescent="0.2">
      <c r="A1" s="3"/>
      <c r="B1" s="103" t="s">
        <v>137</v>
      </c>
      <c r="C1" s="93"/>
      <c r="D1" s="93"/>
      <c r="E1" s="93"/>
      <c r="F1" s="93"/>
      <c r="G1" s="93"/>
      <c r="H1" s="93"/>
      <c r="I1" s="93"/>
      <c r="J1" s="93"/>
      <c r="K1" s="93"/>
      <c r="L1" s="3"/>
    </row>
    <row r="2" spans="1:12" ht="15.75" customHeight="1" x14ac:dyDescent="0.2">
      <c r="A2" s="3"/>
      <c r="B2" s="94" t="str">
        <f>CONCATENATE("All fields are manual other than """,$J$3,""" and """,$K$3,""".")</f>
        <v>All fields are manual other than "CDPS" and "CDPE".</v>
      </c>
      <c r="C2" s="93"/>
      <c r="D2" s="93"/>
      <c r="E2" s="93"/>
      <c r="F2" s="93"/>
      <c r="G2" s="93"/>
      <c r="H2" s="93"/>
      <c r="I2" s="93"/>
      <c r="J2" s="93"/>
      <c r="K2" s="93"/>
      <c r="L2" s="3"/>
    </row>
    <row r="3" spans="1:12" ht="15.75" customHeight="1" x14ac:dyDescent="0.2">
      <c r="A3" s="6" t="s">
        <v>4</v>
      </c>
      <c r="B3" s="8" t="s">
        <v>139</v>
      </c>
      <c r="C3" s="8" t="s">
        <v>140</v>
      </c>
      <c r="D3" s="8" t="s">
        <v>9</v>
      </c>
      <c r="E3" s="8" t="s">
        <v>10</v>
      </c>
      <c r="F3" s="8" t="s">
        <v>141</v>
      </c>
      <c r="G3" s="8" t="s">
        <v>12</v>
      </c>
      <c r="H3" s="8" t="s">
        <v>142</v>
      </c>
      <c r="I3" s="8" t="s">
        <v>143</v>
      </c>
      <c r="J3" s="8" t="s">
        <v>144</v>
      </c>
      <c r="K3" s="8" t="s">
        <v>145</v>
      </c>
      <c r="L3" s="3"/>
    </row>
    <row r="4" spans="1:12" ht="15.75" customHeight="1" x14ac:dyDescent="0.2">
      <c r="A4" s="9" t="str">
        <f>Game_Type01</f>
        <v>Bug</v>
      </c>
      <c r="B4" s="12">
        <v>28</v>
      </c>
      <c r="C4" s="17" t="s">
        <v>146</v>
      </c>
      <c r="D4" s="16" t="s">
        <v>98</v>
      </c>
      <c r="E4" s="15">
        <v>60</v>
      </c>
      <c r="F4" s="15">
        <v>100</v>
      </c>
      <c r="G4" s="18">
        <v>2000</v>
      </c>
      <c r="H4" s="18">
        <v>300</v>
      </c>
      <c r="I4" s="34">
        <v>0.25</v>
      </c>
      <c r="J4" s="20">
        <f t="shared" ref="J4:J35" si="0">($E4*(1+((Game_Critical_Multiplier-1)*$I4)))/($G4/1000)</f>
        <v>33.75</v>
      </c>
      <c r="K4" s="35">
        <f t="shared" ref="K4:K35" si="1">($E4*(1+((Game_Critical_Multiplier-1)*$I4)))/$F4</f>
        <v>0.67500000000000004</v>
      </c>
    </row>
    <row r="5" spans="1:12" ht="15.75" customHeight="1" x14ac:dyDescent="0.2">
      <c r="A5" s="9" t="str">
        <f>Game_Type02</f>
        <v>Dark</v>
      </c>
      <c r="B5" s="12">
        <v>32</v>
      </c>
      <c r="C5" s="17" t="s">
        <v>149</v>
      </c>
      <c r="D5" s="16" t="s">
        <v>113</v>
      </c>
      <c r="E5" s="15">
        <v>80</v>
      </c>
      <c r="F5" s="15">
        <v>100</v>
      </c>
      <c r="G5" s="18">
        <v>3100</v>
      </c>
      <c r="H5" s="18">
        <v>400</v>
      </c>
      <c r="I5" s="34">
        <v>0.5</v>
      </c>
      <c r="J5" s="20">
        <f t="shared" si="0"/>
        <v>32.258064516129032</v>
      </c>
      <c r="K5" s="35">
        <f t="shared" si="1"/>
        <v>1</v>
      </c>
    </row>
    <row r="6" spans="1:12" ht="15.75" customHeight="1" x14ac:dyDescent="0.2">
      <c r="A6" s="9" t="str">
        <f>Game_Type03</f>
        <v>Dragon</v>
      </c>
      <c r="B6" s="12">
        <v>131</v>
      </c>
      <c r="C6" s="17" t="s">
        <v>151</v>
      </c>
      <c r="D6" s="16" t="s">
        <v>35</v>
      </c>
      <c r="E6" s="15">
        <v>40</v>
      </c>
      <c r="F6" s="15">
        <v>50</v>
      </c>
      <c r="G6" s="18">
        <v>1560</v>
      </c>
      <c r="H6" s="18">
        <v>200</v>
      </c>
      <c r="I6" s="34">
        <v>0.05</v>
      </c>
      <c r="J6" s="20">
        <f t="shared" si="0"/>
        <v>26.282051282051281</v>
      </c>
      <c r="K6" s="35">
        <f t="shared" si="1"/>
        <v>0.82</v>
      </c>
    </row>
    <row r="7" spans="1:12" ht="15.75" customHeight="1" x14ac:dyDescent="0.2">
      <c r="A7" s="9" t="str">
        <f>Game_Type04</f>
        <v>Electric</v>
      </c>
      <c r="B7" s="12">
        <v>40</v>
      </c>
      <c r="C7" s="17" t="s">
        <v>153</v>
      </c>
      <c r="D7" s="16" t="s">
        <v>88</v>
      </c>
      <c r="E7" s="15">
        <v>100</v>
      </c>
      <c r="F7" s="15">
        <v>100</v>
      </c>
      <c r="G7" s="18">
        <v>3900</v>
      </c>
      <c r="H7" s="18">
        <v>0</v>
      </c>
      <c r="I7" s="34">
        <v>0.05</v>
      </c>
      <c r="J7" s="20">
        <f t="shared" si="0"/>
        <v>26.282051282051277</v>
      </c>
      <c r="K7" s="35">
        <f t="shared" si="1"/>
        <v>1.0249999999999999</v>
      </c>
    </row>
    <row r="8" spans="1:12" ht="15.75" customHeight="1" x14ac:dyDescent="0.2">
      <c r="A8" s="9" t="str">
        <f>Game_Type05</f>
        <v>Fairy</v>
      </c>
      <c r="B8" s="12">
        <v>83</v>
      </c>
      <c r="C8" s="17" t="s">
        <v>155</v>
      </c>
      <c r="D8" s="16" t="s">
        <v>63</v>
      </c>
      <c r="E8" s="15">
        <v>35</v>
      </c>
      <c r="F8" s="15">
        <v>50</v>
      </c>
      <c r="G8" s="18">
        <v>1500</v>
      </c>
      <c r="H8" s="18">
        <v>200</v>
      </c>
      <c r="I8" s="34">
        <v>0.25</v>
      </c>
      <c r="J8" s="20">
        <f t="shared" si="0"/>
        <v>26.25</v>
      </c>
      <c r="K8" s="35">
        <f t="shared" si="1"/>
        <v>0.78749999999999998</v>
      </c>
    </row>
    <row r="9" spans="1:12" ht="15.75" customHeight="1" x14ac:dyDescent="0.2">
      <c r="A9" s="9" t="str">
        <f>Game_Type06</f>
        <v>Fighting</v>
      </c>
      <c r="B9" s="12">
        <v>122</v>
      </c>
      <c r="C9" s="17" t="s">
        <v>157</v>
      </c>
      <c r="D9" s="16" t="s">
        <v>70</v>
      </c>
      <c r="E9" s="15">
        <v>80</v>
      </c>
      <c r="F9" s="15">
        <v>100</v>
      </c>
      <c r="G9" s="18">
        <v>3200</v>
      </c>
      <c r="H9" s="18">
        <v>1770</v>
      </c>
      <c r="I9" s="34">
        <v>0.05</v>
      </c>
      <c r="J9" s="20">
        <f t="shared" si="0"/>
        <v>25.625</v>
      </c>
      <c r="K9" s="35">
        <f t="shared" si="1"/>
        <v>0.82</v>
      </c>
    </row>
    <row r="10" spans="1:12" ht="15.75" customHeight="1" x14ac:dyDescent="0.2">
      <c r="A10" s="9" t="str">
        <f>Game_Type07</f>
        <v>Fire</v>
      </c>
      <c r="B10" s="12">
        <v>22</v>
      </c>
      <c r="C10" s="17" t="s">
        <v>159</v>
      </c>
      <c r="D10" s="16" t="s">
        <v>83</v>
      </c>
      <c r="E10" s="15">
        <v>80</v>
      </c>
      <c r="F10" s="15">
        <v>100</v>
      </c>
      <c r="G10" s="18">
        <v>3200</v>
      </c>
      <c r="H10" s="18">
        <v>300</v>
      </c>
      <c r="I10" s="34">
        <v>0.05</v>
      </c>
      <c r="J10" s="20">
        <f t="shared" si="0"/>
        <v>25.625</v>
      </c>
      <c r="K10" s="35">
        <f t="shared" si="1"/>
        <v>0.82</v>
      </c>
    </row>
    <row r="11" spans="1:12" ht="15.75" customHeight="1" x14ac:dyDescent="0.2">
      <c r="A11" s="9" t="str">
        <f>Game_Type08</f>
        <v>Flying</v>
      </c>
      <c r="B11" s="12">
        <v>116</v>
      </c>
      <c r="C11" s="17" t="s">
        <v>160</v>
      </c>
      <c r="D11" s="16" t="s">
        <v>43</v>
      </c>
      <c r="E11" s="15">
        <v>120</v>
      </c>
      <c r="F11" s="15">
        <v>100</v>
      </c>
      <c r="G11" s="18">
        <v>4900</v>
      </c>
      <c r="H11" s="18">
        <v>1700</v>
      </c>
      <c r="I11" s="34">
        <v>0.05</v>
      </c>
      <c r="J11" s="20">
        <f t="shared" si="0"/>
        <v>25.102040816326525</v>
      </c>
      <c r="K11" s="35">
        <f t="shared" si="1"/>
        <v>1.2299999999999998</v>
      </c>
    </row>
    <row r="12" spans="1:12" ht="15.75" customHeight="1" x14ac:dyDescent="0.2">
      <c r="A12" s="9" t="str">
        <f>Game_Type09</f>
        <v>Ghost</v>
      </c>
      <c r="B12" s="12">
        <v>103</v>
      </c>
      <c r="C12" s="17" t="s">
        <v>163</v>
      </c>
      <c r="D12" s="16" t="s">
        <v>72</v>
      </c>
      <c r="E12" s="15">
        <v>100</v>
      </c>
      <c r="F12" s="15">
        <v>100</v>
      </c>
      <c r="G12" s="18">
        <v>4100</v>
      </c>
      <c r="H12" s="18">
        <v>400</v>
      </c>
      <c r="I12" s="34">
        <v>0.05</v>
      </c>
      <c r="J12" s="20">
        <f t="shared" si="0"/>
        <v>25</v>
      </c>
      <c r="K12" s="35">
        <f t="shared" si="1"/>
        <v>1.0249999999999999</v>
      </c>
    </row>
    <row r="13" spans="1:12" ht="15.75" customHeight="1" x14ac:dyDescent="0.2">
      <c r="A13" s="9" t="str">
        <f>Game_Type10</f>
        <v>Grass</v>
      </c>
      <c r="B13" s="12">
        <v>118</v>
      </c>
      <c r="C13" s="17" t="s">
        <v>165</v>
      </c>
      <c r="D13" s="16" t="s">
        <v>43</v>
      </c>
      <c r="E13" s="15">
        <v>70</v>
      </c>
      <c r="F13" s="15">
        <v>100</v>
      </c>
      <c r="G13" s="18">
        <v>2800</v>
      </c>
      <c r="H13" s="18">
        <v>1300</v>
      </c>
      <c r="I13" s="34">
        <v>0</v>
      </c>
      <c r="J13" s="20">
        <f t="shared" si="0"/>
        <v>25</v>
      </c>
      <c r="K13" s="35">
        <f t="shared" si="1"/>
        <v>0.7</v>
      </c>
    </row>
    <row r="14" spans="1:12" ht="15.75" customHeight="1" x14ac:dyDescent="0.2">
      <c r="A14" s="9" t="str">
        <f>Game_Type11</f>
        <v>Ground</v>
      </c>
      <c r="B14" s="12">
        <v>14</v>
      </c>
      <c r="C14" s="17" t="s">
        <v>130</v>
      </c>
      <c r="D14" s="16" t="s">
        <v>35</v>
      </c>
      <c r="E14" s="15">
        <v>120</v>
      </c>
      <c r="F14" s="15">
        <v>100</v>
      </c>
      <c r="G14" s="18">
        <v>5000</v>
      </c>
      <c r="H14" s="18">
        <v>800</v>
      </c>
      <c r="I14" s="34">
        <v>0.05</v>
      </c>
      <c r="J14" s="20">
        <f t="shared" si="0"/>
        <v>24.599999999999998</v>
      </c>
      <c r="K14" s="35">
        <f t="shared" si="1"/>
        <v>1.2299999999999998</v>
      </c>
    </row>
    <row r="15" spans="1:12" ht="15.75" customHeight="1" x14ac:dyDescent="0.2">
      <c r="A15" s="9" t="str">
        <f>Game_Type12</f>
        <v>Ice</v>
      </c>
      <c r="B15" s="12">
        <v>31</v>
      </c>
      <c r="C15" s="17" t="s">
        <v>169</v>
      </c>
      <c r="D15" s="16" t="s">
        <v>85</v>
      </c>
      <c r="E15" s="15">
        <v>100</v>
      </c>
      <c r="F15" s="15">
        <v>100</v>
      </c>
      <c r="G15" s="18">
        <v>4200</v>
      </c>
      <c r="H15" s="18">
        <v>1950</v>
      </c>
      <c r="I15" s="34">
        <v>0.05</v>
      </c>
      <c r="J15" s="20">
        <f t="shared" si="0"/>
        <v>24.404761904761902</v>
      </c>
      <c r="K15" s="35">
        <f t="shared" si="1"/>
        <v>1.0249999999999999</v>
      </c>
    </row>
    <row r="16" spans="1:12" ht="15.75" customHeight="1" x14ac:dyDescent="0.2">
      <c r="A16" s="9" t="str">
        <f>Game_Type13</f>
        <v>Normal</v>
      </c>
      <c r="B16" s="12">
        <v>107</v>
      </c>
      <c r="C16" s="17" t="s">
        <v>170</v>
      </c>
      <c r="D16" s="16" t="s">
        <v>66</v>
      </c>
      <c r="E16" s="15">
        <v>90</v>
      </c>
      <c r="F16" s="15">
        <v>100</v>
      </c>
      <c r="G16" s="18">
        <v>3800</v>
      </c>
      <c r="H16" s="18">
        <v>2100</v>
      </c>
      <c r="I16" s="34">
        <v>0.05</v>
      </c>
      <c r="J16" s="20">
        <f t="shared" si="0"/>
        <v>24.276315789473681</v>
      </c>
      <c r="K16" s="35">
        <f t="shared" si="1"/>
        <v>0.92249999999999988</v>
      </c>
    </row>
    <row r="17" spans="1:11" ht="15.75" customHeight="1" x14ac:dyDescent="0.2">
      <c r="A17" s="9" t="str">
        <f>Game_Type14</f>
        <v>Poison</v>
      </c>
      <c r="B17" s="12">
        <v>135</v>
      </c>
      <c r="C17" s="17" t="s">
        <v>172</v>
      </c>
      <c r="D17" s="16" t="s">
        <v>66</v>
      </c>
      <c r="E17" s="15">
        <v>90</v>
      </c>
      <c r="F17" s="15">
        <v>100</v>
      </c>
      <c r="G17" s="18">
        <v>3800</v>
      </c>
      <c r="H17" s="18">
        <v>2100</v>
      </c>
      <c r="I17" s="34">
        <v>0.05</v>
      </c>
      <c r="J17" s="20">
        <f t="shared" si="0"/>
        <v>24.276315789473681</v>
      </c>
      <c r="K17" s="35">
        <f t="shared" si="1"/>
        <v>0.92249999999999988</v>
      </c>
    </row>
    <row r="18" spans="1:11" ht="15.75" customHeight="1" x14ac:dyDescent="0.2">
      <c r="A18" s="9" t="str">
        <f>Game_Type15</f>
        <v>Psychic</v>
      </c>
      <c r="B18" s="12">
        <v>78</v>
      </c>
      <c r="C18" s="17" t="s">
        <v>174</v>
      </c>
      <c r="D18" s="16" t="s">
        <v>107</v>
      </c>
      <c r="E18" s="15">
        <v>100</v>
      </c>
      <c r="F18" s="15">
        <v>100</v>
      </c>
      <c r="G18" s="18">
        <v>4300</v>
      </c>
      <c r="H18" s="18">
        <v>1550</v>
      </c>
      <c r="I18" s="34">
        <v>0.05</v>
      </c>
      <c r="J18" s="20">
        <f t="shared" si="0"/>
        <v>23.837209302325579</v>
      </c>
      <c r="K18" s="35">
        <f t="shared" si="1"/>
        <v>1.0249999999999999</v>
      </c>
    </row>
    <row r="19" spans="1:11" ht="15.75" customHeight="1" x14ac:dyDescent="0.2">
      <c r="A19" s="9" t="str">
        <f>Game_Type16</f>
        <v>Rock</v>
      </c>
      <c r="B19" s="12">
        <v>92</v>
      </c>
      <c r="C19" s="17" t="s">
        <v>176</v>
      </c>
      <c r="D19" s="16" t="s">
        <v>44</v>
      </c>
      <c r="E19" s="15">
        <v>65</v>
      </c>
      <c r="F19" s="15">
        <v>100</v>
      </c>
      <c r="G19" s="18">
        <v>3000</v>
      </c>
      <c r="H19" s="18">
        <v>400</v>
      </c>
      <c r="I19" s="34">
        <v>0.05</v>
      </c>
      <c r="J19" s="20">
        <f t="shared" si="0"/>
        <v>22.208333333333332</v>
      </c>
      <c r="K19" s="35">
        <f t="shared" si="1"/>
        <v>0.66625000000000001</v>
      </c>
    </row>
    <row r="20" spans="1:11" ht="15.75" customHeight="1" x14ac:dyDescent="0.2">
      <c r="A20" s="9" t="str">
        <f>Game_Type17</f>
        <v>Steel</v>
      </c>
      <c r="B20" s="12">
        <v>117</v>
      </c>
      <c r="C20" s="17" t="s">
        <v>178</v>
      </c>
      <c r="D20" s="16" t="s">
        <v>43</v>
      </c>
      <c r="E20" s="15">
        <v>55</v>
      </c>
      <c r="F20" s="15">
        <v>50</v>
      </c>
      <c r="G20" s="18">
        <v>2800</v>
      </c>
      <c r="H20" s="18">
        <v>1000</v>
      </c>
      <c r="I20" s="34">
        <v>0.25</v>
      </c>
      <c r="J20" s="20">
        <f t="shared" si="0"/>
        <v>22.098214285714288</v>
      </c>
      <c r="K20" s="35">
        <f t="shared" si="1"/>
        <v>1.2375</v>
      </c>
    </row>
    <row r="21" spans="1:11" ht="15.75" customHeight="1" x14ac:dyDescent="0.2">
      <c r="A21" s="9" t="str">
        <f>Game_Type18</f>
        <v>Water</v>
      </c>
      <c r="B21" s="12">
        <v>90</v>
      </c>
      <c r="C21" s="17" t="s">
        <v>180</v>
      </c>
      <c r="D21" s="16" t="s">
        <v>44</v>
      </c>
      <c r="E21" s="15">
        <v>55</v>
      </c>
      <c r="F21" s="15">
        <v>50</v>
      </c>
      <c r="G21" s="18">
        <v>2600</v>
      </c>
      <c r="H21" s="18">
        <v>500</v>
      </c>
      <c r="I21" s="34">
        <v>0.05</v>
      </c>
      <c r="J21" s="20">
        <f t="shared" si="0"/>
        <v>21.682692307692303</v>
      </c>
      <c r="K21" s="35">
        <f t="shared" si="1"/>
        <v>1.1274999999999999</v>
      </c>
    </row>
    <row r="22" spans="1:11" ht="15.75" customHeight="1" x14ac:dyDescent="0.2">
      <c r="A22" s="36">
        <f>CF_High_Dodge_Window</f>
        <v>300</v>
      </c>
      <c r="B22" s="12">
        <v>42</v>
      </c>
      <c r="C22" s="17" t="s">
        <v>183</v>
      </c>
      <c r="D22" s="16" t="s">
        <v>72</v>
      </c>
      <c r="E22" s="15">
        <v>80</v>
      </c>
      <c r="F22" s="15">
        <v>100</v>
      </c>
      <c r="G22" s="18">
        <v>3800</v>
      </c>
      <c r="H22" s="18">
        <v>400</v>
      </c>
      <c r="I22" s="34">
        <v>0.05</v>
      </c>
      <c r="J22" s="20">
        <f t="shared" si="0"/>
        <v>21.578947368421055</v>
      </c>
      <c r="K22" s="35">
        <f t="shared" si="1"/>
        <v>0.82</v>
      </c>
    </row>
    <row r="23" spans="1:11" ht="15.75" customHeight="1" x14ac:dyDescent="0.2">
      <c r="A23" s="36">
        <f>CF_Med_Dodge_Window</f>
        <v>650</v>
      </c>
      <c r="B23" s="12">
        <v>87</v>
      </c>
      <c r="C23" s="17" t="s">
        <v>185</v>
      </c>
      <c r="D23" s="16" t="s">
        <v>162</v>
      </c>
      <c r="E23" s="15">
        <v>85</v>
      </c>
      <c r="F23" s="15">
        <v>100</v>
      </c>
      <c r="G23" s="18">
        <v>4100</v>
      </c>
      <c r="H23" s="18">
        <v>600</v>
      </c>
      <c r="I23" s="34">
        <v>0.05</v>
      </c>
      <c r="J23" s="20">
        <f t="shared" si="0"/>
        <v>21.25</v>
      </c>
      <c r="K23" s="35">
        <f t="shared" si="1"/>
        <v>0.87124999999999986</v>
      </c>
    </row>
    <row r="24" spans="1:11" ht="15.75" customHeight="1" x14ac:dyDescent="0.2">
      <c r="A24" s="36">
        <f>CF_Low_Dodge_Window</f>
        <v>1000</v>
      </c>
      <c r="B24" s="12">
        <v>91</v>
      </c>
      <c r="C24" s="17" t="s">
        <v>186</v>
      </c>
      <c r="D24" s="16" t="s">
        <v>44</v>
      </c>
      <c r="E24" s="15">
        <v>70</v>
      </c>
      <c r="F24" s="15">
        <v>100</v>
      </c>
      <c r="G24" s="18">
        <v>3400</v>
      </c>
      <c r="H24" s="18">
        <v>900</v>
      </c>
      <c r="I24" s="34">
        <v>0.05</v>
      </c>
      <c r="J24" s="20">
        <f t="shared" si="0"/>
        <v>21.102941176470591</v>
      </c>
      <c r="K24" s="35">
        <f t="shared" si="1"/>
        <v>0.71750000000000003</v>
      </c>
    </row>
    <row r="25" spans="1:11" ht="15.75" customHeight="1" x14ac:dyDescent="0.2">
      <c r="A25" s="37">
        <f>CF_High_Critical_Percent</f>
        <v>0.3</v>
      </c>
      <c r="B25" s="12">
        <v>123</v>
      </c>
      <c r="C25" s="17" t="s">
        <v>188</v>
      </c>
      <c r="D25" s="16" t="s">
        <v>98</v>
      </c>
      <c r="E25" s="15">
        <v>30</v>
      </c>
      <c r="F25" s="15">
        <v>33</v>
      </c>
      <c r="G25" s="18">
        <v>1600</v>
      </c>
      <c r="H25" s="18">
        <v>400</v>
      </c>
      <c r="I25" s="34">
        <v>0.25</v>
      </c>
      <c r="J25" s="20">
        <f t="shared" si="0"/>
        <v>21.09375</v>
      </c>
      <c r="K25" s="35">
        <f t="shared" si="1"/>
        <v>1.0227272727272727</v>
      </c>
    </row>
    <row r="26" spans="1:11" ht="15.75" customHeight="1" x14ac:dyDescent="0.2">
      <c r="A26" s="37">
        <f>CF_Med_Critical_Percent</f>
        <v>0.1</v>
      </c>
      <c r="B26" s="12">
        <v>79</v>
      </c>
      <c r="C26" s="17" t="s">
        <v>190</v>
      </c>
      <c r="D26" s="16" t="s">
        <v>107</v>
      </c>
      <c r="E26" s="15">
        <v>55</v>
      </c>
      <c r="F26" s="15">
        <v>50</v>
      </c>
      <c r="G26" s="18">
        <v>2700</v>
      </c>
      <c r="H26" s="18">
        <v>800</v>
      </c>
      <c r="I26" s="34">
        <v>0.05</v>
      </c>
      <c r="J26" s="20">
        <f t="shared" si="0"/>
        <v>20.879629629629626</v>
      </c>
      <c r="K26" s="35">
        <f t="shared" si="1"/>
        <v>1.1274999999999999</v>
      </c>
    </row>
    <row r="27" spans="1:11" ht="15.75" customHeight="1" x14ac:dyDescent="0.2">
      <c r="A27" s="37">
        <f>CF_Low_Critical_Percent</f>
        <v>0</v>
      </c>
      <c r="B27" s="12">
        <v>47</v>
      </c>
      <c r="C27" s="17" t="s">
        <v>192</v>
      </c>
      <c r="D27" s="16" t="s">
        <v>43</v>
      </c>
      <c r="E27" s="15">
        <v>65</v>
      </c>
      <c r="F27" s="15">
        <v>50</v>
      </c>
      <c r="G27" s="18">
        <v>3200</v>
      </c>
      <c r="H27" s="18">
        <v>1000</v>
      </c>
      <c r="I27" s="34">
        <v>0.05</v>
      </c>
      <c r="J27" s="20">
        <f t="shared" si="0"/>
        <v>20.8203125</v>
      </c>
      <c r="K27" s="35">
        <f t="shared" si="1"/>
        <v>1.3325</v>
      </c>
    </row>
    <row r="28" spans="1:11" ht="15.75" customHeight="1" x14ac:dyDescent="0.2">
      <c r="A28" s="38">
        <f>CF_High_CDPS</f>
        <v>25</v>
      </c>
      <c r="B28" s="12">
        <v>108</v>
      </c>
      <c r="C28" s="17" t="s">
        <v>58</v>
      </c>
      <c r="D28" s="16" t="s">
        <v>58</v>
      </c>
      <c r="E28" s="15">
        <v>55</v>
      </c>
      <c r="F28" s="15">
        <v>50</v>
      </c>
      <c r="G28" s="18">
        <v>2800</v>
      </c>
      <c r="H28" s="18">
        <v>1200</v>
      </c>
      <c r="I28" s="34">
        <v>0.05</v>
      </c>
      <c r="J28" s="20">
        <f t="shared" si="0"/>
        <v>20.133928571428569</v>
      </c>
      <c r="K28" s="35">
        <f t="shared" si="1"/>
        <v>1.1274999999999999</v>
      </c>
    </row>
    <row r="29" spans="1:11" ht="15.75" customHeight="1" x14ac:dyDescent="0.2">
      <c r="A29" s="26">
        <f>CF_Med_CDPS</f>
        <v>20</v>
      </c>
      <c r="B29" s="12">
        <v>109</v>
      </c>
      <c r="C29" s="17" t="s">
        <v>196</v>
      </c>
      <c r="D29" s="16" t="s">
        <v>58</v>
      </c>
      <c r="E29" s="15">
        <v>100</v>
      </c>
      <c r="F29" s="15">
        <v>100</v>
      </c>
      <c r="G29" s="18">
        <v>5100</v>
      </c>
      <c r="H29" s="18">
        <v>900</v>
      </c>
      <c r="I29" s="34">
        <v>0.05</v>
      </c>
      <c r="J29" s="20">
        <f t="shared" si="0"/>
        <v>20.098039215686274</v>
      </c>
      <c r="K29" s="35">
        <f t="shared" si="1"/>
        <v>1.0249999999999999</v>
      </c>
    </row>
    <row r="30" spans="1:11" ht="15.75" customHeight="1" x14ac:dyDescent="0.2">
      <c r="A30" s="26">
        <f>CF_Low_CDPS</f>
        <v>15</v>
      </c>
      <c r="B30" s="12">
        <v>58</v>
      </c>
      <c r="C30" s="17" t="s">
        <v>198</v>
      </c>
      <c r="D30" s="16" t="s">
        <v>66</v>
      </c>
      <c r="E30" s="15">
        <v>45</v>
      </c>
      <c r="F30" s="15">
        <v>50</v>
      </c>
      <c r="G30" s="18">
        <v>2350</v>
      </c>
      <c r="H30" s="18">
        <v>200</v>
      </c>
      <c r="I30" s="34">
        <v>0.05</v>
      </c>
      <c r="J30" s="20">
        <f t="shared" si="0"/>
        <v>19.62765957446808</v>
      </c>
      <c r="K30" s="35">
        <f t="shared" si="1"/>
        <v>0.92249999999999988</v>
      </c>
    </row>
    <row r="31" spans="1:11" ht="15.75" customHeight="1" x14ac:dyDescent="0.2">
      <c r="A31" s="39">
        <f>CF_High_CDPE</f>
        <v>1.7</v>
      </c>
      <c r="B31" s="12">
        <v>24</v>
      </c>
      <c r="C31" s="17" t="s">
        <v>200</v>
      </c>
      <c r="D31" s="16" t="s">
        <v>72</v>
      </c>
      <c r="E31" s="15">
        <v>55</v>
      </c>
      <c r="F31" s="15">
        <v>50</v>
      </c>
      <c r="G31" s="18">
        <v>2900</v>
      </c>
      <c r="H31" s="18">
        <v>900</v>
      </c>
      <c r="I31" s="34">
        <v>0.05</v>
      </c>
      <c r="J31" s="20">
        <f t="shared" si="0"/>
        <v>19.43965517241379</v>
      </c>
      <c r="K31" s="35">
        <f t="shared" si="1"/>
        <v>1.1274999999999999</v>
      </c>
    </row>
    <row r="32" spans="1:11" ht="15.75" customHeight="1" x14ac:dyDescent="0.2">
      <c r="A32" s="40">
        <f>CF_Med_CDPE</f>
        <v>1.35</v>
      </c>
      <c r="B32" s="12">
        <v>88</v>
      </c>
      <c r="C32" s="17" t="s">
        <v>202</v>
      </c>
      <c r="D32" s="16" t="s">
        <v>162</v>
      </c>
      <c r="E32" s="15">
        <v>55</v>
      </c>
      <c r="F32" s="15">
        <v>50</v>
      </c>
      <c r="G32" s="18">
        <v>2900</v>
      </c>
      <c r="H32" s="18">
        <v>1300</v>
      </c>
      <c r="I32" s="34">
        <v>0.05</v>
      </c>
      <c r="J32" s="20">
        <f t="shared" si="0"/>
        <v>19.43965517241379</v>
      </c>
      <c r="K32" s="35">
        <f t="shared" si="1"/>
        <v>1.1274999999999999</v>
      </c>
    </row>
    <row r="33" spans="1:11" ht="15.75" customHeight="1" x14ac:dyDescent="0.2">
      <c r="A33" s="40">
        <f>CF_Low_CDPE</f>
        <v>1</v>
      </c>
      <c r="B33" s="12">
        <v>89</v>
      </c>
      <c r="C33" s="17" t="s">
        <v>206</v>
      </c>
      <c r="D33" s="16" t="s">
        <v>44</v>
      </c>
      <c r="E33" s="15">
        <v>25</v>
      </c>
      <c r="F33" s="15">
        <v>25</v>
      </c>
      <c r="G33" s="18">
        <v>1500</v>
      </c>
      <c r="H33" s="18">
        <v>300</v>
      </c>
      <c r="I33" s="34">
        <v>0.25</v>
      </c>
      <c r="J33" s="20">
        <f t="shared" si="0"/>
        <v>18.75</v>
      </c>
      <c r="K33" s="35">
        <f t="shared" si="1"/>
        <v>1.125</v>
      </c>
    </row>
    <row r="34" spans="1:11" ht="15.75" customHeight="1" x14ac:dyDescent="0.2">
      <c r="B34" s="12">
        <v>82</v>
      </c>
      <c r="C34" s="17" t="s">
        <v>207</v>
      </c>
      <c r="D34" s="16" t="s">
        <v>63</v>
      </c>
      <c r="E34" s="15">
        <v>65</v>
      </c>
      <c r="F34" s="15">
        <v>50</v>
      </c>
      <c r="G34" s="18">
        <v>3600</v>
      </c>
      <c r="H34" s="18">
        <v>1200</v>
      </c>
      <c r="I34" s="34">
        <v>0.05</v>
      </c>
      <c r="J34" s="20">
        <f t="shared" si="0"/>
        <v>18.506944444444443</v>
      </c>
      <c r="K34" s="35">
        <f t="shared" si="1"/>
        <v>1.3325</v>
      </c>
    </row>
    <row r="35" spans="1:11" ht="15.75" customHeight="1" x14ac:dyDescent="0.2">
      <c r="B35" s="12">
        <v>39</v>
      </c>
      <c r="C35" s="17" t="s">
        <v>209</v>
      </c>
      <c r="D35" s="16" t="s">
        <v>88</v>
      </c>
      <c r="E35" s="15">
        <v>65</v>
      </c>
      <c r="F35" s="15">
        <v>50</v>
      </c>
      <c r="G35" s="18">
        <v>3650</v>
      </c>
      <c r="H35" s="18">
        <v>1350</v>
      </c>
      <c r="I35" s="34">
        <v>0.05</v>
      </c>
      <c r="J35" s="20">
        <f t="shared" si="0"/>
        <v>18.253424657534246</v>
      </c>
      <c r="K35" s="35">
        <f t="shared" si="1"/>
        <v>1.3325</v>
      </c>
    </row>
    <row r="36" spans="1:11" ht="15.75" customHeight="1" x14ac:dyDescent="0.2">
      <c r="B36" s="12">
        <v>49</v>
      </c>
      <c r="C36" s="17" t="s">
        <v>211</v>
      </c>
      <c r="D36" s="16" t="s">
        <v>83</v>
      </c>
      <c r="E36" s="15">
        <v>75</v>
      </c>
      <c r="F36" s="15">
        <v>50</v>
      </c>
      <c r="G36" s="18">
        <v>4250</v>
      </c>
      <c r="H36" s="18">
        <v>1500</v>
      </c>
      <c r="I36" s="34">
        <v>0.05</v>
      </c>
      <c r="J36" s="20">
        <f t="shared" ref="J36:J67" si="2">($E36*(1+((Game_Critical_Multiplier-1)*$I36)))/($G36/1000)</f>
        <v>18.088235294117649</v>
      </c>
      <c r="K36" s="35">
        <f t="shared" ref="K36:K67" si="3">($E36*(1+((Game_Critical_Multiplier-1)*$I36)))/$F36</f>
        <v>1.5375000000000001</v>
      </c>
    </row>
    <row r="37" spans="1:11" ht="15.75" customHeight="1" x14ac:dyDescent="0.2">
      <c r="B37" s="12">
        <v>59</v>
      </c>
      <c r="C37" s="17" t="s">
        <v>213</v>
      </c>
      <c r="D37" s="16" t="s">
        <v>43</v>
      </c>
      <c r="E37" s="15">
        <v>40</v>
      </c>
      <c r="F37" s="15">
        <v>33</v>
      </c>
      <c r="G37" s="18">
        <v>2400</v>
      </c>
      <c r="H37" s="18">
        <v>500</v>
      </c>
      <c r="I37" s="34">
        <v>0.05</v>
      </c>
      <c r="J37" s="20">
        <f t="shared" si="2"/>
        <v>17.083333333333336</v>
      </c>
      <c r="K37" s="35">
        <f t="shared" si="3"/>
        <v>1.2424242424242424</v>
      </c>
    </row>
    <row r="38" spans="1:11" ht="15.75" customHeight="1" x14ac:dyDescent="0.2">
      <c r="B38" s="12">
        <v>77</v>
      </c>
      <c r="C38" s="17" t="s">
        <v>214</v>
      </c>
      <c r="D38" s="16" t="s">
        <v>107</v>
      </c>
      <c r="E38" s="15">
        <v>40</v>
      </c>
      <c r="F38" s="15">
        <v>33</v>
      </c>
      <c r="G38" s="18">
        <v>2400</v>
      </c>
      <c r="H38" s="18">
        <v>250</v>
      </c>
      <c r="I38" s="34">
        <v>0.05</v>
      </c>
      <c r="J38" s="20">
        <f t="shared" si="2"/>
        <v>17.083333333333336</v>
      </c>
      <c r="K38" s="35">
        <f t="shared" si="3"/>
        <v>1.2424242424242424</v>
      </c>
    </row>
    <row r="39" spans="1:11" ht="15.75" customHeight="1" x14ac:dyDescent="0.2">
      <c r="B39" s="12">
        <v>129</v>
      </c>
      <c r="C39" s="17" t="s">
        <v>216</v>
      </c>
      <c r="D39" s="16" t="s">
        <v>35</v>
      </c>
      <c r="E39" s="15">
        <v>35</v>
      </c>
      <c r="F39" s="15">
        <v>33</v>
      </c>
      <c r="G39" s="18">
        <v>2100</v>
      </c>
      <c r="H39" s="18">
        <v>300</v>
      </c>
      <c r="I39" s="34">
        <v>0.05</v>
      </c>
      <c r="J39" s="20">
        <f t="shared" si="2"/>
        <v>17.083333333333332</v>
      </c>
      <c r="K39" s="35">
        <f t="shared" si="3"/>
        <v>1.0871212121212122</v>
      </c>
    </row>
    <row r="40" spans="1:11" ht="15.75" customHeight="1" x14ac:dyDescent="0.2">
      <c r="B40" s="12">
        <v>100</v>
      </c>
      <c r="C40" s="17" t="s">
        <v>218</v>
      </c>
      <c r="D40" s="16" t="s">
        <v>83</v>
      </c>
      <c r="E40" s="15">
        <v>35</v>
      </c>
      <c r="F40" s="15">
        <v>33</v>
      </c>
      <c r="G40" s="18">
        <v>2100</v>
      </c>
      <c r="H40" s="18">
        <v>250</v>
      </c>
      <c r="I40" s="34">
        <v>0.05</v>
      </c>
      <c r="J40" s="20">
        <f t="shared" si="2"/>
        <v>17.083333333333332</v>
      </c>
      <c r="K40" s="35">
        <f t="shared" si="3"/>
        <v>1.0871212121212122</v>
      </c>
    </row>
    <row r="41" spans="1:11" ht="15.75" customHeight="1" x14ac:dyDescent="0.2">
      <c r="B41" s="12">
        <v>46</v>
      </c>
      <c r="C41" s="17" t="s">
        <v>220</v>
      </c>
      <c r="D41" s="16" t="s">
        <v>85</v>
      </c>
      <c r="E41" s="15">
        <v>50</v>
      </c>
      <c r="F41" s="15">
        <v>33</v>
      </c>
      <c r="G41" s="18">
        <v>3400</v>
      </c>
      <c r="H41" s="18">
        <v>700</v>
      </c>
      <c r="I41" s="34">
        <v>0.25</v>
      </c>
      <c r="J41" s="20">
        <f t="shared" si="2"/>
        <v>16.544117647058822</v>
      </c>
      <c r="K41" s="35">
        <f t="shared" si="3"/>
        <v>1.7045454545454546</v>
      </c>
    </row>
    <row r="42" spans="1:11" ht="15.75" customHeight="1" x14ac:dyDescent="0.2">
      <c r="B42" s="12">
        <v>64</v>
      </c>
      <c r="C42" s="17" t="s">
        <v>222</v>
      </c>
      <c r="D42" s="16" t="s">
        <v>113</v>
      </c>
      <c r="E42" s="15">
        <v>50</v>
      </c>
      <c r="F42" s="15">
        <v>33</v>
      </c>
      <c r="G42" s="18">
        <v>3200</v>
      </c>
      <c r="H42" s="18">
        <v>1400</v>
      </c>
      <c r="I42" s="34">
        <v>0.05</v>
      </c>
      <c r="J42" s="20">
        <f t="shared" si="2"/>
        <v>16.015624999999996</v>
      </c>
      <c r="K42" s="35">
        <f t="shared" si="3"/>
        <v>1.5530303030303028</v>
      </c>
    </row>
    <row r="43" spans="1:11" ht="15.75" customHeight="1" x14ac:dyDescent="0.2">
      <c r="B43" s="12">
        <v>94</v>
      </c>
      <c r="C43" s="17" t="s">
        <v>224</v>
      </c>
      <c r="D43" s="16" t="s">
        <v>85</v>
      </c>
      <c r="E43" s="15">
        <v>25</v>
      </c>
      <c r="F43" s="15">
        <v>25</v>
      </c>
      <c r="G43" s="18">
        <v>1600</v>
      </c>
      <c r="H43" s="18">
        <v>250</v>
      </c>
      <c r="I43" s="34">
        <v>0.05</v>
      </c>
      <c r="J43" s="20">
        <f t="shared" si="2"/>
        <v>16.015624999999996</v>
      </c>
      <c r="K43" s="35">
        <f t="shared" si="3"/>
        <v>1.0249999999999999</v>
      </c>
    </row>
    <row r="44" spans="1:11" ht="12.75" x14ac:dyDescent="0.2">
      <c r="B44" s="12">
        <v>36</v>
      </c>
      <c r="C44" s="17" t="s">
        <v>226</v>
      </c>
      <c r="D44" s="16" t="s">
        <v>56</v>
      </c>
      <c r="E44" s="15">
        <v>60</v>
      </c>
      <c r="F44" s="15">
        <v>33</v>
      </c>
      <c r="G44" s="18">
        <v>3900</v>
      </c>
      <c r="H44" s="18">
        <v>1100</v>
      </c>
      <c r="I44" s="34">
        <v>0.05</v>
      </c>
      <c r="J44" s="20">
        <f t="shared" si="2"/>
        <v>15.769230769230768</v>
      </c>
      <c r="K44" s="35">
        <f t="shared" si="3"/>
        <v>1.8636363636363633</v>
      </c>
    </row>
    <row r="45" spans="1:11" ht="12.75" x14ac:dyDescent="0.2">
      <c r="B45" s="12">
        <v>74</v>
      </c>
      <c r="C45" s="17" t="s">
        <v>228</v>
      </c>
      <c r="D45" s="16" t="s">
        <v>56</v>
      </c>
      <c r="E45" s="15">
        <v>30</v>
      </c>
      <c r="F45" s="15">
        <v>33</v>
      </c>
      <c r="G45" s="18">
        <v>2000</v>
      </c>
      <c r="H45" s="18">
        <v>250</v>
      </c>
      <c r="I45" s="34">
        <v>0.05</v>
      </c>
      <c r="J45" s="20">
        <f t="shared" si="2"/>
        <v>15.374999999999998</v>
      </c>
      <c r="K45" s="35">
        <f t="shared" si="3"/>
        <v>0.93181818181818166</v>
      </c>
    </row>
    <row r="46" spans="1:11" ht="12.75" x14ac:dyDescent="0.2">
      <c r="B46" s="12">
        <v>38</v>
      </c>
      <c r="C46" s="17" t="s">
        <v>230</v>
      </c>
      <c r="D46" s="16" t="s">
        <v>70</v>
      </c>
      <c r="E46" s="15">
        <v>40</v>
      </c>
      <c r="F46" s="15">
        <v>33</v>
      </c>
      <c r="G46" s="18">
        <v>2700</v>
      </c>
      <c r="H46" s="18">
        <v>900</v>
      </c>
      <c r="I46" s="34">
        <v>0.05</v>
      </c>
      <c r="J46" s="20">
        <f t="shared" si="2"/>
        <v>15.185185185185183</v>
      </c>
      <c r="K46" s="35">
        <f t="shared" si="3"/>
        <v>1.2424242424242424</v>
      </c>
    </row>
    <row r="47" spans="1:11" ht="12.75" x14ac:dyDescent="0.2">
      <c r="B47" s="12">
        <v>60</v>
      </c>
      <c r="C47" s="17" t="s">
        <v>232</v>
      </c>
      <c r="D47" s="16" t="s">
        <v>58</v>
      </c>
      <c r="E47" s="15">
        <v>40</v>
      </c>
      <c r="F47" s="15">
        <v>33</v>
      </c>
      <c r="G47" s="18">
        <v>2700</v>
      </c>
      <c r="H47" s="18">
        <v>500</v>
      </c>
      <c r="I47" s="34">
        <v>0.05</v>
      </c>
      <c r="J47" s="20">
        <f t="shared" si="2"/>
        <v>15.185185185185183</v>
      </c>
      <c r="K47" s="35">
        <f t="shared" si="3"/>
        <v>1.2424242424242424</v>
      </c>
    </row>
    <row r="48" spans="1:11" ht="12.75" x14ac:dyDescent="0.2">
      <c r="B48" s="12">
        <v>70</v>
      </c>
      <c r="C48" s="17" t="s">
        <v>234</v>
      </c>
      <c r="D48" s="16" t="s">
        <v>75</v>
      </c>
      <c r="E48" s="15">
        <v>45</v>
      </c>
      <c r="F48" s="15">
        <v>33</v>
      </c>
      <c r="G48" s="18">
        <v>3080</v>
      </c>
      <c r="H48" s="18">
        <v>300</v>
      </c>
      <c r="I48" s="34">
        <v>0.05</v>
      </c>
      <c r="J48" s="20">
        <f t="shared" si="2"/>
        <v>14.975649350649348</v>
      </c>
      <c r="K48" s="35">
        <f t="shared" si="3"/>
        <v>1.3977272727272725</v>
      </c>
    </row>
    <row r="49" spans="2:11" ht="12.75" x14ac:dyDescent="0.2">
      <c r="B49" s="12">
        <v>99</v>
      </c>
      <c r="C49" s="17" t="s">
        <v>236</v>
      </c>
      <c r="D49" s="16" t="s">
        <v>83</v>
      </c>
      <c r="E49" s="15">
        <v>45</v>
      </c>
      <c r="F49" s="15">
        <v>33</v>
      </c>
      <c r="G49" s="18">
        <v>3100</v>
      </c>
      <c r="H49" s="18">
        <v>1000</v>
      </c>
      <c r="I49" s="34">
        <v>0.05</v>
      </c>
      <c r="J49" s="20">
        <f t="shared" si="2"/>
        <v>14.879032258064514</v>
      </c>
      <c r="K49" s="35">
        <f t="shared" si="3"/>
        <v>1.3977272727272725</v>
      </c>
    </row>
    <row r="50" spans="2:11" ht="12.75" x14ac:dyDescent="0.2">
      <c r="B50" s="12">
        <v>115</v>
      </c>
      <c r="C50" s="17" t="s">
        <v>238</v>
      </c>
      <c r="D50" s="16" t="s">
        <v>72</v>
      </c>
      <c r="E50" s="15">
        <v>40</v>
      </c>
      <c r="F50" s="15">
        <v>33</v>
      </c>
      <c r="G50" s="18">
        <v>2800</v>
      </c>
      <c r="H50" s="18">
        <v>510</v>
      </c>
      <c r="I50" s="34">
        <v>0.05</v>
      </c>
      <c r="J50" s="20">
        <f t="shared" si="2"/>
        <v>14.642857142857144</v>
      </c>
      <c r="K50" s="35">
        <f t="shared" si="3"/>
        <v>1.2424242424242424</v>
      </c>
    </row>
    <row r="51" spans="2:11" ht="12.75" x14ac:dyDescent="0.2">
      <c r="B51" s="12">
        <v>102</v>
      </c>
      <c r="C51" s="17" t="s">
        <v>239</v>
      </c>
      <c r="D51" s="16" t="s">
        <v>72</v>
      </c>
      <c r="E51" s="15">
        <v>30</v>
      </c>
      <c r="F51" s="15">
        <v>25</v>
      </c>
      <c r="G51" s="18">
        <v>2100</v>
      </c>
      <c r="H51" s="18">
        <v>400</v>
      </c>
      <c r="I51" s="34">
        <v>0.05</v>
      </c>
      <c r="J51" s="20">
        <f t="shared" si="2"/>
        <v>14.642857142857141</v>
      </c>
      <c r="K51" s="35">
        <f t="shared" si="3"/>
        <v>1.2299999999999998</v>
      </c>
    </row>
    <row r="52" spans="2:11" ht="12.75" x14ac:dyDescent="0.2">
      <c r="B52" s="12">
        <v>127</v>
      </c>
      <c r="C52" s="17" t="s">
        <v>241</v>
      </c>
      <c r="D52" s="16" t="s">
        <v>35</v>
      </c>
      <c r="E52" s="15">
        <v>30</v>
      </c>
      <c r="F52" s="15">
        <v>25</v>
      </c>
      <c r="G52" s="18">
        <v>2100</v>
      </c>
      <c r="H52" s="18">
        <v>700</v>
      </c>
      <c r="I52" s="34">
        <v>0.05</v>
      </c>
      <c r="J52" s="20">
        <f t="shared" si="2"/>
        <v>14.642857142857141</v>
      </c>
      <c r="K52" s="35">
        <f t="shared" si="3"/>
        <v>1.2299999999999998</v>
      </c>
    </row>
    <row r="53" spans="2:11" ht="12.75" x14ac:dyDescent="0.2">
      <c r="B53" s="12">
        <v>54</v>
      </c>
      <c r="C53" s="17" t="s">
        <v>243</v>
      </c>
      <c r="D53" s="16" t="s">
        <v>98</v>
      </c>
      <c r="E53" s="15">
        <v>30</v>
      </c>
      <c r="F53" s="15">
        <v>33</v>
      </c>
      <c r="G53" s="18">
        <v>2100</v>
      </c>
      <c r="H53" s="18">
        <v>150</v>
      </c>
      <c r="I53" s="34">
        <v>0.05</v>
      </c>
      <c r="J53" s="20">
        <f t="shared" si="2"/>
        <v>14.642857142857141</v>
      </c>
      <c r="K53" s="35">
        <f t="shared" si="3"/>
        <v>0.93181818181818166</v>
      </c>
    </row>
    <row r="54" spans="2:11" ht="12.75" x14ac:dyDescent="0.2">
      <c r="B54" s="12">
        <v>35</v>
      </c>
      <c r="C54" s="17" t="s">
        <v>245</v>
      </c>
      <c r="D54" s="16" t="s">
        <v>107</v>
      </c>
      <c r="E54" s="15">
        <v>35</v>
      </c>
      <c r="F54" s="15">
        <v>33</v>
      </c>
      <c r="G54" s="18">
        <v>2500</v>
      </c>
      <c r="H54" s="18">
        <v>700</v>
      </c>
      <c r="I54" s="34">
        <v>0.05</v>
      </c>
      <c r="J54" s="20">
        <f t="shared" si="2"/>
        <v>14.35</v>
      </c>
      <c r="K54" s="35">
        <f t="shared" si="3"/>
        <v>1.0871212121212122</v>
      </c>
    </row>
    <row r="55" spans="2:11" ht="12.75" x14ac:dyDescent="0.2">
      <c r="B55" s="12">
        <v>114</v>
      </c>
      <c r="C55" s="17" t="s">
        <v>247</v>
      </c>
      <c r="D55" s="16" t="s">
        <v>43</v>
      </c>
      <c r="E55" s="15">
        <v>50</v>
      </c>
      <c r="F55" s="15">
        <v>33</v>
      </c>
      <c r="G55" s="18">
        <v>3600</v>
      </c>
      <c r="H55" s="18">
        <v>1150</v>
      </c>
      <c r="I55" s="34">
        <v>0.05</v>
      </c>
      <c r="J55" s="20">
        <f t="shared" si="2"/>
        <v>14.236111111111109</v>
      </c>
      <c r="K55" s="35">
        <f t="shared" si="3"/>
        <v>1.5530303030303028</v>
      </c>
    </row>
    <row r="56" spans="2:11" ht="12.75" x14ac:dyDescent="0.2">
      <c r="B56" s="12">
        <v>65</v>
      </c>
      <c r="C56" s="17" t="s">
        <v>249</v>
      </c>
      <c r="D56" s="16" t="s">
        <v>113</v>
      </c>
      <c r="E56" s="15">
        <v>40</v>
      </c>
      <c r="F56" s="15">
        <v>33</v>
      </c>
      <c r="G56" s="18">
        <v>2900</v>
      </c>
      <c r="H56" s="18">
        <v>800</v>
      </c>
      <c r="I56" s="34">
        <v>0.05</v>
      </c>
      <c r="J56" s="20">
        <f t="shared" si="2"/>
        <v>14.13793103448276</v>
      </c>
      <c r="K56" s="35">
        <f t="shared" si="3"/>
        <v>1.2424242424242424</v>
      </c>
    </row>
    <row r="57" spans="2:11" ht="12.75" x14ac:dyDescent="0.2">
      <c r="B57" s="12">
        <v>106</v>
      </c>
      <c r="C57" s="17" t="s">
        <v>251</v>
      </c>
      <c r="D57" s="16" t="s">
        <v>66</v>
      </c>
      <c r="E57" s="15">
        <v>55</v>
      </c>
      <c r="F57" s="15">
        <v>33</v>
      </c>
      <c r="G57" s="18">
        <v>4000</v>
      </c>
      <c r="H57" s="18">
        <v>2100</v>
      </c>
      <c r="I57" s="34">
        <v>0.05</v>
      </c>
      <c r="J57" s="20">
        <f t="shared" si="2"/>
        <v>14.093749999999998</v>
      </c>
      <c r="K57" s="35">
        <f t="shared" si="3"/>
        <v>1.708333333333333</v>
      </c>
    </row>
    <row r="58" spans="2:11" ht="12.75" x14ac:dyDescent="0.2">
      <c r="B58" s="12">
        <v>134</v>
      </c>
      <c r="C58" s="17" t="s">
        <v>253</v>
      </c>
      <c r="D58" s="16" t="s">
        <v>66</v>
      </c>
      <c r="E58" s="15">
        <v>55</v>
      </c>
      <c r="F58" s="15">
        <v>33</v>
      </c>
      <c r="G58" s="18">
        <v>4000</v>
      </c>
      <c r="H58" s="18">
        <v>2100</v>
      </c>
      <c r="I58" s="34">
        <v>0.05</v>
      </c>
      <c r="J58" s="20">
        <f t="shared" si="2"/>
        <v>14.093749999999998</v>
      </c>
      <c r="K58" s="35">
        <f t="shared" si="3"/>
        <v>1.708333333333333</v>
      </c>
    </row>
    <row r="59" spans="2:11" ht="12.75" x14ac:dyDescent="0.2">
      <c r="B59" s="12">
        <v>56</v>
      </c>
      <c r="C59" s="17" t="s">
        <v>255</v>
      </c>
      <c r="D59" s="16" t="s">
        <v>98</v>
      </c>
      <c r="E59" s="15">
        <v>30</v>
      </c>
      <c r="F59" s="15">
        <v>25</v>
      </c>
      <c r="G59" s="18">
        <v>2250</v>
      </c>
      <c r="H59" s="18">
        <v>150</v>
      </c>
      <c r="I59" s="34">
        <v>0.05</v>
      </c>
      <c r="J59" s="20">
        <f t="shared" si="2"/>
        <v>13.666666666666664</v>
      </c>
      <c r="K59" s="35">
        <f t="shared" si="3"/>
        <v>1.2299999999999998</v>
      </c>
    </row>
    <row r="60" spans="2:11" ht="12.75" x14ac:dyDescent="0.2">
      <c r="B60" s="12">
        <v>86</v>
      </c>
      <c r="C60" s="17" t="s">
        <v>257</v>
      </c>
      <c r="D60" s="16" t="s">
        <v>162</v>
      </c>
      <c r="E60" s="15">
        <v>55</v>
      </c>
      <c r="F60" s="15">
        <v>33</v>
      </c>
      <c r="G60" s="18">
        <v>4200</v>
      </c>
      <c r="H60" s="18">
        <v>800</v>
      </c>
      <c r="I60" s="34">
        <v>0.05</v>
      </c>
      <c r="J60" s="20">
        <f t="shared" si="2"/>
        <v>13.422619047619046</v>
      </c>
      <c r="K60" s="35">
        <f t="shared" si="3"/>
        <v>1.708333333333333</v>
      </c>
    </row>
    <row r="61" spans="2:11" ht="12.75" x14ac:dyDescent="0.2">
      <c r="B61" s="12">
        <v>16</v>
      </c>
      <c r="C61" s="17" t="s">
        <v>258</v>
      </c>
      <c r="D61" s="16" t="s">
        <v>60</v>
      </c>
      <c r="E61" s="15">
        <v>45</v>
      </c>
      <c r="F61" s="15">
        <v>33</v>
      </c>
      <c r="G61" s="18">
        <v>3500</v>
      </c>
      <c r="H61" s="18">
        <v>1100</v>
      </c>
      <c r="I61" s="34">
        <v>0.05</v>
      </c>
      <c r="J61" s="20">
        <f t="shared" si="2"/>
        <v>13.178571428571427</v>
      </c>
      <c r="K61" s="35">
        <f t="shared" si="3"/>
        <v>1.3977272727272725</v>
      </c>
    </row>
    <row r="62" spans="2:11" ht="12.75" x14ac:dyDescent="0.2">
      <c r="B62" s="12">
        <v>33</v>
      </c>
      <c r="C62" s="17" t="s">
        <v>260</v>
      </c>
      <c r="D62" s="16" t="s">
        <v>88</v>
      </c>
      <c r="E62" s="15">
        <v>45</v>
      </c>
      <c r="F62" s="15">
        <v>33</v>
      </c>
      <c r="G62" s="18">
        <v>3500</v>
      </c>
      <c r="H62" s="18">
        <v>1100</v>
      </c>
      <c r="I62" s="34">
        <v>0.05</v>
      </c>
      <c r="J62" s="20">
        <f t="shared" si="2"/>
        <v>13.178571428571427</v>
      </c>
      <c r="K62" s="35">
        <f t="shared" si="3"/>
        <v>1.3977272727272725</v>
      </c>
    </row>
    <row r="63" spans="2:11" ht="12.75" x14ac:dyDescent="0.2">
      <c r="B63" s="12">
        <v>51</v>
      </c>
      <c r="C63" s="17" t="s">
        <v>262</v>
      </c>
      <c r="D63" s="16" t="s">
        <v>60</v>
      </c>
      <c r="E63" s="15">
        <v>30</v>
      </c>
      <c r="F63" s="15">
        <v>25</v>
      </c>
      <c r="G63" s="18">
        <v>2700</v>
      </c>
      <c r="H63" s="18">
        <v>200</v>
      </c>
      <c r="I63" s="34">
        <v>0.25</v>
      </c>
      <c r="J63" s="20">
        <f t="shared" si="2"/>
        <v>12.5</v>
      </c>
      <c r="K63" s="35">
        <f t="shared" si="3"/>
        <v>1.35</v>
      </c>
    </row>
    <row r="64" spans="2:11" ht="12.75" x14ac:dyDescent="0.2">
      <c r="B64" s="12">
        <v>26</v>
      </c>
      <c r="C64" s="17" t="s">
        <v>264</v>
      </c>
      <c r="D64" s="16" t="s">
        <v>85</v>
      </c>
      <c r="E64" s="15">
        <v>70</v>
      </c>
      <c r="F64" s="15">
        <v>33</v>
      </c>
      <c r="G64" s="18">
        <v>5800</v>
      </c>
      <c r="H64" s="18">
        <v>400</v>
      </c>
      <c r="I64" s="34">
        <v>0.05</v>
      </c>
      <c r="J64" s="20">
        <f t="shared" si="2"/>
        <v>12.370689655172415</v>
      </c>
      <c r="K64" s="35">
        <f t="shared" si="3"/>
        <v>2.1742424242424243</v>
      </c>
    </row>
    <row r="65" spans="2:11" ht="12.75" x14ac:dyDescent="0.2">
      <c r="B65" s="12">
        <v>75</v>
      </c>
      <c r="C65" s="17" t="s">
        <v>266</v>
      </c>
      <c r="D65" s="16" t="s">
        <v>107</v>
      </c>
      <c r="E65" s="15">
        <v>25</v>
      </c>
      <c r="F65" s="15">
        <v>20</v>
      </c>
      <c r="G65" s="18">
        <v>2100</v>
      </c>
      <c r="H65" s="18">
        <v>400</v>
      </c>
      <c r="I65" s="34">
        <v>0.05</v>
      </c>
      <c r="J65" s="20">
        <f t="shared" si="2"/>
        <v>12.202380952380951</v>
      </c>
      <c r="K65" s="35">
        <f t="shared" si="3"/>
        <v>1.2812499999999998</v>
      </c>
    </row>
    <row r="66" spans="2:11" ht="12.75" x14ac:dyDescent="0.2">
      <c r="B66" s="12">
        <v>20</v>
      </c>
      <c r="C66" s="17" t="s">
        <v>267</v>
      </c>
      <c r="D66" s="16" t="s">
        <v>35</v>
      </c>
      <c r="E66" s="15">
        <v>25</v>
      </c>
      <c r="F66" s="15">
        <v>20</v>
      </c>
      <c r="G66" s="18">
        <v>2100</v>
      </c>
      <c r="H66" s="18">
        <v>250</v>
      </c>
      <c r="I66" s="34">
        <v>0.05</v>
      </c>
      <c r="J66" s="20">
        <f t="shared" si="2"/>
        <v>12.202380952380951</v>
      </c>
      <c r="K66" s="35">
        <f t="shared" si="3"/>
        <v>1.2812499999999998</v>
      </c>
    </row>
    <row r="67" spans="2:11" ht="12.75" x14ac:dyDescent="0.2">
      <c r="B67" s="12">
        <v>67</v>
      </c>
      <c r="C67" s="17" t="s">
        <v>269</v>
      </c>
      <c r="D67" s="16" t="s">
        <v>75</v>
      </c>
      <c r="E67" s="15">
        <v>25</v>
      </c>
      <c r="F67" s="15">
        <v>25</v>
      </c>
      <c r="G67" s="18">
        <v>2100</v>
      </c>
      <c r="H67" s="18">
        <v>300</v>
      </c>
      <c r="I67" s="34">
        <v>0.05</v>
      </c>
      <c r="J67" s="20">
        <f t="shared" si="2"/>
        <v>12.202380952380951</v>
      </c>
      <c r="K67" s="35">
        <f t="shared" si="3"/>
        <v>1.0249999999999999</v>
      </c>
    </row>
    <row r="68" spans="2:11" ht="12.75" x14ac:dyDescent="0.2">
      <c r="B68" s="12">
        <v>96</v>
      </c>
      <c r="C68" s="17" t="s">
        <v>271</v>
      </c>
      <c r="D68" s="16" t="s">
        <v>85</v>
      </c>
      <c r="E68" s="15">
        <v>30</v>
      </c>
      <c r="F68" s="15">
        <v>25</v>
      </c>
      <c r="G68" s="18">
        <v>2600</v>
      </c>
      <c r="H68" s="18">
        <v>450</v>
      </c>
      <c r="I68" s="34">
        <v>0.05</v>
      </c>
      <c r="J68" s="20">
        <f t="shared" ref="J68:J98" si="4">($E68*(1+((Game_Critical_Multiplier-1)*$I68)))/($G68/1000)</f>
        <v>11.826923076923075</v>
      </c>
      <c r="K68" s="35">
        <f t="shared" ref="K68:K98" si="5">($E68*(1+((Game_Critical_Multiplier-1)*$I68)))/$F68</f>
        <v>1.2299999999999998</v>
      </c>
    </row>
    <row r="69" spans="2:11" ht="12.75" x14ac:dyDescent="0.2">
      <c r="B69" s="12">
        <v>18</v>
      </c>
      <c r="C69" s="17" t="s">
        <v>273</v>
      </c>
      <c r="D69" s="16" t="s">
        <v>44</v>
      </c>
      <c r="E69" s="15">
        <v>30</v>
      </c>
      <c r="F69" s="15">
        <v>25</v>
      </c>
      <c r="G69" s="18">
        <v>2600</v>
      </c>
      <c r="H69" s="18">
        <v>500</v>
      </c>
      <c r="I69" s="34">
        <v>0.05</v>
      </c>
      <c r="J69" s="20">
        <f t="shared" si="4"/>
        <v>11.826923076923075</v>
      </c>
      <c r="K69" s="35">
        <f t="shared" si="5"/>
        <v>1.2299999999999998</v>
      </c>
    </row>
    <row r="70" spans="2:11" ht="12.75" x14ac:dyDescent="0.2">
      <c r="B70" s="12">
        <v>126</v>
      </c>
      <c r="C70" s="17" t="s">
        <v>275</v>
      </c>
      <c r="D70" s="16" t="s">
        <v>35</v>
      </c>
      <c r="E70" s="15">
        <v>25</v>
      </c>
      <c r="F70" s="15">
        <v>25</v>
      </c>
      <c r="G70" s="18">
        <v>2200</v>
      </c>
      <c r="H70" s="18">
        <v>300</v>
      </c>
      <c r="I70" s="34">
        <v>0.05</v>
      </c>
      <c r="J70" s="20">
        <f t="shared" si="4"/>
        <v>11.64772727272727</v>
      </c>
      <c r="K70" s="35">
        <f t="shared" si="5"/>
        <v>1.0249999999999999</v>
      </c>
    </row>
    <row r="71" spans="2:11" ht="12.75" x14ac:dyDescent="0.2">
      <c r="B71" s="12">
        <v>132</v>
      </c>
      <c r="C71" s="17" t="s">
        <v>276</v>
      </c>
      <c r="D71" s="16" t="s">
        <v>35</v>
      </c>
      <c r="E71" s="15">
        <v>35</v>
      </c>
      <c r="F71" s="15">
        <v>33</v>
      </c>
      <c r="G71" s="18">
        <v>3100</v>
      </c>
      <c r="H71" s="18">
        <v>1296</v>
      </c>
      <c r="I71" s="34">
        <v>0</v>
      </c>
      <c r="J71" s="20">
        <f t="shared" si="4"/>
        <v>11.29032258064516</v>
      </c>
      <c r="K71" s="35">
        <f t="shared" si="5"/>
        <v>1.0606060606060606</v>
      </c>
    </row>
    <row r="72" spans="2:11" ht="12.75" x14ac:dyDescent="0.2">
      <c r="B72" s="12">
        <v>72</v>
      </c>
      <c r="C72" s="17" t="s">
        <v>278</v>
      </c>
      <c r="D72" s="16" t="s">
        <v>56</v>
      </c>
      <c r="E72" s="15">
        <v>30</v>
      </c>
      <c r="F72" s="15">
        <v>25</v>
      </c>
      <c r="G72" s="18">
        <v>2800</v>
      </c>
      <c r="H72" s="18">
        <v>550</v>
      </c>
      <c r="I72" s="34">
        <v>0.05</v>
      </c>
      <c r="J72" s="20">
        <f t="shared" si="4"/>
        <v>10.982142857142856</v>
      </c>
      <c r="K72" s="35">
        <f t="shared" si="5"/>
        <v>1.2299999999999998</v>
      </c>
    </row>
    <row r="73" spans="2:11" ht="12.75" x14ac:dyDescent="0.2">
      <c r="B73" s="12">
        <v>57</v>
      </c>
      <c r="C73" s="17" t="s">
        <v>280</v>
      </c>
      <c r="D73" s="16" t="s">
        <v>66</v>
      </c>
      <c r="E73" s="15">
        <v>25</v>
      </c>
      <c r="F73" s="15">
        <v>20</v>
      </c>
      <c r="G73" s="18">
        <v>2350</v>
      </c>
      <c r="H73" s="18">
        <v>400</v>
      </c>
      <c r="I73" s="34">
        <v>0.05</v>
      </c>
      <c r="J73" s="20">
        <f t="shared" si="4"/>
        <v>10.904255319148934</v>
      </c>
      <c r="K73" s="35">
        <f t="shared" si="5"/>
        <v>1.2812499999999998</v>
      </c>
    </row>
    <row r="74" spans="2:11" ht="12.75" x14ac:dyDescent="0.2">
      <c r="B74" s="12">
        <v>105</v>
      </c>
      <c r="C74" s="17" t="s">
        <v>281</v>
      </c>
      <c r="D74" s="16" t="s">
        <v>66</v>
      </c>
      <c r="E74" s="15">
        <v>35</v>
      </c>
      <c r="F74" s="15">
        <v>25</v>
      </c>
      <c r="G74" s="18">
        <v>3300</v>
      </c>
      <c r="H74" s="18">
        <v>1000</v>
      </c>
      <c r="I74" s="34">
        <v>0.05</v>
      </c>
      <c r="J74" s="20">
        <f t="shared" si="4"/>
        <v>10.871212121212121</v>
      </c>
      <c r="K74" s="35">
        <f t="shared" si="5"/>
        <v>1.4350000000000001</v>
      </c>
    </row>
    <row r="75" spans="2:11" ht="12.75" x14ac:dyDescent="0.2">
      <c r="B75" s="12">
        <v>30</v>
      </c>
      <c r="C75" s="17" t="s">
        <v>283</v>
      </c>
      <c r="D75" s="16" t="s">
        <v>58</v>
      </c>
      <c r="E75" s="15">
        <v>40</v>
      </c>
      <c r="F75" s="15">
        <v>25</v>
      </c>
      <c r="G75" s="18">
        <v>3800</v>
      </c>
      <c r="H75" s="18">
        <v>1300</v>
      </c>
      <c r="I75" s="34">
        <v>0.05</v>
      </c>
      <c r="J75" s="20">
        <f t="shared" si="4"/>
        <v>10.789473684210527</v>
      </c>
      <c r="K75" s="35">
        <f t="shared" si="5"/>
        <v>1.64</v>
      </c>
    </row>
    <row r="76" spans="2:11" ht="12.75" x14ac:dyDescent="0.2">
      <c r="B76" s="12">
        <v>50</v>
      </c>
      <c r="C76" s="17" t="s">
        <v>285</v>
      </c>
      <c r="D76" s="16" t="s">
        <v>44</v>
      </c>
      <c r="E76" s="15">
        <v>25</v>
      </c>
      <c r="F76" s="15">
        <v>20</v>
      </c>
      <c r="G76" s="18">
        <v>2400</v>
      </c>
      <c r="H76" s="18">
        <v>200</v>
      </c>
      <c r="I76" s="34">
        <v>0.05</v>
      </c>
      <c r="J76" s="20">
        <f t="shared" si="4"/>
        <v>10.677083333333332</v>
      </c>
      <c r="K76" s="35">
        <f t="shared" si="5"/>
        <v>1.2812499999999998</v>
      </c>
    </row>
    <row r="77" spans="2:11" ht="12.75" x14ac:dyDescent="0.2">
      <c r="B77" s="12">
        <v>104</v>
      </c>
      <c r="C77" s="17" t="s">
        <v>286</v>
      </c>
      <c r="D77" s="16" t="s">
        <v>66</v>
      </c>
      <c r="E77" s="15">
        <v>25</v>
      </c>
      <c r="F77" s="15">
        <v>25</v>
      </c>
      <c r="G77" s="18">
        <v>2400</v>
      </c>
      <c r="H77" s="18">
        <v>350</v>
      </c>
      <c r="I77" s="34">
        <v>0.05</v>
      </c>
      <c r="J77" s="20">
        <f t="shared" si="4"/>
        <v>10.677083333333332</v>
      </c>
      <c r="K77" s="35">
        <f t="shared" si="5"/>
        <v>1.0249999999999999</v>
      </c>
    </row>
    <row r="78" spans="2:11" ht="12.75" x14ac:dyDescent="0.2">
      <c r="B78" s="12">
        <v>45</v>
      </c>
      <c r="C78" s="17" t="s">
        <v>287</v>
      </c>
      <c r="D78" s="16" t="s">
        <v>70</v>
      </c>
      <c r="E78" s="15">
        <v>30</v>
      </c>
      <c r="F78" s="15">
        <v>25</v>
      </c>
      <c r="G78" s="18">
        <v>2900</v>
      </c>
      <c r="H78" s="18">
        <v>600</v>
      </c>
      <c r="I78" s="34">
        <v>0.05</v>
      </c>
      <c r="J78" s="20">
        <f t="shared" si="4"/>
        <v>10.603448275862068</v>
      </c>
      <c r="K78" s="35">
        <f t="shared" si="5"/>
        <v>1.2299999999999998</v>
      </c>
    </row>
    <row r="79" spans="2:11" ht="12.75" x14ac:dyDescent="0.2">
      <c r="B79" s="12">
        <v>53</v>
      </c>
      <c r="C79" s="17" t="s">
        <v>289</v>
      </c>
      <c r="D79" s="16" t="s">
        <v>66</v>
      </c>
      <c r="E79" s="15">
        <v>30</v>
      </c>
      <c r="F79" s="15">
        <v>25</v>
      </c>
      <c r="G79" s="18">
        <v>2900</v>
      </c>
      <c r="H79" s="18">
        <v>200</v>
      </c>
      <c r="I79" s="34">
        <v>0.05</v>
      </c>
      <c r="J79" s="20">
        <f t="shared" si="4"/>
        <v>10.603448275862068</v>
      </c>
      <c r="K79" s="35">
        <f t="shared" si="5"/>
        <v>1.2299999999999998</v>
      </c>
    </row>
    <row r="80" spans="2:11" ht="12.75" x14ac:dyDescent="0.2">
      <c r="B80" s="12">
        <v>95</v>
      </c>
      <c r="C80" s="17" t="s">
        <v>291</v>
      </c>
      <c r="D80" s="16" t="s">
        <v>85</v>
      </c>
      <c r="E80" s="15">
        <v>35</v>
      </c>
      <c r="F80" s="15">
        <v>25</v>
      </c>
      <c r="G80" s="18">
        <v>3400</v>
      </c>
      <c r="H80" s="18">
        <v>1100</v>
      </c>
      <c r="I80" s="34">
        <v>0.05</v>
      </c>
      <c r="J80" s="20">
        <f t="shared" si="4"/>
        <v>10.551470588235295</v>
      </c>
      <c r="K80" s="35">
        <f t="shared" si="5"/>
        <v>1.4350000000000001</v>
      </c>
    </row>
    <row r="81" spans="2:11" ht="12.75" x14ac:dyDescent="0.2">
      <c r="B81" s="12">
        <v>125</v>
      </c>
      <c r="C81" s="17" t="s">
        <v>292</v>
      </c>
      <c r="D81" s="16" t="s">
        <v>35</v>
      </c>
      <c r="E81" s="15">
        <v>30</v>
      </c>
      <c r="F81" s="15">
        <v>25</v>
      </c>
      <c r="G81" s="18">
        <v>3000</v>
      </c>
      <c r="H81" s="18">
        <v>500</v>
      </c>
      <c r="I81" s="34">
        <v>0.05</v>
      </c>
      <c r="J81" s="20">
        <f t="shared" si="4"/>
        <v>10.249999999999998</v>
      </c>
      <c r="K81" s="35">
        <f t="shared" si="5"/>
        <v>1.2299999999999998</v>
      </c>
    </row>
    <row r="82" spans="2:11" ht="12.75" x14ac:dyDescent="0.2">
      <c r="B82" s="12">
        <v>121</v>
      </c>
      <c r="C82" s="17" t="s">
        <v>294</v>
      </c>
      <c r="D82" s="16" t="s">
        <v>70</v>
      </c>
      <c r="E82" s="15">
        <v>30</v>
      </c>
      <c r="F82" s="15">
        <v>25</v>
      </c>
      <c r="G82" s="18">
        <v>3300</v>
      </c>
      <c r="H82" s="18">
        <v>900</v>
      </c>
      <c r="I82" s="34">
        <v>0.25</v>
      </c>
      <c r="J82" s="20">
        <f t="shared" si="4"/>
        <v>10.227272727272728</v>
      </c>
      <c r="K82" s="35">
        <f t="shared" si="5"/>
        <v>1.35</v>
      </c>
    </row>
    <row r="83" spans="2:11" ht="12.75" x14ac:dyDescent="0.2">
      <c r="B83" s="12">
        <v>34</v>
      </c>
      <c r="C83" s="17" t="s">
        <v>296</v>
      </c>
      <c r="D83" s="16" t="s">
        <v>58</v>
      </c>
      <c r="E83" s="15">
        <v>25</v>
      </c>
      <c r="F83" s="15">
        <v>25</v>
      </c>
      <c r="G83" s="18">
        <v>2550</v>
      </c>
      <c r="H83" s="18">
        <v>300</v>
      </c>
      <c r="I83" s="34">
        <v>0.05</v>
      </c>
      <c r="J83" s="20">
        <f t="shared" si="4"/>
        <v>10.049019607843137</v>
      </c>
      <c r="K83" s="35">
        <f t="shared" si="5"/>
        <v>1.0249999999999999</v>
      </c>
    </row>
    <row r="84" spans="2:11" ht="12.75" x14ac:dyDescent="0.2">
      <c r="B84" s="12">
        <v>62</v>
      </c>
      <c r="C84" s="17" t="s">
        <v>297</v>
      </c>
      <c r="D84" s="16" t="s">
        <v>113</v>
      </c>
      <c r="E84" s="15">
        <v>35</v>
      </c>
      <c r="F84" s="15">
        <v>25</v>
      </c>
      <c r="G84" s="18">
        <v>3600</v>
      </c>
      <c r="H84" s="18">
        <v>350</v>
      </c>
      <c r="I84" s="34">
        <v>0.05</v>
      </c>
      <c r="J84" s="20">
        <f t="shared" si="4"/>
        <v>9.9652777777777768</v>
      </c>
      <c r="K84" s="35">
        <f t="shared" si="5"/>
        <v>1.4350000000000001</v>
      </c>
    </row>
    <row r="85" spans="2:11" ht="12.75" x14ac:dyDescent="0.2">
      <c r="B85" s="12">
        <v>63</v>
      </c>
      <c r="C85" s="17" t="s">
        <v>299</v>
      </c>
      <c r="D85" s="16" t="s">
        <v>113</v>
      </c>
      <c r="E85" s="15">
        <v>30</v>
      </c>
      <c r="F85" s="15">
        <v>25</v>
      </c>
      <c r="G85" s="18">
        <v>3400</v>
      </c>
      <c r="H85" s="18">
        <v>900</v>
      </c>
      <c r="I85" s="34">
        <v>0.25</v>
      </c>
      <c r="J85" s="20">
        <f t="shared" si="4"/>
        <v>9.9264705882352935</v>
      </c>
      <c r="K85" s="35">
        <f t="shared" si="5"/>
        <v>1.35</v>
      </c>
    </row>
    <row r="86" spans="2:11" ht="12.75" x14ac:dyDescent="0.2">
      <c r="B86" s="12">
        <v>69</v>
      </c>
      <c r="C86" s="17" t="s">
        <v>300</v>
      </c>
      <c r="D86" s="16" t="s">
        <v>75</v>
      </c>
      <c r="E86" s="15">
        <v>30</v>
      </c>
      <c r="F86" s="15">
        <v>25</v>
      </c>
      <c r="G86" s="18">
        <v>3100</v>
      </c>
      <c r="H86" s="18">
        <v>250</v>
      </c>
      <c r="I86" s="34">
        <v>0.05</v>
      </c>
      <c r="J86" s="20">
        <f t="shared" si="4"/>
        <v>9.9193548387096762</v>
      </c>
      <c r="K86" s="35">
        <f t="shared" si="5"/>
        <v>1.2299999999999998</v>
      </c>
    </row>
    <row r="87" spans="2:11" ht="12.75" x14ac:dyDescent="0.2">
      <c r="B87" s="12">
        <v>80</v>
      </c>
      <c r="C87" s="17" t="s">
        <v>302</v>
      </c>
      <c r="D87" s="16" t="s">
        <v>63</v>
      </c>
      <c r="E87" s="15">
        <v>25</v>
      </c>
      <c r="F87" s="15">
        <v>20</v>
      </c>
      <c r="G87" s="18">
        <v>2700</v>
      </c>
      <c r="H87" s="18">
        <v>1750</v>
      </c>
      <c r="I87" s="34">
        <v>0.05</v>
      </c>
      <c r="J87" s="20">
        <f t="shared" si="4"/>
        <v>9.4907407407407387</v>
      </c>
      <c r="K87" s="35">
        <f t="shared" si="5"/>
        <v>1.2812499999999998</v>
      </c>
    </row>
    <row r="88" spans="2:11" ht="12.75" x14ac:dyDescent="0.2">
      <c r="B88" s="12">
        <v>85</v>
      </c>
      <c r="C88" s="17" t="s">
        <v>304</v>
      </c>
      <c r="D88" s="16" t="s">
        <v>162</v>
      </c>
      <c r="E88" s="15">
        <v>25</v>
      </c>
      <c r="F88" s="15">
        <v>20</v>
      </c>
      <c r="G88" s="18">
        <v>2800</v>
      </c>
      <c r="H88" s="18">
        <v>100</v>
      </c>
      <c r="I88" s="34">
        <v>0.05</v>
      </c>
      <c r="J88" s="20">
        <f t="shared" si="4"/>
        <v>9.1517857142857135</v>
      </c>
      <c r="K88" s="35">
        <f t="shared" si="5"/>
        <v>1.2812499999999998</v>
      </c>
    </row>
    <row r="89" spans="2:11" ht="12.75" x14ac:dyDescent="0.2">
      <c r="B89" s="12">
        <v>21</v>
      </c>
      <c r="C89" s="17" t="s">
        <v>306</v>
      </c>
      <c r="D89" s="16" t="s">
        <v>72</v>
      </c>
      <c r="E89" s="15">
        <v>40</v>
      </c>
      <c r="F89" s="15">
        <v>25</v>
      </c>
      <c r="G89" s="18">
        <v>4600</v>
      </c>
      <c r="H89" s="18">
        <v>500</v>
      </c>
      <c r="I89" s="34">
        <v>0.05</v>
      </c>
      <c r="J89" s="20">
        <f t="shared" si="4"/>
        <v>8.913043478260871</v>
      </c>
      <c r="K89" s="35">
        <f t="shared" si="5"/>
        <v>1.64</v>
      </c>
    </row>
    <row r="90" spans="2:11" ht="12.75" x14ac:dyDescent="0.2">
      <c r="B90" s="12">
        <v>133</v>
      </c>
      <c r="C90" s="17" t="s">
        <v>307</v>
      </c>
      <c r="D90" s="16" t="s">
        <v>35</v>
      </c>
      <c r="E90" s="15">
        <v>15</v>
      </c>
      <c r="F90" s="15">
        <v>20</v>
      </c>
      <c r="G90" s="18">
        <v>1695</v>
      </c>
      <c r="H90" s="18">
        <v>700</v>
      </c>
      <c r="I90" s="34">
        <v>0</v>
      </c>
      <c r="J90" s="20">
        <f t="shared" si="4"/>
        <v>8.8495575221238933</v>
      </c>
      <c r="K90" s="35">
        <f t="shared" si="5"/>
        <v>0.75</v>
      </c>
    </row>
    <row r="91" spans="2:11" ht="12.75" x14ac:dyDescent="0.2">
      <c r="B91" s="12">
        <v>101</v>
      </c>
      <c r="C91" s="17" t="s">
        <v>308</v>
      </c>
      <c r="D91" s="16" t="s">
        <v>72</v>
      </c>
      <c r="E91" s="15">
        <v>25</v>
      </c>
      <c r="F91" s="15">
        <v>20</v>
      </c>
      <c r="G91" s="18">
        <v>3100</v>
      </c>
      <c r="H91" s="18">
        <v>200</v>
      </c>
      <c r="I91" s="34">
        <v>0.05</v>
      </c>
      <c r="J91" s="20">
        <f t="shared" si="4"/>
        <v>8.2661290322580623</v>
      </c>
      <c r="K91" s="35">
        <f t="shared" si="5"/>
        <v>1.2812499999999998</v>
      </c>
    </row>
    <row r="92" spans="2:11" ht="12.75" x14ac:dyDescent="0.2">
      <c r="B92" s="12">
        <v>66</v>
      </c>
      <c r="C92" s="17" t="s">
        <v>310</v>
      </c>
      <c r="D92" s="16" t="s">
        <v>75</v>
      </c>
      <c r="E92" s="15">
        <v>25</v>
      </c>
      <c r="F92" s="15">
        <v>20</v>
      </c>
      <c r="G92" s="18">
        <v>3100</v>
      </c>
      <c r="H92" s="18">
        <v>600</v>
      </c>
      <c r="I92" s="34">
        <v>0.05</v>
      </c>
      <c r="J92" s="20">
        <f t="shared" si="4"/>
        <v>8.2661290322580623</v>
      </c>
      <c r="K92" s="35">
        <f t="shared" si="5"/>
        <v>1.2812499999999998</v>
      </c>
    </row>
    <row r="93" spans="2:11" ht="12.75" x14ac:dyDescent="0.2">
      <c r="B93" s="12">
        <v>48</v>
      </c>
      <c r="C93" s="17" t="s">
        <v>312</v>
      </c>
      <c r="D93" s="16" t="s">
        <v>43</v>
      </c>
      <c r="E93" s="15">
        <v>25</v>
      </c>
      <c r="F93" s="15">
        <v>20</v>
      </c>
      <c r="G93" s="18">
        <v>3200</v>
      </c>
      <c r="H93" s="18">
        <v>1200</v>
      </c>
      <c r="I93" s="34">
        <v>0.05</v>
      </c>
      <c r="J93" s="20">
        <f t="shared" si="4"/>
        <v>8.0078124999999982</v>
      </c>
      <c r="K93" s="35">
        <f t="shared" si="5"/>
        <v>1.2812499999999998</v>
      </c>
    </row>
    <row r="94" spans="2:11" ht="12.75" x14ac:dyDescent="0.2">
      <c r="B94" s="12">
        <v>136</v>
      </c>
      <c r="C94" s="17" t="s">
        <v>314</v>
      </c>
      <c r="D94" s="16" t="s">
        <v>35</v>
      </c>
      <c r="E94" s="15">
        <v>25</v>
      </c>
      <c r="F94" s="15">
        <v>20</v>
      </c>
      <c r="G94" s="18">
        <v>3700</v>
      </c>
      <c r="H94" s="18">
        <v>1000</v>
      </c>
      <c r="I94" s="34">
        <v>0.05</v>
      </c>
      <c r="J94" s="20">
        <f t="shared" si="4"/>
        <v>6.9256756756756745</v>
      </c>
      <c r="K94" s="35">
        <f t="shared" si="5"/>
        <v>1.2812499999999998</v>
      </c>
    </row>
    <row r="95" spans="2:11" ht="12.75" x14ac:dyDescent="0.2">
      <c r="B95" s="12">
        <v>137</v>
      </c>
      <c r="C95" s="17" t="s">
        <v>316</v>
      </c>
      <c r="D95" s="16" t="s">
        <v>35</v>
      </c>
      <c r="E95" s="15">
        <v>25</v>
      </c>
      <c r="F95" s="15">
        <v>20</v>
      </c>
      <c r="G95" s="18">
        <v>3700</v>
      </c>
      <c r="H95" s="18">
        <v>1000</v>
      </c>
      <c r="I95" s="34">
        <v>0.05</v>
      </c>
      <c r="J95" s="20">
        <f t="shared" si="4"/>
        <v>6.9256756756756745</v>
      </c>
      <c r="K95" s="35">
        <f t="shared" si="5"/>
        <v>1.2812499999999998</v>
      </c>
    </row>
    <row r="96" spans="2:11" ht="12.75" x14ac:dyDescent="0.2">
      <c r="B96" s="12">
        <v>111</v>
      </c>
      <c r="C96" s="17" t="s">
        <v>318</v>
      </c>
      <c r="D96" s="16" t="s">
        <v>88</v>
      </c>
      <c r="E96" s="15">
        <v>25</v>
      </c>
      <c r="F96" s="15">
        <v>20</v>
      </c>
      <c r="G96" s="18">
        <v>3800</v>
      </c>
      <c r="H96" s="18">
        <v>700</v>
      </c>
      <c r="I96" s="34">
        <v>0.05</v>
      </c>
      <c r="J96" s="20">
        <f t="shared" si="4"/>
        <v>6.7434210526315788</v>
      </c>
      <c r="K96" s="35">
        <f t="shared" si="5"/>
        <v>1.2812499999999998</v>
      </c>
    </row>
    <row r="97" spans="2:11" ht="12.75" x14ac:dyDescent="0.2">
      <c r="B97" s="12">
        <v>84</v>
      </c>
      <c r="C97" s="17" t="s">
        <v>319</v>
      </c>
      <c r="D97" s="16" t="s">
        <v>162</v>
      </c>
      <c r="E97" s="15">
        <v>25</v>
      </c>
      <c r="F97" s="15">
        <v>20</v>
      </c>
      <c r="G97" s="18">
        <v>3900</v>
      </c>
      <c r="H97" s="18">
        <v>1800</v>
      </c>
      <c r="I97" s="34">
        <v>0.05</v>
      </c>
      <c r="J97" s="20">
        <f t="shared" si="4"/>
        <v>6.5705128205128194</v>
      </c>
      <c r="K97" s="35">
        <f t="shared" si="5"/>
        <v>1.2812499999999998</v>
      </c>
    </row>
    <row r="98" spans="2:11" ht="12.75" x14ac:dyDescent="0.2">
      <c r="B98" s="12">
        <v>13</v>
      </c>
      <c r="C98" s="13" t="s">
        <v>321</v>
      </c>
      <c r="D98" s="16" t="s">
        <v>35</v>
      </c>
      <c r="E98" s="15">
        <v>25</v>
      </c>
      <c r="F98" s="15">
        <v>20</v>
      </c>
      <c r="G98" s="18">
        <v>4000</v>
      </c>
      <c r="H98" s="18">
        <v>600</v>
      </c>
      <c r="I98" s="34">
        <v>0.05</v>
      </c>
      <c r="J98" s="20">
        <f t="shared" si="4"/>
        <v>6.4062499999999991</v>
      </c>
      <c r="K98" s="35">
        <f t="shared" si="5"/>
        <v>1.2812499999999998</v>
      </c>
    </row>
  </sheetData>
  <autoFilter ref="B3:K98"/>
  <mergeCells count="2">
    <mergeCell ref="B1:K1"/>
    <mergeCell ref="B2:K2"/>
  </mergeCells>
  <conditionalFormatting sqref="D4:D98">
    <cfRule type="cellIs" dxfId="78" priority="1" operator="equal">
      <formula>$A$4</formula>
    </cfRule>
  </conditionalFormatting>
  <conditionalFormatting sqref="D4:D98">
    <cfRule type="cellIs" dxfId="77" priority="2" operator="equal">
      <formula>$A$5</formula>
    </cfRule>
  </conditionalFormatting>
  <conditionalFormatting sqref="D4:D98">
    <cfRule type="cellIs" dxfId="76" priority="3" operator="equal">
      <formula>$A$6</formula>
    </cfRule>
  </conditionalFormatting>
  <conditionalFormatting sqref="D4:D98">
    <cfRule type="cellIs" dxfId="75" priority="4" operator="equal">
      <formula>$A$7</formula>
    </cfRule>
  </conditionalFormatting>
  <conditionalFormatting sqref="D4:D98">
    <cfRule type="cellIs" dxfId="74" priority="5" operator="equal">
      <formula>$A$8</formula>
    </cfRule>
  </conditionalFormatting>
  <conditionalFormatting sqref="D4:D98">
    <cfRule type="cellIs" dxfId="73" priority="6" operator="equal">
      <formula>$A$9</formula>
    </cfRule>
  </conditionalFormatting>
  <conditionalFormatting sqref="D4:D98">
    <cfRule type="cellIs" dxfId="72" priority="7" operator="equal">
      <formula>$A$10</formula>
    </cfRule>
  </conditionalFormatting>
  <conditionalFormatting sqref="D4:D98">
    <cfRule type="cellIs" dxfId="71" priority="8" operator="equal">
      <formula>$A$11</formula>
    </cfRule>
  </conditionalFormatting>
  <conditionalFormatting sqref="D4:D98">
    <cfRule type="cellIs" dxfId="70" priority="9" operator="equal">
      <formula>$A$12</formula>
    </cfRule>
  </conditionalFormatting>
  <conditionalFormatting sqref="D4:D98">
    <cfRule type="cellIs" dxfId="69" priority="10" operator="equal">
      <formula>$A$13</formula>
    </cfRule>
  </conditionalFormatting>
  <conditionalFormatting sqref="D4:D98">
    <cfRule type="cellIs" dxfId="68" priority="11" operator="equal">
      <formula>$A$14</formula>
    </cfRule>
  </conditionalFormatting>
  <conditionalFormatting sqref="D4:D98">
    <cfRule type="cellIs" dxfId="67" priority="12" operator="equal">
      <formula>$A$15</formula>
    </cfRule>
  </conditionalFormatting>
  <conditionalFormatting sqref="D4:D98">
    <cfRule type="cellIs" dxfId="66" priority="13" operator="equal">
      <formula>$A$16</formula>
    </cfRule>
  </conditionalFormatting>
  <conditionalFormatting sqref="D4:D98">
    <cfRule type="cellIs" dxfId="65" priority="14" operator="equal">
      <formula>$A$17</formula>
    </cfRule>
  </conditionalFormatting>
  <conditionalFormatting sqref="D4:D98">
    <cfRule type="cellIs" dxfId="64" priority="15" operator="equal">
      <formula>$A$18</formula>
    </cfRule>
  </conditionalFormatting>
  <conditionalFormatting sqref="D4:D98">
    <cfRule type="cellIs" dxfId="63" priority="16" operator="equal">
      <formula>$A$19</formula>
    </cfRule>
  </conditionalFormatting>
  <conditionalFormatting sqref="D4:D98">
    <cfRule type="cellIs" dxfId="62" priority="17" operator="equal">
      <formula>$A$20</formula>
    </cfRule>
  </conditionalFormatting>
  <conditionalFormatting sqref="D4:D98">
    <cfRule type="cellIs" dxfId="61" priority="18" operator="equal">
      <formula>$A$21</formula>
    </cfRule>
  </conditionalFormatting>
  <conditionalFormatting sqref="D4:D98">
    <cfRule type="containsBlanks" dxfId="60" priority="19">
      <formula>LEN(TRIM(D4))=0</formula>
    </cfRule>
  </conditionalFormatting>
  <conditionalFormatting sqref="H4:H98">
    <cfRule type="colorScale" priority="20">
      <colorScale>
        <cfvo type="formula" val="$A$22"/>
        <cfvo type="formula" val="$A$23"/>
        <cfvo type="formula" val="$A$24"/>
        <color rgb="FF6AA84F"/>
        <color rgb="FFFFFF00"/>
        <color rgb="FFFF0000"/>
      </colorScale>
    </cfRule>
  </conditionalFormatting>
  <conditionalFormatting sqref="I4:I98">
    <cfRule type="colorScale" priority="21">
      <colorScale>
        <cfvo type="formula" val="$A$27"/>
        <cfvo type="formula" val="$A$26"/>
        <cfvo type="formula" val="$A$25"/>
        <color rgb="FFFF0000"/>
        <color rgb="FFFFFF00"/>
        <color rgb="FF6AA84F"/>
      </colorScale>
    </cfRule>
  </conditionalFormatting>
  <conditionalFormatting sqref="K4:K98">
    <cfRule type="colorScale" priority="22">
      <colorScale>
        <cfvo type="formula" val="$A$33"/>
        <cfvo type="formula" val="$A$32"/>
        <cfvo type="formula" val="$A$31"/>
        <color rgb="FFFF0000"/>
        <color rgb="FFFFFF00"/>
        <color rgb="FF6AA84F"/>
      </colorScale>
    </cfRule>
  </conditionalFormatting>
  <conditionalFormatting sqref="J4:J98">
    <cfRule type="colorScale" priority="23">
      <colorScale>
        <cfvo type="formula" val="$A$30"/>
        <cfvo type="formula" val="$A$29"/>
        <cfvo type="formula" val="$A$28"/>
        <color rgb="FFFF0000"/>
        <color rgb="FFFFD666"/>
        <color rgb="FF6AA84F"/>
      </colorScale>
    </cfRule>
  </conditionalFormatting>
  <dataValidations count="8">
    <dataValidation type="list" allowBlank="1" showInputMessage="1" showErrorMessage="1" prompt="Select type from list" sqref="D4:D98">
      <formula1>Game_Types</formula1>
    </dataValidation>
    <dataValidation type="decimal" allowBlank="1" showInputMessage="1" showErrorMessage="1" prompt="Input the energy cost." sqref="F4:F98">
      <formula1>0</formula1>
      <formula2>1000</formula2>
    </dataValidation>
    <dataValidation type="decimal" allowBlank="1" showInputMessage="1" showErrorMessage="1" prompt="Input the duration in milliseconds." sqref="G4:G98">
      <formula1>1</formula1>
      <formula2>10000</formula2>
    </dataValidation>
    <dataValidation type="decimal" allowBlank="1" showInputMessage="1" showErrorMessage="1" prompt="Enter the secondary move number." sqref="B4:B98">
      <formula1>1</formula1>
      <formula2>1000</formula2>
    </dataValidation>
    <dataValidation type="decimal" allowBlank="1" showInputMessage="1" showErrorMessage="1" prompt="Input the raw damage number." sqref="E4:E98">
      <formula1>0</formula1>
      <formula2>1000</formula2>
    </dataValidation>
    <dataValidation type="custom" allowBlank="1" showInputMessage="1" prompt="Enter the name of the secondary move." sqref="C4:C98">
      <formula1>ISERROR(SEARCH(("Nonsense"),(C4)))</formula1>
    </dataValidation>
    <dataValidation type="decimal" allowBlank="1" showInputMessage="1" showErrorMessage="1" prompt="Input the percentage of a critical hit." sqref="I4:I98">
      <formula1>0</formula1>
      <formula2>100</formula2>
    </dataValidation>
    <dataValidation type="decimal" allowBlank="1" showInputMessage="1" showErrorMessage="1" prompt="Input the dodge window in milliseconds." sqref="H4:H98">
      <formula1>0</formula1>
      <formula2>10000</formula2>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06"/>
  <sheetViews>
    <sheetView showGridLines="0" workbookViewId="0">
      <pane ySplit="3" topLeftCell="A4" activePane="bottomLeft" state="frozen"/>
      <selection pane="bottomLeft" activeCell="B5" sqref="B5"/>
    </sheetView>
  </sheetViews>
  <sheetFormatPr defaultColWidth="14.42578125" defaultRowHeight="15.75" customHeight="1" x14ac:dyDescent="0.2"/>
  <cols>
    <col min="1" max="1" width="0" hidden="1"/>
    <col min="2" max="2" width="8.7109375" customWidth="1"/>
    <col min="3" max="3" width="12.28515625" customWidth="1"/>
    <col min="4" max="4" width="8.7109375" customWidth="1"/>
    <col min="6" max="6" width="12.7109375" customWidth="1"/>
    <col min="7" max="7" width="0" hidden="1"/>
  </cols>
  <sheetData>
    <row r="1" spans="1:6" ht="15.75" customHeight="1" x14ac:dyDescent="0.2">
      <c r="A1" s="41"/>
      <c r="B1" s="92" t="s">
        <v>333</v>
      </c>
      <c r="C1" s="93"/>
      <c r="D1" s="93"/>
      <c r="E1" s="93"/>
      <c r="F1" s="93"/>
    </row>
    <row r="2" spans="1:6" ht="15.75" customHeight="1" x14ac:dyDescent="0.2">
      <c r="A2" s="42"/>
      <c r="B2" s="94" t="str">
        <f>CONCATENATE("All fields are automated other than """,$F$3,""".")</f>
        <v>All fields are automated other than "Damage Multipliers".</v>
      </c>
      <c r="C2" s="93"/>
      <c r="D2" s="93"/>
      <c r="E2" s="93"/>
      <c r="F2" s="93"/>
    </row>
    <row r="3" spans="1:6" ht="15.75" customHeight="1" x14ac:dyDescent="0.2">
      <c r="A3" s="6" t="s">
        <v>4</v>
      </c>
      <c r="B3" s="7" t="str">
        <f>'Game Data'!$A$3</f>
        <v>Type #</v>
      </c>
      <c r="C3" s="7" t="s">
        <v>335</v>
      </c>
      <c r="D3" s="7" t="str">
        <f>'Game Data'!$A$3</f>
        <v>Type #</v>
      </c>
      <c r="E3" s="7" t="s">
        <v>336</v>
      </c>
      <c r="F3" s="7" t="s">
        <v>337</v>
      </c>
    </row>
    <row r="4" spans="1:6" ht="15.75" customHeight="1" x14ac:dyDescent="0.2">
      <c r="A4" s="9" t="str">
        <f>Game_Type01</f>
        <v>Bug</v>
      </c>
      <c r="B4" s="43">
        <f>'Game Data'!$A$4</f>
        <v>7</v>
      </c>
      <c r="C4" s="44" t="str">
        <f>'Game Data'!$B$4</f>
        <v>Bug</v>
      </c>
      <c r="D4" s="43">
        <f>'Game Data'!$A$4</f>
        <v>7</v>
      </c>
      <c r="E4" s="45" t="str">
        <f>'Game Data'!$B$4</f>
        <v>Bug</v>
      </c>
      <c r="F4" s="46">
        <v>1</v>
      </c>
    </row>
    <row r="5" spans="1:6" ht="15.75" customHeight="1" x14ac:dyDescent="0.2">
      <c r="A5" s="9" t="str">
        <f>Game_Type02</f>
        <v>Dark</v>
      </c>
      <c r="B5" s="43">
        <f>'Game Data'!$A$5</f>
        <v>17</v>
      </c>
      <c r="C5" s="44" t="str">
        <f>'Game Data'!$B$5</f>
        <v>Dark</v>
      </c>
      <c r="D5" s="43">
        <f>'Game Data'!$A$4</f>
        <v>7</v>
      </c>
      <c r="E5" s="45" t="str">
        <f>'Game Data'!$B$4</f>
        <v>Bug</v>
      </c>
      <c r="F5" s="46">
        <v>1</v>
      </c>
    </row>
    <row r="6" spans="1:6" ht="15.75" customHeight="1" x14ac:dyDescent="0.2">
      <c r="A6" s="9" t="str">
        <f>Game_Type03</f>
        <v>Dragon</v>
      </c>
      <c r="B6" s="43">
        <f>'Game Data'!$A$6</f>
        <v>16</v>
      </c>
      <c r="C6" s="44" t="str">
        <f>'Game Data'!$B$6</f>
        <v>Dragon</v>
      </c>
      <c r="D6" s="43">
        <f>'Game Data'!$A$4</f>
        <v>7</v>
      </c>
      <c r="E6" s="45" t="str">
        <f>'Game Data'!$B$4</f>
        <v>Bug</v>
      </c>
      <c r="F6" s="46">
        <v>1</v>
      </c>
    </row>
    <row r="7" spans="1:6" ht="15.75" customHeight="1" x14ac:dyDescent="0.2">
      <c r="A7" s="9" t="str">
        <f>Game_Type04</f>
        <v>Electric</v>
      </c>
      <c r="B7" s="43">
        <f>'Game Data'!$A$7</f>
        <v>13</v>
      </c>
      <c r="C7" s="44" t="str">
        <f>'Game Data'!$B$7</f>
        <v>Electric</v>
      </c>
      <c r="D7" s="43">
        <f>'Game Data'!$A$4</f>
        <v>7</v>
      </c>
      <c r="E7" s="45" t="str">
        <f>'Game Data'!$B$4</f>
        <v>Bug</v>
      </c>
      <c r="F7" s="46">
        <v>1</v>
      </c>
    </row>
    <row r="8" spans="1:6" ht="15.75" customHeight="1" x14ac:dyDescent="0.2">
      <c r="A8" s="9" t="str">
        <f>Game_Type05</f>
        <v>Fairy</v>
      </c>
      <c r="B8" s="43">
        <f>'Game Data'!$A$8</f>
        <v>18</v>
      </c>
      <c r="C8" s="44" t="str">
        <f>'Game Data'!$B$8</f>
        <v>Fairy</v>
      </c>
      <c r="D8" s="43">
        <f>'Game Data'!$A$4</f>
        <v>7</v>
      </c>
      <c r="E8" s="45" t="str">
        <f>'Game Data'!$B$4</f>
        <v>Bug</v>
      </c>
      <c r="F8" s="46">
        <v>1</v>
      </c>
    </row>
    <row r="9" spans="1:6" ht="15.75" customHeight="1" x14ac:dyDescent="0.2">
      <c r="A9" s="9" t="str">
        <f>Game_Type06</f>
        <v>Fighting</v>
      </c>
      <c r="B9" s="43">
        <f>'Game Data'!$A$9</f>
        <v>2</v>
      </c>
      <c r="C9" s="44" t="str">
        <f>'Game Data'!$B$9</f>
        <v>Fighting</v>
      </c>
      <c r="D9" s="43">
        <f>'Game Data'!$A$4</f>
        <v>7</v>
      </c>
      <c r="E9" s="45" t="str">
        <f>'Game Data'!$B$4</f>
        <v>Bug</v>
      </c>
      <c r="F9" s="46">
        <v>0.8</v>
      </c>
    </row>
    <row r="10" spans="1:6" ht="15.75" customHeight="1" x14ac:dyDescent="0.2">
      <c r="A10" s="9" t="str">
        <f>Game_Type07</f>
        <v>Fire</v>
      </c>
      <c r="B10" s="43">
        <f>'Game Data'!$A$10</f>
        <v>10</v>
      </c>
      <c r="C10" s="44" t="str">
        <f>'Game Data'!$B$10</f>
        <v>Fire</v>
      </c>
      <c r="D10" s="43">
        <f>'Game Data'!$A$4</f>
        <v>7</v>
      </c>
      <c r="E10" s="45" t="str">
        <f>'Game Data'!$B$4</f>
        <v>Bug</v>
      </c>
      <c r="F10" s="46">
        <v>1.25</v>
      </c>
    </row>
    <row r="11" spans="1:6" ht="15.75" customHeight="1" x14ac:dyDescent="0.2">
      <c r="A11" s="9" t="str">
        <f>Game_Type08</f>
        <v>Flying</v>
      </c>
      <c r="B11" s="43">
        <f>'Game Data'!$A$11</f>
        <v>3</v>
      </c>
      <c r="C11" s="44" t="str">
        <f>'Game Data'!$B$11</f>
        <v>Flying</v>
      </c>
      <c r="D11" s="43">
        <f>'Game Data'!$A$4</f>
        <v>7</v>
      </c>
      <c r="E11" s="45" t="str">
        <f>'Game Data'!$B$4</f>
        <v>Bug</v>
      </c>
      <c r="F11" s="46">
        <v>1.25</v>
      </c>
    </row>
    <row r="12" spans="1:6" ht="15.75" customHeight="1" x14ac:dyDescent="0.2">
      <c r="A12" s="9" t="str">
        <f>Game_Type09</f>
        <v>Ghost</v>
      </c>
      <c r="B12" s="43">
        <f>'Game Data'!$A$12</f>
        <v>8</v>
      </c>
      <c r="C12" s="44" t="str">
        <f>'Game Data'!$B$12</f>
        <v>Ghost</v>
      </c>
      <c r="D12" s="43">
        <f>'Game Data'!$A$4</f>
        <v>7</v>
      </c>
      <c r="E12" s="45" t="str">
        <f>'Game Data'!$B$4</f>
        <v>Bug</v>
      </c>
      <c r="F12" s="46">
        <v>1</v>
      </c>
    </row>
    <row r="13" spans="1:6" ht="15.75" customHeight="1" x14ac:dyDescent="0.2">
      <c r="A13" s="9" t="str">
        <f>Game_Type10</f>
        <v>Grass</v>
      </c>
      <c r="B13" s="43">
        <f>'Game Data'!$A$13</f>
        <v>12</v>
      </c>
      <c r="C13" s="44" t="str">
        <f>'Game Data'!$B$13</f>
        <v>Grass</v>
      </c>
      <c r="D13" s="43">
        <f>'Game Data'!$A$4</f>
        <v>7</v>
      </c>
      <c r="E13" s="45" t="str">
        <f>'Game Data'!$B$4</f>
        <v>Bug</v>
      </c>
      <c r="F13" s="46">
        <v>0.8</v>
      </c>
    </row>
    <row r="14" spans="1:6" ht="15.75" customHeight="1" x14ac:dyDescent="0.2">
      <c r="A14" s="9" t="str">
        <f>Game_Type11</f>
        <v>Ground</v>
      </c>
      <c r="B14" s="43">
        <f>'Game Data'!$A$14</f>
        <v>5</v>
      </c>
      <c r="C14" s="44" t="str">
        <f>'Game Data'!$B$14</f>
        <v>Ground</v>
      </c>
      <c r="D14" s="43">
        <f>'Game Data'!$A$4</f>
        <v>7</v>
      </c>
      <c r="E14" s="45" t="str">
        <f>'Game Data'!$B$4</f>
        <v>Bug</v>
      </c>
      <c r="F14" s="46">
        <v>0.8</v>
      </c>
    </row>
    <row r="15" spans="1:6" ht="15.75" customHeight="1" x14ac:dyDescent="0.2">
      <c r="A15" s="9" t="str">
        <f>Game_Type12</f>
        <v>Ice</v>
      </c>
      <c r="B15" s="43">
        <f>'Game Data'!$A$15</f>
        <v>15</v>
      </c>
      <c r="C15" s="44" t="str">
        <f>'Game Data'!$B$15</f>
        <v>Ice</v>
      </c>
      <c r="D15" s="43">
        <f>'Game Data'!$A$4</f>
        <v>7</v>
      </c>
      <c r="E15" s="45" t="str">
        <f>'Game Data'!$B$4</f>
        <v>Bug</v>
      </c>
      <c r="F15" s="46">
        <v>1</v>
      </c>
    </row>
    <row r="16" spans="1:6" ht="15.75" customHeight="1" x14ac:dyDescent="0.2">
      <c r="A16" s="9" t="str">
        <f>Game_Type13</f>
        <v>Normal</v>
      </c>
      <c r="B16" s="43">
        <f>'Game Data'!$A$16</f>
        <v>1</v>
      </c>
      <c r="C16" s="44" t="str">
        <f>'Game Data'!$B$16</f>
        <v>Normal</v>
      </c>
      <c r="D16" s="43">
        <f>'Game Data'!$A$4</f>
        <v>7</v>
      </c>
      <c r="E16" s="45" t="str">
        <f>'Game Data'!$B$4</f>
        <v>Bug</v>
      </c>
      <c r="F16" s="46">
        <v>1</v>
      </c>
    </row>
    <row r="17" spans="1:6" ht="15.75" customHeight="1" x14ac:dyDescent="0.2">
      <c r="A17" s="9" t="str">
        <f>Game_Type14</f>
        <v>Poison</v>
      </c>
      <c r="B17" s="43">
        <f>'Game Data'!$A$17</f>
        <v>4</v>
      </c>
      <c r="C17" s="44" t="str">
        <f>'Game Data'!$B$17</f>
        <v>Poison</v>
      </c>
      <c r="D17" s="43">
        <f>'Game Data'!$A$4</f>
        <v>7</v>
      </c>
      <c r="E17" s="45" t="str">
        <f>'Game Data'!$B$4</f>
        <v>Bug</v>
      </c>
      <c r="F17" s="46">
        <v>1</v>
      </c>
    </row>
    <row r="18" spans="1:6" ht="15.75" customHeight="1" x14ac:dyDescent="0.2">
      <c r="A18" s="9" t="str">
        <f>Game_Type15</f>
        <v>Psychic</v>
      </c>
      <c r="B18" s="43">
        <f>'Game Data'!$A$18</f>
        <v>14</v>
      </c>
      <c r="C18" s="44" t="str">
        <f>'Game Data'!$B$18</f>
        <v>Psychic</v>
      </c>
      <c r="D18" s="43">
        <f>'Game Data'!$A$4</f>
        <v>7</v>
      </c>
      <c r="E18" s="45" t="str">
        <f>'Game Data'!$B$4</f>
        <v>Bug</v>
      </c>
      <c r="F18" s="46">
        <v>1</v>
      </c>
    </row>
    <row r="19" spans="1:6" ht="15.75" customHeight="1" x14ac:dyDescent="0.2">
      <c r="A19" s="9" t="str">
        <f>Game_Type16</f>
        <v>Rock</v>
      </c>
      <c r="B19" s="43">
        <f>'Game Data'!$A$19</f>
        <v>6</v>
      </c>
      <c r="C19" s="44" t="str">
        <f>'Game Data'!$B$19</f>
        <v>Rock</v>
      </c>
      <c r="D19" s="43">
        <f>'Game Data'!$A$4</f>
        <v>7</v>
      </c>
      <c r="E19" s="45" t="str">
        <f>'Game Data'!$B$4</f>
        <v>Bug</v>
      </c>
      <c r="F19" s="46">
        <v>1.25</v>
      </c>
    </row>
    <row r="20" spans="1:6" ht="15.75" customHeight="1" x14ac:dyDescent="0.2">
      <c r="A20" s="9" t="str">
        <f>Game_Type17</f>
        <v>Steel</v>
      </c>
      <c r="B20" s="43">
        <f>'Game Data'!$A$20</f>
        <v>9</v>
      </c>
      <c r="C20" s="44" t="str">
        <f>'Game Data'!$B$20</f>
        <v>Steel</v>
      </c>
      <c r="D20" s="43">
        <f>'Game Data'!$A$4</f>
        <v>7</v>
      </c>
      <c r="E20" s="45" t="str">
        <f>'Game Data'!$B$4</f>
        <v>Bug</v>
      </c>
      <c r="F20" s="46">
        <v>1</v>
      </c>
    </row>
    <row r="21" spans="1:6" ht="15.75" customHeight="1" x14ac:dyDescent="0.2">
      <c r="A21" s="9" t="str">
        <f>Game_Type18</f>
        <v>Water</v>
      </c>
      <c r="B21" s="43">
        <f>'Game Data'!$A$21</f>
        <v>11</v>
      </c>
      <c r="C21" s="44" t="str">
        <f>'Game Data'!$B$21</f>
        <v>Water</v>
      </c>
      <c r="D21" s="43">
        <f>'Game Data'!$A$4</f>
        <v>7</v>
      </c>
      <c r="E21" s="45" t="str">
        <f>'Game Data'!$B$4</f>
        <v>Bug</v>
      </c>
      <c r="F21" s="46">
        <v>1</v>
      </c>
    </row>
    <row r="22" spans="1:6" ht="15.75" customHeight="1" x14ac:dyDescent="0.2">
      <c r="A22" s="5"/>
      <c r="B22" s="43">
        <f>'Game Data'!$A$4</f>
        <v>7</v>
      </c>
      <c r="C22" s="44" t="str">
        <f>'Game Data'!$B$4</f>
        <v>Bug</v>
      </c>
      <c r="D22" s="43">
        <f>'Game Data'!$A$5</f>
        <v>17</v>
      </c>
      <c r="E22" s="45" t="str">
        <f>'Game Data'!$B$5</f>
        <v>Dark</v>
      </c>
      <c r="F22" s="46">
        <v>1.25</v>
      </c>
    </row>
    <row r="23" spans="1:6" ht="15.75" customHeight="1" x14ac:dyDescent="0.2">
      <c r="A23" s="5"/>
      <c r="B23" s="43">
        <f>'Game Data'!$A$5</f>
        <v>17</v>
      </c>
      <c r="C23" s="44" t="str">
        <f>'Game Data'!$B$5</f>
        <v>Dark</v>
      </c>
      <c r="D23" s="43">
        <f>'Game Data'!$A$5</f>
        <v>17</v>
      </c>
      <c r="E23" s="45" t="str">
        <f>'Game Data'!$B$5</f>
        <v>Dark</v>
      </c>
      <c r="F23" s="46">
        <v>1</v>
      </c>
    </row>
    <row r="24" spans="1:6" ht="15.75" customHeight="1" x14ac:dyDescent="0.2">
      <c r="A24" s="5"/>
      <c r="B24" s="43">
        <f>'Game Data'!$A$6</f>
        <v>16</v>
      </c>
      <c r="C24" s="44" t="str">
        <f>'Game Data'!$B$6</f>
        <v>Dragon</v>
      </c>
      <c r="D24" s="43">
        <f>'Game Data'!$A$5</f>
        <v>17</v>
      </c>
      <c r="E24" s="45" t="str">
        <f>'Game Data'!$B$5</f>
        <v>Dark</v>
      </c>
      <c r="F24" s="46">
        <v>0.8</v>
      </c>
    </row>
    <row r="25" spans="1:6" ht="15.75" customHeight="1" x14ac:dyDescent="0.2">
      <c r="A25" s="5"/>
      <c r="B25" s="43">
        <f>'Game Data'!$A$7</f>
        <v>13</v>
      </c>
      <c r="C25" s="44" t="str">
        <f>'Game Data'!$B$7</f>
        <v>Electric</v>
      </c>
      <c r="D25" s="43">
        <f>'Game Data'!$A$5</f>
        <v>17</v>
      </c>
      <c r="E25" s="45" t="str">
        <f>'Game Data'!$B$5</f>
        <v>Dark</v>
      </c>
      <c r="F25" s="46">
        <v>1</v>
      </c>
    </row>
    <row r="26" spans="1:6" ht="15.75" customHeight="1" x14ac:dyDescent="0.2">
      <c r="A26" s="5"/>
      <c r="B26" s="43">
        <f>'Game Data'!$A$8</f>
        <v>18</v>
      </c>
      <c r="C26" s="44" t="str">
        <f>'Game Data'!$B$8</f>
        <v>Fairy</v>
      </c>
      <c r="D26" s="43">
        <f>'Game Data'!$A$5</f>
        <v>17</v>
      </c>
      <c r="E26" s="45" t="str">
        <f>'Game Data'!$B$5</f>
        <v>Dark</v>
      </c>
      <c r="F26" s="46">
        <v>1.25</v>
      </c>
    </row>
    <row r="27" spans="1:6" ht="15.75" customHeight="1" x14ac:dyDescent="0.2">
      <c r="A27" s="5"/>
      <c r="B27" s="43">
        <f>'Game Data'!$A$9</f>
        <v>2</v>
      </c>
      <c r="C27" s="44" t="str">
        <f>'Game Data'!$B$9</f>
        <v>Fighting</v>
      </c>
      <c r="D27" s="43">
        <f>'Game Data'!$A$5</f>
        <v>17</v>
      </c>
      <c r="E27" s="45" t="str">
        <f>'Game Data'!$B$5</f>
        <v>Dark</v>
      </c>
      <c r="F27" s="46">
        <v>1.25</v>
      </c>
    </row>
    <row r="28" spans="1:6" ht="15.75" customHeight="1" x14ac:dyDescent="0.2">
      <c r="A28" s="5"/>
      <c r="B28" s="43">
        <f>'Game Data'!$A$10</f>
        <v>10</v>
      </c>
      <c r="C28" s="44" t="str">
        <f>'Game Data'!$B$10</f>
        <v>Fire</v>
      </c>
      <c r="D28" s="43">
        <f>'Game Data'!$A$5</f>
        <v>17</v>
      </c>
      <c r="E28" s="45" t="str">
        <f>'Game Data'!$B$5</f>
        <v>Dark</v>
      </c>
      <c r="F28" s="46">
        <v>1</v>
      </c>
    </row>
    <row r="29" spans="1:6" ht="15.75" customHeight="1" x14ac:dyDescent="0.2">
      <c r="A29" s="5"/>
      <c r="B29" s="43">
        <f>'Game Data'!$A$11</f>
        <v>3</v>
      </c>
      <c r="C29" s="44" t="str">
        <f>'Game Data'!$B$11</f>
        <v>Flying</v>
      </c>
      <c r="D29" s="43">
        <f>'Game Data'!$A$5</f>
        <v>17</v>
      </c>
      <c r="E29" s="45" t="str">
        <f>'Game Data'!$B$5</f>
        <v>Dark</v>
      </c>
      <c r="F29" s="46">
        <v>1</v>
      </c>
    </row>
    <row r="30" spans="1:6" ht="15.75" customHeight="1" x14ac:dyDescent="0.2">
      <c r="A30" s="5"/>
      <c r="B30" s="43">
        <f>'Game Data'!$A$12</f>
        <v>8</v>
      </c>
      <c r="C30" s="44" t="str">
        <f>'Game Data'!$B$12</f>
        <v>Ghost</v>
      </c>
      <c r="D30" s="43">
        <f>'Game Data'!$A$5</f>
        <v>17</v>
      </c>
      <c r="E30" s="45" t="str">
        <f>'Game Data'!$B$5</f>
        <v>Dark</v>
      </c>
      <c r="F30" s="46">
        <v>0.8</v>
      </c>
    </row>
    <row r="31" spans="1:6" ht="15.75" customHeight="1" x14ac:dyDescent="0.2">
      <c r="A31" s="5"/>
      <c r="B31" s="43">
        <f>'Game Data'!$A$13</f>
        <v>12</v>
      </c>
      <c r="C31" s="44" t="str">
        <f>'Game Data'!$B$13</f>
        <v>Grass</v>
      </c>
      <c r="D31" s="43">
        <f>'Game Data'!$A$5</f>
        <v>17</v>
      </c>
      <c r="E31" s="45" t="str">
        <f>'Game Data'!$B$5</f>
        <v>Dark</v>
      </c>
      <c r="F31" s="46">
        <v>1</v>
      </c>
    </row>
    <row r="32" spans="1:6" ht="15.75" customHeight="1" x14ac:dyDescent="0.2">
      <c r="A32" s="5"/>
      <c r="B32" s="43">
        <f>'Game Data'!$A$14</f>
        <v>5</v>
      </c>
      <c r="C32" s="44" t="str">
        <f>'Game Data'!$B$14</f>
        <v>Ground</v>
      </c>
      <c r="D32" s="43">
        <f>'Game Data'!$A$5</f>
        <v>17</v>
      </c>
      <c r="E32" s="45" t="str">
        <f>'Game Data'!$B$5</f>
        <v>Dark</v>
      </c>
      <c r="F32" s="46">
        <v>1</v>
      </c>
    </row>
    <row r="33" spans="1:6" ht="15.75" customHeight="1" x14ac:dyDescent="0.2">
      <c r="A33" s="5"/>
      <c r="B33" s="43">
        <f>'Game Data'!$A$15</f>
        <v>15</v>
      </c>
      <c r="C33" s="44" t="str">
        <f>'Game Data'!$B$15</f>
        <v>Ice</v>
      </c>
      <c r="D33" s="43">
        <f>'Game Data'!$A$5</f>
        <v>17</v>
      </c>
      <c r="E33" s="45" t="str">
        <f>'Game Data'!$B$5</f>
        <v>Dark</v>
      </c>
      <c r="F33" s="46">
        <v>1</v>
      </c>
    </row>
    <row r="34" spans="1:6" ht="15.75" customHeight="1" x14ac:dyDescent="0.2">
      <c r="A34" s="5"/>
      <c r="B34" s="43">
        <f>'Game Data'!$A$16</f>
        <v>1</v>
      </c>
      <c r="C34" s="44" t="str">
        <f>'Game Data'!$B$16</f>
        <v>Normal</v>
      </c>
      <c r="D34" s="43">
        <f>'Game Data'!$A$5</f>
        <v>17</v>
      </c>
      <c r="E34" s="45" t="str">
        <f>'Game Data'!$B$5</f>
        <v>Dark</v>
      </c>
      <c r="F34" s="46">
        <v>1</v>
      </c>
    </row>
    <row r="35" spans="1:6" ht="15.75" customHeight="1" x14ac:dyDescent="0.2">
      <c r="A35" s="5"/>
      <c r="B35" s="43">
        <f>'Game Data'!$A$17</f>
        <v>4</v>
      </c>
      <c r="C35" s="44" t="str">
        <f>'Game Data'!$B$17</f>
        <v>Poison</v>
      </c>
      <c r="D35" s="43">
        <f>'Game Data'!$A$5</f>
        <v>17</v>
      </c>
      <c r="E35" s="45" t="str">
        <f>'Game Data'!$B$5</f>
        <v>Dark</v>
      </c>
      <c r="F35" s="46">
        <v>1</v>
      </c>
    </row>
    <row r="36" spans="1:6" ht="15.75" customHeight="1" x14ac:dyDescent="0.2">
      <c r="A36" s="5"/>
      <c r="B36" s="43">
        <f>'Game Data'!$A$18</f>
        <v>14</v>
      </c>
      <c r="C36" s="44" t="str">
        <f>'Game Data'!$B$18</f>
        <v>Psychic</v>
      </c>
      <c r="D36" s="43">
        <f>'Game Data'!$A$5</f>
        <v>17</v>
      </c>
      <c r="E36" s="45" t="str">
        <f>'Game Data'!$B$5</f>
        <v>Dark</v>
      </c>
      <c r="F36" s="46">
        <v>0.8</v>
      </c>
    </row>
    <row r="37" spans="1:6" ht="15.75" customHeight="1" x14ac:dyDescent="0.2">
      <c r="A37" s="5"/>
      <c r="B37" s="43">
        <f>'Game Data'!$A$19</f>
        <v>6</v>
      </c>
      <c r="C37" s="44" t="str">
        <f>'Game Data'!$B$19</f>
        <v>Rock</v>
      </c>
      <c r="D37" s="43">
        <f>'Game Data'!$A$5</f>
        <v>17</v>
      </c>
      <c r="E37" s="45" t="str">
        <f>'Game Data'!$B$5</f>
        <v>Dark</v>
      </c>
      <c r="F37" s="46">
        <v>1</v>
      </c>
    </row>
    <row r="38" spans="1:6" ht="15.75" customHeight="1" x14ac:dyDescent="0.2">
      <c r="A38" s="5"/>
      <c r="B38" s="43">
        <f>'Game Data'!$A$20</f>
        <v>9</v>
      </c>
      <c r="C38" s="44" t="str">
        <f>'Game Data'!$B$20</f>
        <v>Steel</v>
      </c>
      <c r="D38" s="43">
        <f>'Game Data'!$A$5</f>
        <v>17</v>
      </c>
      <c r="E38" s="45" t="str">
        <f>'Game Data'!$B$5</f>
        <v>Dark</v>
      </c>
      <c r="F38" s="46">
        <v>1</v>
      </c>
    </row>
    <row r="39" spans="1:6" ht="15.75" customHeight="1" x14ac:dyDescent="0.2">
      <c r="A39" s="5"/>
      <c r="B39" s="43">
        <f>'Game Data'!$A$21</f>
        <v>11</v>
      </c>
      <c r="C39" s="44" t="str">
        <f>'Game Data'!$B$21</f>
        <v>Water</v>
      </c>
      <c r="D39" s="43">
        <f>'Game Data'!$A$5</f>
        <v>17</v>
      </c>
      <c r="E39" s="45" t="str">
        <f>'Game Data'!$B$5</f>
        <v>Dark</v>
      </c>
      <c r="F39" s="46">
        <v>1</v>
      </c>
    </row>
    <row r="40" spans="1:6" ht="15.75" customHeight="1" x14ac:dyDescent="0.2">
      <c r="A40" s="5"/>
      <c r="B40" s="43">
        <f>'Game Data'!$A$4</f>
        <v>7</v>
      </c>
      <c r="C40" s="44" t="str">
        <f>'Game Data'!$B$4</f>
        <v>Bug</v>
      </c>
      <c r="D40" s="43">
        <f>'Game Data'!$A$6</f>
        <v>16</v>
      </c>
      <c r="E40" s="45" t="str">
        <f>'Game Data'!$B$6</f>
        <v>Dragon</v>
      </c>
      <c r="F40" s="46">
        <v>1</v>
      </c>
    </row>
    <row r="41" spans="1:6" ht="15.75" customHeight="1" x14ac:dyDescent="0.2">
      <c r="A41" s="5"/>
      <c r="B41" s="43">
        <f>'Game Data'!$A$5</f>
        <v>17</v>
      </c>
      <c r="C41" s="44" t="str">
        <f>'Game Data'!$B$5</f>
        <v>Dark</v>
      </c>
      <c r="D41" s="43">
        <f>'Game Data'!$A$6</f>
        <v>16</v>
      </c>
      <c r="E41" s="45" t="str">
        <f>'Game Data'!$B$6</f>
        <v>Dragon</v>
      </c>
      <c r="F41" s="46">
        <v>1.25</v>
      </c>
    </row>
    <row r="42" spans="1:6" ht="15.75" customHeight="1" x14ac:dyDescent="0.2">
      <c r="A42" s="5"/>
      <c r="B42" s="43">
        <f>'Game Data'!$A$6</f>
        <v>16</v>
      </c>
      <c r="C42" s="44" t="str">
        <f>'Game Data'!$B$6</f>
        <v>Dragon</v>
      </c>
      <c r="D42" s="43">
        <f>'Game Data'!$A$6</f>
        <v>16</v>
      </c>
      <c r="E42" s="45" t="str">
        <f>'Game Data'!$B$6</f>
        <v>Dragon</v>
      </c>
      <c r="F42" s="46">
        <v>1</v>
      </c>
    </row>
    <row r="43" spans="1:6" ht="15.75" customHeight="1" x14ac:dyDescent="0.2">
      <c r="A43" s="5"/>
      <c r="B43" s="43">
        <f>'Game Data'!$A$7</f>
        <v>13</v>
      </c>
      <c r="C43" s="44" t="str">
        <f>'Game Data'!$B$7</f>
        <v>Electric</v>
      </c>
      <c r="D43" s="43">
        <f>'Game Data'!$A$6</f>
        <v>16</v>
      </c>
      <c r="E43" s="45" t="str">
        <f>'Game Data'!$B$6</f>
        <v>Dragon</v>
      </c>
      <c r="F43" s="46">
        <v>0.8</v>
      </c>
    </row>
    <row r="44" spans="1:6" ht="12.75" x14ac:dyDescent="0.2">
      <c r="A44" s="5"/>
      <c r="B44" s="43">
        <f>'Game Data'!$A$8</f>
        <v>18</v>
      </c>
      <c r="C44" s="44" t="str">
        <f>'Game Data'!$B$8</f>
        <v>Fairy</v>
      </c>
      <c r="D44" s="43">
        <f>'Game Data'!$A$6</f>
        <v>16</v>
      </c>
      <c r="E44" s="45" t="str">
        <f>'Game Data'!$B$6</f>
        <v>Dragon</v>
      </c>
      <c r="F44" s="46">
        <v>1.25</v>
      </c>
    </row>
    <row r="45" spans="1:6" ht="12.75" x14ac:dyDescent="0.2">
      <c r="A45" s="5"/>
      <c r="B45" s="43">
        <f>'Game Data'!$A$9</f>
        <v>2</v>
      </c>
      <c r="C45" s="44" t="str">
        <f>'Game Data'!$B$9</f>
        <v>Fighting</v>
      </c>
      <c r="D45" s="43">
        <f>'Game Data'!$A$6</f>
        <v>16</v>
      </c>
      <c r="E45" s="45" t="str">
        <f>'Game Data'!$B$6</f>
        <v>Dragon</v>
      </c>
      <c r="F45" s="46">
        <v>1</v>
      </c>
    </row>
    <row r="46" spans="1:6" ht="12.75" x14ac:dyDescent="0.2">
      <c r="A46" s="5"/>
      <c r="B46" s="43">
        <f>'Game Data'!$A$10</f>
        <v>10</v>
      </c>
      <c r="C46" s="44" t="str">
        <f>'Game Data'!$B$10</f>
        <v>Fire</v>
      </c>
      <c r="D46" s="43">
        <f>'Game Data'!$A$6</f>
        <v>16</v>
      </c>
      <c r="E46" s="45" t="str">
        <f>'Game Data'!$B$6</f>
        <v>Dragon</v>
      </c>
      <c r="F46" s="46">
        <v>0.8</v>
      </c>
    </row>
    <row r="47" spans="1:6" ht="12.75" x14ac:dyDescent="0.2">
      <c r="A47" s="5"/>
      <c r="B47" s="43">
        <f>'Game Data'!$A$11</f>
        <v>3</v>
      </c>
      <c r="C47" s="44" t="str">
        <f>'Game Data'!$B$11</f>
        <v>Flying</v>
      </c>
      <c r="D47" s="43">
        <f>'Game Data'!$A$6</f>
        <v>16</v>
      </c>
      <c r="E47" s="45" t="str">
        <f>'Game Data'!$B$6</f>
        <v>Dragon</v>
      </c>
      <c r="F47" s="46">
        <v>1</v>
      </c>
    </row>
    <row r="48" spans="1:6" ht="12.75" x14ac:dyDescent="0.2">
      <c r="A48" s="5"/>
      <c r="B48" s="43">
        <f>'Game Data'!$A$12</f>
        <v>8</v>
      </c>
      <c r="C48" s="44" t="str">
        <f>'Game Data'!$B$12</f>
        <v>Ghost</v>
      </c>
      <c r="D48" s="43">
        <f>'Game Data'!$A$6</f>
        <v>16</v>
      </c>
      <c r="E48" s="45" t="str">
        <f>'Game Data'!$B$6</f>
        <v>Dragon</v>
      </c>
      <c r="F48" s="46">
        <v>1</v>
      </c>
    </row>
    <row r="49" spans="1:6" ht="12.75" x14ac:dyDescent="0.2">
      <c r="A49" s="5"/>
      <c r="B49" s="43">
        <f>'Game Data'!$A$13</f>
        <v>12</v>
      </c>
      <c r="C49" s="44" t="str">
        <f>'Game Data'!$B$13</f>
        <v>Grass</v>
      </c>
      <c r="D49" s="43">
        <f>'Game Data'!$A$6</f>
        <v>16</v>
      </c>
      <c r="E49" s="45" t="str">
        <f>'Game Data'!$B$6</f>
        <v>Dragon</v>
      </c>
      <c r="F49" s="46">
        <v>0.8</v>
      </c>
    </row>
    <row r="50" spans="1:6" ht="12.75" x14ac:dyDescent="0.2">
      <c r="A50" s="5"/>
      <c r="B50" s="43">
        <f>'Game Data'!$A$14</f>
        <v>5</v>
      </c>
      <c r="C50" s="44" t="str">
        <f>'Game Data'!$B$14</f>
        <v>Ground</v>
      </c>
      <c r="D50" s="43">
        <f>'Game Data'!$A$6</f>
        <v>16</v>
      </c>
      <c r="E50" s="45" t="str">
        <f>'Game Data'!$B$6</f>
        <v>Dragon</v>
      </c>
      <c r="F50" s="46">
        <v>1</v>
      </c>
    </row>
    <row r="51" spans="1:6" ht="12.75" x14ac:dyDescent="0.2">
      <c r="A51" s="5"/>
      <c r="B51" s="43">
        <f>'Game Data'!$A$15</f>
        <v>15</v>
      </c>
      <c r="C51" s="44" t="str">
        <f>'Game Data'!$B$15</f>
        <v>Ice</v>
      </c>
      <c r="D51" s="43">
        <f>'Game Data'!$A$6</f>
        <v>16</v>
      </c>
      <c r="E51" s="45" t="str">
        <f>'Game Data'!$B$6</f>
        <v>Dragon</v>
      </c>
      <c r="F51" s="46">
        <v>1.25</v>
      </c>
    </row>
    <row r="52" spans="1:6" ht="12.75" x14ac:dyDescent="0.2">
      <c r="A52" s="5"/>
      <c r="B52" s="43">
        <f>'Game Data'!$A$16</f>
        <v>1</v>
      </c>
      <c r="C52" s="44" t="str">
        <f>'Game Data'!$B$16</f>
        <v>Normal</v>
      </c>
      <c r="D52" s="43">
        <f>'Game Data'!$A$6</f>
        <v>16</v>
      </c>
      <c r="E52" s="45" t="str">
        <f>'Game Data'!$B$6</f>
        <v>Dragon</v>
      </c>
      <c r="F52" s="46">
        <v>1</v>
      </c>
    </row>
    <row r="53" spans="1:6" ht="12.75" x14ac:dyDescent="0.2">
      <c r="A53" s="5"/>
      <c r="B53" s="43">
        <f>'Game Data'!$A$17</f>
        <v>4</v>
      </c>
      <c r="C53" s="44" t="str">
        <f>'Game Data'!$B$17</f>
        <v>Poison</v>
      </c>
      <c r="D53" s="43">
        <f>'Game Data'!$A$6</f>
        <v>16</v>
      </c>
      <c r="E53" s="45" t="str">
        <f>'Game Data'!$B$6</f>
        <v>Dragon</v>
      </c>
      <c r="F53" s="46">
        <v>1</v>
      </c>
    </row>
    <row r="54" spans="1:6" ht="12.75" x14ac:dyDescent="0.2">
      <c r="A54" s="5"/>
      <c r="B54" s="43">
        <f>'Game Data'!$A$18</f>
        <v>14</v>
      </c>
      <c r="C54" s="44" t="str">
        <f>'Game Data'!$B$18</f>
        <v>Psychic</v>
      </c>
      <c r="D54" s="43">
        <f>'Game Data'!$A$6</f>
        <v>16</v>
      </c>
      <c r="E54" s="45" t="str">
        <f>'Game Data'!$B$6</f>
        <v>Dragon</v>
      </c>
      <c r="F54" s="46">
        <v>1</v>
      </c>
    </row>
    <row r="55" spans="1:6" ht="12.75" x14ac:dyDescent="0.2">
      <c r="A55" s="5"/>
      <c r="B55" s="43">
        <f>'Game Data'!$A$19</f>
        <v>6</v>
      </c>
      <c r="C55" s="44" t="str">
        <f>'Game Data'!$B$19</f>
        <v>Rock</v>
      </c>
      <c r="D55" s="43">
        <f>'Game Data'!$A$6</f>
        <v>16</v>
      </c>
      <c r="E55" s="45" t="str">
        <f>'Game Data'!$B$6</f>
        <v>Dragon</v>
      </c>
      <c r="F55" s="46">
        <v>1</v>
      </c>
    </row>
    <row r="56" spans="1:6" ht="12.75" x14ac:dyDescent="0.2">
      <c r="A56" s="5"/>
      <c r="B56" s="43">
        <f>'Game Data'!$A$20</f>
        <v>9</v>
      </c>
      <c r="C56" s="44" t="str">
        <f>'Game Data'!$B$20</f>
        <v>Steel</v>
      </c>
      <c r="D56" s="43">
        <f>'Game Data'!$A$6</f>
        <v>16</v>
      </c>
      <c r="E56" s="45" t="str">
        <f>'Game Data'!$B$6</f>
        <v>Dragon</v>
      </c>
      <c r="F56" s="46">
        <v>1</v>
      </c>
    </row>
    <row r="57" spans="1:6" ht="12.75" x14ac:dyDescent="0.2">
      <c r="A57" s="5"/>
      <c r="B57" s="43">
        <f>'Game Data'!$A$21</f>
        <v>11</v>
      </c>
      <c r="C57" s="44" t="str">
        <f>'Game Data'!$B$21</f>
        <v>Water</v>
      </c>
      <c r="D57" s="43">
        <f>'Game Data'!$A$6</f>
        <v>16</v>
      </c>
      <c r="E57" s="45" t="str">
        <f>'Game Data'!$B$6</f>
        <v>Dragon</v>
      </c>
      <c r="F57" s="46">
        <v>0.8</v>
      </c>
    </row>
    <row r="58" spans="1:6" ht="12.75" x14ac:dyDescent="0.2">
      <c r="A58" s="5"/>
      <c r="B58" s="43">
        <f>'Game Data'!$A$4</f>
        <v>7</v>
      </c>
      <c r="C58" s="44" t="str">
        <f>'Game Data'!$B$4</f>
        <v>Bug</v>
      </c>
      <c r="D58" s="43">
        <f>'Game Data'!$A$7</f>
        <v>13</v>
      </c>
      <c r="E58" s="45" t="str">
        <f>'Game Data'!$B$7</f>
        <v>Electric</v>
      </c>
      <c r="F58" s="46">
        <v>1</v>
      </c>
    </row>
    <row r="59" spans="1:6" ht="12.75" x14ac:dyDescent="0.2">
      <c r="A59" s="5"/>
      <c r="B59" s="43">
        <f>'Game Data'!$A$5</f>
        <v>17</v>
      </c>
      <c r="C59" s="44" t="str">
        <f>'Game Data'!$B$5</f>
        <v>Dark</v>
      </c>
      <c r="D59" s="43">
        <f>'Game Data'!$A$7</f>
        <v>13</v>
      </c>
      <c r="E59" s="45" t="str">
        <f>'Game Data'!$B$7</f>
        <v>Electric</v>
      </c>
      <c r="F59" s="46">
        <v>1</v>
      </c>
    </row>
    <row r="60" spans="1:6" ht="12.75" x14ac:dyDescent="0.2">
      <c r="A60" s="5"/>
      <c r="B60" s="43">
        <f>'Game Data'!$A$6</f>
        <v>16</v>
      </c>
      <c r="C60" s="44" t="str">
        <f>'Game Data'!$B$6</f>
        <v>Dragon</v>
      </c>
      <c r="D60" s="43">
        <f>'Game Data'!$A$7</f>
        <v>13</v>
      </c>
      <c r="E60" s="45" t="str">
        <f>'Game Data'!$B$7</f>
        <v>Electric</v>
      </c>
      <c r="F60" s="46">
        <v>1</v>
      </c>
    </row>
    <row r="61" spans="1:6" ht="12.75" x14ac:dyDescent="0.2">
      <c r="A61" s="5"/>
      <c r="B61" s="43">
        <f>'Game Data'!$A$7</f>
        <v>13</v>
      </c>
      <c r="C61" s="44" t="str">
        <f>'Game Data'!$B$7</f>
        <v>Electric</v>
      </c>
      <c r="D61" s="43">
        <f>'Game Data'!$A$7</f>
        <v>13</v>
      </c>
      <c r="E61" s="45" t="str">
        <f>'Game Data'!$B$7</f>
        <v>Electric</v>
      </c>
      <c r="F61" s="46">
        <v>0.8</v>
      </c>
    </row>
    <row r="62" spans="1:6" ht="12.75" x14ac:dyDescent="0.2">
      <c r="A62" s="5"/>
      <c r="B62" s="43">
        <f>'Game Data'!$A$8</f>
        <v>18</v>
      </c>
      <c r="C62" s="44" t="str">
        <f>'Game Data'!$B$8</f>
        <v>Fairy</v>
      </c>
      <c r="D62" s="43">
        <f>'Game Data'!$A$7</f>
        <v>13</v>
      </c>
      <c r="E62" s="45" t="str">
        <f>'Game Data'!$B$7</f>
        <v>Electric</v>
      </c>
      <c r="F62" s="46">
        <v>1</v>
      </c>
    </row>
    <row r="63" spans="1:6" ht="12.75" x14ac:dyDescent="0.2">
      <c r="A63" s="5"/>
      <c r="B63" s="43">
        <f>'Game Data'!$A$9</f>
        <v>2</v>
      </c>
      <c r="C63" s="44" t="str">
        <f>'Game Data'!$B$9</f>
        <v>Fighting</v>
      </c>
      <c r="D63" s="43">
        <f>'Game Data'!$A$7</f>
        <v>13</v>
      </c>
      <c r="E63" s="45" t="str">
        <f>'Game Data'!$B$7</f>
        <v>Electric</v>
      </c>
      <c r="F63" s="46">
        <v>1</v>
      </c>
    </row>
    <row r="64" spans="1:6" ht="12.75" x14ac:dyDescent="0.2">
      <c r="A64" s="5"/>
      <c r="B64" s="43">
        <f>'Game Data'!$A$10</f>
        <v>10</v>
      </c>
      <c r="C64" s="44" t="str">
        <f>'Game Data'!$B$10</f>
        <v>Fire</v>
      </c>
      <c r="D64" s="43">
        <f>'Game Data'!$A$7</f>
        <v>13</v>
      </c>
      <c r="E64" s="45" t="str">
        <f>'Game Data'!$B$7</f>
        <v>Electric</v>
      </c>
      <c r="F64" s="46">
        <v>1</v>
      </c>
    </row>
    <row r="65" spans="1:6" ht="12.75" x14ac:dyDescent="0.2">
      <c r="A65" s="5"/>
      <c r="B65" s="43">
        <f>'Game Data'!$A$11</f>
        <v>3</v>
      </c>
      <c r="C65" s="44" t="str">
        <f>'Game Data'!$B$11</f>
        <v>Flying</v>
      </c>
      <c r="D65" s="43">
        <f>'Game Data'!$A$7</f>
        <v>13</v>
      </c>
      <c r="E65" s="45" t="str">
        <f>'Game Data'!$B$7</f>
        <v>Electric</v>
      </c>
      <c r="F65" s="46">
        <v>0.8</v>
      </c>
    </row>
    <row r="66" spans="1:6" ht="12.75" x14ac:dyDescent="0.2">
      <c r="A66" s="5"/>
      <c r="B66" s="43">
        <f>'Game Data'!$A$12</f>
        <v>8</v>
      </c>
      <c r="C66" s="44" t="str">
        <f>'Game Data'!$B$12</f>
        <v>Ghost</v>
      </c>
      <c r="D66" s="43">
        <f>'Game Data'!$A$7</f>
        <v>13</v>
      </c>
      <c r="E66" s="45" t="str">
        <f>'Game Data'!$B$7</f>
        <v>Electric</v>
      </c>
      <c r="F66" s="46">
        <v>1</v>
      </c>
    </row>
    <row r="67" spans="1:6" ht="12.75" x14ac:dyDescent="0.2">
      <c r="A67" s="5"/>
      <c r="B67" s="43">
        <f>'Game Data'!$A$13</f>
        <v>12</v>
      </c>
      <c r="C67" s="44" t="str">
        <f>'Game Data'!$B$13</f>
        <v>Grass</v>
      </c>
      <c r="D67" s="43">
        <f>'Game Data'!$A$7</f>
        <v>13</v>
      </c>
      <c r="E67" s="45" t="str">
        <f>'Game Data'!$B$7</f>
        <v>Electric</v>
      </c>
      <c r="F67" s="46">
        <v>1</v>
      </c>
    </row>
    <row r="68" spans="1:6" ht="12.75" x14ac:dyDescent="0.2">
      <c r="A68" s="5"/>
      <c r="B68" s="43">
        <f>'Game Data'!$A$14</f>
        <v>5</v>
      </c>
      <c r="C68" s="44" t="str">
        <f>'Game Data'!$B$14</f>
        <v>Ground</v>
      </c>
      <c r="D68" s="43">
        <f>'Game Data'!$A$7</f>
        <v>13</v>
      </c>
      <c r="E68" s="45" t="str">
        <f>'Game Data'!$B$7</f>
        <v>Electric</v>
      </c>
      <c r="F68" s="46">
        <v>1.25</v>
      </c>
    </row>
    <row r="69" spans="1:6" ht="12.75" x14ac:dyDescent="0.2">
      <c r="A69" s="5"/>
      <c r="B69" s="43">
        <f>'Game Data'!$A$15</f>
        <v>15</v>
      </c>
      <c r="C69" s="44" t="str">
        <f>'Game Data'!$B$15</f>
        <v>Ice</v>
      </c>
      <c r="D69" s="43">
        <f>'Game Data'!$A$7</f>
        <v>13</v>
      </c>
      <c r="E69" s="45" t="str">
        <f>'Game Data'!$B$7</f>
        <v>Electric</v>
      </c>
      <c r="F69" s="46">
        <v>1</v>
      </c>
    </row>
    <row r="70" spans="1:6" ht="12.75" x14ac:dyDescent="0.2">
      <c r="A70" s="5"/>
      <c r="B70" s="43">
        <f>'Game Data'!$A$16</f>
        <v>1</v>
      </c>
      <c r="C70" s="44" t="str">
        <f>'Game Data'!$B$16</f>
        <v>Normal</v>
      </c>
      <c r="D70" s="43">
        <f>'Game Data'!$A$7</f>
        <v>13</v>
      </c>
      <c r="E70" s="45" t="str">
        <f>'Game Data'!$B$7</f>
        <v>Electric</v>
      </c>
      <c r="F70" s="46">
        <v>1</v>
      </c>
    </row>
    <row r="71" spans="1:6" ht="12.75" x14ac:dyDescent="0.2">
      <c r="A71" s="5"/>
      <c r="B71" s="43">
        <f>'Game Data'!$A$17</f>
        <v>4</v>
      </c>
      <c r="C71" s="44" t="str">
        <f>'Game Data'!$B$17</f>
        <v>Poison</v>
      </c>
      <c r="D71" s="43">
        <f>'Game Data'!$A$7</f>
        <v>13</v>
      </c>
      <c r="E71" s="45" t="str">
        <f>'Game Data'!$B$7</f>
        <v>Electric</v>
      </c>
      <c r="F71" s="46">
        <v>1</v>
      </c>
    </row>
    <row r="72" spans="1:6" ht="12.75" x14ac:dyDescent="0.2">
      <c r="A72" s="5"/>
      <c r="B72" s="43">
        <f>'Game Data'!$A$18</f>
        <v>14</v>
      </c>
      <c r="C72" s="44" t="str">
        <f>'Game Data'!$B$18</f>
        <v>Psychic</v>
      </c>
      <c r="D72" s="43">
        <f>'Game Data'!$A$7</f>
        <v>13</v>
      </c>
      <c r="E72" s="45" t="str">
        <f>'Game Data'!$B$7</f>
        <v>Electric</v>
      </c>
      <c r="F72" s="46">
        <v>1</v>
      </c>
    </row>
    <row r="73" spans="1:6" ht="12.75" x14ac:dyDescent="0.2">
      <c r="A73" s="5"/>
      <c r="B73" s="43">
        <f>'Game Data'!$A$19</f>
        <v>6</v>
      </c>
      <c r="C73" s="44" t="str">
        <f>'Game Data'!$B$19</f>
        <v>Rock</v>
      </c>
      <c r="D73" s="43">
        <f>'Game Data'!$A$7</f>
        <v>13</v>
      </c>
      <c r="E73" s="45" t="str">
        <f>'Game Data'!$B$7</f>
        <v>Electric</v>
      </c>
      <c r="F73" s="46">
        <v>1</v>
      </c>
    </row>
    <row r="74" spans="1:6" ht="12.75" x14ac:dyDescent="0.2">
      <c r="A74" s="5"/>
      <c r="B74" s="43">
        <f>'Game Data'!$A$20</f>
        <v>9</v>
      </c>
      <c r="C74" s="44" t="str">
        <f>'Game Data'!$B$20</f>
        <v>Steel</v>
      </c>
      <c r="D74" s="43">
        <f>'Game Data'!$A$7</f>
        <v>13</v>
      </c>
      <c r="E74" s="45" t="str">
        <f>'Game Data'!$B$7</f>
        <v>Electric</v>
      </c>
      <c r="F74" s="46">
        <v>0.8</v>
      </c>
    </row>
    <row r="75" spans="1:6" ht="12.75" x14ac:dyDescent="0.2">
      <c r="A75" s="5"/>
      <c r="B75" s="43">
        <f>'Game Data'!$A$21</f>
        <v>11</v>
      </c>
      <c r="C75" s="44" t="str">
        <f>'Game Data'!$B$21</f>
        <v>Water</v>
      </c>
      <c r="D75" s="43">
        <f>'Game Data'!$A$7</f>
        <v>13</v>
      </c>
      <c r="E75" s="45" t="str">
        <f>'Game Data'!$B$7</f>
        <v>Electric</v>
      </c>
      <c r="F75" s="46">
        <v>1</v>
      </c>
    </row>
    <row r="76" spans="1:6" ht="12.75" x14ac:dyDescent="0.2">
      <c r="A76" s="5"/>
      <c r="B76" s="43">
        <f>'Game Data'!$A$4</f>
        <v>7</v>
      </c>
      <c r="C76" s="44" t="str">
        <f>'Game Data'!$B$4</f>
        <v>Bug</v>
      </c>
      <c r="D76" s="43">
        <f>'Game Data'!$A$8</f>
        <v>18</v>
      </c>
      <c r="E76" s="45" t="str">
        <f>'Game Data'!$B$8</f>
        <v>Fairy</v>
      </c>
      <c r="F76" s="46">
        <v>0.8</v>
      </c>
    </row>
    <row r="77" spans="1:6" ht="12.75" x14ac:dyDescent="0.2">
      <c r="A77" s="5"/>
      <c r="B77" s="43">
        <f>'Game Data'!$A$5</f>
        <v>17</v>
      </c>
      <c r="C77" s="44" t="str">
        <f>'Game Data'!$B$5</f>
        <v>Dark</v>
      </c>
      <c r="D77" s="43">
        <f>'Game Data'!$A$8</f>
        <v>18</v>
      </c>
      <c r="E77" s="45" t="str">
        <f>'Game Data'!$B$8</f>
        <v>Fairy</v>
      </c>
      <c r="F77" s="46">
        <v>0.8</v>
      </c>
    </row>
    <row r="78" spans="1:6" ht="12.75" x14ac:dyDescent="0.2">
      <c r="A78" s="5"/>
      <c r="B78" s="43">
        <f>'Game Data'!$A$6</f>
        <v>16</v>
      </c>
      <c r="C78" s="44" t="str">
        <f>'Game Data'!$B$6</f>
        <v>Dragon</v>
      </c>
      <c r="D78" s="43">
        <f>'Game Data'!$A$8</f>
        <v>18</v>
      </c>
      <c r="E78" s="45" t="str">
        <f>'Game Data'!$B$8</f>
        <v>Fairy</v>
      </c>
      <c r="F78" s="46">
        <v>0.8</v>
      </c>
    </row>
    <row r="79" spans="1:6" ht="12.75" x14ac:dyDescent="0.2">
      <c r="A79" s="5"/>
      <c r="B79" s="43">
        <f>'Game Data'!$A$7</f>
        <v>13</v>
      </c>
      <c r="C79" s="44" t="str">
        <f>'Game Data'!$B$7</f>
        <v>Electric</v>
      </c>
      <c r="D79" s="43">
        <f>'Game Data'!$A$8</f>
        <v>18</v>
      </c>
      <c r="E79" s="45" t="str">
        <f>'Game Data'!$B$8</f>
        <v>Fairy</v>
      </c>
      <c r="F79" s="46">
        <v>1</v>
      </c>
    </row>
    <row r="80" spans="1:6" ht="12.75" x14ac:dyDescent="0.2">
      <c r="A80" s="5"/>
      <c r="B80" s="43">
        <f>'Game Data'!$A$8</f>
        <v>18</v>
      </c>
      <c r="C80" s="44" t="str">
        <f>'Game Data'!$B$8</f>
        <v>Fairy</v>
      </c>
      <c r="D80" s="43">
        <f>'Game Data'!$A$8</f>
        <v>18</v>
      </c>
      <c r="E80" s="45" t="str">
        <f>'Game Data'!$B$8</f>
        <v>Fairy</v>
      </c>
      <c r="F80" s="46">
        <v>1</v>
      </c>
    </row>
    <row r="81" spans="1:6" ht="12.75" x14ac:dyDescent="0.2">
      <c r="A81" s="5"/>
      <c r="B81" s="43">
        <f>'Game Data'!$A$9</f>
        <v>2</v>
      </c>
      <c r="C81" s="44" t="str">
        <f>'Game Data'!$B$9</f>
        <v>Fighting</v>
      </c>
      <c r="D81" s="43">
        <f>'Game Data'!$A$8</f>
        <v>18</v>
      </c>
      <c r="E81" s="45" t="str">
        <f>'Game Data'!$B$8</f>
        <v>Fairy</v>
      </c>
      <c r="F81" s="46">
        <v>0.8</v>
      </c>
    </row>
    <row r="82" spans="1:6" ht="12.75" x14ac:dyDescent="0.2">
      <c r="A82" s="5"/>
      <c r="B82" s="43">
        <f>'Game Data'!$A$10</f>
        <v>10</v>
      </c>
      <c r="C82" s="44" t="str">
        <f>'Game Data'!$B$10</f>
        <v>Fire</v>
      </c>
      <c r="D82" s="43">
        <f>'Game Data'!$A$8</f>
        <v>18</v>
      </c>
      <c r="E82" s="45" t="str">
        <f>'Game Data'!$B$8</f>
        <v>Fairy</v>
      </c>
      <c r="F82" s="46">
        <v>1</v>
      </c>
    </row>
    <row r="83" spans="1:6" ht="12.75" x14ac:dyDescent="0.2">
      <c r="A83" s="5"/>
      <c r="B83" s="43">
        <f>'Game Data'!$A$11</f>
        <v>3</v>
      </c>
      <c r="C83" s="44" t="str">
        <f>'Game Data'!$B$11</f>
        <v>Flying</v>
      </c>
      <c r="D83" s="43">
        <f>'Game Data'!$A$8</f>
        <v>18</v>
      </c>
      <c r="E83" s="45" t="str">
        <f>'Game Data'!$B$8</f>
        <v>Fairy</v>
      </c>
      <c r="F83" s="46">
        <v>1</v>
      </c>
    </row>
    <row r="84" spans="1:6" ht="12.75" x14ac:dyDescent="0.2">
      <c r="A84" s="5"/>
      <c r="B84" s="43">
        <f>'Game Data'!$A$12</f>
        <v>8</v>
      </c>
      <c r="C84" s="44" t="str">
        <f>'Game Data'!$B$12</f>
        <v>Ghost</v>
      </c>
      <c r="D84" s="43">
        <f>'Game Data'!$A$8</f>
        <v>18</v>
      </c>
      <c r="E84" s="45" t="str">
        <f>'Game Data'!$B$8</f>
        <v>Fairy</v>
      </c>
      <c r="F84" s="46">
        <v>1</v>
      </c>
    </row>
    <row r="85" spans="1:6" ht="12.75" x14ac:dyDescent="0.2">
      <c r="A85" s="5"/>
      <c r="B85" s="43">
        <f>'Game Data'!$A$13</f>
        <v>12</v>
      </c>
      <c r="C85" s="44" t="str">
        <f>'Game Data'!$B$13</f>
        <v>Grass</v>
      </c>
      <c r="D85" s="43">
        <f>'Game Data'!$A$8</f>
        <v>18</v>
      </c>
      <c r="E85" s="45" t="str">
        <f>'Game Data'!$B$8</f>
        <v>Fairy</v>
      </c>
      <c r="F85" s="46">
        <v>1</v>
      </c>
    </row>
    <row r="86" spans="1:6" ht="12.75" x14ac:dyDescent="0.2">
      <c r="A86" s="5"/>
      <c r="B86" s="43">
        <f>'Game Data'!$A$14</f>
        <v>5</v>
      </c>
      <c r="C86" s="44" t="str">
        <f>'Game Data'!$B$14</f>
        <v>Ground</v>
      </c>
      <c r="D86" s="43">
        <f>'Game Data'!$A$8</f>
        <v>18</v>
      </c>
      <c r="E86" s="45" t="str">
        <f>'Game Data'!$B$8</f>
        <v>Fairy</v>
      </c>
      <c r="F86" s="46">
        <v>1</v>
      </c>
    </row>
    <row r="87" spans="1:6" ht="12.75" x14ac:dyDescent="0.2">
      <c r="A87" s="5"/>
      <c r="B87" s="43">
        <f>'Game Data'!$A$15</f>
        <v>15</v>
      </c>
      <c r="C87" s="44" t="str">
        <f>'Game Data'!$B$15</f>
        <v>Ice</v>
      </c>
      <c r="D87" s="43">
        <f>'Game Data'!$A$8</f>
        <v>18</v>
      </c>
      <c r="E87" s="45" t="str">
        <f>'Game Data'!$B$8</f>
        <v>Fairy</v>
      </c>
      <c r="F87" s="46">
        <v>1</v>
      </c>
    </row>
    <row r="88" spans="1:6" ht="12.75" x14ac:dyDescent="0.2">
      <c r="A88" s="5"/>
      <c r="B88" s="43">
        <f>'Game Data'!$A$16</f>
        <v>1</v>
      </c>
      <c r="C88" s="44" t="str">
        <f>'Game Data'!$B$16</f>
        <v>Normal</v>
      </c>
      <c r="D88" s="43">
        <f>'Game Data'!$A$8</f>
        <v>18</v>
      </c>
      <c r="E88" s="45" t="str">
        <f>'Game Data'!$B$8</f>
        <v>Fairy</v>
      </c>
      <c r="F88" s="46">
        <v>1</v>
      </c>
    </row>
    <row r="89" spans="1:6" ht="12.75" x14ac:dyDescent="0.2">
      <c r="A89" s="5"/>
      <c r="B89" s="43">
        <f>'Game Data'!$A$17</f>
        <v>4</v>
      </c>
      <c r="C89" s="44" t="str">
        <f>'Game Data'!$B$17</f>
        <v>Poison</v>
      </c>
      <c r="D89" s="43">
        <f>'Game Data'!$A$8</f>
        <v>18</v>
      </c>
      <c r="E89" s="45" t="str">
        <f>'Game Data'!$B$8</f>
        <v>Fairy</v>
      </c>
      <c r="F89" s="46">
        <v>1.25</v>
      </c>
    </row>
    <row r="90" spans="1:6" ht="12.75" x14ac:dyDescent="0.2">
      <c r="A90" s="5"/>
      <c r="B90" s="43">
        <f>'Game Data'!$A$18</f>
        <v>14</v>
      </c>
      <c r="C90" s="44" t="str">
        <f>'Game Data'!$B$18</f>
        <v>Psychic</v>
      </c>
      <c r="D90" s="43">
        <f>'Game Data'!$A$8</f>
        <v>18</v>
      </c>
      <c r="E90" s="45" t="str">
        <f>'Game Data'!$B$8</f>
        <v>Fairy</v>
      </c>
      <c r="F90" s="46">
        <v>1</v>
      </c>
    </row>
    <row r="91" spans="1:6" ht="12.75" x14ac:dyDescent="0.2">
      <c r="A91" s="5"/>
      <c r="B91" s="43">
        <f>'Game Data'!$A$19</f>
        <v>6</v>
      </c>
      <c r="C91" s="44" t="str">
        <f>'Game Data'!$B$19</f>
        <v>Rock</v>
      </c>
      <c r="D91" s="43">
        <f>'Game Data'!$A$8</f>
        <v>18</v>
      </c>
      <c r="E91" s="45" t="str">
        <f>'Game Data'!$B$8</f>
        <v>Fairy</v>
      </c>
      <c r="F91" s="46">
        <v>1</v>
      </c>
    </row>
    <row r="92" spans="1:6" ht="12.75" x14ac:dyDescent="0.2">
      <c r="A92" s="5"/>
      <c r="B92" s="43">
        <f>'Game Data'!$A$20</f>
        <v>9</v>
      </c>
      <c r="C92" s="44" t="str">
        <f>'Game Data'!$B$20</f>
        <v>Steel</v>
      </c>
      <c r="D92" s="43">
        <f>'Game Data'!$A$8</f>
        <v>18</v>
      </c>
      <c r="E92" s="45" t="str">
        <f>'Game Data'!$B$8</f>
        <v>Fairy</v>
      </c>
      <c r="F92" s="46">
        <v>1.25</v>
      </c>
    </row>
    <row r="93" spans="1:6" ht="12.75" x14ac:dyDescent="0.2">
      <c r="A93" s="5"/>
      <c r="B93" s="43">
        <f>'Game Data'!$A$21</f>
        <v>11</v>
      </c>
      <c r="C93" s="44" t="str">
        <f>'Game Data'!$B$21</f>
        <v>Water</v>
      </c>
      <c r="D93" s="43">
        <f>'Game Data'!$A$8</f>
        <v>18</v>
      </c>
      <c r="E93" s="45" t="str">
        <f>'Game Data'!$B$8</f>
        <v>Fairy</v>
      </c>
      <c r="F93" s="46">
        <v>1</v>
      </c>
    </row>
    <row r="94" spans="1:6" ht="12.75" x14ac:dyDescent="0.2">
      <c r="A94" s="5"/>
      <c r="B94" s="43">
        <f>'Game Data'!$A$4</f>
        <v>7</v>
      </c>
      <c r="C94" s="44" t="str">
        <f>'Game Data'!$B$4</f>
        <v>Bug</v>
      </c>
      <c r="D94" s="43">
        <f>'Game Data'!$A$9</f>
        <v>2</v>
      </c>
      <c r="E94" s="45" t="str">
        <f>'Game Data'!$B$9</f>
        <v>Fighting</v>
      </c>
      <c r="F94" s="46">
        <v>0.8</v>
      </c>
    </row>
    <row r="95" spans="1:6" ht="12.75" x14ac:dyDescent="0.2">
      <c r="A95" s="5"/>
      <c r="B95" s="43">
        <f>'Game Data'!$A$5</f>
        <v>17</v>
      </c>
      <c r="C95" s="44" t="str">
        <f>'Game Data'!$B$5</f>
        <v>Dark</v>
      </c>
      <c r="D95" s="43">
        <f>'Game Data'!$A$9</f>
        <v>2</v>
      </c>
      <c r="E95" s="45" t="str">
        <f>'Game Data'!$B$9</f>
        <v>Fighting</v>
      </c>
      <c r="F95" s="46">
        <v>1</v>
      </c>
    </row>
    <row r="96" spans="1:6" ht="12.75" x14ac:dyDescent="0.2">
      <c r="A96" s="5"/>
      <c r="B96" s="43">
        <f>'Game Data'!$A$6</f>
        <v>16</v>
      </c>
      <c r="C96" s="44" t="str">
        <f>'Game Data'!$B$6</f>
        <v>Dragon</v>
      </c>
      <c r="D96" s="43">
        <f>'Game Data'!$A$9</f>
        <v>2</v>
      </c>
      <c r="E96" s="45" t="str">
        <f>'Game Data'!$B$9</f>
        <v>Fighting</v>
      </c>
      <c r="F96" s="46">
        <v>0.8</v>
      </c>
    </row>
    <row r="97" spans="1:6" ht="12.75" x14ac:dyDescent="0.2">
      <c r="A97" s="5"/>
      <c r="B97" s="43">
        <f>'Game Data'!$A$7</f>
        <v>13</v>
      </c>
      <c r="C97" s="44" t="str">
        <f>'Game Data'!$B$7</f>
        <v>Electric</v>
      </c>
      <c r="D97" s="43">
        <f>'Game Data'!$A$9</f>
        <v>2</v>
      </c>
      <c r="E97" s="45" t="str">
        <f>'Game Data'!$B$9</f>
        <v>Fighting</v>
      </c>
      <c r="F97" s="46">
        <v>1</v>
      </c>
    </row>
    <row r="98" spans="1:6" ht="12.75" x14ac:dyDescent="0.2">
      <c r="A98" s="5"/>
      <c r="B98" s="43">
        <f>'Game Data'!$A$8</f>
        <v>18</v>
      </c>
      <c r="C98" s="44" t="str">
        <f>'Game Data'!$B$8</f>
        <v>Fairy</v>
      </c>
      <c r="D98" s="43">
        <f>'Game Data'!$A$9</f>
        <v>2</v>
      </c>
      <c r="E98" s="45" t="str">
        <f>'Game Data'!$B$9</f>
        <v>Fighting</v>
      </c>
      <c r="F98" s="46">
        <v>1.25</v>
      </c>
    </row>
    <row r="99" spans="1:6" ht="12.75" x14ac:dyDescent="0.2">
      <c r="A99" s="5"/>
      <c r="B99" s="43">
        <f>'Game Data'!$A$9</f>
        <v>2</v>
      </c>
      <c r="C99" s="44" t="str">
        <f>'Game Data'!$B$9</f>
        <v>Fighting</v>
      </c>
      <c r="D99" s="43">
        <f>'Game Data'!$A$9</f>
        <v>2</v>
      </c>
      <c r="E99" s="45" t="str">
        <f>'Game Data'!$B$9</f>
        <v>Fighting</v>
      </c>
      <c r="F99" s="46">
        <v>1</v>
      </c>
    </row>
    <row r="100" spans="1:6" ht="12.75" x14ac:dyDescent="0.2">
      <c r="A100" s="5"/>
      <c r="B100" s="43">
        <f>'Game Data'!$A$10</f>
        <v>10</v>
      </c>
      <c r="C100" s="44" t="str">
        <f>'Game Data'!$B$10</f>
        <v>Fire</v>
      </c>
      <c r="D100" s="43">
        <f>'Game Data'!$A$9</f>
        <v>2</v>
      </c>
      <c r="E100" s="45" t="str">
        <f>'Game Data'!$B$9</f>
        <v>Fighting</v>
      </c>
      <c r="F100" s="46">
        <v>1</v>
      </c>
    </row>
    <row r="101" spans="1:6" ht="12.75" x14ac:dyDescent="0.2">
      <c r="A101" s="5"/>
      <c r="B101" s="43">
        <f>'Game Data'!$A$11</f>
        <v>3</v>
      </c>
      <c r="C101" s="44" t="str">
        <f>'Game Data'!$B$11</f>
        <v>Flying</v>
      </c>
      <c r="D101" s="43">
        <f>'Game Data'!$A$9</f>
        <v>2</v>
      </c>
      <c r="E101" s="45" t="str">
        <f>'Game Data'!$B$9</f>
        <v>Fighting</v>
      </c>
      <c r="F101" s="46">
        <v>1.25</v>
      </c>
    </row>
    <row r="102" spans="1:6" ht="12.75" x14ac:dyDescent="0.2">
      <c r="A102" s="5"/>
      <c r="B102" s="43">
        <f>'Game Data'!$A$12</f>
        <v>8</v>
      </c>
      <c r="C102" s="44" t="str">
        <f>'Game Data'!$B$12</f>
        <v>Ghost</v>
      </c>
      <c r="D102" s="43">
        <f>'Game Data'!$A$9</f>
        <v>2</v>
      </c>
      <c r="E102" s="45" t="str">
        <f>'Game Data'!$B$9</f>
        <v>Fighting</v>
      </c>
      <c r="F102" s="46">
        <v>1</v>
      </c>
    </row>
    <row r="103" spans="1:6" ht="12.75" x14ac:dyDescent="0.2">
      <c r="A103" s="5"/>
      <c r="B103" s="43">
        <f>'Game Data'!$A$13</f>
        <v>12</v>
      </c>
      <c r="C103" s="44" t="str">
        <f>'Game Data'!$B$13</f>
        <v>Grass</v>
      </c>
      <c r="D103" s="43">
        <f>'Game Data'!$A$9</f>
        <v>2</v>
      </c>
      <c r="E103" s="45" t="str">
        <f>'Game Data'!$B$9</f>
        <v>Fighting</v>
      </c>
      <c r="F103" s="46">
        <v>1</v>
      </c>
    </row>
    <row r="104" spans="1:6" ht="12.75" x14ac:dyDescent="0.2">
      <c r="A104" s="5"/>
      <c r="B104" s="43">
        <f>'Game Data'!$A$14</f>
        <v>5</v>
      </c>
      <c r="C104" s="44" t="str">
        <f>'Game Data'!$B$14</f>
        <v>Ground</v>
      </c>
      <c r="D104" s="43">
        <f>'Game Data'!$A$9</f>
        <v>2</v>
      </c>
      <c r="E104" s="45" t="str">
        <f>'Game Data'!$B$9</f>
        <v>Fighting</v>
      </c>
      <c r="F104" s="46">
        <v>1</v>
      </c>
    </row>
    <row r="105" spans="1:6" ht="12.75" x14ac:dyDescent="0.2">
      <c r="A105" s="5"/>
      <c r="B105" s="43">
        <f>'Game Data'!$A$15</f>
        <v>15</v>
      </c>
      <c r="C105" s="44" t="str">
        <f>'Game Data'!$B$15</f>
        <v>Ice</v>
      </c>
      <c r="D105" s="43">
        <f>'Game Data'!$A$9</f>
        <v>2</v>
      </c>
      <c r="E105" s="45" t="str">
        <f>'Game Data'!$B$9</f>
        <v>Fighting</v>
      </c>
      <c r="F105" s="46">
        <v>1</v>
      </c>
    </row>
    <row r="106" spans="1:6" ht="12.75" x14ac:dyDescent="0.2">
      <c r="A106" s="5"/>
      <c r="B106" s="43">
        <f>'Game Data'!$A$16</f>
        <v>1</v>
      </c>
      <c r="C106" s="44" t="str">
        <f>'Game Data'!$B$16</f>
        <v>Normal</v>
      </c>
      <c r="D106" s="43">
        <f>'Game Data'!$A$9</f>
        <v>2</v>
      </c>
      <c r="E106" s="45" t="str">
        <f>'Game Data'!$B$9</f>
        <v>Fighting</v>
      </c>
      <c r="F106" s="46">
        <v>1</v>
      </c>
    </row>
    <row r="107" spans="1:6" ht="12.75" x14ac:dyDescent="0.2">
      <c r="A107" s="5"/>
      <c r="B107" s="43">
        <f>'Game Data'!$A$17</f>
        <v>4</v>
      </c>
      <c r="C107" s="44" t="str">
        <f>'Game Data'!$B$17</f>
        <v>Poison</v>
      </c>
      <c r="D107" s="43">
        <f>'Game Data'!$A$9</f>
        <v>2</v>
      </c>
      <c r="E107" s="45" t="str">
        <f>'Game Data'!$B$9</f>
        <v>Fighting</v>
      </c>
      <c r="F107" s="46">
        <v>1</v>
      </c>
    </row>
    <row r="108" spans="1:6" ht="12.75" x14ac:dyDescent="0.2">
      <c r="A108" s="5"/>
      <c r="B108" s="43">
        <f>'Game Data'!$A$18</f>
        <v>14</v>
      </c>
      <c r="C108" s="44" t="str">
        <f>'Game Data'!$B$18</f>
        <v>Psychic</v>
      </c>
      <c r="D108" s="43">
        <f>'Game Data'!$A$9</f>
        <v>2</v>
      </c>
      <c r="E108" s="45" t="str">
        <f>'Game Data'!$B$9</f>
        <v>Fighting</v>
      </c>
      <c r="F108" s="46">
        <v>1.25</v>
      </c>
    </row>
    <row r="109" spans="1:6" ht="12.75" x14ac:dyDescent="0.2">
      <c r="A109" s="5"/>
      <c r="B109" s="43">
        <f>'Game Data'!$A$19</f>
        <v>6</v>
      </c>
      <c r="C109" s="44" t="str">
        <f>'Game Data'!$B$19</f>
        <v>Rock</v>
      </c>
      <c r="D109" s="43">
        <f>'Game Data'!$A$9</f>
        <v>2</v>
      </c>
      <c r="E109" s="45" t="str">
        <f>'Game Data'!$B$9</f>
        <v>Fighting</v>
      </c>
      <c r="F109" s="46">
        <v>0.8</v>
      </c>
    </row>
    <row r="110" spans="1:6" ht="12.75" x14ac:dyDescent="0.2">
      <c r="A110" s="5"/>
      <c r="B110" s="43">
        <f>'Game Data'!$A$20</f>
        <v>9</v>
      </c>
      <c r="C110" s="44" t="str">
        <f>'Game Data'!$B$20</f>
        <v>Steel</v>
      </c>
      <c r="D110" s="43">
        <f>'Game Data'!$A$9</f>
        <v>2</v>
      </c>
      <c r="E110" s="45" t="str">
        <f>'Game Data'!$B$9</f>
        <v>Fighting</v>
      </c>
      <c r="F110" s="46">
        <v>1</v>
      </c>
    </row>
    <row r="111" spans="1:6" ht="12.75" x14ac:dyDescent="0.2">
      <c r="A111" s="5"/>
      <c r="B111" s="43">
        <f>'Game Data'!$A$21</f>
        <v>11</v>
      </c>
      <c r="C111" s="44" t="str">
        <f>'Game Data'!$B$21</f>
        <v>Water</v>
      </c>
      <c r="D111" s="43">
        <f>'Game Data'!$A$9</f>
        <v>2</v>
      </c>
      <c r="E111" s="45" t="str">
        <f>'Game Data'!$B$9</f>
        <v>Fighting</v>
      </c>
      <c r="F111" s="46">
        <v>1</v>
      </c>
    </row>
    <row r="112" spans="1:6" ht="12.75" x14ac:dyDescent="0.2">
      <c r="A112" s="5"/>
      <c r="B112" s="43">
        <f>'Game Data'!$A$4</f>
        <v>7</v>
      </c>
      <c r="C112" s="44" t="str">
        <f>'Game Data'!$B$4</f>
        <v>Bug</v>
      </c>
      <c r="D112" s="43">
        <f>'Game Data'!$A$10</f>
        <v>10</v>
      </c>
      <c r="E112" s="45" t="str">
        <f>'Game Data'!$B$10</f>
        <v>Fire</v>
      </c>
      <c r="F112" s="46">
        <v>0.8</v>
      </c>
    </row>
    <row r="113" spans="1:6" ht="12.75" x14ac:dyDescent="0.2">
      <c r="A113" s="5"/>
      <c r="B113" s="43">
        <f>'Game Data'!$A$5</f>
        <v>17</v>
      </c>
      <c r="C113" s="44" t="str">
        <f>'Game Data'!$B$5</f>
        <v>Dark</v>
      </c>
      <c r="D113" s="43">
        <f>'Game Data'!$A$10</f>
        <v>10</v>
      </c>
      <c r="E113" s="45" t="str">
        <f>'Game Data'!$B$10</f>
        <v>Fire</v>
      </c>
      <c r="F113" s="46">
        <v>1</v>
      </c>
    </row>
    <row r="114" spans="1:6" ht="12.75" x14ac:dyDescent="0.2">
      <c r="A114" s="5"/>
      <c r="B114" s="43">
        <f>'Game Data'!$A$6</f>
        <v>16</v>
      </c>
      <c r="C114" s="44" t="str">
        <f>'Game Data'!$B$6</f>
        <v>Dragon</v>
      </c>
      <c r="D114" s="43">
        <f>'Game Data'!$A$10</f>
        <v>10</v>
      </c>
      <c r="E114" s="45" t="str">
        <f>'Game Data'!$B$10</f>
        <v>Fire</v>
      </c>
      <c r="F114" s="46">
        <v>1</v>
      </c>
    </row>
    <row r="115" spans="1:6" ht="12.75" x14ac:dyDescent="0.2">
      <c r="A115" s="5"/>
      <c r="B115" s="43">
        <f>'Game Data'!$A$7</f>
        <v>13</v>
      </c>
      <c r="C115" s="44" t="str">
        <f>'Game Data'!$B$7</f>
        <v>Electric</v>
      </c>
      <c r="D115" s="43">
        <f>'Game Data'!$A$10</f>
        <v>10</v>
      </c>
      <c r="E115" s="45" t="str">
        <f>'Game Data'!$B$10</f>
        <v>Fire</v>
      </c>
      <c r="F115" s="46">
        <v>1</v>
      </c>
    </row>
    <row r="116" spans="1:6" ht="12.75" x14ac:dyDescent="0.2">
      <c r="A116" s="5"/>
      <c r="B116" s="43">
        <f>'Game Data'!$A$8</f>
        <v>18</v>
      </c>
      <c r="C116" s="44" t="str">
        <f>'Game Data'!$B$8</f>
        <v>Fairy</v>
      </c>
      <c r="D116" s="43">
        <f>'Game Data'!$A$10</f>
        <v>10</v>
      </c>
      <c r="E116" s="45" t="str">
        <f>'Game Data'!$B$10</f>
        <v>Fire</v>
      </c>
      <c r="F116" s="46">
        <v>0.8</v>
      </c>
    </row>
    <row r="117" spans="1:6" ht="12.75" x14ac:dyDescent="0.2">
      <c r="A117" s="5"/>
      <c r="B117" s="43">
        <f>'Game Data'!$A$9</f>
        <v>2</v>
      </c>
      <c r="C117" s="44" t="str">
        <f>'Game Data'!$B$9</f>
        <v>Fighting</v>
      </c>
      <c r="D117" s="43">
        <f>'Game Data'!$A$10</f>
        <v>10</v>
      </c>
      <c r="E117" s="45" t="str">
        <f>'Game Data'!$B$10</f>
        <v>Fire</v>
      </c>
      <c r="F117" s="46">
        <v>1</v>
      </c>
    </row>
    <row r="118" spans="1:6" ht="12.75" x14ac:dyDescent="0.2">
      <c r="A118" s="5"/>
      <c r="B118" s="43">
        <f>'Game Data'!$A$10</f>
        <v>10</v>
      </c>
      <c r="C118" s="44" t="str">
        <f>'Game Data'!$B$10</f>
        <v>Fire</v>
      </c>
      <c r="D118" s="43">
        <f>'Game Data'!$A$10</f>
        <v>10</v>
      </c>
      <c r="E118" s="45" t="str">
        <f>'Game Data'!$B$10</f>
        <v>Fire</v>
      </c>
      <c r="F118" s="46">
        <v>0.8</v>
      </c>
    </row>
    <row r="119" spans="1:6" ht="12.75" x14ac:dyDescent="0.2">
      <c r="A119" s="5"/>
      <c r="B119" s="43">
        <f>'Game Data'!$A$11</f>
        <v>3</v>
      </c>
      <c r="C119" s="44" t="str">
        <f>'Game Data'!$B$11</f>
        <v>Flying</v>
      </c>
      <c r="D119" s="43">
        <f>'Game Data'!$A$10</f>
        <v>10</v>
      </c>
      <c r="E119" s="45" t="str">
        <f>'Game Data'!$B$10</f>
        <v>Fire</v>
      </c>
      <c r="F119" s="46">
        <v>1</v>
      </c>
    </row>
    <row r="120" spans="1:6" ht="12.75" x14ac:dyDescent="0.2">
      <c r="A120" s="5"/>
      <c r="B120" s="43">
        <f>'Game Data'!$A$12</f>
        <v>8</v>
      </c>
      <c r="C120" s="44" t="str">
        <f>'Game Data'!$B$12</f>
        <v>Ghost</v>
      </c>
      <c r="D120" s="43">
        <f>'Game Data'!$A$10</f>
        <v>10</v>
      </c>
      <c r="E120" s="45" t="str">
        <f>'Game Data'!$B$10</f>
        <v>Fire</v>
      </c>
      <c r="F120" s="46">
        <v>1</v>
      </c>
    </row>
    <row r="121" spans="1:6" ht="12.75" x14ac:dyDescent="0.2">
      <c r="A121" s="5"/>
      <c r="B121" s="43">
        <f>'Game Data'!$A$13</f>
        <v>12</v>
      </c>
      <c r="C121" s="44" t="str">
        <f>'Game Data'!$B$13</f>
        <v>Grass</v>
      </c>
      <c r="D121" s="43">
        <f>'Game Data'!$A$10</f>
        <v>10</v>
      </c>
      <c r="E121" s="45" t="str">
        <f>'Game Data'!$B$10</f>
        <v>Fire</v>
      </c>
      <c r="F121" s="46">
        <v>0.8</v>
      </c>
    </row>
    <row r="122" spans="1:6" ht="12.75" x14ac:dyDescent="0.2">
      <c r="A122" s="5"/>
      <c r="B122" s="43">
        <f>'Game Data'!$A$14</f>
        <v>5</v>
      </c>
      <c r="C122" s="44" t="str">
        <f>'Game Data'!$B$14</f>
        <v>Ground</v>
      </c>
      <c r="D122" s="43">
        <f>'Game Data'!$A$10</f>
        <v>10</v>
      </c>
      <c r="E122" s="45" t="str">
        <f>'Game Data'!$B$10</f>
        <v>Fire</v>
      </c>
      <c r="F122" s="46">
        <v>1.25</v>
      </c>
    </row>
    <row r="123" spans="1:6" ht="12.75" x14ac:dyDescent="0.2">
      <c r="A123" s="5"/>
      <c r="B123" s="43">
        <f>'Game Data'!$A$15</f>
        <v>15</v>
      </c>
      <c r="C123" s="44" t="str">
        <f>'Game Data'!$B$15</f>
        <v>Ice</v>
      </c>
      <c r="D123" s="43">
        <f>'Game Data'!$A$10</f>
        <v>10</v>
      </c>
      <c r="E123" s="45" t="str">
        <f>'Game Data'!$B$10</f>
        <v>Fire</v>
      </c>
      <c r="F123" s="46">
        <v>0.8</v>
      </c>
    </row>
    <row r="124" spans="1:6" ht="12.75" x14ac:dyDescent="0.2">
      <c r="A124" s="5"/>
      <c r="B124" s="43">
        <f>'Game Data'!$A$16</f>
        <v>1</v>
      </c>
      <c r="C124" s="44" t="str">
        <f>'Game Data'!$B$16</f>
        <v>Normal</v>
      </c>
      <c r="D124" s="43">
        <f>'Game Data'!$A$10</f>
        <v>10</v>
      </c>
      <c r="E124" s="45" t="str">
        <f>'Game Data'!$B$10</f>
        <v>Fire</v>
      </c>
      <c r="F124" s="46">
        <v>1</v>
      </c>
    </row>
    <row r="125" spans="1:6" ht="12.75" x14ac:dyDescent="0.2">
      <c r="A125" s="5"/>
      <c r="B125" s="43">
        <f>'Game Data'!$A$17</f>
        <v>4</v>
      </c>
      <c r="C125" s="44" t="str">
        <f>'Game Data'!$B$17</f>
        <v>Poison</v>
      </c>
      <c r="D125" s="43">
        <f>'Game Data'!$A$10</f>
        <v>10</v>
      </c>
      <c r="E125" s="45" t="str">
        <f>'Game Data'!$B$10</f>
        <v>Fire</v>
      </c>
      <c r="F125" s="46">
        <v>1</v>
      </c>
    </row>
    <row r="126" spans="1:6" ht="12.75" x14ac:dyDescent="0.2">
      <c r="A126" s="5"/>
      <c r="B126" s="43">
        <f>'Game Data'!$A$18</f>
        <v>14</v>
      </c>
      <c r="C126" s="44" t="str">
        <f>'Game Data'!$B$18</f>
        <v>Psychic</v>
      </c>
      <c r="D126" s="43">
        <f>'Game Data'!$A$10</f>
        <v>10</v>
      </c>
      <c r="E126" s="45" t="str">
        <f>'Game Data'!$B$10</f>
        <v>Fire</v>
      </c>
      <c r="F126" s="46">
        <v>1</v>
      </c>
    </row>
    <row r="127" spans="1:6" ht="12.75" x14ac:dyDescent="0.2">
      <c r="A127" s="5"/>
      <c r="B127" s="43">
        <f>'Game Data'!$A$19</f>
        <v>6</v>
      </c>
      <c r="C127" s="44" t="str">
        <f>'Game Data'!$B$19</f>
        <v>Rock</v>
      </c>
      <c r="D127" s="43">
        <f>'Game Data'!$A$10</f>
        <v>10</v>
      </c>
      <c r="E127" s="45" t="str">
        <f>'Game Data'!$B$10</f>
        <v>Fire</v>
      </c>
      <c r="F127" s="46">
        <v>1.25</v>
      </c>
    </row>
    <row r="128" spans="1:6" ht="12.75" x14ac:dyDescent="0.2">
      <c r="A128" s="5"/>
      <c r="B128" s="43">
        <f>'Game Data'!$A$20</f>
        <v>9</v>
      </c>
      <c r="C128" s="44" t="str">
        <f>'Game Data'!$B$20</f>
        <v>Steel</v>
      </c>
      <c r="D128" s="43">
        <f>'Game Data'!$A$10</f>
        <v>10</v>
      </c>
      <c r="E128" s="45" t="str">
        <f>'Game Data'!$B$10</f>
        <v>Fire</v>
      </c>
      <c r="F128" s="46">
        <v>0.8</v>
      </c>
    </row>
    <row r="129" spans="1:6" ht="12.75" x14ac:dyDescent="0.2">
      <c r="A129" s="5"/>
      <c r="B129" s="43">
        <f>'Game Data'!$A$21</f>
        <v>11</v>
      </c>
      <c r="C129" s="44" t="str">
        <f>'Game Data'!$B$21</f>
        <v>Water</v>
      </c>
      <c r="D129" s="43">
        <f>'Game Data'!$A$10</f>
        <v>10</v>
      </c>
      <c r="E129" s="45" t="str">
        <f>'Game Data'!$B$10</f>
        <v>Fire</v>
      </c>
      <c r="F129" s="46">
        <v>1.25</v>
      </c>
    </row>
    <row r="130" spans="1:6" ht="12.75" x14ac:dyDescent="0.2">
      <c r="A130" s="5"/>
      <c r="B130" s="43">
        <f>'Game Data'!$A$4</f>
        <v>7</v>
      </c>
      <c r="C130" s="44" t="str">
        <f>'Game Data'!$B$4</f>
        <v>Bug</v>
      </c>
      <c r="D130" s="43">
        <f>'Game Data'!$A$11</f>
        <v>3</v>
      </c>
      <c r="E130" s="45" t="str">
        <f>'Game Data'!$B$11</f>
        <v>Flying</v>
      </c>
      <c r="F130" s="46">
        <v>0.8</v>
      </c>
    </row>
    <row r="131" spans="1:6" ht="12.75" x14ac:dyDescent="0.2">
      <c r="A131" s="5"/>
      <c r="B131" s="43">
        <f>'Game Data'!$A$5</f>
        <v>17</v>
      </c>
      <c r="C131" s="44" t="str">
        <f>'Game Data'!$B$5</f>
        <v>Dark</v>
      </c>
      <c r="D131" s="43">
        <f>'Game Data'!$A$11</f>
        <v>3</v>
      </c>
      <c r="E131" s="45" t="str">
        <f>'Game Data'!$B$11</f>
        <v>Flying</v>
      </c>
      <c r="F131" s="46">
        <v>1</v>
      </c>
    </row>
    <row r="132" spans="1:6" ht="12.75" x14ac:dyDescent="0.2">
      <c r="A132" s="5"/>
      <c r="B132" s="43">
        <f>'Game Data'!$A$6</f>
        <v>16</v>
      </c>
      <c r="C132" s="44" t="str">
        <f>'Game Data'!$B$6</f>
        <v>Dragon</v>
      </c>
      <c r="D132" s="43">
        <f>'Game Data'!$A$11</f>
        <v>3</v>
      </c>
      <c r="E132" s="45" t="str">
        <f>'Game Data'!$B$11</f>
        <v>Flying</v>
      </c>
      <c r="F132" s="46">
        <v>1</v>
      </c>
    </row>
    <row r="133" spans="1:6" ht="12.75" x14ac:dyDescent="0.2">
      <c r="A133" s="5"/>
      <c r="B133" s="43">
        <f>'Game Data'!$A$7</f>
        <v>13</v>
      </c>
      <c r="C133" s="44" t="str">
        <f>'Game Data'!$B$7</f>
        <v>Electric</v>
      </c>
      <c r="D133" s="43">
        <f>'Game Data'!$A$11</f>
        <v>3</v>
      </c>
      <c r="E133" s="45" t="str">
        <f>'Game Data'!$B$11</f>
        <v>Flying</v>
      </c>
      <c r="F133" s="46">
        <v>1.25</v>
      </c>
    </row>
    <row r="134" spans="1:6" ht="12.75" x14ac:dyDescent="0.2">
      <c r="A134" s="5"/>
      <c r="B134" s="43">
        <f>'Game Data'!$A$8</f>
        <v>18</v>
      </c>
      <c r="C134" s="44" t="str">
        <f>'Game Data'!$B$8</f>
        <v>Fairy</v>
      </c>
      <c r="D134" s="43">
        <f>'Game Data'!$A$11</f>
        <v>3</v>
      </c>
      <c r="E134" s="45" t="str">
        <f>'Game Data'!$B$11</f>
        <v>Flying</v>
      </c>
      <c r="F134" s="46">
        <v>1</v>
      </c>
    </row>
    <row r="135" spans="1:6" ht="12.75" x14ac:dyDescent="0.2">
      <c r="A135" s="5"/>
      <c r="B135" s="43">
        <f>'Game Data'!$A$9</f>
        <v>2</v>
      </c>
      <c r="C135" s="44" t="str">
        <f>'Game Data'!$B$9</f>
        <v>Fighting</v>
      </c>
      <c r="D135" s="43">
        <f>'Game Data'!$A$11</f>
        <v>3</v>
      </c>
      <c r="E135" s="45" t="str">
        <f>'Game Data'!$B$11</f>
        <v>Flying</v>
      </c>
      <c r="F135" s="46">
        <v>0.8</v>
      </c>
    </row>
    <row r="136" spans="1:6" ht="12.75" x14ac:dyDescent="0.2">
      <c r="A136" s="5"/>
      <c r="B136" s="43">
        <f>'Game Data'!$A$10</f>
        <v>10</v>
      </c>
      <c r="C136" s="44" t="str">
        <f>'Game Data'!$B$10</f>
        <v>Fire</v>
      </c>
      <c r="D136" s="43">
        <f>'Game Data'!$A$11</f>
        <v>3</v>
      </c>
      <c r="E136" s="45" t="str">
        <f>'Game Data'!$B$11</f>
        <v>Flying</v>
      </c>
      <c r="F136" s="46">
        <v>1</v>
      </c>
    </row>
    <row r="137" spans="1:6" ht="12.75" x14ac:dyDescent="0.2">
      <c r="A137" s="5"/>
      <c r="B137" s="43">
        <f>'Game Data'!$A$11</f>
        <v>3</v>
      </c>
      <c r="C137" s="44" t="str">
        <f>'Game Data'!$B$11</f>
        <v>Flying</v>
      </c>
      <c r="D137" s="43">
        <f>'Game Data'!$A$11</f>
        <v>3</v>
      </c>
      <c r="E137" s="45" t="str">
        <f>'Game Data'!$B$11</f>
        <v>Flying</v>
      </c>
      <c r="F137" s="46">
        <v>1</v>
      </c>
    </row>
    <row r="138" spans="1:6" ht="12.75" x14ac:dyDescent="0.2">
      <c r="A138" s="5"/>
      <c r="B138" s="43">
        <f>'Game Data'!$A$12</f>
        <v>8</v>
      </c>
      <c r="C138" s="44" t="str">
        <f>'Game Data'!$B$12</f>
        <v>Ghost</v>
      </c>
      <c r="D138" s="43">
        <f>'Game Data'!$A$11</f>
        <v>3</v>
      </c>
      <c r="E138" s="45" t="str">
        <f>'Game Data'!$B$11</f>
        <v>Flying</v>
      </c>
      <c r="F138" s="46">
        <v>1</v>
      </c>
    </row>
    <row r="139" spans="1:6" ht="12.75" x14ac:dyDescent="0.2">
      <c r="A139" s="5"/>
      <c r="B139" s="43">
        <f>'Game Data'!$A$13</f>
        <v>12</v>
      </c>
      <c r="C139" s="44" t="str">
        <f>'Game Data'!$B$13</f>
        <v>Grass</v>
      </c>
      <c r="D139" s="43">
        <f>'Game Data'!$A$11</f>
        <v>3</v>
      </c>
      <c r="E139" s="45" t="str">
        <f>'Game Data'!$B$11</f>
        <v>Flying</v>
      </c>
      <c r="F139" s="46">
        <v>0.8</v>
      </c>
    </row>
    <row r="140" spans="1:6" ht="12.75" x14ac:dyDescent="0.2">
      <c r="A140" s="5"/>
      <c r="B140" s="43">
        <f>'Game Data'!$A$14</f>
        <v>5</v>
      </c>
      <c r="C140" s="44" t="str">
        <f>'Game Data'!$B$14</f>
        <v>Ground</v>
      </c>
      <c r="D140" s="43">
        <f>'Game Data'!$A$11</f>
        <v>3</v>
      </c>
      <c r="E140" s="45" t="str">
        <f>'Game Data'!$B$11</f>
        <v>Flying</v>
      </c>
      <c r="F140" s="46">
        <v>0.8</v>
      </c>
    </row>
    <row r="141" spans="1:6" ht="12.75" x14ac:dyDescent="0.2">
      <c r="A141" s="5"/>
      <c r="B141" s="43">
        <f>'Game Data'!$A$15</f>
        <v>15</v>
      </c>
      <c r="C141" s="44" t="str">
        <f>'Game Data'!$B$15</f>
        <v>Ice</v>
      </c>
      <c r="D141" s="43">
        <f>'Game Data'!$A$11</f>
        <v>3</v>
      </c>
      <c r="E141" s="45" t="str">
        <f>'Game Data'!$B$11</f>
        <v>Flying</v>
      </c>
      <c r="F141" s="46">
        <v>1.25</v>
      </c>
    </row>
    <row r="142" spans="1:6" ht="12.75" x14ac:dyDescent="0.2">
      <c r="A142" s="5"/>
      <c r="B142" s="43">
        <f>'Game Data'!$A$16</f>
        <v>1</v>
      </c>
      <c r="C142" s="44" t="str">
        <f>'Game Data'!$B$16</f>
        <v>Normal</v>
      </c>
      <c r="D142" s="43">
        <f>'Game Data'!$A$11</f>
        <v>3</v>
      </c>
      <c r="E142" s="45" t="str">
        <f>'Game Data'!$B$11</f>
        <v>Flying</v>
      </c>
      <c r="F142" s="46">
        <v>1</v>
      </c>
    </row>
    <row r="143" spans="1:6" ht="12.75" x14ac:dyDescent="0.2">
      <c r="A143" s="5"/>
      <c r="B143" s="43">
        <f>'Game Data'!$A$17</f>
        <v>4</v>
      </c>
      <c r="C143" s="44" t="str">
        <f>'Game Data'!$B$17</f>
        <v>Poison</v>
      </c>
      <c r="D143" s="43">
        <f>'Game Data'!$A$11</f>
        <v>3</v>
      </c>
      <c r="E143" s="45" t="str">
        <f>'Game Data'!$B$11</f>
        <v>Flying</v>
      </c>
      <c r="F143" s="46">
        <v>1</v>
      </c>
    </row>
    <row r="144" spans="1:6" ht="12.75" x14ac:dyDescent="0.2">
      <c r="A144" s="5"/>
      <c r="B144" s="43">
        <f>'Game Data'!$A$18</f>
        <v>14</v>
      </c>
      <c r="C144" s="44" t="str">
        <f>'Game Data'!$B$18</f>
        <v>Psychic</v>
      </c>
      <c r="D144" s="43">
        <f>'Game Data'!$A$11</f>
        <v>3</v>
      </c>
      <c r="E144" s="45" t="str">
        <f>'Game Data'!$B$11</f>
        <v>Flying</v>
      </c>
      <c r="F144" s="46">
        <v>1</v>
      </c>
    </row>
    <row r="145" spans="1:6" ht="12.75" x14ac:dyDescent="0.2">
      <c r="A145" s="5"/>
      <c r="B145" s="43">
        <f>'Game Data'!$A$19</f>
        <v>6</v>
      </c>
      <c r="C145" s="44" t="str">
        <f>'Game Data'!$B$19</f>
        <v>Rock</v>
      </c>
      <c r="D145" s="43">
        <f>'Game Data'!$A$11</f>
        <v>3</v>
      </c>
      <c r="E145" s="45" t="str">
        <f>'Game Data'!$B$11</f>
        <v>Flying</v>
      </c>
      <c r="F145" s="46">
        <v>1.25</v>
      </c>
    </row>
    <row r="146" spans="1:6" ht="12.75" x14ac:dyDescent="0.2">
      <c r="A146" s="5"/>
      <c r="B146" s="43">
        <f>'Game Data'!$A$20</f>
        <v>9</v>
      </c>
      <c r="C146" s="44" t="str">
        <f>'Game Data'!$B$20</f>
        <v>Steel</v>
      </c>
      <c r="D146" s="43">
        <f>'Game Data'!$A$11</f>
        <v>3</v>
      </c>
      <c r="E146" s="45" t="str">
        <f>'Game Data'!$B$11</f>
        <v>Flying</v>
      </c>
      <c r="F146" s="46">
        <v>1</v>
      </c>
    </row>
    <row r="147" spans="1:6" ht="12.75" x14ac:dyDescent="0.2">
      <c r="A147" s="5"/>
      <c r="B147" s="43">
        <f>'Game Data'!$A$21</f>
        <v>11</v>
      </c>
      <c r="C147" s="44" t="str">
        <f>'Game Data'!$B$21</f>
        <v>Water</v>
      </c>
      <c r="D147" s="43">
        <f>'Game Data'!$A$11</f>
        <v>3</v>
      </c>
      <c r="E147" s="45" t="str">
        <f>'Game Data'!$B$11</f>
        <v>Flying</v>
      </c>
      <c r="F147" s="46">
        <v>1</v>
      </c>
    </row>
    <row r="148" spans="1:6" ht="12.75" x14ac:dyDescent="0.2">
      <c r="A148" s="5"/>
      <c r="B148" s="43">
        <f>'Game Data'!$A$4</f>
        <v>7</v>
      </c>
      <c r="C148" s="44" t="str">
        <f>'Game Data'!$B$4</f>
        <v>Bug</v>
      </c>
      <c r="D148" s="43">
        <f>'Game Data'!$A$12</f>
        <v>8</v>
      </c>
      <c r="E148" s="45" t="str">
        <f>'Game Data'!$B$12</f>
        <v>Ghost</v>
      </c>
      <c r="F148" s="46">
        <v>0.8</v>
      </c>
    </row>
    <row r="149" spans="1:6" ht="12.75" x14ac:dyDescent="0.2">
      <c r="A149" s="5"/>
      <c r="B149" s="43">
        <f>'Game Data'!$A$5</f>
        <v>17</v>
      </c>
      <c r="C149" s="44" t="str">
        <f>'Game Data'!$B$5</f>
        <v>Dark</v>
      </c>
      <c r="D149" s="43">
        <f>'Game Data'!$A$12</f>
        <v>8</v>
      </c>
      <c r="E149" s="45" t="str">
        <f>'Game Data'!$B$12</f>
        <v>Ghost</v>
      </c>
      <c r="F149" s="46">
        <v>1</v>
      </c>
    </row>
    <row r="150" spans="1:6" ht="12.75" x14ac:dyDescent="0.2">
      <c r="A150" s="5"/>
      <c r="B150" s="43">
        <f>'Game Data'!$A$6</f>
        <v>16</v>
      </c>
      <c r="C150" s="44" t="str">
        <f>'Game Data'!$B$6</f>
        <v>Dragon</v>
      </c>
      <c r="D150" s="43">
        <f>'Game Data'!$A$12</f>
        <v>8</v>
      </c>
      <c r="E150" s="45" t="str">
        <f>'Game Data'!$B$12</f>
        <v>Ghost</v>
      </c>
      <c r="F150" s="46">
        <v>1.25</v>
      </c>
    </row>
    <row r="151" spans="1:6" ht="12.75" x14ac:dyDescent="0.2">
      <c r="A151" s="5"/>
      <c r="B151" s="43">
        <f>'Game Data'!$A$7</f>
        <v>13</v>
      </c>
      <c r="C151" s="44" t="str">
        <f>'Game Data'!$B$7</f>
        <v>Electric</v>
      </c>
      <c r="D151" s="43">
        <f>'Game Data'!$A$12</f>
        <v>8</v>
      </c>
      <c r="E151" s="45" t="str">
        <f>'Game Data'!$B$12</f>
        <v>Ghost</v>
      </c>
      <c r="F151" s="46">
        <v>1</v>
      </c>
    </row>
    <row r="152" spans="1:6" ht="12.75" x14ac:dyDescent="0.2">
      <c r="A152" s="5"/>
      <c r="B152" s="43">
        <f>'Game Data'!$A$8</f>
        <v>18</v>
      </c>
      <c r="C152" s="44" t="str">
        <f>'Game Data'!$B$8</f>
        <v>Fairy</v>
      </c>
      <c r="D152" s="43">
        <f>'Game Data'!$A$12</f>
        <v>8</v>
      </c>
      <c r="E152" s="45" t="str">
        <f>'Game Data'!$B$12</f>
        <v>Ghost</v>
      </c>
      <c r="F152" s="46">
        <v>1</v>
      </c>
    </row>
    <row r="153" spans="1:6" ht="12.75" x14ac:dyDescent="0.2">
      <c r="A153" s="5"/>
      <c r="B153" s="43">
        <f>'Game Data'!$A$9</f>
        <v>2</v>
      </c>
      <c r="C153" s="44" t="str">
        <f>'Game Data'!$B$9</f>
        <v>Fighting</v>
      </c>
      <c r="D153" s="43">
        <f>'Game Data'!$A$12</f>
        <v>8</v>
      </c>
      <c r="E153" s="45" t="str">
        <f>'Game Data'!$B$12</f>
        <v>Ghost</v>
      </c>
      <c r="F153" s="46">
        <v>0.8</v>
      </c>
    </row>
    <row r="154" spans="1:6" ht="12.75" x14ac:dyDescent="0.2">
      <c r="A154" s="5"/>
      <c r="B154" s="43">
        <f>'Game Data'!$A$10</f>
        <v>10</v>
      </c>
      <c r="C154" s="44" t="str">
        <f>'Game Data'!$B$10</f>
        <v>Fire</v>
      </c>
      <c r="D154" s="43">
        <f>'Game Data'!$A$12</f>
        <v>8</v>
      </c>
      <c r="E154" s="45" t="str">
        <f>'Game Data'!$B$12</f>
        <v>Ghost</v>
      </c>
      <c r="F154" s="46">
        <v>1</v>
      </c>
    </row>
    <row r="155" spans="1:6" ht="12.75" x14ac:dyDescent="0.2">
      <c r="A155" s="5"/>
      <c r="B155" s="43">
        <f>'Game Data'!$A$11</f>
        <v>3</v>
      </c>
      <c r="C155" s="44" t="str">
        <f>'Game Data'!$B$11</f>
        <v>Flying</v>
      </c>
      <c r="D155" s="43">
        <f>'Game Data'!$A$12</f>
        <v>8</v>
      </c>
      <c r="E155" s="45" t="str">
        <f>'Game Data'!$B$12</f>
        <v>Ghost</v>
      </c>
      <c r="F155" s="46">
        <v>1</v>
      </c>
    </row>
    <row r="156" spans="1:6" ht="12.75" x14ac:dyDescent="0.2">
      <c r="A156" s="5"/>
      <c r="B156" s="43">
        <f>'Game Data'!$A$12</f>
        <v>8</v>
      </c>
      <c r="C156" s="44" t="str">
        <f>'Game Data'!$B$12</f>
        <v>Ghost</v>
      </c>
      <c r="D156" s="43">
        <f>'Game Data'!$A$12</f>
        <v>8</v>
      </c>
      <c r="E156" s="45" t="str">
        <f>'Game Data'!$B$12</f>
        <v>Ghost</v>
      </c>
      <c r="F156" s="46">
        <v>1.25</v>
      </c>
    </row>
    <row r="157" spans="1:6" ht="12.75" x14ac:dyDescent="0.2">
      <c r="A157" s="5"/>
      <c r="B157" s="43">
        <f>'Game Data'!$A$13</f>
        <v>12</v>
      </c>
      <c r="C157" s="44" t="str">
        <f>'Game Data'!$B$13</f>
        <v>Grass</v>
      </c>
      <c r="D157" s="43">
        <f>'Game Data'!$A$12</f>
        <v>8</v>
      </c>
      <c r="E157" s="45" t="str">
        <f>'Game Data'!$B$12</f>
        <v>Ghost</v>
      </c>
      <c r="F157" s="46">
        <v>1</v>
      </c>
    </row>
    <row r="158" spans="1:6" ht="12.75" x14ac:dyDescent="0.2">
      <c r="A158" s="5"/>
      <c r="B158" s="43">
        <f>'Game Data'!$A$14</f>
        <v>5</v>
      </c>
      <c r="C158" s="44" t="str">
        <f>'Game Data'!$B$14</f>
        <v>Ground</v>
      </c>
      <c r="D158" s="43">
        <f>'Game Data'!$A$12</f>
        <v>8</v>
      </c>
      <c r="E158" s="45" t="str">
        <f>'Game Data'!$B$12</f>
        <v>Ghost</v>
      </c>
      <c r="F158" s="46">
        <v>1</v>
      </c>
    </row>
    <row r="159" spans="1:6" ht="12.75" x14ac:dyDescent="0.2">
      <c r="A159" s="5"/>
      <c r="B159" s="43">
        <f>'Game Data'!$A$15</f>
        <v>15</v>
      </c>
      <c r="C159" s="44" t="str">
        <f>'Game Data'!$B$15</f>
        <v>Ice</v>
      </c>
      <c r="D159" s="43">
        <f>'Game Data'!$A$12</f>
        <v>8</v>
      </c>
      <c r="E159" s="45" t="str">
        <f>'Game Data'!$B$12</f>
        <v>Ghost</v>
      </c>
      <c r="F159" s="46">
        <v>1</v>
      </c>
    </row>
    <row r="160" spans="1:6" ht="12.75" x14ac:dyDescent="0.2">
      <c r="A160" s="5"/>
      <c r="B160" s="43">
        <f>'Game Data'!$A$16</f>
        <v>1</v>
      </c>
      <c r="C160" s="44" t="str">
        <f>'Game Data'!$B$16</f>
        <v>Normal</v>
      </c>
      <c r="D160" s="43">
        <f>'Game Data'!$A$12</f>
        <v>8</v>
      </c>
      <c r="E160" s="45" t="str">
        <f>'Game Data'!$B$12</f>
        <v>Ghost</v>
      </c>
      <c r="F160" s="46">
        <v>0.8</v>
      </c>
    </row>
    <row r="161" spans="1:6" ht="12.75" x14ac:dyDescent="0.2">
      <c r="A161" s="5"/>
      <c r="B161" s="43">
        <f>'Game Data'!$A$17</f>
        <v>4</v>
      </c>
      <c r="C161" s="44" t="str">
        <f>'Game Data'!$B$17</f>
        <v>Poison</v>
      </c>
      <c r="D161" s="43">
        <f>'Game Data'!$A$12</f>
        <v>8</v>
      </c>
      <c r="E161" s="45" t="str">
        <f>'Game Data'!$B$12</f>
        <v>Ghost</v>
      </c>
      <c r="F161" s="46">
        <v>0.8</v>
      </c>
    </row>
    <row r="162" spans="1:6" ht="12.75" x14ac:dyDescent="0.2">
      <c r="A162" s="5"/>
      <c r="B162" s="43">
        <f>'Game Data'!$A$18</f>
        <v>14</v>
      </c>
      <c r="C162" s="44" t="str">
        <f>'Game Data'!$B$18</f>
        <v>Psychic</v>
      </c>
      <c r="D162" s="43">
        <f>'Game Data'!$A$12</f>
        <v>8</v>
      </c>
      <c r="E162" s="45" t="str">
        <f>'Game Data'!$B$12</f>
        <v>Ghost</v>
      </c>
      <c r="F162" s="46">
        <v>1</v>
      </c>
    </row>
    <row r="163" spans="1:6" ht="12.75" x14ac:dyDescent="0.2">
      <c r="A163" s="5"/>
      <c r="B163" s="43">
        <f>'Game Data'!$A$19</f>
        <v>6</v>
      </c>
      <c r="C163" s="44" t="str">
        <f>'Game Data'!$B$19</f>
        <v>Rock</v>
      </c>
      <c r="D163" s="43">
        <f>'Game Data'!$A$12</f>
        <v>8</v>
      </c>
      <c r="E163" s="45" t="str">
        <f>'Game Data'!$B$12</f>
        <v>Ghost</v>
      </c>
      <c r="F163" s="46">
        <v>1</v>
      </c>
    </row>
    <row r="164" spans="1:6" ht="12.75" x14ac:dyDescent="0.2">
      <c r="A164" s="5"/>
      <c r="B164" s="43">
        <f>'Game Data'!$A$20</f>
        <v>9</v>
      </c>
      <c r="C164" s="44" t="str">
        <f>'Game Data'!$B$20</f>
        <v>Steel</v>
      </c>
      <c r="D164" s="43">
        <f>'Game Data'!$A$12</f>
        <v>8</v>
      </c>
      <c r="E164" s="45" t="str">
        <f>'Game Data'!$B$12</f>
        <v>Ghost</v>
      </c>
      <c r="F164" s="46">
        <v>1</v>
      </c>
    </row>
    <row r="165" spans="1:6" ht="12.75" x14ac:dyDescent="0.2">
      <c r="A165" s="5"/>
      <c r="B165" s="43">
        <f>'Game Data'!$A$21</f>
        <v>11</v>
      </c>
      <c r="C165" s="44" t="str">
        <f>'Game Data'!$B$21</f>
        <v>Water</v>
      </c>
      <c r="D165" s="43">
        <f>'Game Data'!$A$12</f>
        <v>8</v>
      </c>
      <c r="E165" s="45" t="str">
        <f>'Game Data'!$B$12</f>
        <v>Ghost</v>
      </c>
      <c r="F165" s="46">
        <v>1</v>
      </c>
    </row>
    <row r="166" spans="1:6" ht="12.75" x14ac:dyDescent="0.2">
      <c r="A166" s="5"/>
      <c r="B166" s="43">
        <f>'Game Data'!$A$4</f>
        <v>7</v>
      </c>
      <c r="C166" s="44" t="str">
        <f>'Game Data'!$B$4</f>
        <v>Bug</v>
      </c>
      <c r="D166" s="43">
        <f>'Game Data'!$A$13</f>
        <v>12</v>
      </c>
      <c r="E166" s="45" t="str">
        <f>'Game Data'!$B$13</f>
        <v>Grass</v>
      </c>
      <c r="F166" s="46">
        <v>1.25</v>
      </c>
    </row>
    <row r="167" spans="1:6" ht="12.75" x14ac:dyDescent="0.2">
      <c r="A167" s="5"/>
      <c r="B167" s="43">
        <f>'Game Data'!$A$5</f>
        <v>17</v>
      </c>
      <c r="C167" s="44" t="str">
        <f>'Game Data'!$B$5</f>
        <v>Dark</v>
      </c>
      <c r="D167" s="43">
        <f>'Game Data'!$A$13</f>
        <v>12</v>
      </c>
      <c r="E167" s="45" t="str">
        <f>'Game Data'!$B$13</f>
        <v>Grass</v>
      </c>
      <c r="F167" s="46">
        <v>1</v>
      </c>
    </row>
    <row r="168" spans="1:6" ht="12.75" x14ac:dyDescent="0.2">
      <c r="A168" s="5"/>
      <c r="B168" s="43">
        <f>'Game Data'!$A$6</f>
        <v>16</v>
      </c>
      <c r="C168" s="44" t="str">
        <f>'Game Data'!$B$6</f>
        <v>Dragon</v>
      </c>
      <c r="D168" s="43">
        <f>'Game Data'!$A$13</f>
        <v>12</v>
      </c>
      <c r="E168" s="45" t="str">
        <f>'Game Data'!$B$13</f>
        <v>Grass</v>
      </c>
      <c r="F168" s="46">
        <v>1</v>
      </c>
    </row>
    <row r="169" spans="1:6" ht="12.75" x14ac:dyDescent="0.2">
      <c r="A169" s="5"/>
      <c r="B169" s="43">
        <f>'Game Data'!$A$7</f>
        <v>13</v>
      </c>
      <c r="C169" s="44" t="str">
        <f>'Game Data'!$B$7</f>
        <v>Electric</v>
      </c>
      <c r="D169" s="43">
        <f>'Game Data'!$A$13</f>
        <v>12</v>
      </c>
      <c r="E169" s="45" t="str">
        <f>'Game Data'!$B$13</f>
        <v>Grass</v>
      </c>
      <c r="F169" s="46">
        <v>0.8</v>
      </c>
    </row>
    <row r="170" spans="1:6" ht="12.75" x14ac:dyDescent="0.2">
      <c r="A170" s="5"/>
      <c r="B170" s="43">
        <f>'Game Data'!$A$8</f>
        <v>18</v>
      </c>
      <c r="C170" s="44" t="str">
        <f>'Game Data'!$B$8</f>
        <v>Fairy</v>
      </c>
      <c r="D170" s="43">
        <f>'Game Data'!$A$13</f>
        <v>12</v>
      </c>
      <c r="E170" s="45" t="str">
        <f>'Game Data'!$B$13</f>
        <v>Grass</v>
      </c>
      <c r="F170" s="46">
        <v>1</v>
      </c>
    </row>
    <row r="171" spans="1:6" ht="12.75" x14ac:dyDescent="0.2">
      <c r="A171" s="5"/>
      <c r="B171" s="43">
        <f>'Game Data'!$A$9</f>
        <v>2</v>
      </c>
      <c r="C171" s="44" t="str">
        <f>'Game Data'!$B$9</f>
        <v>Fighting</v>
      </c>
      <c r="D171" s="43">
        <f>'Game Data'!$A$13</f>
        <v>12</v>
      </c>
      <c r="E171" s="45" t="str">
        <f>'Game Data'!$B$13</f>
        <v>Grass</v>
      </c>
      <c r="F171" s="46">
        <v>1</v>
      </c>
    </row>
    <row r="172" spans="1:6" ht="12.75" x14ac:dyDescent="0.2">
      <c r="A172" s="5"/>
      <c r="B172" s="43">
        <f>'Game Data'!$A$10</f>
        <v>10</v>
      </c>
      <c r="C172" s="44" t="str">
        <f>'Game Data'!$B$10</f>
        <v>Fire</v>
      </c>
      <c r="D172" s="43">
        <f>'Game Data'!$A$13</f>
        <v>12</v>
      </c>
      <c r="E172" s="45" t="str">
        <f>'Game Data'!$B$13</f>
        <v>Grass</v>
      </c>
      <c r="F172" s="46">
        <v>1.25</v>
      </c>
    </row>
    <row r="173" spans="1:6" ht="12.75" x14ac:dyDescent="0.2">
      <c r="A173" s="5"/>
      <c r="B173" s="43">
        <f>'Game Data'!$A$11</f>
        <v>3</v>
      </c>
      <c r="C173" s="44" t="str">
        <f>'Game Data'!$B$11</f>
        <v>Flying</v>
      </c>
      <c r="D173" s="43">
        <f>'Game Data'!$A$13</f>
        <v>12</v>
      </c>
      <c r="E173" s="45" t="str">
        <f>'Game Data'!$B$13</f>
        <v>Grass</v>
      </c>
      <c r="F173" s="46">
        <v>1.25</v>
      </c>
    </row>
    <row r="174" spans="1:6" ht="12.75" x14ac:dyDescent="0.2">
      <c r="A174" s="5"/>
      <c r="B174" s="43">
        <f>'Game Data'!$A$12</f>
        <v>8</v>
      </c>
      <c r="C174" s="44" t="str">
        <f>'Game Data'!$B$12</f>
        <v>Ghost</v>
      </c>
      <c r="D174" s="43">
        <f>'Game Data'!$A$13</f>
        <v>12</v>
      </c>
      <c r="E174" s="45" t="str">
        <f>'Game Data'!$B$13</f>
        <v>Grass</v>
      </c>
      <c r="F174" s="46">
        <v>1</v>
      </c>
    </row>
    <row r="175" spans="1:6" ht="12.75" x14ac:dyDescent="0.2">
      <c r="A175" s="5"/>
      <c r="B175" s="43">
        <f>'Game Data'!$A$13</f>
        <v>12</v>
      </c>
      <c r="C175" s="44" t="str">
        <f>'Game Data'!$B$13</f>
        <v>Grass</v>
      </c>
      <c r="D175" s="43">
        <f>'Game Data'!$A$13</f>
        <v>12</v>
      </c>
      <c r="E175" s="45" t="str">
        <f>'Game Data'!$B$13</f>
        <v>Grass</v>
      </c>
      <c r="F175" s="46">
        <v>0.8</v>
      </c>
    </row>
    <row r="176" spans="1:6" ht="12.75" x14ac:dyDescent="0.2">
      <c r="A176" s="5"/>
      <c r="B176" s="43">
        <f>'Game Data'!$A$14</f>
        <v>5</v>
      </c>
      <c r="C176" s="44" t="str">
        <f>'Game Data'!$B$14</f>
        <v>Ground</v>
      </c>
      <c r="D176" s="43">
        <f>'Game Data'!$A$13</f>
        <v>12</v>
      </c>
      <c r="E176" s="45" t="str">
        <f>'Game Data'!$B$13</f>
        <v>Grass</v>
      </c>
      <c r="F176" s="46">
        <v>0.8</v>
      </c>
    </row>
    <row r="177" spans="1:6" ht="12.75" x14ac:dyDescent="0.2">
      <c r="A177" s="5"/>
      <c r="B177" s="43">
        <f>'Game Data'!$A$15</f>
        <v>15</v>
      </c>
      <c r="C177" s="44" t="str">
        <f>'Game Data'!$B$15</f>
        <v>Ice</v>
      </c>
      <c r="D177" s="43">
        <f>'Game Data'!$A$13</f>
        <v>12</v>
      </c>
      <c r="E177" s="45" t="str">
        <f>'Game Data'!$B$13</f>
        <v>Grass</v>
      </c>
      <c r="F177" s="46">
        <v>1.25</v>
      </c>
    </row>
    <row r="178" spans="1:6" ht="12.75" x14ac:dyDescent="0.2">
      <c r="A178" s="5"/>
      <c r="B178" s="43">
        <f>'Game Data'!$A$16</f>
        <v>1</v>
      </c>
      <c r="C178" s="44" t="str">
        <f>'Game Data'!$B$16</f>
        <v>Normal</v>
      </c>
      <c r="D178" s="43">
        <f>'Game Data'!$A$13</f>
        <v>12</v>
      </c>
      <c r="E178" s="45" t="str">
        <f>'Game Data'!$B$13</f>
        <v>Grass</v>
      </c>
      <c r="F178" s="46">
        <v>1</v>
      </c>
    </row>
    <row r="179" spans="1:6" ht="12.75" x14ac:dyDescent="0.2">
      <c r="A179" s="5"/>
      <c r="B179" s="43">
        <f>'Game Data'!$A$17</f>
        <v>4</v>
      </c>
      <c r="C179" s="44" t="str">
        <f>'Game Data'!$B$17</f>
        <v>Poison</v>
      </c>
      <c r="D179" s="43">
        <f>'Game Data'!$A$13</f>
        <v>12</v>
      </c>
      <c r="E179" s="45" t="str">
        <f>'Game Data'!$B$13</f>
        <v>Grass</v>
      </c>
      <c r="F179" s="46">
        <v>1.25</v>
      </c>
    </row>
    <row r="180" spans="1:6" ht="12.75" x14ac:dyDescent="0.2">
      <c r="A180" s="5"/>
      <c r="B180" s="43">
        <f>'Game Data'!$A$18</f>
        <v>14</v>
      </c>
      <c r="C180" s="44" t="str">
        <f>'Game Data'!$B$18</f>
        <v>Psychic</v>
      </c>
      <c r="D180" s="43">
        <f>'Game Data'!$A$13</f>
        <v>12</v>
      </c>
      <c r="E180" s="45" t="str">
        <f>'Game Data'!$B$13</f>
        <v>Grass</v>
      </c>
      <c r="F180" s="46">
        <v>1</v>
      </c>
    </row>
    <row r="181" spans="1:6" ht="12.75" x14ac:dyDescent="0.2">
      <c r="A181" s="5"/>
      <c r="B181" s="43">
        <f>'Game Data'!$A$19</f>
        <v>6</v>
      </c>
      <c r="C181" s="44" t="str">
        <f>'Game Data'!$B$19</f>
        <v>Rock</v>
      </c>
      <c r="D181" s="43">
        <f>'Game Data'!$A$13</f>
        <v>12</v>
      </c>
      <c r="E181" s="45" t="str">
        <f>'Game Data'!$B$13</f>
        <v>Grass</v>
      </c>
      <c r="F181" s="46">
        <v>1</v>
      </c>
    </row>
    <row r="182" spans="1:6" ht="12.75" x14ac:dyDescent="0.2">
      <c r="A182" s="5"/>
      <c r="B182" s="43">
        <f>'Game Data'!$A$20</f>
        <v>9</v>
      </c>
      <c r="C182" s="44" t="str">
        <f>'Game Data'!$B$20</f>
        <v>Steel</v>
      </c>
      <c r="D182" s="43">
        <f>'Game Data'!$A$13</f>
        <v>12</v>
      </c>
      <c r="E182" s="45" t="str">
        <f>'Game Data'!$B$13</f>
        <v>Grass</v>
      </c>
      <c r="F182" s="46">
        <v>1</v>
      </c>
    </row>
    <row r="183" spans="1:6" ht="12.75" x14ac:dyDescent="0.2">
      <c r="A183" s="5"/>
      <c r="B183" s="43">
        <f>'Game Data'!$A$21</f>
        <v>11</v>
      </c>
      <c r="C183" s="44" t="str">
        <f>'Game Data'!$B$21</f>
        <v>Water</v>
      </c>
      <c r="D183" s="43">
        <f>'Game Data'!$A$13</f>
        <v>12</v>
      </c>
      <c r="E183" s="45" t="str">
        <f>'Game Data'!$B$13</f>
        <v>Grass</v>
      </c>
      <c r="F183" s="46">
        <v>0.8</v>
      </c>
    </row>
    <row r="184" spans="1:6" ht="12.75" x14ac:dyDescent="0.2">
      <c r="A184" s="5"/>
      <c r="B184" s="43">
        <f>'Game Data'!$A$4</f>
        <v>7</v>
      </c>
      <c r="C184" s="44" t="str">
        <f>'Game Data'!$B$4</f>
        <v>Bug</v>
      </c>
      <c r="D184" s="43">
        <f>'Game Data'!$A$14</f>
        <v>5</v>
      </c>
      <c r="E184" s="45" t="str">
        <f>'Game Data'!$B$14</f>
        <v>Ground</v>
      </c>
      <c r="F184" s="46">
        <v>1</v>
      </c>
    </row>
    <row r="185" spans="1:6" ht="12.75" x14ac:dyDescent="0.2">
      <c r="A185" s="5"/>
      <c r="B185" s="43">
        <f>'Game Data'!$A$5</f>
        <v>17</v>
      </c>
      <c r="C185" s="44" t="str">
        <f>'Game Data'!$B$5</f>
        <v>Dark</v>
      </c>
      <c r="D185" s="43">
        <f>'Game Data'!$A$14</f>
        <v>5</v>
      </c>
      <c r="E185" s="45" t="str">
        <f>'Game Data'!$B$14</f>
        <v>Ground</v>
      </c>
      <c r="F185" s="46">
        <v>1</v>
      </c>
    </row>
    <row r="186" spans="1:6" ht="12.75" x14ac:dyDescent="0.2">
      <c r="A186" s="5"/>
      <c r="B186" s="43">
        <f>'Game Data'!$A$6</f>
        <v>16</v>
      </c>
      <c r="C186" s="44" t="str">
        <f>'Game Data'!$B$6</f>
        <v>Dragon</v>
      </c>
      <c r="D186" s="43">
        <f>'Game Data'!$A$14</f>
        <v>5</v>
      </c>
      <c r="E186" s="45" t="str">
        <f>'Game Data'!$B$14</f>
        <v>Ground</v>
      </c>
      <c r="F186" s="46">
        <v>1</v>
      </c>
    </row>
    <row r="187" spans="1:6" ht="12.75" x14ac:dyDescent="0.2">
      <c r="A187" s="5"/>
      <c r="B187" s="43">
        <f>'Game Data'!$A$7</f>
        <v>13</v>
      </c>
      <c r="C187" s="44" t="str">
        <f>'Game Data'!$B$7</f>
        <v>Electric</v>
      </c>
      <c r="D187" s="43">
        <f>'Game Data'!$A$14</f>
        <v>5</v>
      </c>
      <c r="E187" s="45" t="str">
        <f>'Game Data'!$B$14</f>
        <v>Ground</v>
      </c>
      <c r="F187" s="46">
        <v>0.8</v>
      </c>
    </row>
    <row r="188" spans="1:6" ht="12.75" x14ac:dyDescent="0.2">
      <c r="A188" s="5"/>
      <c r="B188" s="43">
        <f>'Game Data'!$A$8</f>
        <v>18</v>
      </c>
      <c r="C188" s="44" t="str">
        <f>'Game Data'!$B$8</f>
        <v>Fairy</v>
      </c>
      <c r="D188" s="43">
        <f>'Game Data'!$A$14</f>
        <v>5</v>
      </c>
      <c r="E188" s="45" t="str">
        <f>'Game Data'!$B$14</f>
        <v>Ground</v>
      </c>
      <c r="F188" s="46">
        <v>1</v>
      </c>
    </row>
    <row r="189" spans="1:6" ht="12.75" x14ac:dyDescent="0.2">
      <c r="A189" s="5"/>
      <c r="B189" s="43">
        <f>'Game Data'!$A$9</f>
        <v>2</v>
      </c>
      <c r="C189" s="44" t="str">
        <f>'Game Data'!$B$9</f>
        <v>Fighting</v>
      </c>
      <c r="D189" s="43">
        <f>'Game Data'!$A$14</f>
        <v>5</v>
      </c>
      <c r="E189" s="45" t="str">
        <f>'Game Data'!$B$14</f>
        <v>Ground</v>
      </c>
      <c r="F189" s="46">
        <v>1</v>
      </c>
    </row>
    <row r="190" spans="1:6" ht="12.75" x14ac:dyDescent="0.2">
      <c r="A190" s="5"/>
      <c r="B190" s="43">
        <f>'Game Data'!$A$10</f>
        <v>10</v>
      </c>
      <c r="C190" s="44" t="str">
        <f>'Game Data'!$B$10</f>
        <v>Fire</v>
      </c>
      <c r="D190" s="43">
        <f>'Game Data'!$A$14</f>
        <v>5</v>
      </c>
      <c r="E190" s="45" t="str">
        <f>'Game Data'!$B$14</f>
        <v>Ground</v>
      </c>
      <c r="F190" s="46">
        <v>1</v>
      </c>
    </row>
    <row r="191" spans="1:6" ht="12.75" x14ac:dyDescent="0.2">
      <c r="A191" s="5"/>
      <c r="B191" s="43">
        <f>'Game Data'!$A$11</f>
        <v>3</v>
      </c>
      <c r="C191" s="44" t="str">
        <f>'Game Data'!$B$11</f>
        <v>Flying</v>
      </c>
      <c r="D191" s="43">
        <f>'Game Data'!$A$14</f>
        <v>5</v>
      </c>
      <c r="E191" s="45" t="str">
        <f>'Game Data'!$B$14</f>
        <v>Ground</v>
      </c>
      <c r="F191" s="46">
        <v>1</v>
      </c>
    </row>
    <row r="192" spans="1:6" ht="12.75" x14ac:dyDescent="0.2">
      <c r="A192" s="5"/>
      <c r="B192" s="43">
        <f>'Game Data'!$A$12</f>
        <v>8</v>
      </c>
      <c r="C192" s="44" t="str">
        <f>'Game Data'!$B$12</f>
        <v>Ghost</v>
      </c>
      <c r="D192" s="43">
        <f>'Game Data'!$A$14</f>
        <v>5</v>
      </c>
      <c r="E192" s="45" t="str">
        <f>'Game Data'!$B$14</f>
        <v>Ground</v>
      </c>
      <c r="F192" s="46">
        <v>1</v>
      </c>
    </row>
    <row r="193" spans="1:6" ht="12.75" x14ac:dyDescent="0.2">
      <c r="A193" s="5"/>
      <c r="B193" s="43">
        <f>'Game Data'!$A$13</f>
        <v>12</v>
      </c>
      <c r="C193" s="44" t="str">
        <f>'Game Data'!$B$13</f>
        <v>Grass</v>
      </c>
      <c r="D193" s="43">
        <f>'Game Data'!$A$14</f>
        <v>5</v>
      </c>
      <c r="E193" s="45" t="str">
        <f>'Game Data'!$B$14</f>
        <v>Ground</v>
      </c>
      <c r="F193" s="46">
        <v>1.25</v>
      </c>
    </row>
    <row r="194" spans="1:6" ht="12.75" x14ac:dyDescent="0.2">
      <c r="A194" s="5"/>
      <c r="B194" s="43">
        <f>'Game Data'!$A$14</f>
        <v>5</v>
      </c>
      <c r="C194" s="44" t="str">
        <f>'Game Data'!$B$14</f>
        <v>Ground</v>
      </c>
      <c r="D194" s="43">
        <f>'Game Data'!$A$14</f>
        <v>5</v>
      </c>
      <c r="E194" s="45" t="str">
        <f>'Game Data'!$B$14</f>
        <v>Ground</v>
      </c>
      <c r="F194" s="46">
        <v>1</v>
      </c>
    </row>
    <row r="195" spans="1:6" ht="12.75" x14ac:dyDescent="0.2">
      <c r="A195" s="5"/>
      <c r="B195" s="43">
        <f>'Game Data'!$A$15</f>
        <v>15</v>
      </c>
      <c r="C195" s="44" t="str">
        <f>'Game Data'!$B$15</f>
        <v>Ice</v>
      </c>
      <c r="D195" s="43">
        <f>'Game Data'!$A$14</f>
        <v>5</v>
      </c>
      <c r="E195" s="45" t="str">
        <f>'Game Data'!$B$14</f>
        <v>Ground</v>
      </c>
      <c r="F195" s="46">
        <v>1.25</v>
      </c>
    </row>
    <row r="196" spans="1:6" ht="12.75" x14ac:dyDescent="0.2">
      <c r="A196" s="5"/>
      <c r="B196" s="43">
        <f>'Game Data'!$A$16</f>
        <v>1</v>
      </c>
      <c r="C196" s="44" t="str">
        <f>'Game Data'!$B$16</f>
        <v>Normal</v>
      </c>
      <c r="D196" s="43">
        <f>'Game Data'!$A$14</f>
        <v>5</v>
      </c>
      <c r="E196" s="45" t="str">
        <f>'Game Data'!$B$14</f>
        <v>Ground</v>
      </c>
      <c r="F196" s="46">
        <v>1</v>
      </c>
    </row>
    <row r="197" spans="1:6" ht="12.75" x14ac:dyDescent="0.2">
      <c r="A197" s="5"/>
      <c r="B197" s="43">
        <f>'Game Data'!$A$17</f>
        <v>4</v>
      </c>
      <c r="C197" s="44" t="str">
        <f>'Game Data'!$B$17</f>
        <v>Poison</v>
      </c>
      <c r="D197" s="43">
        <f>'Game Data'!$A$14</f>
        <v>5</v>
      </c>
      <c r="E197" s="45" t="str">
        <f>'Game Data'!$B$14</f>
        <v>Ground</v>
      </c>
      <c r="F197" s="46">
        <v>0.8</v>
      </c>
    </row>
    <row r="198" spans="1:6" ht="12.75" x14ac:dyDescent="0.2">
      <c r="A198" s="5"/>
      <c r="B198" s="43">
        <f>'Game Data'!$A$18</f>
        <v>14</v>
      </c>
      <c r="C198" s="44" t="str">
        <f>'Game Data'!$B$18</f>
        <v>Psychic</v>
      </c>
      <c r="D198" s="43">
        <f>'Game Data'!$A$14</f>
        <v>5</v>
      </c>
      <c r="E198" s="45" t="str">
        <f>'Game Data'!$B$14</f>
        <v>Ground</v>
      </c>
      <c r="F198" s="46">
        <v>1</v>
      </c>
    </row>
    <row r="199" spans="1:6" ht="12.75" x14ac:dyDescent="0.2">
      <c r="A199" s="5"/>
      <c r="B199" s="43">
        <f>'Game Data'!$A$19</f>
        <v>6</v>
      </c>
      <c r="C199" s="44" t="str">
        <f>'Game Data'!$B$19</f>
        <v>Rock</v>
      </c>
      <c r="D199" s="43">
        <f>'Game Data'!$A$14</f>
        <v>5</v>
      </c>
      <c r="E199" s="45" t="str">
        <f>'Game Data'!$B$14</f>
        <v>Ground</v>
      </c>
      <c r="F199" s="46">
        <v>0.8</v>
      </c>
    </row>
    <row r="200" spans="1:6" ht="12.75" x14ac:dyDescent="0.2">
      <c r="A200" s="5"/>
      <c r="B200" s="43">
        <f>'Game Data'!$A$20</f>
        <v>9</v>
      </c>
      <c r="C200" s="44" t="str">
        <f>'Game Data'!$B$20</f>
        <v>Steel</v>
      </c>
      <c r="D200" s="43">
        <f>'Game Data'!$A$14</f>
        <v>5</v>
      </c>
      <c r="E200" s="45" t="str">
        <f>'Game Data'!$B$14</f>
        <v>Ground</v>
      </c>
      <c r="F200" s="46">
        <v>1</v>
      </c>
    </row>
    <row r="201" spans="1:6" ht="12.75" x14ac:dyDescent="0.2">
      <c r="A201" s="5"/>
      <c r="B201" s="43">
        <f>'Game Data'!$A$21</f>
        <v>11</v>
      </c>
      <c r="C201" s="44" t="str">
        <f>'Game Data'!$B$21</f>
        <v>Water</v>
      </c>
      <c r="D201" s="43">
        <f>'Game Data'!$A$14</f>
        <v>5</v>
      </c>
      <c r="E201" s="45" t="str">
        <f>'Game Data'!$B$14</f>
        <v>Ground</v>
      </c>
      <c r="F201" s="46">
        <v>1.25</v>
      </c>
    </row>
    <row r="202" spans="1:6" ht="12.75" x14ac:dyDescent="0.2">
      <c r="A202" s="5"/>
      <c r="B202" s="43">
        <f>'Game Data'!$A$4</f>
        <v>7</v>
      </c>
      <c r="C202" s="44" t="str">
        <f>'Game Data'!$B$4</f>
        <v>Bug</v>
      </c>
      <c r="D202" s="43">
        <f>'Game Data'!$A$15</f>
        <v>15</v>
      </c>
      <c r="E202" s="45" t="str">
        <f>'Game Data'!$B$15</f>
        <v>Ice</v>
      </c>
      <c r="F202" s="46">
        <v>1</v>
      </c>
    </row>
    <row r="203" spans="1:6" ht="12.75" x14ac:dyDescent="0.2">
      <c r="A203" s="5"/>
      <c r="B203" s="43">
        <f>'Game Data'!$A$5</f>
        <v>17</v>
      </c>
      <c r="C203" s="44" t="str">
        <f>'Game Data'!$B$5</f>
        <v>Dark</v>
      </c>
      <c r="D203" s="43">
        <f>'Game Data'!$A$15</f>
        <v>15</v>
      </c>
      <c r="E203" s="45" t="str">
        <f>'Game Data'!$B$15</f>
        <v>Ice</v>
      </c>
      <c r="F203" s="46">
        <v>1</v>
      </c>
    </row>
    <row r="204" spans="1:6" ht="12.75" x14ac:dyDescent="0.2">
      <c r="A204" s="5"/>
      <c r="B204" s="43">
        <f>'Game Data'!$A$6</f>
        <v>16</v>
      </c>
      <c r="C204" s="44" t="str">
        <f>'Game Data'!$B$6</f>
        <v>Dragon</v>
      </c>
      <c r="D204" s="43">
        <f>'Game Data'!$A$15</f>
        <v>15</v>
      </c>
      <c r="E204" s="45" t="str">
        <f>'Game Data'!$B$15</f>
        <v>Ice</v>
      </c>
      <c r="F204" s="46">
        <v>1</v>
      </c>
    </row>
    <row r="205" spans="1:6" ht="12.75" x14ac:dyDescent="0.2">
      <c r="A205" s="5"/>
      <c r="B205" s="43">
        <f>'Game Data'!$A$7</f>
        <v>13</v>
      </c>
      <c r="C205" s="44" t="str">
        <f>'Game Data'!$B$7</f>
        <v>Electric</v>
      </c>
      <c r="D205" s="43">
        <f>'Game Data'!$A$15</f>
        <v>15</v>
      </c>
      <c r="E205" s="45" t="str">
        <f>'Game Data'!$B$15</f>
        <v>Ice</v>
      </c>
      <c r="F205" s="46">
        <v>1</v>
      </c>
    </row>
    <row r="206" spans="1:6" ht="12.75" x14ac:dyDescent="0.2">
      <c r="A206" s="5"/>
      <c r="B206" s="43">
        <f>'Game Data'!$A$8</f>
        <v>18</v>
      </c>
      <c r="C206" s="44" t="str">
        <f>'Game Data'!$B$8</f>
        <v>Fairy</v>
      </c>
      <c r="D206" s="43">
        <f>'Game Data'!$A$15</f>
        <v>15</v>
      </c>
      <c r="E206" s="45" t="str">
        <f>'Game Data'!$B$15</f>
        <v>Ice</v>
      </c>
      <c r="F206" s="46">
        <v>1</v>
      </c>
    </row>
    <row r="207" spans="1:6" ht="12.75" x14ac:dyDescent="0.2">
      <c r="A207" s="5"/>
      <c r="B207" s="43">
        <f>'Game Data'!$A$9</f>
        <v>2</v>
      </c>
      <c r="C207" s="44" t="str">
        <f>'Game Data'!$B$9</f>
        <v>Fighting</v>
      </c>
      <c r="D207" s="43">
        <f>'Game Data'!$A$15</f>
        <v>15</v>
      </c>
      <c r="E207" s="45" t="str">
        <f>'Game Data'!$B$15</f>
        <v>Ice</v>
      </c>
      <c r="F207" s="46">
        <v>1.25</v>
      </c>
    </row>
    <row r="208" spans="1:6" ht="12.75" x14ac:dyDescent="0.2">
      <c r="A208" s="5"/>
      <c r="B208" s="43">
        <f>'Game Data'!$A$10</f>
        <v>10</v>
      </c>
      <c r="C208" s="44" t="str">
        <f>'Game Data'!$B$10</f>
        <v>Fire</v>
      </c>
      <c r="D208" s="43">
        <f>'Game Data'!$A$15</f>
        <v>15</v>
      </c>
      <c r="E208" s="45" t="str">
        <f>'Game Data'!$B$15</f>
        <v>Ice</v>
      </c>
      <c r="F208" s="46">
        <v>1.25</v>
      </c>
    </row>
    <row r="209" spans="1:6" ht="12.75" x14ac:dyDescent="0.2">
      <c r="A209" s="5"/>
      <c r="B209" s="43">
        <f>'Game Data'!$A$11</f>
        <v>3</v>
      </c>
      <c r="C209" s="44" t="str">
        <f>'Game Data'!$B$11</f>
        <v>Flying</v>
      </c>
      <c r="D209" s="43">
        <f>'Game Data'!$A$15</f>
        <v>15</v>
      </c>
      <c r="E209" s="45" t="str">
        <f>'Game Data'!$B$15</f>
        <v>Ice</v>
      </c>
      <c r="F209" s="46">
        <v>1</v>
      </c>
    </row>
    <row r="210" spans="1:6" ht="12.75" x14ac:dyDescent="0.2">
      <c r="A210" s="5"/>
      <c r="B210" s="43">
        <f>'Game Data'!$A$12</f>
        <v>8</v>
      </c>
      <c r="C210" s="44" t="str">
        <f>'Game Data'!$B$12</f>
        <v>Ghost</v>
      </c>
      <c r="D210" s="43">
        <f>'Game Data'!$A$15</f>
        <v>15</v>
      </c>
      <c r="E210" s="45" t="str">
        <f>'Game Data'!$B$15</f>
        <v>Ice</v>
      </c>
      <c r="F210" s="46">
        <v>1</v>
      </c>
    </row>
    <row r="211" spans="1:6" ht="12.75" x14ac:dyDescent="0.2">
      <c r="A211" s="5"/>
      <c r="B211" s="43">
        <f>'Game Data'!$A$13</f>
        <v>12</v>
      </c>
      <c r="C211" s="44" t="str">
        <f>'Game Data'!$B$13</f>
        <v>Grass</v>
      </c>
      <c r="D211" s="43">
        <f>'Game Data'!$A$15</f>
        <v>15</v>
      </c>
      <c r="E211" s="45" t="str">
        <f>'Game Data'!$B$15</f>
        <v>Ice</v>
      </c>
      <c r="F211" s="46">
        <v>1</v>
      </c>
    </row>
    <row r="212" spans="1:6" ht="12.75" x14ac:dyDescent="0.2">
      <c r="A212" s="5"/>
      <c r="B212" s="43">
        <f>'Game Data'!$A$14</f>
        <v>5</v>
      </c>
      <c r="C212" s="44" t="str">
        <f>'Game Data'!$B$14</f>
        <v>Ground</v>
      </c>
      <c r="D212" s="43">
        <f>'Game Data'!$A$15</f>
        <v>15</v>
      </c>
      <c r="E212" s="45" t="str">
        <f>'Game Data'!$B$15</f>
        <v>Ice</v>
      </c>
      <c r="F212" s="46">
        <v>1</v>
      </c>
    </row>
    <row r="213" spans="1:6" ht="12.75" x14ac:dyDescent="0.2">
      <c r="A213" s="5"/>
      <c r="B213" s="43">
        <f>'Game Data'!$A$15</f>
        <v>15</v>
      </c>
      <c r="C213" s="44" t="str">
        <f>'Game Data'!$B$15</f>
        <v>Ice</v>
      </c>
      <c r="D213" s="43">
        <f>'Game Data'!$A$15</f>
        <v>15</v>
      </c>
      <c r="E213" s="45" t="str">
        <f>'Game Data'!$B$15</f>
        <v>Ice</v>
      </c>
      <c r="F213" s="46">
        <v>0.8</v>
      </c>
    </row>
    <row r="214" spans="1:6" ht="12.75" x14ac:dyDescent="0.2">
      <c r="A214" s="5"/>
      <c r="B214" s="43">
        <f>'Game Data'!$A$16</f>
        <v>1</v>
      </c>
      <c r="C214" s="44" t="str">
        <f>'Game Data'!$B$16</f>
        <v>Normal</v>
      </c>
      <c r="D214" s="43">
        <f>'Game Data'!$A$15</f>
        <v>15</v>
      </c>
      <c r="E214" s="45" t="str">
        <f>'Game Data'!$B$15</f>
        <v>Ice</v>
      </c>
      <c r="F214" s="46">
        <v>1</v>
      </c>
    </row>
    <row r="215" spans="1:6" ht="12.75" x14ac:dyDescent="0.2">
      <c r="A215" s="5"/>
      <c r="B215" s="43">
        <f>'Game Data'!$A$17</f>
        <v>4</v>
      </c>
      <c r="C215" s="44" t="str">
        <f>'Game Data'!$B$17</f>
        <v>Poison</v>
      </c>
      <c r="D215" s="43">
        <f>'Game Data'!$A$15</f>
        <v>15</v>
      </c>
      <c r="E215" s="45" t="str">
        <f>'Game Data'!$B$15</f>
        <v>Ice</v>
      </c>
      <c r="F215" s="46">
        <v>1</v>
      </c>
    </row>
    <row r="216" spans="1:6" ht="12.75" x14ac:dyDescent="0.2">
      <c r="A216" s="5"/>
      <c r="B216" s="43">
        <f>'Game Data'!$A$18</f>
        <v>14</v>
      </c>
      <c r="C216" s="44" t="str">
        <f>'Game Data'!$B$18</f>
        <v>Psychic</v>
      </c>
      <c r="D216" s="43">
        <f>'Game Data'!$A$15</f>
        <v>15</v>
      </c>
      <c r="E216" s="45" t="str">
        <f>'Game Data'!$B$15</f>
        <v>Ice</v>
      </c>
      <c r="F216" s="46">
        <v>1</v>
      </c>
    </row>
    <row r="217" spans="1:6" ht="12.75" x14ac:dyDescent="0.2">
      <c r="A217" s="5"/>
      <c r="B217" s="43">
        <f>'Game Data'!$A$19</f>
        <v>6</v>
      </c>
      <c r="C217" s="44" t="str">
        <f>'Game Data'!$B$19</f>
        <v>Rock</v>
      </c>
      <c r="D217" s="43">
        <f>'Game Data'!$A$15</f>
        <v>15</v>
      </c>
      <c r="E217" s="45" t="str">
        <f>'Game Data'!$B$15</f>
        <v>Ice</v>
      </c>
      <c r="F217" s="46">
        <v>1.25</v>
      </c>
    </row>
    <row r="218" spans="1:6" ht="12.75" x14ac:dyDescent="0.2">
      <c r="A218" s="5"/>
      <c r="B218" s="43">
        <f>'Game Data'!$A$20</f>
        <v>9</v>
      </c>
      <c r="C218" s="44" t="str">
        <f>'Game Data'!$B$20</f>
        <v>Steel</v>
      </c>
      <c r="D218" s="43">
        <f>'Game Data'!$A$15</f>
        <v>15</v>
      </c>
      <c r="E218" s="45" t="str">
        <f>'Game Data'!$B$15</f>
        <v>Ice</v>
      </c>
      <c r="F218" s="46">
        <v>1.25</v>
      </c>
    </row>
    <row r="219" spans="1:6" ht="12.75" x14ac:dyDescent="0.2">
      <c r="A219" s="5"/>
      <c r="B219" s="43">
        <f>'Game Data'!$A$21</f>
        <v>11</v>
      </c>
      <c r="C219" s="44" t="str">
        <f>'Game Data'!$B$21</f>
        <v>Water</v>
      </c>
      <c r="D219" s="43">
        <f>'Game Data'!$A$15</f>
        <v>15</v>
      </c>
      <c r="E219" s="45" t="str">
        <f>'Game Data'!$B$15</f>
        <v>Ice</v>
      </c>
      <c r="F219" s="46">
        <v>1</v>
      </c>
    </row>
    <row r="220" spans="1:6" ht="12.75" x14ac:dyDescent="0.2">
      <c r="A220" s="5"/>
      <c r="B220" s="43">
        <f>'Game Data'!$A$4</f>
        <v>7</v>
      </c>
      <c r="C220" s="44" t="str">
        <f>'Game Data'!$B$4</f>
        <v>Bug</v>
      </c>
      <c r="D220" s="43">
        <f>'Game Data'!$A$16</f>
        <v>1</v>
      </c>
      <c r="E220" s="45" t="str">
        <f>'Game Data'!$B$16</f>
        <v>Normal</v>
      </c>
      <c r="F220" s="46">
        <v>1</v>
      </c>
    </row>
    <row r="221" spans="1:6" ht="12.75" x14ac:dyDescent="0.2">
      <c r="A221" s="5"/>
      <c r="B221" s="43">
        <f>'Game Data'!$A$5</f>
        <v>17</v>
      </c>
      <c r="C221" s="44" t="str">
        <f>'Game Data'!$B$5</f>
        <v>Dark</v>
      </c>
      <c r="D221" s="43">
        <f>'Game Data'!$A$16</f>
        <v>1</v>
      </c>
      <c r="E221" s="45" t="str">
        <f>'Game Data'!$B$16</f>
        <v>Normal</v>
      </c>
      <c r="F221" s="46">
        <v>1</v>
      </c>
    </row>
    <row r="222" spans="1:6" ht="12.75" x14ac:dyDescent="0.2">
      <c r="A222" s="5"/>
      <c r="B222" s="43">
        <f>'Game Data'!$A$6</f>
        <v>16</v>
      </c>
      <c r="C222" s="44" t="str">
        <f>'Game Data'!$B$6</f>
        <v>Dragon</v>
      </c>
      <c r="D222" s="43">
        <f>'Game Data'!$A$16</f>
        <v>1</v>
      </c>
      <c r="E222" s="45" t="str">
        <f>'Game Data'!$B$16</f>
        <v>Normal</v>
      </c>
      <c r="F222" s="46">
        <v>1</v>
      </c>
    </row>
    <row r="223" spans="1:6" ht="12.75" x14ac:dyDescent="0.2">
      <c r="A223" s="5"/>
      <c r="B223" s="43">
        <f>'Game Data'!$A$7</f>
        <v>13</v>
      </c>
      <c r="C223" s="44" t="str">
        <f>'Game Data'!$B$7</f>
        <v>Electric</v>
      </c>
      <c r="D223" s="43">
        <f>'Game Data'!$A$16</f>
        <v>1</v>
      </c>
      <c r="E223" s="45" t="str">
        <f>'Game Data'!$B$16</f>
        <v>Normal</v>
      </c>
      <c r="F223" s="46">
        <v>1</v>
      </c>
    </row>
    <row r="224" spans="1:6" ht="12.75" x14ac:dyDescent="0.2">
      <c r="A224" s="5"/>
      <c r="B224" s="43">
        <f>'Game Data'!$A$8</f>
        <v>18</v>
      </c>
      <c r="C224" s="44" t="str">
        <f>'Game Data'!$B$8</f>
        <v>Fairy</v>
      </c>
      <c r="D224" s="43">
        <f>'Game Data'!$A$16</f>
        <v>1</v>
      </c>
      <c r="E224" s="45" t="str">
        <f>'Game Data'!$B$16</f>
        <v>Normal</v>
      </c>
      <c r="F224" s="46">
        <v>1</v>
      </c>
    </row>
    <row r="225" spans="1:6" ht="12.75" x14ac:dyDescent="0.2">
      <c r="A225" s="5"/>
      <c r="B225" s="43">
        <f>'Game Data'!$A$9</f>
        <v>2</v>
      </c>
      <c r="C225" s="44" t="str">
        <f>'Game Data'!$B$9</f>
        <v>Fighting</v>
      </c>
      <c r="D225" s="43">
        <f>'Game Data'!$A$16</f>
        <v>1</v>
      </c>
      <c r="E225" s="45" t="str">
        <f>'Game Data'!$B$16</f>
        <v>Normal</v>
      </c>
      <c r="F225" s="46">
        <v>1.25</v>
      </c>
    </row>
    <row r="226" spans="1:6" ht="12.75" x14ac:dyDescent="0.2">
      <c r="A226" s="5"/>
      <c r="B226" s="43">
        <f>'Game Data'!$A$10</f>
        <v>10</v>
      </c>
      <c r="C226" s="44" t="str">
        <f>'Game Data'!$B$10</f>
        <v>Fire</v>
      </c>
      <c r="D226" s="43">
        <f>'Game Data'!$A$16</f>
        <v>1</v>
      </c>
      <c r="E226" s="45" t="str">
        <f>'Game Data'!$B$16</f>
        <v>Normal</v>
      </c>
      <c r="F226" s="46">
        <v>1</v>
      </c>
    </row>
    <row r="227" spans="1:6" ht="12.75" x14ac:dyDescent="0.2">
      <c r="A227" s="5"/>
      <c r="B227" s="43">
        <f>'Game Data'!$A$11</f>
        <v>3</v>
      </c>
      <c r="C227" s="44" t="str">
        <f>'Game Data'!$B$11</f>
        <v>Flying</v>
      </c>
      <c r="D227" s="43">
        <f>'Game Data'!$A$16</f>
        <v>1</v>
      </c>
      <c r="E227" s="45" t="str">
        <f>'Game Data'!$B$16</f>
        <v>Normal</v>
      </c>
      <c r="F227" s="46">
        <v>1</v>
      </c>
    </row>
    <row r="228" spans="1:6" ht="12.75" x14ac:dyDescent="0.2">
      <c r="A228" s="5"/>
      <c r="B228" s="43">
        <f>'Game Data'!$A$12</f>
        <v>8</v>
      </c>
      <c r="C228" s="44" t="str">
        <f>'Game Data'!$B$12</f>
        <v>Ghost</v>
      </c>
      <c r="D228" s="43">
        <f>'Game Data'!$A$16</f>
        <v>1</v>
      </c>
      <c r="E228" s="45" t="str">
        <f>'Game Data'!$B$16</f>
        <v>Normal</v>
      </c>
      <c r="F228" s="46">
        <v>0.8</v>
      </c>
    </row>
    <row r="229" spans="1:6" ht="12.75" x14ac:dyDescent="0.2">
      <c r="A229" s="5"/>
      <c r="B229" s="43">
        <f>'Game Data'!$A$13</f>
        <v>12</v>
      </c>
      <c r="C229" s="44" t="str">
        <f>'Game Data'!$B$13</f>
        <v>Grass</v>
      </c>
      <c r="D229" s="43">
        <f>'Game Data'!$A$16</f>
        <v>1</v>
      </c>
      <c r="E229" s="45" t="str">
        <f>'Game Data'!$B$16</f>
        <v>Normal</v>
      </c>
      <c r="F229" s="46">
        <v>1</v>
      </c>
    </row>
    <row r="230" spans="1:6" ht="12.75" x14ac:dyDescent="0.2">
      <c r="A230" s="5"/>
      <c r="B230" s="43">
        <f>'Game Data'!$A$14</f>
        <v>5</v>
      </c>
      <c r="C230" s="44" t="str">
        <f>'Game Data'!$B$14</f>
        <v>Ground</v>
      </c>
      <c r="D230" s="43">
        <f>'Game Data'!$A$16</f>
        <v>1</v>
      </c>
      <c r="E230" s="45" t="str">
        <f>'Game Data'!$B$16</f>
        <v>Normal</v>
      </c>
      <c r="F230" s="46">
        <v>1</v>
      </c>
    </row>
    <row r="231" spans="1:6" ht="12.75" x14ac:dyDescent="0.2">
      <c r="A231" s="5"/>
      <c r="B231" s="43">
        <f>'Game Data'!$A$15</f>
        <v>15</v>
      </c>
      <c r="C231" s="44" t="str">
        <f>'Game Data'!$B$15</f>
        <v>Ice</v>
      </c>
      <c r="D231" s="43">
        <f>'Game Data'!$A$16</f>
        <v>1</v>
      </c>
      <c r="E231" s="45" t="str">
        <f>'Game Data'!$B$16</f>
        <v>Normal</v>
      </c>
      <c r="F231" s="46">
        <v>1</v>
      </c>
    </row>
    <row r="232" spans="1:6" ht="12.75" x14ac:dyDescent="0.2">
      <c r="A232" s="5"/>
      <c r="B232" s="43">
        <f>'Game Data'!$A$16</f>
        <v>1</v>
      </c>
      <c r="C232" s="44" t="str">
        <f>'Game Data'!$B$16</f>
        <v>Normal</v>
      </c>
      <c r="D232" s="43">
        <f>'Game Data'!$A$16</f>
        <v>1</v>
      </c>
      <c r="E232" s="45" t="str">
        <f>'Game Data'!$B$16</f>
        <v>Normal</v>
      </c>
      <c r="F232" s="46">
        <v>1</v>
      </c>
    </row>
    <row r="233" spans="1:6" ht="12.75" x14ac:dyDescent="0.2">
      <c r="A233" s="5"/>
      <c r="B233" s="43">
        <f>'Game Data'!$A$17</f>
        <v>4</v>
      </c>
      <c r="C233" s="44" t="str">
        <f>'Game Data'!$B$17</f>
        <v>Poison</v>
      </c>
      <c r="D233" s="43">
        <f>'Game Data'!$A$16</f>
        <v>1</v>
      </c>
      <c r="E233" s="45" t="str">
        <f>'Game Data'!$B$16</f>
        <v>Normal</v>
      </c>
      <c r="F233" s="46">
        <v>1</v>
      </c>
    </row>
    <row r="234" spans="1:6" ht="12.75" x14ac:dyDescent="0.2">
      <c r="A234" s="5"/>
      <c r="B234" s="43">
        <f>'Game Data'!$A$18</f>
        <v>14</v>
      </c>
      <c r="C234" s="44" t="str">
        <f>'Game Data'!$B$18</f>
        <v>Psychic</v>
      </c>
      <c r="D234" s="43">
        <f>'Game Data'!$A$16</f>
        <v>1</v>
      </c>
      <c r="E234" s="45" t="str">
        <f>'Game Data'!$B$16</f>
        <v>Normal</v>
      </c>
      <c r="F234" s="46">
        <v>1</v>
      </c>
    </row>
    <row r="235" spans="1:6" ht="12.75" x14ac:dyDescent="0.2">
      <c r="A235" s="5"/>
      <c r="B235" s="43">
        <f>'Game Data'!$A$19</f>
        <v>6</v>
      </c>
      <c r="C235" s="44" t="str">
        <f>'Game Data'!$B$19</f>
        <v>Rock</v>
      </c>
      <c r="D235" s="43">
        <f>'Game Data'!$A$16</f>
        <v>1</v>
      </c>
      <c r="E235" s="45" t="str">
        <f>'Game Data'!$B$16</f>
        <v>Normal</v>
      </c>
      <c r="F235" s="46">
        <v>1</v>
      </c>
    </row>
    <row r="236" spans="1:6" ht="12.75" x14ac:dyDescent="0.2">
      <c r="A236" s="5"/>
      <c r="B236" s="43">
        <f>'Game Data'!$A$20</f>
        <v>9</v>
      </c>
      <c r="C236" s="44" t="str">
        <f>'Game Data'!$B$20</f>
        <v>Steel</v>
      </c>
      <c r="D236" s="43">
        <f>'Game Data'!$A$16</f>
        <v>1</v>
      </c>
      <c r="E236" s="45" t="str">
        <f>'Game Data'!$B$16</f>
        <v>Normal</v>
      </c>
      <c r="F236" s="46">
        <v>1</v>
      </c>
    </row>
    <row r="237" spans="1:6" ht="12.75" x14ac:dyDescent="0.2">
      <c r="A237" s="5"/>
      <c r="B237" s="43">
        <f>'Game Data'!$A$21</f>
        <v>11</v>
      </c>
      <c r="C237" s="44" t="str">
        <f>'Game Data'!$B$21</f>
        <v>Water</v>
      </c>
      <c r="D237" s="43">
        <f>'Game Data'!$A$16</f>
        <v>1</v>
      </c>
      <c r="E237" s="45" t="str">
        <f>'Game Data'!$B$16</f>
        <v>Normal</v>
      </c>
      <c r="F237" s="46">
        <v>1</v>
      </c>
    </row>
    <row r="238" spans="1:6" ht="12.75" x14ac:dyDescent="0.2">
      <c r="A238" s="5"/>
      <c r="B238" s="43">
        <f>'Game Data'!$A$4</f>
        <v>7</v>
      </c>
      <c r="C238" s="44" t="str">
        <f>'Game Data'!$B$4</f>
        <v>Bug</v>
      </c>
      <c r="D238" s="43">
        <f>'Game Data'!$A$17</f>
        <v>4</v>
      </c>
      <c r="E238" s="45" t="str">
        <f>'Game Data'!$B$17</f>
        <v>Poison</v>
      </c>
      <c r="F238" s="46">
        <v>0.8</v>
      </c>
    </row>
    <row r="239" spans="1:6" ht="12.75" x14ac:dyDescent="0.2">
      <c r="A239" s="5"/>
      <c r="B239" s="43">
        <f>'Game Data'!$A$5</f>
        <v>17</v>
      </c>
      <c r="C239" s="44" t="str">
        <f>'Game Data'!$B$5</f>
        <v>Dark</v>
      </c>
      <c r="D239" s="43">
        <f>'Game Data'!$A$17</f>
        <v>4</v>
      </c>
      <c r="E239" s="45" t="str">
        <f>'Game Data'!$B$17</f>
        <v>Poison</v>
      </c>
      <c r="F239" s="46">
        <v>1</v>
      </c>
    </row>
    <row r="240" spans="1:6" ht="12.75" x14ac:dyDescent="0.2">
      <c r="A240" s="5"/>
      <c r="B240" s="43">
        <f>'Game Data'!$A$6</f>
        <v>16</v>
      </c>
      <c r="C240" s="44" t="str">
        <f>'Game Data'!$B$6</f>
        <v>Dragon</v>
      </c>
      <c r="D240" s="43">
        <f>'Game Data'!$A$17</f>
        <v>4</v>
      </c>
      <c r="E240" s="45" t="str">
        <f>'Game Data'!$B$17</f>
        <v>Poison</v>
      </c>
      <c r="F240" s="46">
        <v>1</v>
      </c>
    </row>
    <row r="241" spans="1:6" ht="12.75" x14ac:dyDescent="0.2">
      <c r="A241" s="5"/>
      <c r="B241" s="43">
        <f>'Game Data'!$A$7</f>
        <v>13</v>
      </c>
      <c r="C241" s="44" t="str">
        <f>'Game Data'!$B$7</f>
        <v>Electric</v>
      </c>
      <c r="D241" s="43">
        <f>'Game Data'!$A$17</f>
        <v>4</v>
      </c>
      <c r="E241" s="45" t="str">
        <f>'Game Data'!$B$17</f>
        <v>Poison</v>
      </c>
      <c r="F241" s="46">
        <v>1</v>
      </c>
    </row>
    <row r="242" spans="1:6" ht="12.75" x14ac:dyDescent="0.2">
      <c r="A242" s="5"/>
      <c r="B242" s="43">
        <f>'Game Data'!$A$8</f>
        <v>18</v>
      </c>
      <c r="C242" s="44" t="str">
        <f>'Game Data'!$B$8</f>
        <v>Fairy</v>
      </c>
      <c r="D242" s="43">
        <f>'Game Data'!$A$17</f>
        <v>4</v>
      </c>
      <c r="E242" s="45" t="str">
        <f>'Game Data'!$B$17</f>
        <v>Poison</v>
      </c>
      <c r="F242" s="46">
        <v>0.8</v>
      </c>
    </row>
    <row r="243" spans="1:6" ht="12.75" x14ac:dyDescent="0.2">
      <c r="A243" s="5"/>
      <c r="B243" s="43">
        <f>'Game Data'!$A$9</f>
        <v>2</v>
      </c>
      <c r="C243" s="44" t="str">
        <f>'Game Data'!$B$9</f>
        <v>Fighting</v>
      </c>
      <c r="D243" s="43">
        <f>'Game Data'!$A$17</f>
        <v>4</v>
      </c>
      <c r="E243" s="45" t="str">
        <f>'Game Data'!$B$17</f>
        <v>Poison</v>
      </c>
      <c r="F243" s="46">
        <v>0.8</v>
      </c>
    </row>
    <row r="244" spans="1:6" ht="12.75" x14ac:dyDescent="0.2">
      <c r="A244" s="5"/>
      <c r="B244" s="43">
        <f>'Game Data'!$A$10</f>
        <v>10</v>
      </c>
      <c r="C244" s="44" t="str">
        <f>'Game Data'!$B$10</f>
        <v>Fire</v>
      </c>
      <c r="D244" s="43">
        <f>'Game Data'!$A$17</f>
        <v>4</v>
      </c>
      <c r="E244" s="45" t="str">
        <f>'Game Data'!$B$17</f>
        <v>Poison</v>
      </c>
      <c r="F244" s="46">
        <v>1</v>
      </c>
    </row>
    <row r="245" spans="1:6" ht="12.75" x14ac:dyDescent="0.2">
      <c r="A245" s="5"/>
      <c r="B245" s="43">
        <f>'Game Data'!$A$11</f>
        <v>3</v>
      </c>
      <c r="C245" s="44" t="str">
        <f>'Game Data'!$B$11</f>
        <v>Flying</v>
      </c>
      <c r="D245" s="43">
        <f>'Game Data'!$A$17</f>
        <v>4</v>
      </c>
      <c r="E245" s="45" t="str">
        <f>'Game Data'!$B$17</f>
        <v>Poison</v>
      </c>
      <c r="F245" s="46">
        <v>1</v>
      </c>
    </row>
    <row r="246" spans="1:6" ht="12.75" x14ac:dyDescent="0.2">
      <c r="A246" s="5"/>
      <c r="B246" s="43">
        <f>'Game Data'!$A$12</f>
        <v>8</v>
      </c>
      <c r="C246" s="44" t="str">
        <f>'Game Data'!$B$12</f>
        <v>Ghost</v>
      </c>
      <c r="D246" s="43">
        <f>'Game Data'!$A$17</f>
        <v>4</v>
      </c>
      <c r="E246" s="45" t="str">
        <f>'Game Data'!$B$17</f>
        <v>Poison</v>
      </c>
      <c r="F246" s="46">
        <v>1</v>
      </c>
    </row>
    <row r="247" spans="1:6" ht="12.75" x14ac:dyDescent="0.2">
      <c r="A247" s="5"/>
      <c r="B247" s="43">
        <f>'Game Data'!$A$13</f>
        <v>12</v>
      </c>
      <c r="C247" s="44" t="str">
        <f>'Game Data'!$B$13</f>
        <v>Grass</v>
      </c>
      <c r="D247" s="43">
        <f>'Game Data'!$A$17</f>
        <v>4</v>
      </c>
      <c r="E247" s="45" t="str">
        <f>'Game Data'!$B$17</f>
        <v>Poison</v>
      </c>
      <c r="F247" s="46">
        <v>0.8</v>
      </c>
    </row>
    <row r="248" spans="1:6" ht="12.75" x14ac:dyDescent="0.2">
      <c r="A248" s="5"/>
      <c r="B248" s="43">
        <f>'Game Data'!$A$14</f>
        <v>5</v>
      </c>
      <c r="C248" s="44" t="str">
        <f>'Game Data'!$B$14</f>
        <v>Ground</v>
      </c>
      <c r="D248" s="43">
        <f>'Game Data'!$A$17</f>
        <v>4</v>
      </c>
      <c r="E248" s="45" t="str">
        <f>'Game Data'!$B$17</f>
        <v>Poison</v>
      </c>
      <c r="F248" s="46">
        <v>1.25</v>
      </c>
    </row>
    <row r="249" spans="1:6" ht="12.75" x14ac:dyDescent="0.2">
      <c r="A249" s="5"/>
      <c r="B249" s="43">
        <f>'Game Data'!$A$15</f>
        <v>15</v>
      </c>
      <c r="C249" s="44" t="str">
        <f>'Game Data'!$B$15</f>
        <v>Ice</v>
      </c>
      <c r="D249" s="43">
        <f>'Game Data'!$A$17</f>
        <v>4</v>
      </c>
      <c r="E249" s="45" t="str">
        <f>'Game Data'!$B$17</f>
        <v>Poison</v>
      </c>
      <c r="F249" s="46">
        <v>1</v>
      </c>
    </row>
    <row r="250" spans="1:6" ht="12.75" x14ac:dyDescent="0.2">
      <c r="A250" s="5"/>
      <c r="B250" s="43">
        <f>'Game Data'!$A$16</f>
        <v>1</v>
      </c>
      <c r="C250" s="44" t="str">
        <f>'Game Data'!$B$16</f>
        <v>Normal</v>
      </c>
      <c r="D250" s="43">
        <f>'Game Data'!$A$17</f>
        <v>4</v>
      </c>
      <c r="E250" s="45" t="str">
        <f>'Game Data'!$B$17</f>
        <v>Poison</v>
      </c>
      <c r="F250" s="46">
        <v>1</v>
      </c>
    </row>
    <row r="251" spans="1:6" ht="12.75" x14ac:dyDescent="0.2">
      <c r="A251" s="5"/>
      <c r="B251" s="43">
        <f>'Game Data'!$A$17</f>
        <v>4</v>
      </c>
      <c r="C251" s="44" t="str">
        <f>'Game Data'!$B$17</f>
        <v>Poison</v>
      </c>
      <c r="D251" s="43">
        <f>'Game Data'!$A$17</f>
        <v>4</v>
      </c>
      <c r="E251" s="45" t="str">
        <f>'Game Data'!$B$17</f>
        <v>Poison</v>
      </c>
      <c r="F251" s="46">
        <v>0.8</v>
      </c>
    </row>
    <row r="252" spans="1:6" ht="12.75" x14ac:dyDescent="0.2">
      <c r="A252" s="5"/>
      <c r="B252" s="43">
        <f>'Game Data'!$A$18</f>
        <v>14</v>
      </c>
      <c r="C252" s="44" t="str">
        <f>'Game Data'!$B$18</f>
        <v>Psychic</v>
      </c>
      <c r="D252" s="43">
        <f>'Game Data'!$A$17</f>
        <v>4</v>
      </c>
      <c r="E252" s="45" t="str">
        <f>'Game Data'!$B$17</f>
        <v>Poison</v>
      </c>
      <c r="F252" s="46">
        <v>1.25</v>
      </c>
    </row>
    <row r="253" spans="1:6" ht="12.75" x14ac:dyDescent="0.2">
      <c r="A253" s="5"/>
      <c r="B253" s="43">
        <f>'Game Data'!$A$19</f>
        <v>6</v>
      </c>
      <c r="C253" s="44" t="str">
        <f>'Game Data'!$B$19</f>
        <v>Rock</v>
      </c>
      <c r="D253" s="43">
        <f>'Game Data'!$A$17</f>
        <v>4</v>
      </c>
      <c r="E253" s="45" t="str">
        <f>'Game Data'!$B$17</f>
        <v>Poison</v>
      </c>
      <c r="F253" s="46">
        <v>1</v>
      </c>
    </row>
    <row r="254" spans="1:6" ht="12.75" x14ac:dyDescent="0.2">
      <c r="A254" s="5"/>
      <c r="B254" s="43">
        <f>'Game Data'!$A$20</f>
        <v>9</v>
      </c>
      <c r="C254" s="44" t="str">
        <f>'Game Data'!$B$20</f>
        <v>Steel</v>
      </c>
      <c r="D254" s="43">
        <f>'Game Data'!$A$17</f>
        <v>4</v>
      </c>
      <c r="E254" s="45" t="str">
        <f>'Game Data'!$B$17</f>
        <v>Poison</v>
      </c>
      <c r="F254" s="46">
        <v>1</v>
      </c>
    </row>
    <row r="255" spans="1:6" ht="12.75" x14ac:dyDescent="0.2">
      <c r="A255" s="5"/>
      <c r="B255" s="43">
        <f>'Game Data'!$A$21</f>
        <v>11</v>
      </c>
      <c r="C255" s="44" t="str">
        <f>'Game Data'!$B$21</f>
        <v>Water</v>
      </c>
      <c r="D255" s="43">
        <f>'Game Data'!$A$17</f>
        <v>4</v>
      </c>
      <c r="E255" s="45" t="str">
        <f>'Game Data'!$B$17</f>
        <v>Poison</v>
      </c>
      <c r="F255" s="46">
        <v>1</v>
      </c>
    </row>
    <row r="256" spans="1:6" ht="12.75" x14ac:dyDescent="0.2">
      <c r="A256" s="5"/>
      <c r="B256" s="43">
        <f>'Game Data'!$A$4</f>
        <v>7</v>
      </c>
      <c r="C256" s="44" t="str">
        <f>'Game Data'!$B$4</f>
        <v>Bug</v>
      </c>
      <c r="D256" s="43">
        <f>'Game Data'!$A$18</f>
        <v>14</v>
      </c>
      <c r="E256" s="45" t="str">
        <f>'Game Data'!$B$18</f>
        <v>Psychic</v>
      </c>
      <c r="F256" s="46">
        <v>1.25</v>
      </c>
    </row>
    <row r="257" spans="1:6" ht="12.75" x14ac:dyDescent="0.2">
      <c r="A257" s="5"/>
      <c r="B257" s="43">
        <f>'Game Data'!$A$5</f>
        <v>17</v>
      </c>
      <c r="C257" s="44" t="str">
        <f>'Game Data'!$B$5</f>
        <v>Dark</v>
      </c>
      <c r="D257" s="43">
        <f>'Game Data'!$A$18</f>
        <v>14</v>
      </c>
      <c r="E257" s="45" t="str">
        <f>'Game Data'!$B$18</f>
        <v>Psychic</v>
      </c>
      <c r="F257" s="46">
        <v>1</v>
      </c>
    </row>
    <row r="258" spans="1:6" ht="12.75" x14ac:dyDescent="0.2">
      <c r="A258" s="5"/>
      <c r="B258" s="43">
        <f>'Game Data'!$A$6</f>
        <v>16</v>
      </c>
      <c r="C258" s="44" t="str">
        <f>'Game Data'!$B$6</f>
        <v>Dragon</v>
      </c>
      <c r="D258" s="43">
        <f>'Game Data'!$A$18</f>
        <v>14</v>
      </c>
      <c r="E258" s="45" t="str">
        <f>'Game Data'!$B$18</f>
        <v>Psychic</v>
      </c>
      <c r="F258" s="46">
        <v>1.25</v>
      </c>
    </row>
    <row r="259" spans="1:6" ht="12.75" x14ac:dyDescent="0.2">
      <c r="A259" s="5"/>
      <c r="B259" s="43">
        <f>'Game Data'!$A$7</f>
        <v>13</v>
      </c>
      <c r="C259" s="44" t="str">
        <f>'Game Data'!$B$7</f>
        <v>Electric</v>
      </c>
      <c r="D259" s="43">
        <f>'Game Data'!$A$18</f>
        <v>14</v>
      </c>
      <c r="E259" s="45" t="str">
        <f>'Game Data'!$B$18</f>
        <v>Psychic</v>
      </c>
      <c r="F259" s="46">
        <v>1</v>
      </c>
    </row>
    <row r="260" spans="1:6" ht="12.75" x14ac:dyDescent="0.2">
      <c r="A260" s="5"/>
      <c r="B260" s="43">
        <f>'Game Data'!$A$8</f>
        <v>18</v>
      </c>
      <c r="C260" s="44" t="str">
        <f>'Game Data'!$B$8</f>
        <v>Fairy</v>
      </c>
      <c r="D260" s="43">
        <f>'Game Data'!$A$18</f>
        <v>14</v>
      </c>
      <c r="E260" s="45" t="str">
        <f>'Game Data'!$B$18</f>
        <v>Psychic</v>
      </c>
      <c r="F260" s="46">
        <v>1</v>
      </c>
    </row>
    <row r="261" spans="1:6" ht="12.75" x14ac:dyDescent="0.2">
      <c r="A261" s="5"/>
      <c r="B261" s="43">
        <f>'Game Data'!$A$9</f>
        <v>2</v>
      </c>
      <c r="C261" s="44" t="str">
        <f>'Game Data'!$B$9</f>
        <v>Fighting</v>
      </c>
      <c r="D261" s="43">
        <f>'Game Data'!$A$18</f>
        <v>14</v>
      </c>
      <c r="E261" s="45" t="str">
        <f>'Game Data'!$B$18</f>
        <v>Psychic</v>
      </c>
      <c r="F261" s="46">
        <v>0.8</v>
      </c>
    </row>
    <row r="262" spans="1:6" ht="12.75" x14ac:dyDescent="0.2">
      <c r="A262" s="5"/>
      <c r="B262" s="43">
        <f>'Game Data'!$A$10</f>
        <v>10</v>
      </c>
      <c r="C262" s="44" t="str">
        <f>'Game Data'!$B$10</f>
        <v>Fire</v>
      </c>
      <c r="D262" s="43">
        <f>'Game Data'!$A$18</f>
        <v>14</v>
      </c>
      <c r="E262" s="45" t="str">
        <f>'Game Data'!$B$18</f>
        <v>Psychic</v>
      </c>
      <c r="F262" s="46">
        <v>1</v>
      </c>
    </row>
    <row r="263" spans="1:6" ht="12.75" x14ac:dyDescent="0.2">
      <c r="A263" s="5"/>
      <c r="B263" s="43">
        <f>'Game Data'!$A$11</f>
        <v>3</v>
      </c>
      <c r="C263" s="44" t="str">
        <f>'Game Data'!$B$11</f>
        <v>Flying</v>
      </c>
      <c r="D263" s="43">
        <f>'Game Data'!$A$18</f>
        <v>14</v>
      </c>
      <c r="E263" s="45" t="str">
        <f>'Game Data'!$B$18</f>
        <v>Psychic</v>
      </c>
      <c r="F263" s="46">
        <v>1</v>
      </c>
    </row>
    <row r="264" spans="1:6" ht="12.75" x14ac:dyDescent="0.2">
      <c r="A264" s="5"/>
      <c r="B264" s="43">
        <f>'Game Data'!$A$12</f>
        <v>8</v>
      </c>
      <c r="C264" s="44" t="str">
        <f>'Game Data'!$B$12</f>
        <v>Ghost</v>
      </c>
      <c r="D264" s="43">
        <f>'Game Data'!$A$18</f>
        <v>14</v>
      </c>
      <c r="E264" s="45" t="str">
        <f>'Game Data'!$B$18</f>
        <v>Psychic</v>
      </c>
      <c r="F264" s="46">
        <v>1.25</v>
      </c>
    </row>
    <row r="265" spans="1:6" ht="12.75" x14ac:dyDescent="0.2">
      <c r="A265" s="5"/>
      <c r="B265" s="43">
        <f>'Game Data'!$A$13</f>
        <v>12</v>
      </c>
      <c r="C265" s="44" t="str">
        <f>'Game Data'!$B$13</f>
        <v>Grass</v>
      </c>
      <c r="D265" s="43">
        <f>'Game Data'!$A$18</f>
        <v>14</v>
      </c>
      <c r="E265" s="45" t="str">
        <f>'Game Data'!$B$18</f>
        <v>Psychic</v>
      </c>
      <c r="F265" s="46">
        <v>1</v>
      </c>
    </row>
    <row r="266" spans="1:6" ht="12.75" x14ac:dyDescent="0.2">
      <c r="A266" s="5"/>
      <c r="B266" s="43">
        <f>'Game Data'!$A$14</f>
        <v>5</v>
      </c>
      <c r="C266" s="44" t="str">
        <f>'Game Data'!$B$14</f>
        <v>Ground</v>
      </c>
      <c r="D266" s="43">
        <f>'Game Data'!$A$18</f>
        <v>14</v>
      </c>
      <c r="E266" s="45" t="str">
        <f>'Game Data'!$B$18</f>
        <v>Psychic</v>
      </c>
      <c r="F266" s="46">
        <v>1</v>
      </c>
    </row>
    <row r="267" spans="1:6" ht="12.75" x14ac:dyDescent="0.2">
      <c r="A267" s="5"/>
      <c r="B267" s="43">
        <f>'Game Data'!$A$15</f>
        <v>15</v>
      </c>
      <c r="C267" s="44" t="str">
        <f>'Game Data'!$B$15</f>
        <v>Ice</v>
      </c>
      <c r="D267" s="43">
        <f>'Game Data'!$A$18</f>
        <v>14</v>
      </c>
      <c r="E267" s="45" t="str">
        <f>'Game Data'!$B$18</f>
        <v>Psychic</v>
      </c>
      <c r="F267" s="46">
        <v>1</v>
      </c>
    </row>
    <row r="268" spans="1:6" ht="12.75" x14ac:dyDescent="0.2">
      <c r="A268" s="5"/>
      <c r="B268" s="43">
        <f>'Game Data'!$A$16</f>
        <v>1</v>
      </c>
      <c r="C268" s="44" t="str">
        <f>'Game Data'!$B$16</f>
        <v>Normal</v>
      </c>
      <c r="D268" s="43">
        <f>'Game Data'!$A$18</f>
        <v>14</v>
      </c>
      <c r="E268" s="45" t="str">
        <f>'Game Data'!$B$18</f>
        <v>Psychic</v>
      </c>
      <c r="F268" s="46">
        <v>1</v>
      </c>
    </row>
    <row r="269" spans="1:6" ht="12.75" x14ac:dyDescent="0.2">
      <c r="A269" s="5"/>
      <c r="B269" s="43">
        <f>'Game Data'!$A$17</f>
        <v>4</v>
      </c>
      <c r="C269" s="44" t="str">
        <f>'Game Data'!$B$17</f>
        <v>Poison</v>
      </c>
      <c r="D269" s="43">
        <f>'Game Data'!$A$18</f>
        <v>14</v>
      </c>
      <c r="E269" s="45" t="str">
        <f>'Game Data'!$B$18</f>
        <v>Psychic</v>
      </c>
      <c r="F269" s="46">
        <v>1</v>
      </c>
    </row>
    <row r="270" spans="1:6" ht="12.75" x14ac:dyDescent="0.2">
      <c r="A270" s="5"/>
      <c r="B270" s="43">
        <f>'Game Data'!$A$18</f>
        <v>14</v>
      </c>
      <c r="C270" s="44" t="str">
        <f>'Game Data'!$B$18</f>
        <v>Psychic</v>
      </c>
      <c r="D270" s="43">
        <f>'Game Data'!$A$18</f>
        <v>14</v>
      </c>
      <c r="E270" s="45" t="str">
        <f>'Game Data'!$B$18</f>
        <v>Psychic</v>
      </c>
      <c r="F270" s="46">
        <v>0.8</v>
      </c>
    </row>
    <row r="271" spans="1:6" ht="12.75" x14ac:dyDescent="0.2">
      <c r="A271" s="5"/>
      <c r="B271" s="43">
        <f>'Game Data'!$A$19</f>
        <v>6</v>
      </c>
      <c r="C271" s="44" t="str">
        <f>'Game Data'!$B$19</f>
        <v>Rock</v>
      </c>
      <c r="D271" s="43">
        <f>'Game Data'!$A$18</f>
        <v>14</v>
      </c>
      <c r="E271" s="45" t="str">
        <f>'Game Data'!$B$18</f>
        <v>Psychic</v>
      </c>
      <c r="F271" s="46">
        <v>1</v>
      </c>
    </row>
    <row r="272" spans="1:6" ht="12.75" x14ac:dyDescent="0.2">
      <c r="A272" s="5"/>
      <c r="B272" s="43">
        <f>'Game Data'!$A$20</f>
        <v>9</v>
      </c>
      <c r="C272" s="44" t="str">
        <f>'Game Data'!$B$20</f>
        <v>Steel</v>
      </c>
      <c r="D272" s="43">
        <f>'Game Data'!$A$18</f>
        <v>14</v>
      </c>
      <c r="E272" s="45" t="str">
        <f>'Game Data'!$B$18</f>
        <v>Psychic</v>
      </c>
      <c r="F272" s="46">
        <v>1</v>
      </c>
    </row>
    <row r="273" spans="1:6" ht="12.75" x14ac:dyDescent="0.2">
      <c r="A273" s="5"/>
      <c r="B273" s="43">
        <f>'Game Data'!$A$21</f>
        <v>11</v>
      </c>
      <c r="C273" s="44" t="str">
        <f>'Game Data'!$B$21</f>
        <v>Water</v>
      </c>
      <c r="D273" s="43">
        <f>'Game Data'!$A$18</f>
        <v>14</v>
      </c>
      <c r="E273" s="45" t="str">
        <f>'Game Data'!$B$18</f>
        <v>Psychic</v>
      </c>
      <c r="F273" s="46">
        <v>1</v>
      </c>
    </row>
    <row r="274" spans="1:6" ht="12.75" x14ac:dyDescent="0.2">
      <c r="A274" s="5"/>
      <c r="B274" s="43">
        <f>'Game Data'!$A$4</f>
        <v>7</v>
      </c>
      <c r="C274" s="44" t="str">
        <f>'Game Data'!$B$4</f>
        <v>Bug</v>
      </c>
      <c r="D274" s="43">
        <f>'Game Data'!$A$19</f>
        <v>6</v>
      </c>
      <c r="E274" s="45" t="str">
        <f>'Game Data'!$B$19</f>
        <v>Rock</v>
      </c>
      <c r="F274" s="46">
        <v>1</v>
      </c>
    </row>
    <row r="275" spans="1:6" ht="12.75" x14ac:dyDescent="0.2">
      <c r="A275" s="5"/>
      <c r="B275" s="43">
        <f>'Game Data'!$A$5</f>
        <v>17</v>
      </c>
      <c r="C275" s="44" t="str">
        <f>'Game Data'!$B$5</f>
        <v>Dark</v>
      </c>
      <c r="D275" s="43">
        <f>'Game Data'!$A$19</f>
        <v>6</v>
      </c>
      <c r="E275" s="45" t="str">
        <f>'Game Data'!$B$19</f>
        <v>Rock</v>
      </c>
      <c r="F275" s="46">
        <v>1</v>
      </c>
    </row>
    <row r="276" spans="1:6" ht="12.75" x14ac:dyDescent="0.2">
      <c r="A276" s="5"/>
      <c r="B276" s="43">
        <f>'Game Data'!$A$6</f>
        <v>16</v>
      </c>
      <c r="C276" s="44" t="str">
        <f>'Game Data'!$B$6</f>
        <v>Dragon</v>
      </c>
      <c r="D276" s="43">
        <f>'Game Data'!$A$19</f>
        <v>6</v>
      </c>
      <c r="E276" s="45" t="str">
        <f>'Game Data'!$B$19</f>
        <v>Rock</v>
      </c>
      <c r="F276" s="46">
        <v>1</v>
      </c>
    </row>
    <row r="277" spans="1:6" ht="12.75" x14ac:dyDescent="0.2">
      <c r="A277" s="5"/>
      <c r="B277" s="43">
        <f>'Game Data'!$A$7</f>
        <v>13</v>
      </c>
      <c r="C277" s="44" t="str">
        <f>'Game Data'!$B$7</f>
        <v>Electric</v>
      </c>
      <c r="D277" s="43">
        <f>'Game Data'!$A$19</f>
        <v>6</v>
      </c>
      <c r="E277" s="45" t="str">
        <f>'Game Data'!$B$19</f>
        <v>Rock</v>
      </c>
      <c r="F277" s="46">
        <v>1</v>
      </c>
    </row>
    <row r="278" spans="1:6" ht="12.75" x14ac:dyDescent="0.2">
      <c r="A278" s="5"/>
      <c r="B278" s="43">
        <f>'Game Data'!$A$8</f>
        <v>18</v>
      </c>
      <c r="C278" s="44" t="str">
        <f>'Game Data'!$B$8</f>
        <v>Fairy</v>
      </c>
      <c r="D278" s="43">
        <f>'Game Data'!$A$19</f>
        <v>6</v>
      </c>
      <c r="E278" s="45" t="str">
        <f>'Game Data'!$B$19</f>
        <v>Rock</v>
      </c>
      <c r="F278" s="46">
        <v>1</v>
      </c>
    </row>
    <row r="279" spans="1:6" ht="12.75" x14ac:dyDescent="0.2">
      <c r="A279" s="5"/>
      <c r="B279" s="43">
        <f>'Game Data'!$A$9</f>
        <v>2</v>
      </c>
      <c r="C279" s="44" t="str">
        <f>'Game Data'!$B$9</f>
        <v>Fighting</v>
      </c>
      <c r="D279" s="43">
        <f>'Game Data'!$A$19</f>
        <v>6</v>
      </c>
      <c r="E279" s="45" t="str">
        <f>'Game Data'!$B$19</f>
        <v>Rock</v>
      </c>
      <c r="F279" s="46">
        <v>1.25</v>
      </c>
    </row>
    <row r="280" spans="1:6" ht="12.75" x14ac:dyDescent="0.2">
      <c r="A280" s="5"/>
      <c r="B280" s="43">
        <f>'Game Data'!$A$10</f>
        <v>10</v>
      </c>
      <c r="C280" s="44" t="str">
        <f>'Game Data'!$B$10</f>
        <v>Fire</v>
      </c>
      <c r="D280" s="43">
        <f>'Game Data'!$A$19</f>
        <v>6</v>
      </c>
      <c r="E280" s="45" t="str">
        <f>'Game Data'!$B$19</f>
        <v>Rock</v>
      </c>
      <c r="F280" s="46">
        <v>0.8</v>
      </c>
    </row>
    <row r="281" spans="1:6" ht="12.75" x14ac:dyDescent="0.2">
      <c r="A281" s="5"/>
      <c r="B281" s="43">
        <f>'Game Data'!$A$11</f>
        <v>3</v>
      </c>
      <c r="C281" s="44" t="str">
        <f>'Game Data'!$B$11</f>
        <v>Flying</v>
      </c>
      <c r="D281" s="43">
        <f>'Game Data'!$A$19</f>
        <v>6</v>
      </c>
      <c r="E281" s="45" t="str">
        <f>'Game Data'!$B$19</f>
        <v>Rock</v>
      </c>
      <c r="F281" s="46">
        <v>0.8</v>
      </c>
    </row>
    <row r="282" spans="1:6" ht="12.75" x14ac:dyDescent="0.2">
      <c r="A282" s="5"/>
      <c r="B282" s="43">
        <f>'Game Data'!$A$12</f>
        <v>8</v>
      </c>
      <c r="C282" s="44" t="str">
        <f>'Game Data'!$B$12</f>
        <v>Ghost</v>
      </c>
      <c r="D282" s="43">
        <f>'Game Data'!$A$19</f>
        <v>6</v>
      </c>
      <c r="E282" s="45" t="str">
        <f>'Game Data'!$B$19</f>
        <v>Rock</v>
      </c>
      <c r="F282" s="46">
        <v>1</v>
      </c>
    </row>
    <row r="283" spans="1:6" ht="12.75" x14ac:dyDescent="0.2">
      <c r="A283" s="5"/>
      <c r="B283" s="43">
        <f>'Game Data'!$A$13</f>
        <v>12</v>
      </c>
      <c r="C283" s="44" t="str">
        <f>'Game Data'!$B$13</f>
        <v>Grass</v>
      </c>
      <c r="D283" s="43">
        <f>'Game Data'!$A$19</f>
        <v>6</v>
      </c>
      <c r="E283" s="45" t="str">
        <f>'Game Data'!$B$19</f>
        <v>Rock</v>
      </c>
      <c r="F283" s="46">
        <v>1.25</v>
      </c>
    </row>
    <row r="284" spans="1:6" ht="12.75" x14ac:dyDescent="0.2">
      <c r="A284" s="5"/>
      <c r="B284" s="43">
        <f>'Game Data'!$A$14</f>
        <v>5</v>
      </c>
      <c r="C284" s="44" t="str">
        <f>'Game Data'!$B$14</f>
        <v>Ground</v>
      </c>
      <c r="D284" s="43">
        <f>'Game Data'!$A$19</f>
        <v>6</v>
      </c>
      <c r="E284" s="45" t="str">
        <f>'Game Data'!$B$19</f>
        <v>Rock</v>
      </c>
      <c r="F284" s="46">
        <v>1.25</v>
      </c>
    </row>
    <row r="285" spans="1:6" ht="12.75" x14ac:dyDescent="0.2">
      <c r="A285" s="5"/>
      <c r="B285" s="43">
        <f>'Game Data'!$A$15</f>
        <v>15</v>
      </c>
      <c r="C285" s="44" t="str">
        <f>'Game Data'!$B$15</f>
        <v>Ice</v>
      </c>
      <c r="D285" s="43">
        <f>'Game Data'!$A$19</f>
        <v>6</v>
      </c>
      <c r="E285" s="45" t="str">
        <f>'Game Data'!$B$19</f>
        <v>Rock</v>
      </c>
      <c r="F285" s="46">
        <v>1</v>
      </c>
    </row>
    <row r="286" spans="1:6" ht="12.75" x14ac:dyDescent="0.2">
      <c r="A286" s="5"/>
      <c r="B286" s="43">
        <f>'Game Data'!$A$16</f>
        <v>1</v>
      </c>
      <c r="C286" s="44" t="str">
        <f>'Game Data'!$B$16</f>
        <v>Normal</v>
      </c>
      <c r="D286" s="43">
        <f>'Game Data'!$A$19</f>
        <v>6</v>
      </c>
      <c r="E286" s="45" t="str">
        <f>'Game Data'!$B$19</f>
        <v>Rock</v>
      </c>
      <c r="F286" s="46">
        <v>0.8</v>
      </c>
    </row>
    <row r="287" spans="1:6" ht="12.75" x14ac:dyDescent="0.2">
      <c r="A287" s="5"/>
      <c r="B287" s="43">
        <f>'Game Data'!$A$17</f>
        <v>4</v>
      </c>
      <c r="C287" s="44" t="str">
        <f>'Game Data'!$B$17</f>
        <v>Poison</v>
      </c>
      <c r="D287" s="43">
        <f>'Game Data'!$A$19</f>
        <v>6</v>
      </c>
      <c r="E287" s="45" t="str">
        <f>'Game Data'!$B$19</f>
        <v>Rock</v>
      </c>
      <c r="F287" s="46">
        <v>0.8</v>
      </c>
    </row>
    <row r="288" spans="1:6" ht="12.75" x14ac:dyDescent="0.2">
      <c r="A288" s="5"/>
      <c r="B288" s="43">
        <f>'Game Data'!$A$18</f>
        <v>14</v>
      </c>
      <c r="C288" s="44" t="str">
        <f>'Game Data'!$B$18</f>
        <v>Psychic</v>
      </c>
      <c r="D288" s="43">
        <f>'Game Data'!$A$19</f>
        <v>6</v>
      </c>
      <c r="E288" s="45" t="str">
        <f>'Game Data'!$B$19</f>
        <v>Rock</v>
      </c>
      <c r="F288" s="46">
        <v>1</v>
      </c>
    </row>
    <row r="289" spans="1:6" ht="12.75" x14ac:dyDescent="0.2">
      <c r="A289" s="5"/>
      <c r="B289" s="43">
        <f>'Game Data'!$A$19</f>
        <v>6</v>
      </c>
      <c r="C289" s="44" t="str">
        <f>'Game Data'!$B$19</f>
        <v>Rock</v>
      </c>
      <c r="D289" s="43">
        <f>'Game Data'!$A$19</f>
        <v>6</v>
      </c>
      <c r="E289" s="45" t="str">
        <f>'Game Data'!$B$19</f>
        <v>Rock</v>
      </c>
      <c r="F289" s="46">
        <v>1</v>
      </c>
    </row>
    <row r="290" spans="1:6" ht="12.75" x14ac:dyDescent="0.2">
      <c r="A290" s="5"/>
      <c r="B290" s="43">
        <f>'Game Data'!$A$20</f>
        <v>9</v>
      </c>
      <c r="C290" s="44" t="str">
        <f>'Game Data'!$B$20</f>
        <v>Steel</v>
      </c>
      <c r="D290" s="43">
        <f>'Game Data'!$A$19</f>
        <v>6</v>
      </c>
      <c r="E290" s="45" t="str">
        <f>'Game Data'!$B$19</f>
        <v>Rock</v>
      </c>
      <c r="F290" s="46">
        <v>1.25</v>
      </c>
    </row>
    <row r="291" spans="1:6" ht="12.75" x14ac:dyDescent="0.2">
      <c r="A291" s="5"/>
      <c r="B291" s="43">
        <f>'Game Data'!$A$21</f>
        <v>11</v>
      </c>
      <c r="C291" s="44" t="str">
        <f>'Game Data'!$B$21</f>
        <v>Water</v>
      </c>
      <c r="D291" s="43">
        <f>'Game Data'!$A$19</f>
        <v>6</v>
      </c>
      <c r="E291" s="45" t="str">
        <f>'Game Data'!$B$19</f>
        <v>Rock</v>
      </c>
      <c r="F291" s="46">
        <v>1.25</v>
      </c>
    </row>
    <row r="292" spans="1:6" ht="12.75" x14ac:dyDescent="0.2">
      <c r="A292" s="5"/>
      <c r="B292" s="43">
        <f>'Game Data'!$A$4</f>
        <v>7</v>
      </c>
      <c r="C292" s="44" t="str">
        <f>'Game Data'!$B$4</f>
        <v>Bug</v>
      </c>
      <c r="D292" s="43">
        <f>'Game Data'!$A$20</f>
        <v>9</v>
      </c>
      <c r="E292" s="45" t="str">
        <f>'Game Data'!$B$20</f>
        <v>Steel</v>
      </c>
      <c r="F292" s="46">
        <v>0.8</v>
      </c>
    </row>
    <row r="293" spans="1:6" ht="12.75" x14ac:dyDescent="0.2">
      <c r="A293" s="5"/>
      <c r="B293" s="43">
        <f>'Game Data'!$A$5</f>
        <v>17</v>
      </c>
      <c r="C293" s="44" t="str">
        <f>'Game Data'!$B$5</f>
        <v>Dark</v>
      </c>
      <c r="D293" s="43">
        <f>'Game Data'!$A$20</f>
        <v>9</v>
      </c>
      <c r="E293" s="45" t="str">
        <f>'Game Data'!$B$20</f>
        <v>Steel</v>
      </c>
      <c r="F293" s="46">
        <v>0.8</v>
      </c>
    </row>
    <row r="294" spans="1:6" ht="12.75" x14ac:dyDescent="0.2">
      <c r="A294" s="5"/>
      <c r="B294" s="43">
        <f>'Game Data'!$A$6</f>
        <v>16</v>
      </c>
      <c r="C294" s="44" t="str">
        <f>'Game Data'!$B$6</f>
        <v>Dragon</v>
      </c>
      <c r="D294" s="43">
        <f>'Game Data'!$A$20</f>
        <v>9</v>
      </c>
      <c r="E294" s="45" t="str">
        <f>'Game Data'!$B$20</f>
        <v>Steel</v>
      </c>
      <c r="F294" s="46">
        <v>1</v>
      </c>
    </row>
    <row r="295" spans="1:6" ht="12.75" x14ac:dyDescent="0.2">
      <c r="A295" s="5"/>
      <c r="B295" s="43">
        <f>'Game Data'!$A$7</f>
        <v>13</v>
      </c>
      <c r="C295" s="44" t="str">
        <f>'Game Data'!$B$7</f>
        <v>Electric</v>
      </c>
      <c r="D295" s="43">
        <f>'Game Data'!$A$20</f>
        <v>9</v>
      </c>
      <c r="E295" s="45" t="str">
        <f>'Game Data'!$B$20</f>
        <v>Steel</v>
      </c>
      <c r="F295" s="46">
        <v>1</v>
      </c>
    </row>
    <row r="296" spans="1:6" ht="12.75" x14ac:dyDescent="0.2">
      <c r="A296" s="5"/>
      <c r="B296" s="43">
        <f>'Game Data'!$A$8</f>
        <v>18</v>
      </c>
      <c r="C296" s="44" t="str">
        <f>'Game Data'!$B$8</f>
        <v>Fairy</v>
      </c>
      <c r="D296" s="43">
        <f>'Game Data'!$A$20</f>
        <v>9</v>
      </c>
      <c r="E296" s="45" t="str">
        <f>'Game Data'!$B$20</f>
        <v>Steel</v>
      </c>
      <c r="F296" s="46">
        <v>0.8</v>
      </c>
    </row>
    <row r="297" spans="1:6" ht="12.75" x14ac:dyDescent="0.2">
      <c r="A297" s="5"/>
      <c r="B297" s="43">
        <f>'Game Data'!$A$9</f>
        <v>2</v>
      </c>
      <c r="C297" s="44" t="str">
        <f>'Game Data'!$B$9</f>
        <v>Fighting</v>
      </c>
      <c r="D297" s="43">
        <f>'Game Data'!$A$20</f>
        <v>9</v>
      </c>
      <c r="E297" s="45" t="str">
        <f>'Game Data'!$B$20</f>
        <v>Steel</v>
      </c>
      <c r="F297" s="46">
        <v>1.25</v>
      </c>
    </row>
    <row r="298" spans="1:6" ht="12.75" x14ac:dyDescent="0.2">
      <c r="A298" s="5"/>
      <c r="B298" s="43">
        <f>'Game Data'!$A$10</f>
        <v>10</v>
      </c>
      <c r="C298" s="44" t="str">
        <f>'Game Data'!$B$10</f>
        <v>Fire</v>
      </c>
      <c r="D298" s="43">
        <f>'Game Data'!$A$20</f>
        <v>9</v>
      </c>
      <c r="E298" s="45" t="str">
        <f>'Game Data'!$B$20</f>
        <v>Steel</v>
      </c>
      <c r="F298" s="46">
        <v>1.25</v>
      </c>
    </row>
    <row r="299" spans="1:6" ht="12.75" x14ac:dyDescent="0.2">
      <c r="A299" s="5"/>
      <c r="B299" s="43">
        <f>'Game Data'!$A$11</f>
        <v>3</v>
      </c>
      <c r="C299" s="44" t="str">
        <f>'Game Data'!$B$11</f>
        <v>Flying</v>
      </c>
      <c r="D299" s="43">
        <f>'Game Data'!$A$20</f>
        <v>9</v>
      </c>
      <c r="E299" s="45" t="str">
        <f>'Game Data'!$B$20</f>
        <v>Steel</v>
      </c>
      <c r="F299" s="46">
        <v>0.8</v>
      </c>
    </row>
    <row r="300" spans="1:6" ht="12.75" x14ac:dyDescent="0.2">
      <c r="A300" s="5"/>
      <c r="B300" s="43">
        <f>'Game Data'!$A$12</f>
        <v>8</v>
      </c>
      <c r="C300" s="44" t="str">
        <f>'Game Data'!$B$12</f>
        <v>Ghost</v>
      </c>
      <c r="D300" s="43">
        <f>'Game Data'!$A$20</f>
        <v>9</v>
      </c>
      <c r="E300" s="45" t="str">
        <f>'Game Data'!$B$20</f>
        <v>Steel</v>
      </c>
      <c r="F300" s="46">
        <v>1</v>
      </c>
    </row>
    <row r="301" spans="1:6" ht="12.75" x14ac:dyDescent="0.2">
      <c r="A301" s="5"/>
      <c r="B301" s="43">
        <f>'Game Data'!$A$13</f>
        <v>12</v>
      </c>
      <c r="C301" s="44" t="str">
        <f>'Game Data'!$B$13</f>
        <v>Grass</v>
      </c>
      <c r="D301" s="43">
        <f>'Game Data'!$A$20</f>
        <v>9</v>
      </c>
      <c r="E301" s="45" t="str">
        <f>'Game Data'!$B$20</f>
        <v>Steel</v>
      </c>
      <c r="F301" s="46">
        <v>0.8</v>
      </c>
    </row>
    <row r="302" spans="1:6" ht="12.75" x14ac:dyDescent="0.2">
      <c r="A302" s="5"/>
      <c r="B302" s="43">
        <f>'Game Data'!$A$14</f>
        <v>5</v>
      </c>
      <c r="C302" s="44" t="str">
        <f>'Game Data'!$B$14</f>
        <v>Ground</v>
      </c>
      <c r="D302" s="43">
        <f>'Game Data'!$A$20</f>
        <v>9</v>
      </c>
      <c r="E302" s="45" t="str">
        <f>'Game Data'!$B$20</f>
        <v>Steel</v>
      </c>
      <c r="F302" s="46">
        <v>1.25</v>
      </c>
    </row>
    <row r="303" spans="1:6" ht="12.75" x14ac:dyDescent="0.2">
      <c r="A303" s="5"/>
      <c r="B303" s="43">
        <f>'Game Data'!$A$15</f>
        <v>15</v>
      </c>
      <c r="C303" s="44" t="str">
        <f>'Game Data'!$B$15</f>
        <v>Ice</v>
      </c>
      <c r="D303" s="43">
        <f>'Game Data'!$A$20</f>
        <v>9</v>
      </c>
      <c r="E303" s="45" t="str">
        <f>'Game Data'!$B$20</f>
        <v>Steel</v>
      </c>
      <c r="F303" s="46">
        <v>0.8</v>
      </c>
    </row>
    <row r="304" spans="1:6" ht="12.75" x14ac:dyDescent="0.2">
      <c r="A304" s="5"/>
      <c r="B304" s="43">
        <f>'Game Data'!$A$16</f>
        <v>1</v>
      </c>
      <c r="C304" s="44" t="str">
        <f>'Game Data'!$B$16</f>
        <v>Normal</v>
      </c>
      <c r="D304" s="43">
        <f>'Game Data'!$A$20</f>
        <v>9</v>
      </c>
      <c r="E304" s="45" t="str">
        <f>'Game Data'!$B$20</f>
        <v>Steel</v>
      </c>
      <c r="F304" s="46">
        <v>0.8</v>
      </c>
    </row>
    <row r="305" spans="1:6" ht="12.75" x14ac:dyDescent="0.2">
      <c r="A305" s="5"/>
      <c r="B305" s="43">
        <f>'Game Data'!$A$17</f>
        <v>4</v>
      </c>
      <c r="C305" s="44" t="str">
        <f>'Game Data'!$B$17</f>
        <v>Poison</v>
      </c>
      <c r="D305" s="43">
        <f>'Game Data'!$A$20</f>
        <v>9</v>
      </c>
      <c r="E305" s="45" t="str">
        <f>'Game Data'!$B$20</f>
        <v>Steel</v>
      </c>
      <c r="F305" s="46">
        <v>0.8</v>
      </c>
    </row>
    <row r="306" spans="1:6" ht="12.75" x14ac:dyDescent="0.2">
      <c r="A306" s="5"/>
      <c r="B306" s="43">
        <f>'Game Data'!$A$18</f>
        <v>14</v>
      </c>
      <c r="C306" s="44" t="str">
        <f>'Game Data'!$B$18</f>
        <v>Psychic</v>
      </c>
      <c r="D306" s="43">
        <f>'Game Data'!$A$20</f>
        <v>9</v>
      </c>
      <c r="E306" s="45" t="str">
        <f>'Game Data'!$B$20</f>
        <v>Steel</v>
      </c>
      <c r="F306" s="46">
        <v>0.8</v>
      </c>
    </row>
    <row r="307" spans="1:6" ht="12.75" x14ac:dyDescent="0.2">
      <c r="A307" s="5"/>
      <c r="B307" s="43">
        <f>'Game Data'!$A$19</f>
        <v>6</v>
      </c>
      <c r="C307" s="44" t="str">
        <f>'Game Data'!$B$19</f>
        <v>Rock</v>
      </c>
      <c r="D307" s="43">
        <f>'Game Data'!$A$20</f>
        <v>9</v>
      </c>
      <c r="E307" s="45" t="str">
        <f>'Game Data'!$B$20</f>
        <v>Steel</v>
      </c>
      <c r="F307" s="46">
        <v>0.8</v>
      </c>
    </row>
    <row r="308" spans="1:6" ht="12.75" x14ac:dyDescent="0.2">
      <c r="A308" s="5"/>
      <c r="B308" s="43">
        <f>'Game Data'!$A$20</f>
        <v>9</v>
      </c>
      <c r="C308" s="44" t="str">
        <f>'Game Data'!$B$20</f>
        <v>Steel</v>
      </c>
      <c r="D308" s="43">
        <f>'Game Data'!$A$20</f>
        <v>9</v>
      </c>
      <c r="E308" s="45" t="str">
        <f>'Game Data'!$B$20</f>
        <v>Steel</v>
      </c>
      <c r="F308" s="46">
        <v>0.8</v>
      </c>
    </row>
    <row r="309" spans="1:6" ht="12.75" x14ac:dyDescent="0.2">
      <c r="A309" s="5"/>
      <c r="B309" s="43">
        <f>'Game Data'!$A$21</f>
        <v>11</v>
      </c>
      <c r="C309" s="44" t="str">
        <f>'Game Data'!$B$21</f>
        <v>Water</v>
      </c>
      <c r="D309" s="43">
        <f>'Game Data'!$A$20</f>
        <v>9</v>
      </c>
      <c r="E309" s="45" t="str">
        <f>'Game Data'!$B$20</f>
        <v>Steel</v>
      </c>
      <c r="F309" s="46">
        <v>1</v>
      </c>
    </row>
    <row r="310" spans="1:6" ht="12.75" x14ac:dyDescent="0.2">
      <c r="A310" s="5"/>
      <c r="B310" s="43">
        <f>'Game Data'!$A$4</f>
        <v>7</v>
      </c>
      <c r="C310" s="44" t="str">
        <f>'Game Data'!$B$4</f>
        <v>Bug</v>
      </c>
      <c r="D310" s="43">
        <f>'Game Data'!$A$21</f>
        <v>11</v>
      </c>
      <c r="E310" s="45" t="str">
        <f>'Game Data'!$B$21</f>
        <v>Water</v>
      </c>
      <c r="F310" s="46">
        <v>1</v>
      </c>
    </row>
    <row r="311" spans="1:6" ht="12.75" x14ac:dyDescent="0.2">
      <c r="A311" s="5"/>
      <c r="B311" s="43">
        <f>'Game Data'!$A$5</f>
        <v>17</v>
      </c>
      <c r="C311" s="44" t="str">
        <f>'Game Data'!$B$5</f>
        <v>Dark</v>
      </c>
      <c r="D311" s="43">
        <f>'Game Data'!$A$21</f>
        <v>11</v>
      </c>
      <c r="E311" s="45" t="str">
        <f>'Game Data'!$B$21</f>
        <v>Water</v>
      </c>
      <c r="F311" s="46">
        <v>1</v>
      </c>
    </row>
    <row r="312" spans="1:6" ht="12.75" x14ac:dyDescent="0.2">
      <c r="A312" s="5"/>
      <c r="B312" s="43">
        <f>'Game Data'!$A$6</f>
        <v>16</v>
      </c>
      <c r="C312" s="44" t="str">
        <f>'Game Data'!$B$6</f>
        <v>Dragon</v>
      </c>
      <c r="D312" s="43">
        <f>'Game Data'!$A$21</f>
        <v>11</v>
      </c>
      <c r="E312" s="45" t="str">
        <f>'Game Data'!$B$21</f>
        <v>Water</v>
      </c>
      <c r="F312" s="46">
        <v>1</v>
      </c>
    </row>
    <row r="313" spans="1:6" ht="12.75" x14ac:dyDescent="0.2">
      <c r="A313" s="5"/>
      <c r="B313" s="43">
        <f>'Game Data'!$A$7</f>
        <v>13</v>
      </c>
      <c r="C313" s="44" t="str">
        <f>'Game Data'!$B$7</f>
        <v>Electric</v>
      </c>
      <c r="D313" s="43">
        <f>'Game Data'!$A$21</f>
        <v>11</v>
      </c>
      <c r="E313" s="45" t="str">
        <f>'Game Data'!$B$21</f>
        <v>Water</v>
      </c>
      <c r="F313" s="46">
        <v>1.25</v>
      </c>
    </row>
    <row r="314" spans="1:6" ht="12.75" x14ac:dyDescent="0.2">
      <c r="A314" s="5"/>
      <c r="B314" s="43">
        <f>'Game Data'!$A$8</f>
        <v>18</v>
      </c>
      <c r="C314" s="44" t="str">
        <f>'Game Data'!$B$8</f>
        <v>Fairy</v>
      </c>
      <c r="D314" s="43">
        <f>'Game Data'!$A$21</f>
        <v>11</v>
      </c>
      <c r="E314" s="45" t="str">
        <f>'Game Data'!$B$21</f>
        <v>Water</v>
      </c>
      <c r="F314" s="46">
        <v>1</v>
      </c>
    </row>
    <row r="315" spans="1:6" ht="12.75" x14ac:dyDescent="0.2">
      <c r="A315" s="5"/>
      <c r="B315" s="43">
        <f>'Game Data'!$A$9</f>
        <v>2</v>
      </c>
      <c r="C315" s="44" t="str">
        <f>'Game Data'!$B$9</f>
        <v>Fighting</v>
      </c>
      <c r="D315" s="43">
        <f>'Game Data'!$A$21</f>
        <v>11</v>
      </c>
      <c r="E315" s="45" t="str">
        <f>'Game Data'!$B$21</f>
        <v>Water</v>
      </c>
      <c r="F315" s="46">
        <v>1</v>
      </c>
    </row>
    <row r="316" spans="1:6" ht="12.75" x14ac:dyDescent="0.2">
      <c r="A316" s="5"/>
      <c r="B316" s="43">
        <f>'Game Data'!$A$10</f>
        <v>10</v>
      </c>
      <c r="C316" s="44" t="str">
        <f>'Game Data'!$B$10</f>
        <v>Fire</v>
      </c>
      <c r="D316" s="43">
        <f>'Game Data'!$A$21</f>
        <v>11</v>
      </c>
      <c r="E316" s="45" t="str">
        <f>'Game Data'!$B$21</f>
        <v>Water</v>
      </c>
      <c r="F316" s="46">
        <v>0.8</v>
      </c>
    </row>
    <row r="317" spans="1:6" ht="12.75" x14ac:dyDescent="0.2">
      <c r="A317" s="5"/>
      <c r="B317" s="43">
        <f>'Game Data'!$A$11</f>
        <v>3</v>
      </c>
      <c r="C317" s="44" t="str">
        <f>'Game Data'!$B$11</f>
        <v>Flying</v>
      </c>
      <c r="D317" s="43">
        <f>'Game Data'!$A$21</f>
        <v>11</v>
      </c>
      <c r="E317" s="45" t="str">
        <f>'Game Data'!$B$21</f>
        <v>Water</v>
      </c>
      <c r="F317" s="46">
        <v>1</v>
      </c>
    </row>
    <row r="318" spans="1:6" ht="12.75" x14ac:dyDescent="0.2">
      <c r="A318" s="5"/>
      <c r="B318" s="43">
        <f>'Game Data'!$A$12</f>
        <v>8</v>
      </c>
      <c r="C318" s="44" t="str">
        <f>'Game Data'!$B$12</f>
        <v>Ghost</v>
      </c>
      <c r="D318" s="43">
        <f>'Game Data'!$A$21</f>
        <v>11</v>
      </c>
      <c r="E318" s="45" t="str">
        <f>'Game Data'!$B$21</f>
        <v>Water</v>
      </c>
      <c r="F318" s="46">
        <v>1</v>
      </c>
    </row>
    <row r="319" spans="1:6" ht="12.75" x14ac:dyDescent="0.2">
      <c r="A319" s="5"/>
      <c r="B319" s="43">
        <f>'Game Data'!$A$13</f>
        <v>12</v>
      </c>
      <c r="C319" s="44" t="str">
        <f>'Game Data'!$B$13</f>
        <v>Grass</v>
      </c>
      <c r="D319" s="43">
        <f>'Game Data'!$A$21</f>
        <v>11</v>
      </c>
      <c r="E319" s="45" t="str">
        <f>'Game Data'!$B$21</f>
        <v>Water</v>
      </c>
      <c r="F319" s="46">
        <v>1.25</v>
      </c>
    </row>
    <row r="320" spans="1:6" ht="12.75" x14ac:dyDescent="0.2">
      <c r="A320" s="5"/>
      <c r="B320" s="43">
        <f>'Game Data'!$A$14</f>
        <v>5</v>
      </c>
      <c r="C320" s="44" t="str">
        <f>'Game Data'!$B$14</f>
        <v>Ground</v>
      </c>
      <c r="D320" s="43">
        <f>'Game Data'!$A$21</f>
        <v>11</v>
      </c>
      <c r="E320" s="45" t="str">
        <f>'Game Data'!$B$21</f>
        <v>Water</v>
      </c>
      <c r="F320" s="46">
        <v>1</v>
      </c>
    </row>
    <row r="321" spans="1:6" ht="12.75" x14ac:dyDescent="0.2">
      <c r="A321" s="5"/>
      <c r="B321" s="43">
        <f>'Game Data'!$A$15</f>
        <v>15</v>
      </c>
      <c r="C321" s="44" t="str">
        <f>'Game Data'!$B$15</f>
        <v>Ice</v>
      </c>
      <c r="D321" s="43">
        <f>'Game Data'!$A$21</f>
        <v>11</v>
      </c>
      <c r="E321" s="45" t="str">
        <f>'Game Data'!$B$21</f>
        <v>Water</v>
      </c>
      <c r="F321" s="46">
        <v>0.8</v>
      </c>
    </row>
    <row r="322" spans="1:6" ht="12.75" x14ac:dyDescent="0.2">
      <c r="A322" s="5"/>
      <c r="B322" s="43">
        <f>'Game Data'!$A$16</f>
        <v>1</v>
      </c>
      <c r="C322" s="44" t="str">
        <f>'Game Data'!$B$16</f>
        <v>Normal</v>
      </c>
      <c r="D322" s="43">
        <f>'Game Data'!$A$21</f>
        <v>11</v>
      </c>
      <c r="E322" s="45" t="str">
        <f>'Game Data'!$B$21</f>
        <v>Water</v>
      </c>
      <c r="F322" s="46">
        <v>1</v>
      </c>
    </row>
    <row r="323" spans="1:6" ht="12.75" x14ac:dyDescent="0.2">
      <c r="A323" s="5"/>
      <c r="B323" s="43">
        <f>'Game Data'!$A$17</f>
        <v>4</v>
      </c>
      <c r="C323" s="44" t="str">
        <f>'Game Data'!$B$17</f>
        <v>Poison</v>
      </c>
      <c r="D323" s="43">
        <f>'Game Data'!$A$21</f>
        <v>11</v>
      </c>
      <c r="E323" s="45" t="str">
        <f>'Game Data'!$B$21</f>
        <v>Water</v>
      </c>
      <c r="F323" s="46">
        <v>1</v>
      </c>
    </row>
    <row r="324" spans="1:6" ht="12.75" x14ac:dyDescent="0.2">
      <c r="A324" s="5"/>
      <c r="B324" s="43">
        <f>'Game Data'!$A$18</f>
        <v>14</v>
      </c>
      <c r="C324" s="44" t="str">
        <f>'Game Data'!$B$18</f>
        <v>Psychic</v>
      </c>
      <c r="D324" s="43">
        <f>'Game Data'!$A$21</f>
        <v>11</v>
      </c>
      <c r="E324" s="45" t="str">
        <f>'Game Data'!$B$21</f>
        <v>Water</v>
      </c>
      <c r="F324" s="46">
        <v>1</v>
      </c>
    </row>
    <row r="325" spans="1:6" ht="12.75" x14ac:dyDescent="0.2">
      <c r="A325" s="5"/>
      <c r="B325" s="43">
        <f>'Game Data'!$A$19</f>
        <v>6</v>
      </c>
      <c r="C325" s="44" t="str">
        <f>'Game Data'!$B$19</f>
        <v>Rock</v>
      </c>
      <c r="D325" s="43">
        <f>'Game Data'!$A$21</f>
        <v>11</v>
      </c>
      <c r="E325" s="45" t="str">
        <f>'Game Data'!$B$21</f>
        <v>Water</v>
      </c>
      <c r="F325" s="46">
        <v>1</v>
      </c>
    </row>
    <row r="326" spans="1:6" ht="12.75" x14ac:dyDescent="0.2">
      <c r="A326" s="5"/>
      <c r="B326" s="43">
        <f>'Game Data'!$A$20</f>
        <v>9</v>
      </c>
      <c r="C326" s="44" t="str">
        <f>'Game Data'!$B$20</f>
        <v>Steel</v>
      </c>
      <c r="D326" s="43">
        <f>'Game Data'!$A$21</f>
        <v>11</v>
      </c>
      <c r="E326" s="45" t="str">
        <f>'Game Data'!$B$21</f>
        <v>Water</v>
      </c>
      <c r="F326" s="46">
        <v>0.8</v>
      </c>
    </row>
    <row r="327" spans="1:6" ht="12.75" x14ac:dyDescent="0.2">
      <c r="A327" s="5"/>
      <c r="B327" s="43">
        <f>'Game Data'!$A$21</f>
        <v>11</v>
      </c>
      <c r="C327" s="44" t="str">
        <f>'Game Data'!$B$21</f>
        <v>Water</v>
      </c>
      <c r="D327" s="43">
        <f>'Game Data'!$A$21</f>
        <v>11</v>
      </c>
      <c r="E327" s="45" t="str">
        <f>'Game Data'!$B$21</f>
        <v>Water</v>
      </c>
      <c r="F327" s="46">
        <v>0.8</v>
      </c>
    </row>
    <row r="328" spans="1:6" ht="12.75" x14ac:dyDescent="0.2">
      <c r="A328" s="5"/>
      <c r="B328" s="5"/>
      <c r="C328" s="84"/>
      <c r="D328" s="85"/>
      <c r="E328" s="85"/>
      <c r="F328" s="85"/>
    </row>
    <row r="329" spans="1:6" ht="12.75" x14ac:dyDescent="0.2">
      <c r="A329" s="5"/>
      <c r="B329" s="5"/>
      <c r="C329" s="84"/>
      <c r="D329" s="85"/>
      <c r="E329" s="85"/>
      <c r="F329" s="85"/>
    </row>
    <row r="330" spans="1:6" ht="12.75" x14ac:dyDescent="0.2">
      <c r="A330" s="5"/>
      <c r="B330" s="5"/>
      <c r="C330" s="84"/>
      <c r="D330" s="85"/>
      <c r="E330" s="85"/>
      <c r="F330" s="85"/>
    </row>
    <row r="331" spans="1:6" ht="12.75" x14ac:dyDescent="0.2">
      <c r="A331" s="5"/>
      <c r="B331" s="5"/>
      <c r="C331" s="84"/>
      <c r="D331" s="85"/>
      <c r="E331" s="85"/>
      <c r="F331" s="85"/>
    </row>
    <row r="332" spans="1:6" ht="12.75" x14ac:dyDescent="0.2">
      <c r="A332" s="5"/>
      <c r="B332" s="5"/>
      <c r="C332" s="84"/>
      <c r="D332" s="85"/>
      <c r="E332" s="85"/>
      <c r="F332" s="85"/>
    </row>
    <row r="333" spans="1:6" ht="12.75" x14ac:dyDescent="0.2">
      <c r="A333" s="5"/>
      <c r="B333" s="5"/>
      <c r="C333" s="84"/>
      <c r="D333" s="85"/>
      <c r="E333" s="85"/>
      <c r="F333" s="85"/>
    </row>
    <row r="334" spans="1:6" ht="12.75" x14ac:dyDescent="0.2">
      <c r="A334" s="5"/>
      <c r="B334" s="5"/>
      <c r="C334" s="84"/>
      <c r="D334" s="85"/>
      <c r="E334" s="85"/>
      <c r="F334" s="85"/>
    </row>
    <row r="335" spans="1:6" ht="12.75" x14ac:dyDescent="0.2">
      <c r="A335" s="5"/>
      <c r="B335" s="5"/>
      <c r="C335" s="84"/>
      <c r="D335" s="85"/>
      <c r="E335" s="85"/>
      <c r="F335" s="85"/>
    </row>
    <row r="336" spans="1:6" ht="12.75" x14ac:dyDescent="0.2">
      <c r="A336" s="5"/>
      <c r="B336" s="5"/>
      <c r="C336" s="84"/>
      <c r="D336" s="85"/>
      <c r="E336" s="85"/>
      <c r="F336" s="85"/>
    </row>
    <row r="337" spans="1:6" ht="12.75" x14ac:dyDescent="0.2">
      <c r="A337" s="5"/>
      <c r="B337" s="5"/>
      <c r="C337" s="84"/>
      <c r="D337" s="85"/>
      <c r="E337" s="85"/>
      <c r="F337" s="85"/>
    </row>
    <row r="338" spans="1:6" ht="12.75" x14ac:dyDescent="0.2">
      <c r="A338" s="5"/>
      <c r="B338" s="5"/>
      <c r="C338" s="84"/>
      <c r="D338" s="85"/>
      <c r="E338" s="85"/>
      <c r="F338" s="85"/>
    </row>
    <row r="339" spans="1:6" ht="12.75" x14ac:dyDescent="0.2">
      <c r="A339" s="5"/>
      <c r="B339" s="5"/>
      <c r="C339" s="84"/>
      <c r="D339" s="85"/>
      <c r="E339" s="85"/>
      <c r="F339" s="85"/>
    </row>
    <row r="340" spans="1:6" ht="12.75" x14ac:dyDescent="0.2">
      <c r="A340" s="5"/>
      <c r="B340" s="5"/>
      <c r="C340" s="84"/>
      <c r="D340" s="85"/>
      <c r="E340" s="85"/>
      <c r="F340" s="85"/>
    </row>
    <row r="341" spans="1:6" ht="12.75" x14ac:dyDescent="0.2">
      <c r="A341" s="5"/>
      <c r="B341" s="5"/>
      <c r="C341" s="84"/>
      <c r="D341" s="85"/>
      <c r="E341" s="85"/>
      <c r="F341" s="85"/>
    </row>
    <row r="342" spans="1:6" ht="12.75" x14ac:dyDescent="0.2">
      <c r="A342" s="5"/>
      <c r="B342" s="5"/>
      <c r="C342" s="84"/>
      <c r="D342" s="85"/>
      <c r="E342" s="85"/>
      <c r="F342" s="85"/>
    </row>
    <row r="343" spans="1:6" ht="12.75" x14ac:dyDescent="0.2">
      <c r="A343" s="5"/>
      <c r="B343" s="5"/>
      <c r="C343" s="84"/>
      <c r="D343" s="85"/>
      <c r="E343" s="85"/>
      <c r="F343" s="85"/>
    </row>
    <row r="344" spans="1:6" ht="12.75" x14ac:dyDescent="0.2">
      <c r="A344" s="5"/>
      <c r="B344" s="5"/>
      <c r="C344" s="84"/>
      <c r="D344" s="85"/>
      <c r="E344" s="85"/>
      <c r="F344" s="85"/>
    </row>
    <row r="345" spans="1:6" ht="12.75" x14ac:dyDescent="0.2">
      <c r="A345" s="5"/>
      <c r="B345" s="5"/>
      <c r="C345" s="84"/>
      <c r="D345" s="85"/>
      <c r="E345" s="85"/>
      <c r="F345" s="85"/>
    </row>
    <row r="346" spans="1:6" ht="12.75" x14ac:dyDescent="0.2">
      <c r="A346" s="85"/>
      <c r="B346" s="85"/>
      <c r="D346" s="85"/>
    </row>
    <row r="347" spans="1:6" ht="12.75" x14ac:dyDescent="0.2">
      <c r="A347" s="85"/>
      <c r="B347" s="85"/>
      <c r="D347" s="85"/>
    </row>
    <row r="348" spans="1:6" ht="12.75" x14ac:dyDescent="0.2">
      <c r="A348" s="85"/>
      <c r="B348" s="85"/>
      <c r="D348" s="85"/>
    </row>
    <row r="349" spans="1:6" ht="12.75" x14ac:dyDescent="0.2">
      <c r="A349" s="85"/>
      <c r="B349" s="85"/>
      <c r="D349" s="85"/>
    </row>
    <row r="350" spans="1:6" ht="12.75" x14ac:dyDescent="0.2">
      <c r="A350" s="85"/>
      <c r="B350" s="85"/>
      <c r="D350" s="85"/>
    </row>
    <row r="351" spans="1:6" ht="12.75" x14ac:dyDescent="0.2">
      <c r="A351" s="85"/>
      <c r="B351" s="85"/>
      <c r="D351" s="85"/>
    </row>
    <row r="352" spans="1:6" ht="12.75" x14ac:dyDescent="0.2">
      <c r="A352" s="85"/>
      <c r="B352" s="85"/>
      <c r="D352" s="85"/>
    </row>
    <row r="353" spans="1:4" ht="12.75" x14ac:dyDescent="0.2">
      <c r="A353" s="85"/>
      <c r="B353" s="85"/>
      <c r="D353" s="85"/>
    </row>
    <row r="354" spans="1:4" ht="12.75" x14ac:dyDescent="0.2">
      <c r="A354" s="85"/>
      <c r="B354" s="85"/>
      <c r="D354" s="85"/>
    </row>
    <row r="355" spans="1:4" ht="12.75" x14ac:dyDescent="0.2">
      <c r="A355" s="85"/>
      <c r="B355" s="85"/>
      <c r="D355" s="85"/>
    </row>
    <row r="356" spans="1:4" ht="12.75" x14ac:dyDescent="0.2">
      <c r="A356" s="85"/>
      <c r="B356" s="85"/>
      <c r="D356" s="85"/>
    </row>
    <row r="357" spans="1:4" ht="12.75" x14ac:dyDescent="0.2">
      <c r="A357" s="85"/>
      <c r="B357" s="85"/>
      <c r="D357" s="85"/>
    </row>
    <row r="358" spans="1:4" ht="12.75" x14ac:dyDescent="0.2">
      <c r="A358" s="85"/>
      <c r="B358" s="85"/>
      <c r="D358" s="85"/>
    </row>
    <row r="359" spans="1:4" ht="12.75" x14ac:dyDescent="0.2">
      <c r="A359" s="85"/>
      <c r="B359" s="85"/>
      <c r="D359" s="85"/>
    </row>
    <row r="360" spans="1:4" ht="12.75" x14ac:dyDescent="0.2">
      <c r="A360" s="85"/>
      <c r="B360" s="85"/>
      <c r="D360" s="85"/>
    </row>
    <row r="361" spans="1:4" ht="12.75" x14ac:dyDescent="0.2">
      <c r="A361" s="85"/>
      <c r="B361" s="85"/>
      <c r="D361" s="85"/>
    </row>
    <row r="362" spans="1:4" ht="12.75" x14ac:dyDescent="0.2">
      <c r="A362" s="85"/>
      <c r="B362" s="85"/>
      <c r="D362" s="85"/>
    </row>
    <row r="363" spans="1:4" ht="12.75" x14ac:dyDescent="0.2">
      <c r="A363" s="85"/>
      <c r="B363" s="85"/>
      <c r="D363" s="85"/>
    </row>
    <row r="364" spans="1:4" ht="12.75" x14ac:dyDescent="0.2">
      <c r="A364" s="85"/>
      <c r="B364" s="85"/>
      <c r="D364" s="85"/>
    </row>
    <row r="365" spans="1:4" ht="12.75" x14ac:dyDescent="0.2">
      <c r="A365" s="85"/>
      <c r="B365" s="85"/>
      <c r="D365" s="85"/>
    </row>
    <row r="366" spans="1:4" ht="12.75" x14ac:dyDescent="0.2">
      <c r="A366" s="85"/>
      <c r="B366" s="85"/>
      <c r="D366" s="85"/>
    </row>
    <row r="367" spans="1:4" ht="12.75" x14ac:dyDescent="0.2">
      <c r="A367" s="85"/>
      <c r="B367" s="85"/>
      <c r="D367" s="85"/>
    </row>
    <row r="368" spans="1:4" ht="12.75" x14ac:dyDescent="0.2">
      <c r="A368" s="85"/>
      <c r="B368" s="85"/>
      <c r="D368" s="85"/>
    </row>
    <row r="369" spans="1:4" ht="12.75" x14ac:dyDescent="0.2">
      <c r="A369" s="85"/>
      <c r="B369" s="85"/>
      <c r="D369" s="85"/>
    </row>
    <row r="370" spans="1:4" ht="12.75" x14ac:dyDescent="0.2">
      <c r="A370" s="85"/>
      <c r="B370" s="85"/>
      <c r="D370" s="85"/>
    </row>
    <row r="371" spans="1:4" ht="12.75" x14ac:dyDescent="0.2">
      <c r="A371" s="85"/>
      <c r="B371" s="85"/>
      <c r="D371" s="85"/>
    </row>
    <row r="372" spans="1:4" ht="12.75" x14ac:dyDescent="0.2">
      <c r="A372" s="85"/>
      <c r="B372" s="85"/>
      <c r="D372" s="85"/>
    </row>
    <row r="373" spans="1:4" ht="12.75" x14ac:dyDescent="0.2">
      <c r="A373" s="85"/>
      <c r="B373" s="85"/>
      <c r="D373" s="85"/>
    </row>
    <row r="374" spans="1:4" ht="12.75" x14ac:dyDescent="0.2">
      <c r="A374" s="85"/>
      <c r="B374" s="85"/>
      <c r="D374" s="85"/>
    </row>
    <row r="375" spans="1:4" ht="12.75" x14ac:dyDescent="0.2">
      <c r="A375" s="85"/>
      <c r="B375" s="85"/>
      <c r="D375" s="85"/>
    </row>
    <row r="376" spans="1:4" ht="12.75" x14ac:dyDescent="0.2">
      <c r="A376" s="85"/>
      <c r="B376" s="85"/>
      <c r="D376" s="85"/>
    </row>
    <row r="377" spans="1:4" ht="12.75" x14ac:dyDescent="0.2">
      <c r="A377" s="85"/>
      <c r="B377" s="85"/>
      <c r="D377" s="85"/>
    </row>
    <row r="378" spans="1:4" ht="12.75" x14ac:dyDescent="0.2">
      <c r="A378" s="85"/>
      <c r="B378" s="85"/>
      <c r="D378" s="85"/>
    </row>
    <row r="379" spans="1:4" ht="12.75" x14ac:dyDescent="0.2">
      <c r="A379" s="85"/>
      <c r="B379" s="85"/>
      <c r="D379" s="85"/>
    </row>
    <row r="380" spans="1:4" ht="12.75" x14ac:dyDescent="0.2">
      <c r="A380" s="85"/>
      <c r="B380" s="85"/>
      <c r="D380" s="85"/>
    </row>
    <row r="381" spans="1:4" ht="12.75" x14ac:dyDescent="0.2">
      <c r="A381" s="85"/>
      <c r="B381" s="85"/>
      <c r="D381" s="85"/>
    </row>
    <row r="382" spans="1:4" ht="12.75" x14ac:dyDescent="0.2">
      <c r="A382" s="85"/>
      <c r="B382" s="85"/>
      <c r="D382" s="85"/>
    </row>
    <row r="383" spans="1:4" ht="12.75" x14ac:dyDescent="0.2">
      <c r="A383" s="85"/>
      <c r="B383" s="85"/>
      <c r="D383" s="85"/>
    </row>
    <row r="384" spans="1:4" ht="12.75" x14ac:dyDescent="0.2">
      <c r="A384" s="85"/>
      <c r="B384" s="85"/>
      <c r="D384" s="85"/>
    </row>
    <row r="385" spans="1:4" ht="12.75" x14ac:dyDescent="0.2">
      <c r="A385" s="85"/>
      <c r="B385" s="85"/>
      <c r="D385" s="85"/>
    </row>
    <row r="386" spans="1:4" ht="12.75" x14ac:dyDescent="0.2">
      <c r="A386" s="85"/>
      <c r="B386" s="85"/>
      <c r="D386" s="85"/>
    </row>
    <row r="387" spans="1:4" ht="12.75" x14ac:dyDescent="0.2">
      <c r="A387" s="85"/>
      <c r="B387" s="85"/>
      <c r="D387" s="85"/>
    </row>
    <row r="388" spans="1:4" ht="12.75" x14ac:dyDescent="0.2">
      <c r="A388" s="85"/>
      <c r="B388" s="85"/>
      <c r="D388" s="85"/>
    </row>
    <row r="389" spans="1:4" ht="12.75" x14ac:dyDescent="0.2">
      <c r="A389" s="85"/>
      <c r="B389" s="85"/>
      <c r="D389" s="85"/>
    </row>
    <row r="390" spans="1:4" ht="12.75" x14ac:dyDescent="0.2">
      <c r="A390" s="85"/>
      <c r="B390" s="85"/>
      <c r="D390" s="85"/>
    </row>
    <row r="391" spans="1:4" ht="12.75" x14ac:dyDescent="0.2">
      <c r="A391" s="85"/>
      <c r="B391" s="85"/>
      <c r="D391" s="85"/>
    </row>
    <row r="392" spans="1:4" ht="12.75" x14ac:dyDescent="0.2">
      <c r="A392" s="85"/>
      <c r="B392" s="85"/>
      <c r="D392" s="85"/>
    </row>
    <row r="393" spans="1:4" ht="12.75" x14ac:dyDescent="0.2">
      <c r="A393" s="85"/>
      <c r="B393" s="85"/>
      <c r="D393" s="85"/>
    </row>
    <row r="394" spans="1:4" ht="12.75" x14ac:dyDescent="0.2">
      <c r="A394" s="85"/>
      <c r="B394" s="85"/>
      <c r="D394" s="85"/>
    </row>
    <row r="395" spans="1:4" ht="12.75" x14ac:dyDescent="0.2">
      <c r="A395" s="85"/>
      <c r="B395" s="85"/>
      <c r="D395" s="85"/>
    </row>
    <row r="396" spans="1:4" ht="12.75" x14ac:dyDescent="0.2">
      <c r="A396" s="85"/>
      <c r="B396" s="85"/>
      <c r="D396" s="85"/>
    </row>
    <row r="397" spans="1:4" ht="12.75" x14ac:dyDescent="0.2">
      <c r="A397" s="85"/>
      <c r="B397" s="85"/>
      <c r="D397" s="85"/>
    </row>
    <row r="398" spans="1:4" ht="12.75" x14ac:dyDescent="0.2">
      <c r="A398" s="85"/>
      <c r="B398" s="85"/>
      <c r="D398" s="85"/>
    </row>
    <row r="399" spans="1:4" ht="12.75" x14ac:dyDescent="0.2">
      <c r="A399" s="85"/>
      <c r="B399" s="85"/>
      <c r="D399" s="85"/>
    </row>
    <row r="400" spans="1:4" ht="12.75" x14ac:dyDescent="0.2">
      <c r="A400" s="85"/>
      <c r="B400" s="85"/>
      <c r="D400" s="85"/>
    </row>
    <row r="401" spans="1:4" ht="12.75" x14ac:dyDescent="0.2">
      <c r="A401" s="85"/>
      <c r="B401" s="85"/>
      <c r="D401" s="85"/>
    </row>
    <row r="402" spans="1:4" ht="12.75" x14ac:dyDescent="0.2">
      <c r="A402" s="85"/>
      <c r="B402" s="85"/>
      <c r="D402" s="85"/>
    </row>
    <row r="403" spans="1:4" ht="12.75" x14ac:dyDescent="0.2">
      <c r="A403" s="85"/>
      <c r="B403" s="85"/>
      <c r="D403" s="85"/>
    </row>
    <row r="404" spans="1:4" ht="12.75" x14ac:dyDescent="0.2">
      <c r="A404" s="85"/>
      <c r="B404" s="85"/>
      <c r="D404" s="85"/>
    </row>
    <row r="405" spans="1:4" ht="12.75" x14ac:dyDescent="0.2">
      <c r="A405" s="85"/>
      <c r="B405" s="85"/>
      <c r="D405" s="85"/>
    </row>
    <row r="406" spans="1:4" ht="12.75" x14ac:dyDescent="0.2">
      <c r="A406" s="85"/>
      <c r="B406" s="85"/>
      <c r="D406" s="85"/>
    </row>
    <row r="407" spans="1:4" ht="12.75" x14ac:dyDescent="0.2">
      <c r="A407" s="85"/>
      <c r="B407" s="85"/>
      <c r="D407" s="85"/>
    </row>
    <row r="408" spans="1:4" ht="12.75" x14ac:dyDescent="0.2">
      <c r="A408" s="85"/>
      <c r="B408" s="85"/>
      <c r="D408" s="85"/>
    </row>
    <row r="409" spans="1:4" ht="12.75" x14ac:dyDescent="0.2">
      <c r="A409" s="85"/>
      <c r="B409" s="85"/>
      <c r="D409" s="85"/>
    </row>
    <row r="410" spans="1:4" ht="12.75" x14ac:dyDescent="0.2">
      <c r="A410" s="85"/>
      <c r="B410" s="85"/>
      <c r="D410" s="85"/>
    </row>
    <row r="411" spans="1:4" ht="12.75" x14ac:dyDescent="0.2">
      <c r="A411" s="85"/>
      <c r="B411" s="85"/>
      <c r="D411" s="85"/>
    </row>
    <row r="412" spans="1:4" ht="12.75" x14ac:dyDescent="0.2">
      <c r="A412" s="85"/>
      <c r="B412" s="85"/>
      <c r="D412" s="85"/>
    </row>
    <row r="413" spans="1:4" ht="12.75" x14ac:dyDescent="0.2">
      <c r="A413" s="85"/>
      <c r="B413" s="85"/>
      <c r="D413" s="85"/>
    </row>
    <row r="414" spans="1:4" ht="12.75" x14ac:dyDescent="0.2">
      <c r="A414" s="85"/>
      <c r="B414" s="85"/>
      <c r="D414" s="85"/>
    </row>
    <row r="415" spans="1:4" ht="12.75" x14ac:dyDescent="0.2">
      <c r="A415" s="85"/>
      <c r="B415" s="85"/>
      <c r="D415" s="85"/>
    </row>
    <row r="416" spans="1:4" ht="12.75" x14ac:dyDescent="0.2">
      <c r="A416" s="85"/>
      <c r="B416" s="85"/>
      <c r="D416" s="85"/>
    </row>
    <row r="417" spans="1:4" ht="12.75" x14ac:dyDescent="0.2">
      <c r="A417" s="85"/>
      <c r="B417" s="85"/>
      <c r="D417" s="85"/>
    </row>
    <row r="418" spans="1:4" ht="12.75" x14ac:dyDescent="0.2">
      <c r="A418" s="85"/>
      <c r="B418" s="85"/>
      <c r="D418" s="85"/>
    </row>
    <row r="419" spans="1:4" ht="12.75" x14ac:dyDescent="0.2">
      <c r="A419" s="85"/>
      <c r="B419" s="85"/>
      <c r="D419" s="85"/>
    </row>
    <row r="420" spans="1:4" ht="12.75" x14ac:dyDescent="0.2">
      <c r="A420" s="85"/>
      <c r="B420" s="85"/>
      <c r="D420" s="85"/>
    </row>
    <row r="421" spans="1:4" ht="12.75" x14ac:dyDescent="0.2">
      <c r="A421" s="85"/>
      <c r="B421" s="85"/>
      <c r="D421" s="85"/>
    </row>
    <row r="422" spans="1:4" ht="12.75" x14ac:dyDescent="0.2">
      <c r="A422" s="85"/>
      <c r="B422" s="85"/>
      <c r="D422" s="85"/>
    </row>
    <row r="423" spans="1:4" ht="12.75" x14ac:dyDescent="0.2">
      <c r="A423" s="85"/>
      <c r="B423" s="85"/>
      <c r="D423" s="85"/>
    </row>
    <row r="424" spans="1:4" ht="12.75" x14ac:dyDescent="0.2">
      <c r="A424" s="85"/>
      <c r="B424" s="85"/>
      <c r="D424" s="85"/>
    </row>
    <row r="425" spans="1:4" ht="12.75" x14ac:dyDescent="0.2">
      <c r="A425" s="85"/>
      <c r="B425" s="85"/>
      <c r="D425" s="85"/>
    </row>
    <row r="426" spans="1:4" ht="12.75" x14ac:dyDescent="0.2">
      <c r="A426" s="85"/>
      <c r="B426" s="85"/>
      <c r="D426" s="85"/>
    </row>
    <row r="427" spans="1:4" ht="12.75" x14ac:dyDescent="0.2">
      <c r="A427" s="85"/>
      <c r="B427" s="85"/>
      <c r="D427" s="85"/>
    </row>
    <row r="428" spans="1:4" ht="12.75" x14ac:dyDescent="0.2">
      <c r="A428" s="85"/>
      <c r="B428" s="85"/>
      <c r="D428" s="85"/>
    </row>
    <row r="429" spans="1:4" ht="12.75" x14ac:dyDescent="0.2">
      <c r="A429" s="85"/>
      <c r="B429" s="85"/>
      <c r="D429" s="85"/>
    </row>
    <row r="430" spans="1:4" ht="12.75" x14ac:dyDescent="0.2">
      <c r="A430" s="85"/>
      <c r="B430" s="85"/>
      <c r="D430" s="85"/>
    </row>
    <row r="431" spans="1:4" ht="12.75" x14ac:dyDescent="0.2">
      <c r="A431" s="85"/>
      <c r="B431" s="85"/>
      <c r="D431" s="85"/>
    </row>
    <row r="432" spans="1:4" ht="12.75" x14ac:dyDescent="0.2">
      <c r="A432" s="85"/>
      <c r="B432" s="85"/>
      <c r="D432" s="85"/>
    </row>
    <row r="433" spans="1:4" ht="12.75" x14ac:dyDescent="0.2">
      <c r="A433" s="85"/>
      <c r="B433" s="85"/>
      <c r="D433" s="85"/>
    </row>
    <row r="434" spans="1:4" ht="12.75" x14ac:dyDescent="0.2">
      <c r="A434" s="85"/>
      <c r="B434" s="85"/>
      <c r="D434" s="85"/>
    </row>
    <row r="435" spans="1:4" ht="12.75" x14ac:dyDescent="0.2">
      <c r="A435" s="85"/>
      <c r="B435" s="85"/>
      <c r="D435" s="85"/>
    </row>
    <row r="436" spans="1:4" ht="12.75" x14ac:dyDescent="0.2">
      <c r="A436" s="85"/>
      <c r="B436" s="85"/>
      <c r="D436" s="85"/>
    </row>
    <row r="437" spans="1:4" ht="12.75" x14ac:dyDescent="0.2">
      <c r="A437" s="85"/>
      <c r="B437" s="85"/>
      <c r="D437" s="85"/>
    </row>
    <row r="438" spans="1:4" ht="12.75" x14ac:dyDescent="0.2">
      <c r="A438" s="85"/>
      <c r="B438" s="85"/>
      <c r="D438" s="85"/>
    </row>
    <row r="439" spans="1:4" ht="12.75" x14ac:dyDescent="0.2">
      <c r="A439" s="85"/>
      <c r="B439" s="85"/>
      <c r="D439" s="85"/>
    </row>
    <row r="440" spans="1:4" ht="12.75" x14ac:dyDescent="0.2">
      <c r="A440" s="85"/>
      <c r="B440" s="85"/>
      <c r="D440" s="85"/>
    </row>
    <row r="441" spans="1:4" ht="12.75" x14ac:dyDescent="0.2">
      <c r="A441" s="85"/>
      <c r="B441" s="85"/>
      <c r="D441" s="85"/>
    </row>
    <row r="442" spans="1:4" ht="12.75" x14ac:dyDescent="0.2">
      <c r="A442" s="85"/>
      <c r="B442" s="85"/>
      <c r="D442" s="85"/>
    </row>
    <row r="443" spans="1:4" ht="12.75" x14ac:dyDescent="0.2">
      <c r="A443" s="85"/>
      <c r="B443" s="85"/>
      <c r="D443" s="85"/>
    </row>
    <row r="444" spans="1:4" ht="12.75" x14ac:dyDescent="0.2">
      <c r="A444" s="85"/>
      <c r="B444" s="85"/>
      <c r="D444" s="85"/>
    </row>
    <row r="445" spans="1:4" ht="12.75" x14ac:dyDescent="0.2">
      <c r="A445" s="85"/>
      <c r="B445" s="85"/>
      <c r="D445" s="85"/>
    </row>
    <row r="446" spans="1:4" ht="12.75" x14ac:dyDescent="0.2">
      <c r="A446" s="85"/>
      <c r="B446" s="85"/>
      <c r="D446" s="85"/>
    </row>
    <row r="447" spans="1:4" ht="12.75" x14ac:dyDescent="0.2">
      <c r="A447" s="85"/>
      <c r="B447" s="85"/>
      <c r="D447" s="85"/>
    </row>
    <row r="448" spans="1:4" ht="12.75" x14ac:dyDescent="0.2">
      <c r="A448" s="85"/>
      <c r="B448" s="85"/>
      <c r="D448" s="85"/>
    </row>
    <row r="449" spans="1:4" ht="12.75" x14ac:dyDescent="0.2">
      <c r="A449" s="85"/>
      <c r="B449" s="85"/>
      <c r="D449" s="85"/>
    </row>
    <row r="450" spans="1:4" ht="12.75" x14ac:dyDescent="0.2">
      <c r="A450" s="85"/>
      <c r="B450" s="85"/>
      <c r="D450" s="85"/>
    </row>
    <row r="451" spans="1:4" ht="12.75" x14ac:dyDescent="0.2">
      <c r="A451" s="85"/>
      <c r="B451" s="85"/>
      <c r="D451" s="85"/>
    </row>
    <row r="452" spans="1:4" ht="12.75" x14ac:dyDescent="0.2">
      <c r="A452" s="85"/>
      <c r="B452" s="85"/>
      <c r="D452" s="85"/>
    </row>
    <row r="453" spans="1:4" ht="12.75" x14ac:dyDescent="0.2">
      <c r="A453" s="85"/>
      <c r="B453" s="85"/>
      <c r="D453" s="85"/>
    </row>
    <row r="454" spans="1:4" ht="12.75" x14ac:dyDescent="0.2">
      <c r="A454" s="85"/>
      <c r="B454" s="85"/>
      <c r="D454" s="85"/>
    </row>
    <row r="455" spans="1:4" ht="12.75" x14ac:dyDescent="0.2">
      <c r="A455" s="85"/>
      <c r="B455" s="85"/>
      <c r="D455" s="85"/>
    </row>
    <row r="456" spans="1:4" ht="12.75" x14ac:dyDescent="0.2">
      <c r="A456" s="85"/>
      <c r="B456" s="85"/>
      <c r="D456" s="85"/>
    </row>
    <row r="457" spans="1:4" ht="12.75" x14ac:dyDescent="0.2">
      <c r="A457" s="85"/>
      <c r="B457" s="85"/>
      <c r="D457" s="85"/>
    </row>
    <row r="458" spans="1:4" ht="12.75" x14ac:dyDescent="0.2">
      <c r="A458" s="85"/>
      <c r="B458" s="85"/>
      <c r="D458" s="85"/>
    </row>
    <row r="459" spans="1:4" ht="12.75" x14ac:dyDescent="0.2">
      <c r="A459" s="85"/>
      <c r="B459" s="85"/>
      <c r="D459" s="85"/>
    </row>
    <row r="460" spans="1:4" ht="12.75" x14ac:dyDescent="0.2">
      <c r="A460" s="85"/>
      <c r="B460" s="85"/>
      <c r="D460" s="85"/>
    </row>
    <row r="461" spans="1:4" ht="12.75" x14ac:dyDescent="0.2">
      <c r="A461" s="85"/>
      <c r="B461" s="85"/>
      <c r="D461" s="85"/>
    </row>
    <row r="462" spans="1:4" ht="12.75" x14ac:dyDescent="0.2">
      <c r="A462" s="85"/>
      <c r="B462" s="85"/>
      <c r="D462" s="85"/>
    </row>
    <row r="463" spans="1:4" ht="12.75" x14ac:dyDescent="0.2">
      <c r="A463" s="85"/>
      <c r="B463" s="85"/>
      <c r="D463" s="85"/>
    </row>
    <row r="464" spans="1:4" ht="12.75" x14ac:dyDescent="0.2">
      <c r="A464" s="85"/>
      <c r="B464" s="85"/>
      <c r="D464" s="85"/>
    </row>
    <row r="465" spans="1:4" ht="12.75" x14ac:dyDescent="0.2">
      <c r="A465" s="85"/>
      <c r="B465" s="85"/>
      <c r="D465" s="85"/>
    </row>
    <row r="466" spans="1:4" ht="12.75" x14ac:dyDescent="0.2">
      <c r="A466" s="85"/>
      <c r="B466" s="85"/>
      <c r="D466" s="85"/>
    </row>
    <row r="467" spans="1:4" ht="12.75" x14ac:dyDescent="0.2">
      <c r="A467" s="85"/>
      <c r="B467" s="85"/>
      <c r="D467" s="85"/>
    </row>
    <row r="468" spans="1:4" ht="12.75" x14ac:dyDescent="0.2">
      <c r="A468" s="85"/>
      <c r="B468" s="85"/>
      <c r="D468" s="85"/>
    </row>
    <row r="469" spans="1:4" ht="12.75" x14ac:dyDescent="0.2">
      <c r="A469" s="85"/>
      <c r="B469" s="85"/>
      <c r="D469" s="85"/>
    </row>
    <row r="470" spans="1:4" ht="12.75" x14ac:dyDescent="0.2">
      <c r="A470" s="85"/>
      <c r="B470" s="85"/>
      <c r="D470" s="85"/>
    </row>
    <row r="471" spans="1:4" ht="12.75" x14ac:dyDescent="0.2">
      <c r="A471" s="85"/>
      <c r="B471" s="85"/>
      <c r="D471" s="85"/>
    </row>
    <row r="472" spans="1:4" ht="12.75" x14ac:dyDescent="0.2">
      <c r="A472" s="85"/>
      <c r="B472" s="85"/>
      <c r="D472" s="85"/>
    </row>
    <row r="473" spans="1:4" ht="12.75" x14ac:dyDescent="0.2">
      <c r="A473" s="85"/>
      <c r="B473" s="85"/>
      <c r="D473" s="85"/>
    </row>
    <row r="474" spans="1:4" ht="12.75" x14ac:dyDescent="0.2">
      <c r="A474" s="85"/>
      <c r="B474" s="85"/>
      <c r="D474" s="85"/>
    </row>
    <row r="475" spans="1:4" ht="12.75" x14ac:dyDescent="0.2">
      <c r="A475" s="85"/>
      <c r="B475" s="85"/>
      <c r="D475" s="85"/>
    </row>
    <row r="476" spans="1:4" ht="12.75" x14ac:dyDescent="0.2">
      <c r="A476" s="85"/>
      <c r="B476" s="85"/>
      <c r="D476" s="85"/>
    </row>
    <row r="477" spans="1:4" ht="12.75" x14ac:dyDescent="0.2">
      <c r="A477" s="85"/>
      <c r="B477" s="85"/>
      <c r="D477" s="85"/>
    </row>
    <row r="478" spans="1:4" ht="12.75" x14ac:dyDescent="0.2">
      <c r="A478" s="85"/>
      <c r="B478" s="85"/>
      <c r="D478" s="85"/>
    </row>
    <row r="479" spans="1:4" ht="12.75" x14ac:dyDescent="0.2">
      <c r="A479" s="85"/>
      <c r="B479" s="85"/>
      <c r="D479" s="85"/>
    </row>
    <row r="480" spans="1:4" ht="12.75" x14ac:dyDescent="0.2">
      <c r="A480" s="85"/>
      <c r="B480" s="85"/>
      <c r="D480" s="85"/>
    </row>
    <row r="481" spans="1:4" ht="12.75" x14ac:dyDescent="0.2">
      <c r="A481" s="85"/>
      <c r="B481" s="85"/>
      <c r="D481" s="85"/>
    </row>
    <row r="482" spans="1:4" ht="12.75" x14ac:dyDescent="0.2">
      <c r="A482" s="85"/>
      <c r="B482" s="85"/>
      <c r="D482" s="85"/>
    </row>
    <row r="483" spans="1:4" ht="12.75" x14ac:dyDescent="0.2">
      <c r="A483" s="85"/>
      <c r="B483" s="85"/>
      <c r="D483" s="85"/>
    </row>
    <row r="484" spans="1:4" ht="12.75" x14ac:dyDescent="0.2">
      <c r="A484" s="85"/>
      <c r="B484" s="85"/>
      <c r="D484" s="85"/>
    </row>
    <row r="485" spans="1:4" ht="12.75" x14ac:dyDescent="0.2">
      <c r="A485" s="85"/>
      <c r="B485" s="85"/>
      <c r="D485" s="85"/>
    </row>
    <row r="486" spans="1:4" ht="12.75" x14ac:dyDescent="0.2">
      <c r="A486" s="85"/>
      <c r="B486" s="85"/>
      <c r="D486" s="85"/>
    </row>
    <row r="487" spans="1:4" ht="12.75" x14ac:dyDescent="0.2">
      <c r="A487" s="85"/>
      <c r="B487" s="85"/>
      <c r="D487" s="85"/>
    </row>
    <row r="488" spans="1:4" ht="12.75" x14ac:dyDescent="0.2">
      <c r="A488" s="85"/>
      <c r="B488" s="85"/>
      <c r="D488" s="85"/>
    </row>
    <row r="489" spans="1:4" ht="12.75" x14ac:dyDescent="0.2">
      <c r="A489" s="85"/>
      <c r="B489" s="85"/>
      <c r="D489" s="85"/>
    </row>
    <row r="490" spans="1:4" ht="12.75" x14ac:dyDescent="0.2">
      <c r="A490" s="85"/>
      <c r="B490" s="85"/>
      <c r="D490" s="85"/>
    </row>
    <row r="491" spans="1:4" ht="12.75" x14ac:dyDescent="0.2">
      <c r="A491" s="85"/>
      <c r="B491" s="85"/>
      <c r="D491" s="85"/>
    </row>
    <row r="492" spans="1:4" ht="12.75" x14ac:dyDescent="0.2">
      <c r="A492" s="85"/>
      <c r="B492" s="85"/>
      <c r="D492" s="85"/>
    </row>
    <row r="493" spans="1:4" ht="12.75" x14ac:dyDescent="0.2">
      <c r="A493" s="85"/>
      <c r="B493" s="85"/>
      <c r="D493" s="85"/>
    </row>
    <row r="494" spans="1:4" ht="12.75" x14ac:dyDescent="0.2">
      <c r="A494" s="85"/>
      <c r="B494" s="85"/>
      <c r="D494" s="85"/>
    </row>
    <row r="495" spans="1:4" ht="12.75" x14ac:dyDescent="0.2">
      <c r="A495" s="85"/>
      <c r="B495" s="85"/>
      <c r="D495" s="85"/>
    </row>
    <row r="496" spans="1:4" ht="12.75" x14ac:dyDescent="0.2">
      <c r="A496" s="85"/>
      <c r="B496" s="85"/>
      <c r="D496" s="85"/>
    </row>
    <row r="497" spans="1:4" ht="12.75" x14ac:dyDescent="0.2">
      <c r="A497" s="85"/>
      <c r="B497" s="85"/>
      <c r="D497" s="85"/>
    </row>
    <row r="498" spans="1:4" ht="12.75" x14ac:dyDescent="0.2">
      <c r="A498" s="85"/>
      <c r="B498" s="85"/>
      <c r="D498" s="85"/>
    </row>
    <row r="499" spans="1:4" ht="12.75" x14ac:dyDescent="0.2">
      <c r="A499" s="85"/>
      <c r="B499" s="85"/>
      <c r="D499" s="85"/>
    </row>
    <row r="500" spans="1:4" ht="12.75" x14ac:dyDescent="0.2">
      <c r="A500" s="85"/>
      <c r="B500" s="85"/>
      <c r="D500" s="85"/>
    </row>
    <row r="501" spans="1:4" ht="12.75" x14ac:dyDescent="0.2">
      <c r="A501" s="85"/>
      <c r="B501" s="85"/>
      <c r="D501" s="85"/>
    </row>
    <row r="502" spans="1:4" ht="12.75" x14ac:dyDescent="0.2">
      <c r="A502" s="85"/>
      <c r="B502" s="85"/>
      <c r="D502" s="85"/>
    </row>
    <row r="503" spans="1:4" ht="12.75" x14ac:dyDescent="0.2">
      <c r="A503" s="85"/>
      <c r="B503" s="85"/>
      <c r="D503" s="85"/>
    </row>
    <row r="504" spans="1:4" ht="12.75" x14ac:dyDescent="0.2">
      <c r="A504" s="85"/>
      <c r="B504" s="85"/>
      <c r="D504" s="85"/>
    </row>
    <row r="505" spans="1:4" ht="12.75" x14ac:dyDescent="0.2">
      <c r="A505" s="85"/>
      <c r="B505" s="85"/>
      <c r="D505" s="85"/>
    </row>
    <row r="506" spans="1:4" ht="12.75" x14ac:dyDescent="0.2">
      <c r="A506" s="85"/>
      <c r="B506" s="85"/>
      <c r="D506" s="85"/>
    </row>
    <row r="507" spans="1:4" ht="12.75" x14ac:dyDescent="0.2">
      <c r="A507" s="85"/>
      <c r="B507" s="85"/>
      <c r="D507" s="85"/>
    </row>
    <row r="508" spans="1:4" ht="12.75" x14ac:dyDescent="0.2">
      <c r="A508" s="85"/>
      <c r="B508" s="85"/>
      <c r="D508" s="85"/>
    </row>
    <row r="509" spans="1:4" ht="12.75" x14ac:dyDescent="0.2">
      <c r="A509" s="85"/>
      <c r="B509" s="85"/>
      <c r="D509" s="85"/>
    </row>
    <row r="510" spans="1:4" ht="12.75" x14ac:dyDescent="0.2">
      <c r="A510" s="85"/>
      <c r="B510" s="85"/>
      <c r="D510" s="85"/>
    </row>
    <row r="511" spans="1:4" ht="12.75" x14ac:dyDescent="0.2">
      <c r="A511" s="85"/>
      <c r="B511" s="85"/>
      <c r="D511" s="85"/>
    </row>
    <row r="512" spans="1:4" ht="12.75" x14ac:dyDescent="0.2">
      <c r="A512" s="85"/>
      <c r="B512" s="85"/>
      <c r="D512" s="85"/>
    </row>
    <row r="513" spans="1:4" ht="12.75" x14ac:dyDescent="0.2">
      <c r="A513" s="85"/>
      <c r="B513" s="85"/>
      <c r="D513" s="85"/>
    </row>
    <row r="514" spans="1:4" ht="12.75" x14ac:dyDescent="0.2">
      <c r="A514" s="85"/>
      <c r="B514" s="85"/>
      <c r="D514" s="85"/>
    </row>
    <row r="515" spans="1:4" ht="12.75" x14ac:dyDescent="0.2">
      <c r="A515" s="85"/>
      <c r="B515" s="85"/>
      <c r="D515" s="85"/>
    </row>
    <row r="516" spans="1:4" ht="12.75" x14ac:dyDescent="0.2">
      <c r="A516" s="85"/>
      <c r="B516" s="85"/>
      <c r="D516" s="85"/>
    </row>
    <row r="517" spans="1:4" ht="12.75" x14ac:dyDescent="0.2">
      <c r="A517" s="85"/>
      <c r="B517" s="85"/>
      <c r="D517" s="85"/>
    </row>
    <row r="518" spans="1:4" ht="12.75" x14ac:dyDescent="0.2">
      <c r="A518" s="85"/>
      <c r="B518" s="85"/>
      <c r="D518" s="85"/>
    </row>
    <row r="519" spans="1:4" ht="12.75" x14ac:dyDescent="0.2">
      <c r="A519" s="85"/>
      <c r="B519" s="85"/>
      <c r="D519" s="85"/>
    </row>
    <row r="520" spans="1:4" ht="12.75" x14ac:dyDescent="0.2">
      <c r="A520" s="85"/>
      <c r="B520" s="85"/>
      <c r="D520" s="85"/>
    </row>
    <row r="521" spans="1:4" ht="12.75" x14ac:dyDescent="0.2">
      <c r="A521" s="85"/>
      <c r="B521" s="85"/>
      <c r="D521" s="85"/>
    </row>
    <row r="522" spans="1:4" ht="12.75" x14ac:dyDescent="0.2">
      <c r="A522" s="85"/>
      <c r="B522" s="85"/>
      <c r="D522" s="85"/>
    </row>
    <row r="523" spans="1:4" ht="12.75" x14ac:dyDescent="0.2">
      <c r="A523" s="85"/>
      <c r="B523" s="85"/>
      <c r="D523" s="85"/>
    </row>
    <row r="524" spans="1:4" ht="12.75" x14ac:dyDescent="0.2">
      <c r="A524" s="85"/>
      <c r="B524" s="85"/>
      <c r="D524" s="85"/>
    </row>
    <row r="525" spans="1:4" ht="12.75" x14ac:dyDescent="0.2">
      <c r="A525" s="85"/>
      <c r="B525" s="85"/>
      <c r="D525" s="85"/>
    </row>
    <row r="526" spans="1:4" ht="12.75" x14ac:dyDescent="0.2">
      <c r="A526" s="85"/>
      <c r="B526" s="85"/>
      <c r="D526" s="85"/>
    </row>
    <row r="527" spans="1:4" ht="12.75" x14ac:dyDescent="0.2">
      <c r="A527" s="85"/>
      <c r="B527" s="85"/>
      <c r="D527" s="85"/>
    </row>
    <row r="528" spans="1:4" ht="12.75" x14ac:dyDescent="0.2">
      <c r="A528" s="85"/>
      <c r="B528" s="85"/>
      <c r="D528" s="85"/>
    </row>
    <row r="529" spans="1:4" ht="12.75" x14ac:dyDescent="0.2">
      <c r="A529" s="85"/>
      <c r="B529" s="85"/>
      <c r="D529" s="85"/>
    </row>
    <row r="530" spans="1:4" ht="12.75" x14ac:dyDescent="0.2">
      <c r="A530" s="85"/>
      <c r="B530" s="85"/>
      <c r="D530" s="85"/>
    </row>
    <row r="531" spans="1:4" ht="12.75" x14ac:dyDescent="0.2">
      <c r="A531" s="85"/>
      <c r="B531" s="85"/>
      <c r="D531" s="85"/>
    </row>
    <row r="532" spans="1:4" ht="12.75" x14ac:dyDescent="0.2">
      <c r="A532" s="85"/>
      <c r="B532" s="85"/>
      <c r="D532" s="85"/>
    </row>
    <row r="533" spans="1:4" ht="12.75" x14ac:dyDescent="0.2">
      <c r="A533" s="85"/>
      <c r="B533" s="85"/>
      <c r="D533" s="85"/>
    </row>
    <row r="534" spans="1:4" ht="12.75" x14ac:dyDescent="0.2">
      <c r="A534" s="85"/>
      <c r="B534" s="85"/>
      <c r="D534" s="85"/>
    </row>
    <row r="535" spans="1:4" ht="12.75" x14ac:dyDescent="0.2">
      <c r="A535" s="85"/>
      <c r="B535" s="85"/>
      <c r="D535" s="85"/>
    </row>
    <row r="536" spans="1:4" ht="12.75" x14ac:dyDescent="0.2">
      <c r="A536" s="85"/>
      <c r="B536" s="85"/>
      <c r="D536" s="85"/>
    </row>
    <row r="537" spans="1:4" ht="12.75" x14ac:dyDescent="0.2">
      <c r="A537" s="85"/>
      <c r="B537" s="85"/>
      <c r="D537" s="85"/>
    </row>
    <row r="538" spans="1:4" ht="12.75" x14ac:dyDescent="0.2">
      <c r="A538" s="85"/>
      <c r="B538" s="85"/>
      <c r="D538" s="85"/>
    </row>
    <row r="539" spans="1:4" ht="12.75" x14ac:dyDescent="0.2">
      <c r="A539" s="85"/>
      <c r="B539" s="85"/>
      <c r="D539" s="85"/>
    </row>
    <row r="540" spans="1:4" ht="12.75" x14ac:dyDescent="0.2">
      <c r="A540" s="85"/>
      <c r="B540" s="85"/>
      <c r="D540" s="85"/>
    </row>
    <row r="541" spans="1:4" ht="12.75" x14ac:dyDescent="0.2">
      <c r="A541" s="85"/>
      <c r="B541" s="85"/>
      <c r="D541" s="85"/>
    </row>
    <row r="542" spans="1:4" ht="12.75" x14ac:dyDescent="0.2">
      <c r="A542" s="85"/>
      <c r="B542" s="85"/>
      <c r="D542" s="85"/>
    </row>
    <row r="543" spans="1:4" ht="12.75" x14ac:dyDescent="0.2">
      <c r="A543" s="85"/>
      <c r="B543" s="85"/>
      <c r="D543" s="85"/>
    </row>
    <row r="544" spans="1:4" ht="12.75" x14ac:dyDescent="0.2">
      <c r="A544" s="85"/>
      <c r="B544" s="85"/>
      <c r="D544" s="85"/>
    </row>
    <row r="545" spans="1:4" ht="12.75" x14ac:dyDescent="0.2">
      <c r="A545" s="85"/>
      <c r="B545" s="85"/>
      <c r="D545" s="85"/>
    </row>
    <row r="546" spans="1:4" ht="12.75" x14ac:dyDescent="0.2">
      <c r="A546" s="85"/>
      <c r="B546" s="85"/>
      <c r="D546" s="85"/>
    </row>
    <row r="547" spans="1:4" ht="12.75" x14ac:dyDescent="0.2">
      <c r="A547" s="85"/>
      <c r="B547" s="85"/>
      <c r="D547" s="85"/>
    </row>
    <row r="548" spans="1:4" ht="12.75" x14ac:dyDescent="0.2">
      <c r="A548" s="85"/>
      <c r="B548" s="85"/>
      <c r="D548" s="85"/>
    </row>
    <row r="549" spans="1:4" ht="12.75" x14ac:dyDescent="0.2">
      <c r="A549" s="85"/>
      <c r="B549" s="85"/>
      <c r="D549" s="85"/>
    </row>
    <row r="550" spans="1:4" ht="12.75" x14ac:dyDescent="0.2">
      <c r="A550" s="85"/>
      <c r="B550" s="85"/>
      <c r="D550" s="85"/>
    </row>
    <row r="551" spans="1:4" ht="12.75" x14ac:dyDescent="0.2">
      <c r="A551" s="85"/>
      <c r="B551" s="85"/>
      <c r="D551" s="85"/>
    </row>
    <row r="552" spans="1:4" ht="12.75" x14ac:dyDescent="0.2">
      <c r="A552" s="85"/>
      <c r="B552" s="85"/>
      <c r="D552" s="85"/>
    </row>
    <row r="553" spans="1:4" ht="12.75" x14ac:dyDescent="0.2">
      <c r="A553" s="85"/>
      <c r="B553" s="85"/>
      <c r="D553" s="85"/>
    </row>
    <row r="554" spans="1:4" ht="12.75" x14ac:dyDescent="0.2">
      <c r="A554" s="85"/>
      <c r="B554" s="85"/>
      <c r="D554" s="85"/>
    </row>
    <row r="555" spans="1:4" ht="12.75" x14ac:dyDescent="0.2">
      <c r="A555" s="85"/>
      <c r="B555" s="85"/>
      <c r="D555" s="85"/>
    </row>
    <row r="556" spans="1:4" ht="12.75" x14ac:dyDescent="0.2">
      <c r="A556" s="85"/>
      <c r="B556" s="85"/>
      <c r="D556" s="85"/>
    </row>
    <row r="557" spans="1:4" ht="12.75" x14ac:dyDescent="0.2">
      <c r="A557" s="85"/>
      <c r="B557" s="85"/>
      <c r="D557" s="85"/>
    </row>
    <row r="558" spans="1:4" ht="12.75" x14ac:dyDescent="0.2">
      <c r="A558" s="85"/>
      <c r="B558" s="85"/>
      <c r="D558" s="85"/>
    </row>
    <row r="559" spans="1:4" ht="12.75" x14ac:dyDescent="0.2">
      <c r="A559" s="85"/>
      <c r="B559" s="85"/>
      <c r="D559" s="85"/>
    </row>
    <row r="560" spans="1:4" ht="12.75" x14ac:dyDescent="0.2">
      <c r="A560" s="85"/>
      <c r="B560" s="85"/>
      <c r="D560" s="85"/>
    </row>
    <row r="561" spans="1:4" ht="12.75" x14ac:dyDescent="0.2">
      <c r="A561" s="85"/>
      <c r="B561" s="85"/>
      <c r="D561" s="85"/>
    </row>
    <row r="562" spans="1:4" ht="12.75" x14ac:dyDescent="0.2">
      <c r="A562" s="85"/>
      <c r="B562" s="85"/>
      <c r="D562" s="85"/>
    </row>
    <row r="563" spans="1:4" ht="12.75" x14ac:dyDescent="0.2">
      <c r="A563" s="85"/>
      <c r="B563" s="85"/>
      <c r="D563" s="85"/>
    </row>
    <row r="564" spans="1:4" ht="12.75" x14ac:dyDescent="0.2">
      <c r="A564" s="85"/>
      <c r="B564" s="85"/>
      <c r="D564" s="85"/>
    </row>
    <row r="565" spans="1:4" ht="12.75" x14ac:dyDescent="0.2">
      <c r="A565" s="85"/>
      <c r="B565" s="85"/>
      <c r="D565" s="85"/>
    </row>
    <row r="566" spans="1:4" ht="12.75" x14ac:dyDescent="0.2">
      <c r="A566" s="85"/>
      <c r="B566" s="85"/>
      <c r="D566" s="85"/>
    </row>
    <row r="567" spans="1:4" ht="12.75" x14ac:dyDescent="0.2">
      <c r="A567" s="85"/>
      <c r="B567" s="85"/>
      <c r="D567" s="85"/>
    </row>
    <row r="568" spans="1:4" ht="12.75" x14ac:dyDescent="0.2">
      <c r="A568" s="85"/>
      <c r="B568" s="85"/>
      <c r="D568" s="85"/>
    </row>
    <row r="569" spans="1:4" ht="12.75" x14ac:dyDescent="0.2">
      <c r="A569" s="85"/>
      <c r="B569" s="85"/>
      <c r="D569" s="85"/>
    </row>
    <row r="570" spans="1:4" ht="12.75" x14ac:dyDescent="0.2">
      <c r="A570" s="85"/>
      <c r="B570" s="85"/>
      <c r="D570" s="85"/>
    </row>
    <row r="571" spans="1:4" ht="12.75" x14ac:dyDescent="0.2">
      <c r="A571" s="85"/>
      <c r="B571" s="85"/>
      <c r="D571" s="85"/>
    </row>
    <row r="572" spans="1:4" ht="12.75" x14ac:dyDescent="0.2">
      <c r="A572" s="85"/>
      <c r="B572" s="85"/>
      <c r="D572" s="85"/>
    </row>
    <row r="573" spans="1:4" ht="12.75" x14ac:dyDescent="0.2">
      <c r="A573" s="85"/>
      <c r="B573" s="85"/>
      <c r="D573" s="85"/>
    </row>
    <row r="574" spans="1:4" ht="12.75" x14ac:dyDescent="0.2">
      <c r="A574" s="85"/>
      <c r="B574" s="85"/>
      <c r="D574" s="85"/>
    </row>
    <row r="575" spans="1:4" ht="12.75" x14ac:dyDescent="0.2">
      <c r="A575" s="85"/>
      <c r="B575" s="85"/>
      <c r="D575" s="85"/>
    </row>
    <row r="576" spans="1:4" ht="12.75" x14ac:dyDescent="0.2">
      <c r="A576" s="85"/>
      <c r="B576" s="85"/>
      <c r="D576" s="85"/>
    </row>
    <row r="577" spans="1:4" ht="12.75" x14ac:dyDescent="0.2">
      <c r="A577" s="85"/>
      <c r="B577" s="85"/>
      <c r="D577" s="85"/>
    </row>
    <row r="578" spans="1:4" ht="12.75" x14ac:dyDescent="0.2">
      <c r="A578" s="85"/>
      <c r="B578" s="85"/>
      <c r="D578" s="85"/>
    </row>
    <row r="579" spans="1:4" ht="12.75" x14ac:dyDescent="0.2">
      <c r="A579" s="85"/>
      <c r="B579" s="85"/>
      <c r="D579" s="85"/>
    </row>
    <row r="580" spans="1:4" ht="12.75" x14ac:dyDescent="0.2">
      <c r="A580" s="85"/>
      <c r="B580" s="85"/>
      <c r="D580" s="85"/>
    </row>
    <row r="581" spans="1:4" ht="12.75" x14ac:dyDescent="0.2">
      <c r="A581" s="85"/>
      <c r="B581" s="85"/>
      <c r="D581" s="85"/>
    </row>
    <row r="582" spans="1:4" ht="12.75" x14ac:dyDescent="0.2">
      <c r="A582" s="85"/>
      <c r="B582" s="85"/>
      <c r="D582" s="85"/>
    </row>
    <row r="583" spans="1:4" ht="12.75" x14ac:dyDescent="0.2">
      <c r="A583" s="85"/>
      <c r="B583" s="85"/>
      <c r="D583" s="85"/>
    </row>
    <row r="584" spans="1:4" ht="12.75" x14ac:dyDescent="0.2">
      <c r="A584" s="85"/>
      <c r="B584" s="85"/>
      <c r="D584" s="85"/>
    </row>
    <row r="585" spans="1:4" ht="12.75" x14ac:dyDescent="0.2">
      <c r="A585" s="85"/>
      <c r="B585" s="85"/>
      <c r="D585" s="85"/>
    </row>
    <row r="586" spans="1:4" ht="12.75" x14ac:dyDescent="0.2">
      <c r="A586" s="85"/>
      <c r="B586" s="85"/>
      <c r="D586" s="85"/>
    </row>
    <row r="587" spans="1:4" ht="12.75" x14ac:dyDescent="0.2">
      <c r="A587" s="85"/>
      <c r="B587" s="85"/>
      <c r="D587" s="85"/>
    </row>
    <row r="588" spans="1:4" ht="12.75" x14ac:dyDescent="0.2">
      <c r="A588" s="85"/>
      <c r="B588" s="85"/>
      <c r="D588" s="85"/>
    </row>
    <row r="589" spans="1:4" ht="12.75" x14ac:dyDescent="0.2">
      <c r="A589" s="85"/>
      <c r="B589" s="85"/>
      <c r="D589" s="85"/>
    </row>
    <row r="590" spans="1:4" ht="12.75" x14ac:dyDescent="0.2">
      <c r="A590" s="85"/>
      <c r="B590" s="85"/>
      <c r="D590" s="85"/>
    </row>
    <row r="591" spans="1:4" ht="12.75" x14ac:dyDescent="0.2">
      <c r="A591" s="85"/>
      <c r="B591" s="85"/>
      <c r="D591" s="85"/>
    </row>
    <row r="592" spans="1:4" ht="12.75" x14ac:dyDescent="0.2">
      <c r="A592" s="85"/>
      <c r="B592" s="85"/>
      <c r="D592" s="85"/>
    </row>
    <row r="593" spans="1:4" ht="12.75" x14ac:dyDescent="0.2">
      <c r="A593" s="85"/>
      <c r="B593" s="85"/>
      <c r="D593" s="85"/>
    </row>
    <row r="594" spans="1:4" ht="12.75" x14ac:dyDescent="0.2">
      <c r="A594" s="85"/>
      <c r="B594" s="85"/>
      <c r="D594" s="85"/>
    </row>
    <row r="595" spans="1:4" ht="12.75" x14ac:dyDescent="0.2">
      <c r="A595" s="85"/>
      <c r="B595" s="85"/>
      <c r="D595" s="85"/>
    </row>
    <row r="596" spans="1:4" ht="12.75" x14ac:dyDescent="0.2">
      <c r="A596" s="85"/>
      <c r="B596" s="85"/>
      <c r="D596" s="85"/>
    </row>
    <row r="597" spans="1:4" ht="12.75" x14ac:dyDescent="0.2">
      <c r="A597" s="85"/>
      <c r="B597" s="85"/>
      <c r="D597" s="85"/>
    </row>
    <row r="598" spans="1:4" ht="12.75" x14ac:dyDescent="0.2">
      <c r="A598" s="85"/>
      <c r="B598" s="85"/>
      <c r="D598" s="85"/>
    </row>
    <row r="599" spans="1:4" ht="12.75" x14ac:dyDescent="0.2">
      <c r="A599" s="85"/>
      <c r="B599" s="85"/>
      <c r="D599" s="85"/>
    </row>
    <row r="600" spans="1:4" ht="12.75" x14ac:dyDescent="0.2">
      <c r="A600" s="85"/>
      <c r="B600" s="85"/>
      <c r="D600" s="85"/>
    </row>
    <row r="601" spans="1:4" ht="12.75" x14ac:dyDescent="0.2">
      <c r="A601" s="85"/>
      <c r="B601" s="85"/>
      <c r="D601" s="85"/>
    </row>
    <row r="602" spans="1:4" ht="12.75" x14ac:dyDescent="0.2">
      <c r="A602" s="85"/>
      <c r="B602" s="85"/>
      <c r="D602" s="85"/>
    </row>
    <row r="603" spans="1:4" ht="12.75" x14ac:dyDescent="0.2">
      <c r="A603" s="85"/>
      <c r="B603" s="85"/>
      <c r="D603" s="85"/>
    </row>
    <row r="604" spans="1:4" ht="12.75" x14ac:dyDescent="0.2">
      <c r="A604" s="85"/>
      <c r="B604" s="85"/>
      <c r="D604" s="85"/>
    </row>
    <row r="605" spans="1:4" ht="12.75" x14ac:dyDescent="0.2">
      <c r="A605" s="85"/>
      <c r="B605" s="85"/>
      <c r="D605" s="85"/>
    </row>
    <row r="606" spans="1:4" ht="12.75" x14ac:dyDescent="0.2">
      <c r="A606" s="85"/>
      <c r="B606" s="85"/>
      <c r="D606" s="85"/>
    </row>
    <row r="607" spans="1:4" ht="12.75" x14ac:dyDescent="0.2">
      <c r="A607" s="85"/>
      <c r="B607" s="85"/>
      <c r="D607" s="85"/>
    </row>
    <row r="608" spans="1:4" ht="12.75" x14ac:dyDescent="0.2">
      <c r="A608" s="85"/>
      <c r="B608" s="85"/>
      <c r="D608" s="85"/>
    </row>
    <row r="609" spans="1:4" ht="12.75" x14ac:dyDescent="0.2">
      <c r="A609" s="85"/>
      <c r="B609" s="85"/>
      <c r="D609" s="85"/>
    </row>
    <row r="610" spans="1:4" ht="12.75" x14ac:dyDescent="0.2">
      <c r="A610" s="85"/>
      <c r="B610" s="85"/>
      <c r="D610" s="85"/>
    </row>
    <row r="611" spans="1:4" ht="12.75" x14ac:dyDescent="0.2">
      <c r="A611" s="85"/>
      <c r="B611" s="85"/>
      <c r="D611" s="85"/>
    </row>
    <row r="612" spans="1:4" ht="12.75" x14ac:dyDescent="0.2">
      <c r="A612" s="85"/>
      <c r="B612" s="85"/>
      <c r="D612" s="85"/>
    </row>
    <row r="613" spans="1:4" ht="12.75" x14ac:dyDescent="0.2">
      <c r="A613" s="85"/>
      <c r="B613" s="85"/>
      <c r="D613" s="85"/>
    </row>
    <row r="614" spans="1:4" ht="12.75" x14ac:dyDescent="0.2">
      <c r="A614" s="85"/>
      <c r="B614" s="85"/>
      <c r="D614" s="85"/>
    </row>
    <row r="615" spans="1:4" ht="12.75" x14ac:dyDescent="0.2">
      <c r="A615" s="85"/>
      <c r="B615" s="85"/>
      <c r="D615" s="85"/>
    </row>
    <row r="616" spans="1:4" ht="12.75" x14ac:dyDescent="0.2">
      <c r="A616" s="85"/>
      <c r="B616" s="85"/>
      <c r="D616" s="85"/>
    </row>
    <row r="617" spans="1:4" ht="12.75" x14ac:dyDescent="0.2">
      <c r="A617" s="85"/>
      <c r="B617" s="85"/>
      <c r="D617" s="85"/>
    </row>
    <row r="618" spans="1:4" ht="12.75" x14ac:dyDescent="0.2">
      <c r="A618" s="85"/>
      <c r="B618" s="85"/>
      <c r="D618" s="85"/>
    </row>
    <row r="619" spans="1:4" ht="12.75" x14ac:dyDescent="0.2">
      <c r="A619" s="85"/>
      <c r="B619" s="85"/>
      <c r="D619" s="85"/>
    </row>
    <row r="620" spans="1:4" ht="12.75" x14ac:dyDescent="0.2">
      <c r="A620" s="85"/>
      <c r="B620" s="85"/>
      <c r="D620" s="85"/>
    </row>
    <row r="621" spans="1:4" ht="12.75" x14ac:dyDescent="0.2">
      <c r="A621" s="85"/>
      <c r="B621" s="85"/>
      <c r="D621" s="85"/>
    </row>
    <row r="622" spans="1:4" ht="12.75" x14ac:dyDescent="0.2">
      <c r="A622" s="85"/>
      <c r="B622" s="85"/>
      <c r="D622" s="85"/>
    </row>
    <row r="623" spans="1:4" ht="12.75" x14ac:dyDescent="0.2">
      <c r="A623" s="85"/>
      <c r="B623" s="85"/>
      <c r="D623" s="85"/>
    </row>
    <row r="624" spans="1:4" ht="12.75" x14ac:dyDescent="0.2">
      <c r="A624" s="85"/>
      <c r="B624" s="85"/>
      <c r="D624" s="85"/>
    </row>
    <row r="625" spans="1:4" ht="12.75" x14ac:dyDescent="0.2">
      <c r="A625" s="85"/>
      <c r="B625" s="85"/>
      <c r="D625" s="85"/>
    </row>
    <row r="626" spans="1:4" ht="12.75" x14ac:dyDescent="0.2">
      <c r="A626" s="85"/>
      <c r="B626" s="85"/>
      <c r="D626" s="85"/>
    </row>
    <row r="627" spans="1:4" ht="12.75" x14ac:dyDescent="0.2">
      <c r="A627" s="85"/>
      <c r="B627" s="85"/>
      <c r="D627" s="85"/>
    </row>
    <row r="628" spans="1:4" ht="12.75" x14ac:dyDescent="0.2">
      <c r="A628" s="85"/>
      <c r="B628" s="85"/>
      <c r="D628" s="85"/>
    </row>
    <row r="629" spans="1:4" ht="12.75" x14ac:dyDescent="0.2">
      <c r="A629" s="85"/>
      <c r="B629" s="85"/>
      <c r="D629" s="85"/>
    </row>
    <row r="630" spans="1:4" ht="12.75" x14ac:dyDescent="0.2">
      <c r="A630" s="85"/>
      <c r="B630" s="85"/>
      <c r="D630" s="85"/>
    </row>
    <row r="631" spans="1:4" ht="12.75" x14ac:dyDescent="0.2">
      <c r="A631" s="85"/>
      <c r="B631" s="85"/>
      <c r="D631" s="85"/>
    </row>
    <row r="632" spans="1:4" ht="12.75" x14ac:dyDescent="0.2">
      <c r="A632" s="85"/>
      <c r="B632" s="85"/>
      <c r="D632" s="85"/>
    </row>
    <row r="633" spans="1:4" ht="12.75" x14ac:dyDescent="0.2">
      <c r="A633" s="85"/>
      <c r="B633" s="85"/>
      <c r="D633" s="85"/>
    </row>
    <row r="634" spans="1:4" ht="12.75" x14ac:dyDescent="0.2">
      <c r="A634" s="85"/>
      <c r="B634" s="85"/>
      <c r="D634" s="85"/>
    </row>
    <row r="635" spans="1:4" ht="12.75" x14ac:dyDescent="0.2">
      <c r="A635" s="85"/>
      <c r="B635" s="85"/>
      <c r="D635" s="85"/>
    </row>
    <row r="636" spans="1:4" ht="12.75" x14ac:dyDescent="0.2">
      <c r="A636" s="85"/>
      <c r="B636" s="85"/>
      <c r="D636" s="85"/>
    </row>
    <row r="637" spans="1:4" ht="12.75" x14ac:dyDescent="0.2">
      <c r="A637" s="85"/>
      <c r="B637" s="85"/>
      <c r="D637" s="85"/>
    </row>
    <row r="638" spans="1:4" ht="12.75" x14ac:dyDescent="0.2">
      <c r="A638" s="85"/>
      <c r="B638" s="85"/>
      <c r="D638" s="85"/>
    </row>
    <row r="639" spans="1:4" ht="12.75" x14ac:dyDescent="0.2">
      <c r="A639" s="85"/>
      <c r="B639" s="85"/>
      <c r="D639" s="85"/>
    </row>
    <row r="640" spans="1:4" ht="12.75" x14ac:dyDescent="0.2">
      <c r="A640" s="85"/>
      <c r="B640" s="85"/>
      <c r="D640" s="85"/>
    </row>
    <row r="641" spans="1:4" ht="12.75" x14ac:dyDescent="0.2">
      <c r="A641" s="85"/>
      <c r="B641" s="85"/>
      <c r="D641" s="85"/>
    </row>
    <row r="642" spans="1:4" ht="12.75" x14ac:dyDescent="0.2">
      <c r="A642" s="85"/>
      <c r="B642" s="85"/>
      <c r="D642" s="85"/>
    </row>
    <row r="643" spans="1:4" ht="12.75" x14ac:dyDescent="0.2">
      <c r="A643" s="85"/>
      <c r="B643" s="85"/>
      <c r="D643" s="85"/>
    </row>
    <row r="644" spans="1:4" ht="12.75" x14ac:dyDescent="0.2">
      <c r="A644" s="85"/>
      <c r="B644" s="85"/>
      <c r="D644" s="85"/>
    </row>
    <row r="645" spans="1:4" ht="12.75" x14ac:dyDescent="0.2">
      <c r="A645" s="85"/>
      <c r="B645" s="85"/>
      <c r="D645" s="85"/>
    </row>
    <row r="646" spans="1:4" ht="12.75" x14ac:dyDescent="0.2">
      <c r="A646" s="85"/>
      <c r="B646" s="85"/>
      <c r="D646" s="85"/>
    </row>
    <row r="647" spans="1:4" ht="12.75" x14ac:dyDescent="0.2">
      <c r="A647" s="85"/>
      <c r="B647" s="85"/>
      <c r="D647" s="85"/>
    </row>
    <row r="648" spans="1:4" ht="12.75" x14ac:dyDescent="0.2">
      <c r="A648" s="85"/>
      <c r="B648" s="85"/>
      <c r="D648" s="85"/>
    </row>
    <row r="649" spans="1:4" ht="12.75" x14ac:dyDescent="0.2">
      <c r="A649" s="85"/>
      <c r="B649" s="85"/>
      <c r="D649" s="85"/>
    </row>
    <row r="650" spans="1:4" ht="12.75" x14ac:dyDescent="0.2">
      <c r="A650" s="85"/>
      <c r="B650" s="85"/>
      <c r="D650" s="85"/>
    </row>
    <row r="651" spans="1:4" ht="12.75" x14ac:dyDescent="0.2">
      <c r="A651" s="85"/>
      <c r="B651" s="85"/>
      <c r="D651" s="85"/>
    </row>
    <row r="652" spans="1:4" ht="12.75" x14ac:dyDescent="0.2">
      <c r="A652" s="85"/>
      <c r="B652" s="85"/>
      <c r="D652" s="85"/>
    </row>
    <row r="653" spans="1:4" ht="12.75" x14ac:dyDescent="0.2">
      <c r="A653" s="85"/>
      <c r="B653" s="85"/>
      <c r="D653" s="85"/>
    </row>
    <row r="654" spans="1:4" ht="12.75" x14ac:dyDescent="0.2">
      <c r="A654" s="85"/>
      <c r="B654" s="85"/>
      <c r="D654" s="85"/>
    </row>
    <row r="655" spans="1:4" ht="12.75" x14ac:dyDescent="0.2">
      <c r="A655" s="85"/>
      <c r="B655" s="85"/>
      <c r="D655" s="85"/>
    </row>
    <row r="656" spans="1:4" ht="12.75" x14ac:dyDescent="0.2">
      <c r="A656" s="85"/>
      <c r="B656" s="85"/>
      <c r="D656" s="85"/>
    </row>
    <row r="657" spans="1:4" ht="12.75" x14ac:dyDescent="0.2">
      <c r="A657" s="85"/>
      <c r="B657" s="85"/>
      <c r="D657" s="85"/>
    </row>
    <row r="658" spans="1:4" ht="12.75" x14ac:dyDescent="0.2">
      <c r="A658" s="85"/>
      <c r="B658" s="85"/>
      <c r="D658" s="85"/>
    </row>
    <row r="659" spans="1:4" ht="12.75" x14ac:dyDescent="0.2">
      <c r="A659" s="85"/>
      <c r="B659" s="85"/>
      <c r="D659" s="85"/>
    </row>
    <row r="660" spans="1:4" ht="12.75" x14ac:dyDescent="0.2">
      <c r="A660" s="85"/>
      <c r="B660" s="85"/>
      <c r="D660" s="85"/>
    </row>
    <row r="661" spans="1:4" ht="12.75" x14ac:dyDescent="0.2">
      <c r="A661" s="85"/>
      <c r="B661" s="85"/>
      <c r="D661" s="85"/>
    </row>
    <row r="662" spans="1:4" ht="12.75" x14ac:dyDescent="0.2">
      <c r="A662" s="85"/>
      <c r="B662" s="85"/>
      <c r="D662" s="85"/>
    </row>
    <row r="663" spans="1:4" ht="12.75" x14ac:dyDescent="0.2">
      <c r="A663" s="85"/>
      <c r="B663" s="85"/>
      <c r="D663" s="85"/>
    </row>
    <row r="664" spans="1:4" ht="12.75" x14ac:dyDescent="0.2">
      <c r="A664" s="85"/>
      <c r="B664" s="85"/>
      <c r="D664" s="85"/>
    </row>
    <row r="665" spans="1:4" ht="12.75" x14ac:dyDescent="0.2">
      <c r="A665" s="85"/>
      <c r="B665" s="85"/>
      <c r="D665" s="85"/>
    </row>
    <row r="666" spans="1:4" ht="12.75" x14ac:dyDescent="0.2">
      <c r="A666" s="85"/>
      <c r="B666" s="85"/>
      <c r="D666" s="85"/>
    </row>
    <row r="667" spans="1:4" ht="12.75" x14ac:dyDescent="0.2">
      <c r="A667" s="85"/>
      <c r="B667" s="85"/>
      <c r="D667" s="85"/>
    </row>
    <row r="668" spans="1:4" ht="12.75" x14ac:dyDescent="0.2">
      <c r="A668" s="85"/>
      <c r="B668" s="85"/>
      <c r="D668" s="85"/>
    </row>
    <row r="669" spans="1:4" ht="12.75" x14ac:dyDescent="0.2">
      <c r="A669" s="85"/>
      <c r="B669" s="85"/>
      <c r="D669" s="85"/>
    </row>
    <row r="670" spans="1:4" ht="12.75" x14ac:dyDescent="0.2">
      <c r="A670" s="85"/>
      <c r="B670" s="85"/>
      <c r="D670" s="85"/>
    </row>
    <row r="671" spans="1:4" ht="12.75" x14ac:dyDescent="0.2">
      <c r="A671" s="85"/>
      <c r="B671" s="85"/>
      <c r="D671" s="85"/>
    </row>
    <row r="672" spans="1:4" ht="12.75" x14ac:dyDescent="0.2">
      <c r="A672" s="85"/>
      <c r="B672" s="85"/>
      <c r="D672" s="85"/>
    </row>
    <row r="673" spans="1:4" ht="12.75" x14ac:dyDescent="0.2">
      <c r="A673" s="85"/>
      <c r="B673" s="85"/>
      <c r="D673" s="85"/>
    </row>
    <row r="674" spans="1:4" ht="12.75" x14ac:dyDescent="0.2">
      <c r="A674" s="85"/>
      <c r="B674" s="85"/>
      <c r="D674" s="85"/>
    </row>
    <row r="675" spans="1:4" ht="12.75" x14ac:dyDescent="0.2">
      <c r="A675" s="85"/>
      <c r="B675" s="85"/>
      <c r="D675" s="85"/>
    </row>
    <row r="676" spans="1:4" ht="12.75" x14ac:dyDescent="0.2">
      <c r="A676" s="85"/>
      <c r="B676" s="85"/>
      <c r="D676" s="85"/>
    </row>
    <row r="677" spans="1:4" ht="12.75" x14ac:dyDescent="0.2">
      <c r="A677" s="85"/>
      <c r="B677" s="85"/>
      <c r="D677" s="85"/>
    </row>
    <row r="678" spans="1:4" ht="12.75" x14ac:dyDescent="0.2">
      <c r="A678" s="85"/>
      <c r="B678" s="85"/>
      <c r="D678" s="85"/>
    </row>
    <row r="679" spans="1:4" ht="12.75" x14ac:dyDescent="0.2">
      <c r="A679" s="85"/>
      <c r="B679" s="85"/>
      <c r="D679" s="85"/>
    </row>
    <row r="680" spans="1:4" ht="12.75" x14ac:dyDescent="0.2">
      <c r="A680" s="85"/>
      <c r="B680" s="85"/>
      <c r="D680" s="85"/>
    </row>
    <row r="681" spans="1:4" ht="12.75" x14ac:dyDescent="0.2">
      <c r="A681" s="85"/>
      <c r="B681" s="85"/>
      <c r="D681" s="85"/>
    </row>
    <row r="682" spans="1:4" ht="12.75" x14ac:dyDescent="0.2">
      <c r="A682" s="85"/>
      <c r="B682" s="85"/>
      <c r="D682" s="85"/>
    </row>
    <row r="683" spans="1:4" ht="12.75" x14ac:dyDescent="0.2">
      <c r="A683" s="85"/>
      <c r="B683" s="85"/>
      <c r="D683" s="85"/>
    </row>
    <row r="684" spans="1:4" ht="12.75" x14ac:dyDescent="0.2">
      <c r="A684" s="85"/>
      <c r="B684" s="85"/>
      <c r="D684" s="85"/>
    </row>
    <row r="685" spans="1:4" ht="12.75" x14ac:dyDescent="0.2">
      <c r="A685" s="85"/>
      <c r="B685" s="85"/>
      <c r="D685" s="85"/>
    </row>
    <row r="686" spans="1:4" ht="12.75" x14ac:dyDescent="0.2">
      <c r="A686" s="85"/>
      <c r="B686" s="85"/>
      <c r="D686" s="85"/>
    </row>
    <row r="687" spans="1:4" ht="12.75" x14ac:dyDescent="0.2">
      <c r="A687" s="85"/>
      <c r="B687" s="85"/>
      <c r="D687" s="85"/>
    </row>
    <row r="688" spans="1:4" ht="12.75" x14ac:dyDescent="0.2">
      <c r="A688" s="85"/>
      <c r="B688" s="85"/>
      <c r="D688" s="85"/>
    </row>
    <row r="689" spans="1:4" ht="12.75" x14ac:dyDescent="0.2">
      <c r="A689" s="85"/>
      <c r="B689" s="85"/>
      <c r="D689" s="85"/>
    </row>
    <row r="690" spans="1:4" ht="12.75" x14ac:dyDescent="0.2">
      <c r="A690" s="85"/>
      <c r="B690" s="85"/>
      <c r="D690" s="85"/>
    </row>
    <row r="691" spans="1:4" ht="12.75" x14ac:dyDescent="0.2">
      <c r="A691" s="85"/>
      <c r="B691" s="85"/>
      <c r="D691" s="85"/>
    </row>
    <row r="692" spans="1:4" ht="12.75" x14ac:dyDescent="0.2">
      <c r="A692" s="85"/>
      <c r="B692" s="85"/>
      <c r="D692" s="85"/>
    </row>
    <row r="693" spans="1:4" ht="12.75" x14ac:dyDescent="0.2">
      <c r="A693" s="85"/>
      <c r="B693" s="85"/>
      <c r="D693" s="85"/>
    </row>
    <row r="694" spans="1:4" ht="12.75" x14ac:dyDescent="0.2">
      <c r="A694" s="85"/>
      <c r="B694" s="85"/>
      <c r="D694" s="85"/>
    </row>
    <row r="695" spans="1:4" ht="12.75" x14ac:dyDescent="0.2">
      <c r="A695" s="85"/>
      <c r="B695" s="85"/>
      <c r="D695" s="85"/>
    </row>
    <row r="696" spans="1:4" ht="12.75" x14ac:dyDescent="0.2">
      <c r="A696" s="85"/>
      <c r="B696" s="85"/>
      <c r="D696" s="85"/>
    </row>
    <row r="697" spans="1:4" ht="12.75" x14ac:dyDescent="0.2">
      <c r="A697" s="85"/>
      <c r="B697" s="85"/>
      <c r="D697" s="85"/>
    </row>
    <row r="698" spans="1:4" ht="12.75" x14ac:dyDescent="0.2">
      <c r="A698" s="85"/>
      <c r="B698" s="85"/>
      <c r="D698" s="85"/>
    </row>
    <row r="699" spans="1:4" ht="12.75" x14ac:dyDescent="0.2">
      <c r="A699" s="85"/>
      <c r="B699" s="85"/>
      <c r="D699" s="85"/>
    </row>
    <row r="700" spans="1:4" ht="12.75" x14ac:dyDescent="0.2">
      <c r="A700" s="85"/>
      <c r="B700" s="85"/>
      <c r="D700" s="85"/>
    </row>
    <row r="701" spans="1:4" ht="12.75" x14ac:dyDescent="0.2">
      <c r="A701" s="85"/>
      <c r="B701" s="85"/>
      <c r="D701" s="85"/>
    </row>
    <row r="702" spans="1:4" ht="12.75" x14ac:dyDescent="0.2">
      <c r="A702" s="85"/>
      <c r="B702" s="85"/>
      <c r="D702" s="85"/>
    </row>
    <row r="703" spans="1:4" ht="12.75" x14ac:dyDescent="0.2">
      <c r="A703" s="85"/>
      <c r="B703" s="85"/>
      <c r="D703" s="85"/>
    </row>
    <row r="704" spans="1:4" ht="12.75" x14ac:dyDescent="0.2">
      <c r="A704" s="85"/>
      <c r="B704" s="85"/>
      <c r="D704" s="85"/>
    </row>
    <row r="705" spans="1:4" ht="12.75" x14ac:dyDescent="0.2">
      <c r="A705" s="85"/>
      <c r="B705" s="85"/>
      <c r="D705" s="85"/>
    </row>
    <row r="706" spans="1:4" ht="12.75" x14ac:dyDescent="0.2">
      <c r="A706" s="85"/>
      <c r="B706" s="85"/>
      <c r="D706" s="85"/>
    </row>
    <row r="707" spans="1:4" ht="12.75" x14ac:dyDescent="0.2">
      <c r="A707" s="85"/>
      <c r="B707" s="85"/>
      <c r="D707" s="85"/>
    </row>
    <row r="708" spans="1:4" ht="12.75" x14ac:dyDescent="0.2">
      <c r="A708" s="85"/>
      <c r="B708" s="85"/>
      <c r="D708" s="85"/>
    </row>
    <row r="709" spans="1:4" ht="12.75" x14ac:dyDescent="0.2">
      <c r="A709" s="85"/>
      <c r="B709" s="85"/>
      <c r="D709" s="85"/>
    </row>
    <row r="710" spans="1:4" ht="12.75" x14ac:dyDescent="0.2">
      <c r="A710" s="85"/>
      <c r="B710" s="85"/>
      <c r="D710" s="85"/>
    </row>
    <row r="711" spans="1:4" ht="12.75" x14ac:dyDescent="0.2">
      <c r="A711" s="85"/>
      <c r="B711" s="85"/>
      <c r="D711" s="85"/>
    </row>
    <row r="712" spans="1:4" ht="12.75" x14ac:dyDescent="0.2">
      <c r="A712" s="85"/>
      <c r="B712" s="85"/>
      <c r="D712" s="85"/>
    </row>
    <row r="713" spans="1:4" ht="12.75" x14ac:dyDescent="0.2">
      <c r="A713" s="85"/>
      <c r="B713" s="85"/>
      <c r="D713" s="85"/>
    </row>
    <row r="714" spans="1:4" ht="12.75" x14ac:dyDescent="0.2">
      <c r="A714" s="85"/>
      <c r="B714" s="85"/>
      <c r="D714" s="85"/>
    </row>
    <row r="715" spans="1:4" ht="12.75" x14ac:dyDescent="0.2">
      <c r="A715" s="85"/>
      <c r="B715" s="85"/>
      <c r="D715" s="85"/>
    </row>
    <row r="716" spans="1:4" ht="12.75" x14ac:dyDescent="0.2">
      <c r="A716" s="85"/>
      <c r="B716" s="85"/>
      <c r="D716" s="85"/>
    </row>
    <row r="717" spans="1:4" ht="12.75" x14ac:dyDescent="0.2">
      <c r="A717" s="85"/>
      <c r="B717" s="85"/>
      <c r="D717" s="85"/>
    </row>
    <row r="718" spans="1:4" ht="12.75" x14ac:dyDescent="0.2">
      <c r="A718" s="85"/>
      <c r="B718" s="85"/>
      <c r="D718" s="85"/>
    </row>
    <row r="719" spans="1:4" ht="12.75" x14ac:dyDescent="0.2">
      <c r="A719" s="85"/>
      <c r="B719" s="85"/>
      <c r="D719" s="85"/>
    </row>
    <row r="720" spans="1:4" ht="12.75" x14ac:dyDescent="0.2">
      <c r="A720" s="85"/>
      <c r="B720" s="85"/>
      <c r="D720" s="85"/>
    </row>
    <row r="721" spans="1:4" ht="12.75" x14ac:dyDescent="0.2">
      <c r="A721" s="85"/>
      <c r="B721" s="85"/>
      <c r="D721" s="85"/>
    </row>
    <row r="722" spans="1:4" ht="12.75" x14ac:dyDescent="0.2">
      <c r="A722" s="85"/>
      <c r="B722" s="85"/>
      <c r="D722" s="85"/>
    </row>
    <row r="723" spans="1:4" ht="12.75" x14ac:dyDescent="0.2">
      <c r="A723" s="85"/>
      <c r="B723" s="85"/>
      <c r="D723" s="85"/>
    </row>
    <row r="724" spans="1:4" ht="12.75" x14ac:dyDescent="0.2">
      <c r="A724" s="85"/>
      <c r="B724" s="85"/>
      <c r="D724" s="85"/>
    </row>
    <row r="725" spans="1:4" ht="12.75" x14ac:dyDescent="0.2">
      <c r="A725" s="85"/>
      <c r="B725" s="85"/>
      <c r="D725" s="85"/>
    </row>
    <row r="726" spans="1:4" ht="12.75" x14ac:dyDescent="0.2">
      <c r="A726" s="85"/>
      <c r="B726" s="85"/>
      <c r="D726" s="85"/>
    </row>
    <row r="727" spans="1:4" ht="12.75" x14ac:dyDescent="0.2">
      <c r="A727" s="85"/>
      <c r="B727" s="85"/>
      <c r="D727" s="85"/>
    </row>
    <row r="728" spans="1:4" ht="12.75" x14ac:dyDescent="0.2">
      <c r="A728" s="85"/>
      <c r="B728" s="85"/>
      <c r="D728" s="85"/>
    </row>
    <row r="729" spans="1:4" ht="12.75" x14ac:dyDescent="0.2">
      <c r="A729" s="85"/>
      <c r="B729" s="85"/>
      <c r="D729" s="85"/>
    </row>
    <row r="730" spans="1:4" ht="12.75" x14ac:dyDescent="0.2">
      <c r="A730" s="85"/>
      <c r="B730" s="85"/>
      <c r="D730" s="85"/>
    </row>
    <row r="731" spans="1:4" ht="12.75" x14ac:dyDescent="0.2">
      <c r="A731" s="85"/>
      <c r="B731" s="85"/>
      <c r="D731" s="85"/>
    </row>
    <row r="732" spans="1:4" ht="12.75" x14ac:dyDescent="0.2">
      <c r="A732" s="85"/>
      <c r="B732" s="85"/>
      <c r="D732" s="85"/>
    </row>
    <row r="733" spans="1:4" ht="12.75" x14ac:dyDescent="0.2">
      <c r="A733" s="85"/>
      <c r="B733" s="85"/>
      <c r="D733" s="85"/>
    </row>
    <row r="734" spans="1:4" ht="12.75" x14ac:dyDescent="0.2">
      <c r="A734" s="85"/>
      <c r="B734" s="85"/>
      <c r="D734" s="85"/>
    </row>
    <row r="735" spans="1:4" ht="12.75" x14ac:dyDescent="0.2">
      <c r="A735" s="85"/>
      <c r="B735" s="85"/>
      <c r="D735" s="85"/>
    </row>
    <row r="736" spans="1:4" ht="12.75" x14ac:dyDescent="0.2">
      <c r="A736" s="85"/>
      <c r="B736" s="85"/>
      <c r="D736" s="85"/>
    </row>
    <row r="737" spans="1:4" ht="12.75" x14ac:dyDescent="0.2">
      <c r="A737" s="85"/>
      <c r="B737" s="85"/>
      <c r="D737" s="85"/>
    </row>
    <row r="738" spans="1:4" ht="12.75" x14ac:dyDescent="0.2">
      <c r="A738" s="85"/>
      <c r="B738" s="85"/>
      <c r="D738" s="85"/>
    </row>
    <row r="739" spans="1:4" ht="12.75" x14ac:dyDescent="0.2">
      <c r="A739" s="85"/>
      <c r="B739" s="85"/>
      <c r="D739" s="85"/>
    </row>
    <row r="740" spans="1:4" ht="12.75" x14ac:dyDescent="0.2">
      <c r="A740" s="85"/>
      <c r="B740" s="85"/>
      <c r="D740" s="85"/>
    </row>
    <row r="741" spans="1:4" ht="12.75" x14ac:dyDescent="0.2">
      <c r="A741" s="85"/>
      <c r="B741" s="85"/>
      <c r="D741" s="85"/>
    </row>
    <row r="742" spans="1:4" ht="12.75" x14ac:dyDescent="0.2">
      <c r="A742" s="85"/>
      <c r="B742" s="85"/>
      <c r="D742" s="85"/>
    </row>
    <row r="743" spans="1:4" ht="12.75" x14ac:dyDescent="0.2">
      <c r="A743" s="85"/>
      <c r="B743" s="85"/>
      <c r="D743" s="85"/>
    </row>
    <row r="744" spans="1:4" ht="12.75" x14ac:dyDescent="0.2">
      <c r="A744" s="85"/>
      <c r="B744" s="85"/>
      <c r="D744" s="85"/>
    </row>
    <row r="745" spans="1:4" ht="12.75" x14ac:dyDescent="0.2">
      <c r="A745" s="85"/>
      <c r="B745" s="85"/>
      <c r="D745" s="85"/>
    </row>
    <row r="746" spans="1:4" ht="12.75" x14ac:dyDescent="0.2">
      <c r="A746" s="85"/>
      <c r="B746" s="85"/>
      <c r="D746" s="85"/>
    </row>
    <row r="747" spans="1:4" ht="12.75" x14ac:dyDescent="0.2">
      <c r="A747" s="85"/>
      <c r="B747" s="85"/>
      <c r="D747" s="85"/>
    </row>
    <row r="748" spans="1:4" ht="12.75" x14ac:dyDescent="0.2">
      <c r="A748" s="85"/>
      <c r="B748" s="85"/>
      <c r="D748" s="85"/>
    </row>
    <row r="749" spans="1:4" ht="12.75" x14ac:dyDescent="0.2">
      <c r="A749" s="85"/>
      <c r="B749" s="85"/>
      <c r="D749" s="85"/>
    </row>
    <row r="750" spans="1:4" ht="12.75" x14ac:dyDescent="0.2">
      <c r="A750" s="85"/>
      <c r="B750" s="85"/>
      <c r="D750" s="85"/>
    </row>
    <row r="751" spans="1:4" ht="12.75" x14ac:dyDescent="0.2">
      <c r="A751" s="85"/>
      <c r="B751" s="85"/>
      <c r="D751" s="85"/>
    </row>
    <row r="752" spans="1:4" ht="12.75" x14ac:dyDescent="0.2">
      <c r="A752" s="85"/>
      <c r="B752" s="85"/>
      <c r="D752" s="85"/>
    </row>
    <row r="753" spans="1:4" ht="12.75" x14ac:dyDescent="0.2">
      <c r="A753" s="85"/>
      <c r="B753" s="85"/>
      <c r="D753" s="85"/>
    </row>
    <row r="754" spans="1:4" ht="12.75" x14ac:dyDescent="0.2">
      <c r="A754" s="85"/>
      <c r="B754" s="85"/>
      <c r="D754" s="85"/>
    </row>
    <row r="755" spans="1:4" ht="12.75" x14ac:dyDescent="0.2">
      <c r="A755" s="85"/>
      <c r="B755" s="85"/>
      <c r="D755" s="85"/>
    </row>
    <row r="756" spans="1:4" ht="12.75" x14ac:dyDescent="0.2">
      <c r="A756" s="85"/>
      <c r="B756" s="85"/>
      <c r="D756" s="85"/>
    </row>
    <row r="757" spans="1:4" ht="12.75" x14ac:dyDescent="0.2">
      <c r="A757" s="85"/>
      <c r="B757" s="85"/>
      <c r="D757" s="85"/>
    </row>
    <row r="758" spans="1:4" ht="12.75" x14ac:dyDescent="0.2">
      <c r="A758" s="85"/>
      <c r="B758" s="85"/>
      <c r="D758" s="85"/>
    </row>
    <row r="759" spans="1:4" ht="12.75" x14ac:dyDescent="0.2">
      <c r="A759" s="85"/>
      <c r="B759" s="85"/>
      <c r="D759" s="85"/>
    </row>
    <row r="760" spans="1:4" ht="12.75" x14ac:dyDescent="0.2">
      <c r="A760" s="85"/>
      <c r="B760" s="85"/>
      <c r="D760" s="85"/>
    </row>
    <row r="761" spans="1:4" ht="12.75" x14ac:dyDescent="0.2">
      <c r="A761" s="85"/>
      <c r="B761" s="85"/>
      <c r="D761" s="85"/>
    </row>
    <row r="762" spans="1:4" ht="12.75" x14ac:dyDescent="0.2">
      <c r="A762" s="85"/>
      <c r="B762" s="85"/>
      <c r="D762" s="85"/>
    </row>
    <row r="763" spans="1:4" ht="12.75" x14ac:dyDescent="0.2">
      <c r="A763" s="85"/>
      <c r="B763" s="85"/>
      <c r="D763" s="85"/>
    </row>
    <row r="764" spans="1:4" ht="12.75" x14ac:dyDescent="0.2">
      <c r="A764" s="85"/>
      <c r="B764" s="85"/>
      <c r="D764" s="85"/>
    </row>
    <row r="765" spans="1:4" ht="12.75" x14ac:dyDescent="0.2">
      <c r="A765" s="85"/>
      <c r="B765" s="85"/>
      <c r="D765" s="85"/>
    </row>
    <row r="766" spans="1:4" ht="12.75" x14ac:dyDescent="0.2">
      <c r="A766" s="85"/>
      <c r="B766" s="85"/>
      <c r="D766" s="85"/>
    </row>
    <row r="767" spans="1:4" ht="12.75" x14ac:dyDescent="0.2">
      <c r="A767" s="85"/>
      <c r="B767" s="85"/>
      <c r="D767" s="85"/>
    </row>
    <row r="768" spans="1:4" ht="12.75" x14ac:dyDescent="0.2">
      <c r="A768" s="85"/>
      <c r="B768" s="85"/>
      <c r="D768" s="85"/>
    </row>
    <row r="769" spans="1:4" ht="12.75" x14ac:dyDescent="0.2">
      <c r="A769" s="85"/>
      <c r="B769" s="85"/>
      <c r="D769" s="85"/>
    </row>
    <row r="770" spans="1:4" ht="12.75" x14ac:dyDescent="0.2">
      <c r="A770" s="85"/>
      <c r="B770" s="85"/>
      <c r="D770" s="85"/>
    </row>
    <row r="771" spans="1:4" ht="12.75" x14ac:dyDescent="0.2">
      <c r="A771" s="85"/>
      <c r="B771" s="85"/>
      <c r="D771" s="85"/>
    </row>
    <row r="772" spans="1:4" ht="12.75" x14ac:dyDescent="0.2">
      <c r="A772" s="85"/>
      <c r="B772" s="85"/>
      <c r="D772" s="85"/>
    </row>
    <row r="773" spans="1:4" ht="12.75" x14ac:dyDescent="0.2">
      <c r="A773" s="85"/>
      <c r="B773" s="85"/>
      <c r="D773" s="85"/>
    </row>
    <row r="774" spans="1:4" ht="12.75" x14ac:dyDescent="0.2">
      <c r="A774" s="85"/>
      <c r="B774" s="85"/>
      <c r="D774" s="85"/>
    </row>
    <row r="775" spans="1:4" ht="12.75" x14ac:dyDescent="0.2">
      <c r="A775" s="85"/>
      <c r="B775" s="85"/>
      <c r="D775" s="85"/>
    </row>
    <row r="776" spans="1:4" ht="12.75" x14ac:dyDescent="0.2">
      <c r="A776" s="85"/>
      <c r="B776" s="85"/>
      <c r="D776" s="85"/>
    </row>
    <row r="777" spans="1:4" ht="12.75" x14ac:dyDescent="0.2">
      <c r="A777" s="85"/>
      <c r="B777" s="85"/>
      <c r="D777" s="85"/>
    </row>
    <row r="778" spans="1:4" ht="12.75" x14ac:dyDescent="0.2">
      <c r="A778" s="85"/>
      <c r="B778" s="85"/>
      <c r="D778" s="85"/>
    </row>
    <row r="779" spans="1:4" ht="12.75" x14ac:dyDescent="0.2">
      <c r="A779" s="85"/>
      <c r="B779" s="85"/>
      <c r="D779" s="85"/>
    </row>
    <row r="780" spans="1:4" ht="12.75" x14ac:dyDescent="0.2">
      <c r="A780" s="85"/>
      <c r="B780" s="85"/>
      <c r="D780" s="85"/>
    </row>
    <row r="781" spans="1:4" ht="12.75" x14ac:dyDescent="0.2">
      <c r="A781" s="85"/>
      <c r="B781" s="85"/>
      <c r="D781" s="85"/>
    </row>
    <row r="782" spans="1:4" ht="12.75" x14ac:dyDescent="0.2">
      <c r="A782" s="85"/>
      <c r="B782" s="85"/>
      <c r="D782" s="85"/>
    </row>
    <row r="783" spans="1:4" ht="12.75" x14ac:dyDescent="0.2">
      <c r="A783" s="85"/>
      <c r="B783" s="85"/>
      <c r="D783" s="85"/>
    </row>
    <row r="784" spans="1:4" ht="12.75" x14ac:dyDescent="0.2">
      <c r="A784" s="85"/>
      <c r="B784" s="85"/>
      <c r="D784" s="85"/>
    </row>
    <row r="785" spans="1:4" ht="12.75" x14ac:dyDescent="0.2">
      <c r="A785" s="85"/>
      <c r="B785" s="85"/>
      <c r="D785" s="85"/>
    </row>
    <row r="786" spans="1:4" ht="12.75" x14ac:dyDescent="0.2">
      <c r="A786" s="85"/>
      <c r="B786" s="85"/>
      <c r="D786" s="85"/>
    </row>
    <row r="787" spans="1:4" ht="12.75" x14ac:dyDescent="0.2">
      <c r="A787" s="85"/>
      <c r="B787" s="85"/>
      <c r="D787" s="85"/>
    </row>
    <row r="788" spans="1:4" ht="12.75" x14ac:dyDescent="0.2">
      <c r="A788" s="85"/>
      <c r="B788" s="85"/>
      <c r="D788" s="85"/>
    </row>
    <row r="789" spans="1:4" ht="12.75" x14ac:dyDescent="0.2">
      <c r="A789" s="85"/>
      <c r="B789" s="85"/>
      <c r="D789" s="85"/>
    </row>
    <row r="790" spans="1:4" ht="12.75" x14ac:dyDescent="0.2">
      <c r="A790" s="85"/>
      <c r="B790" s="85"/>
      <c r="D790" s="85"/>
    </row>
    <row r="791" spans="1:4" ht="12.75" x14ac:dyDescent="0.2">
      <c r="A791" s="85"/>
      <c r="B791" s="85"/>
      <c r="D791" s="85"/>
    </row>
    <row r="792" spans="1:4" ht="12.75" x14ac:dyDescent="0.2">
      <c r="A792" s="85"/>
      <c r="B792" s="85"/>
      <c r="D792" s="85"/>
    </row>
    <row r="793" spans="1:4" ht="12.75" x14ac:dyDescent="0.2">
      <c r="A793" s="85"/>
      <c r="B793" s="85"/>
      <c r="D793" s="85"/>
    </row>
    <row r="794" spans="1:4" ht="12.75" x14ac:dyDescent="0.2">
      <c r="A794" s="85"/>
      <c r="B794" s="85"/>
      <c r="D794" s="85"/>
    </row>
    <row r="795" spans="1:4" ht="12.75" x14ac:dyDescent="0.2">
      <c r="A795" s="85"/>
      <c r="B795" s="85"/>
      <c r="D795" s="85"/>
    </row>
    <row r="796" spans="1:4" ht="12.75" x14ac:dyDescent="0.2">
      <c r="A796" s="85"/>
      <c r="B796" s="85"/>
      <c r="D796" s="85"/>
    </row>
    <row r="797" spans="1:4" ht="12.75" x14ac:dyDescent="0.2">
      <c r="A797" s="85"/>
      <c r="B797" s="85"/>
      <c r="D797" s="85"/>
    </row>
    <row r="798" spans="1:4" ht="12.75" x14ac:dyDescent="0.2">
      <c r="A798" s="85"/>
      <c r="B798" s="85"/>
      <c r="D798" s="85"/>
    </row>
    <row r="799" spans="1:4" ht="12.75" x14ac:dyDescent="0.2">
      <c r="A799" s="85"/>
      <c r="B799" s="85"/>
      <c r="D799" s="85"/>
    </row>
    <row r="800" spans="1:4" ht="12.75" x14ac:dyDescent="0.2">
      <c r="A800" s="85"/>
      <c r="B800" s="85"/>
      <c r="D800" s="85"/>
    </row>
    <row r="801" spans="1:4" ht="12.75" x14ac:dyDescent="0.2">
      <c r="A801" s="85"/>
      <c r="B801" s="85"/>
      <c r="D801" s="85"/>
    </row>
    <row r="802" spans="1:4" ht="12.75" x14ac:dyDescent="0.2">
      <c r="A802" s="85"/>
      <c r="B802" s="85"/>
      <c r="D802" s="85"/>
    </row>
    <row r="803" spans="1:4" ht="12.75" x14ac:dyDescent="0.2">
      <c r="A803" s="85"/>
      <c r="B803" s="85"/>
      <c r="D803" s="85"/>
    </row>
    <row r="804" spans="1:4" ht="12.75" x14ac:dyDescent="0.2">
      <c r="A804" s="85"/>
      <c r="B804" s="85"/>
      <c r="D804" s="85"/>
    </row>
    <row r="805" spans="1:4" ht="12.75" x14ac:dyDescent="0.2">
      <c r="A805" s="85"/>
      <c r="B805" s="85"/>
      <c r="D805" s="85"/>
    </row>
    <row r="806" spans="1:4" ht="12.75" x14ac:dyDescent="0.2">
      <c r="A806" s="85"/>
      <c r="B806" s="85"/>
      <c r="D806" s="85"/>
    </row>
    <row r="807" spans="1:4" ht="12.75" x14ac:dyDescent="0.2">
      <c r="A807" s="85"/>
      <c r="B807" s="85"/>
      <c r="D807" s="85"/>
    </row>
    <row r="808" spans="1:4" ht="12.75" x14ac:dyDescent="0.2">
      <c r="A808" s="85"/>
      <c r="B808" s="85"/>
      <c r="D808" s="85"/>
    </row>
    <row r="809" spans="1:4" ht="12.75" x14ac:dyDescent="0.2">
      <c r="A809" s="85"/>
      <c r="B809" s="85"/>
      <c r="D809" s="85"/>
    </row>
    <row r="810" spans="1:4" ht="12.75" x14ac:dyDescent="0.2">
      <c r="A810" s="85"/>
      <c r="B810" s="85"/>
      <c r="D810" s="85"/>
    </row>
    <row r="811" spans="1:4" ht="12.75" x14ac:dyDescent="0.2">
      <c r="A811" s="85"/>
      <c r="B811" s="85"/>
      <c r="D811" s="85"/>
    </row>
    <row r="812" spans="1:4" ht="12.75" x14ac:dyDescent="0.2">
      <c r="A812" s="85"/>
      <c r="B812" s="85"/>
      <c r="D812" s="85"/>
    </row>
    <row r="813" spans="1:4" ht="12.75" x14ac:dyDescent="0.2">
      <c r="A813" s="85"/>
      <c r="B813" s="85"/>
      <c r="D813" s="85"/>
    </row>
    <row r="814" spans="1:4" ht="12.75" x14ac:dyDescent="0.2">
      <c r="A814" s="85"/>
      <c r="B814" s="85"/>
      <c r="D814" s="85"/>
    </row>
    <row r="815" spans="1:4" ht="12.75" x14ac:dyDescent="0.2">
      <c r="A815" s="85"/>
      <c r="B815" s="85"/>
      <c r="D815" s="85"/>
    </row>
    <row r="816" spans="1:4" ht="12.75" x14ac:dyDescent="0.2">
      <c r="A816" s="85"/>
      <c r="B816" s="85"/>
      <c r="D816" s="85"/>
    </row>
    <row r="817" spans="1:4" ht="12.75" x14ac:dyDescent="0.2">
      <c r="A817" s="85"/>
      <c r="B817" s="85"/>
      <c r="D817" s="85"/>
    </row>
    <row r="818" spans="1:4" ht="12.75" x14ac:dyDescent="0.2">
      <c r="A818" s="85"/>
      <c r="B818" s="85"/>
      <c r="D818" s="85"/>
    </row>
    <row r="819" spans="1:4" ht="12.75" x14ac:dyDescent="0.2">
      <c r="A819" s="85"/>
      <c r="B819" s="85"/>
      <c r="D819" s="85"/>
    </row>
    <row r="820" spans="1:4" ht="12.75" x14ac:dyDescent="0.2">
      <c r="A820" s="85"/>
      <c r="B820" s="85"/>
      <c r="D820" s="85"/>
    </row>
    <row r="821" spans="1:4" ht="12.75" x14ac:dyDescent="0.2">
      <c r="A821" s="85"/>
      <c r="B821" s="85"/>
      <c r="D821" s="85"/>
    </row>
    <row r="822" spans="1:4" ht="12.75" x14ac:dyDescent="0.2">
      <c r="A822" s="85"/>
      <c r="B822" s="85"/>
      <c r="D822" s="85"/>
    </row>
    <row r="823" spans="1:4" ht="12.75" x14ac:dyDescent="0.2">
      <c r="A823" s="85"/>
      <c r="B823" s="85"/>
      <c r="D823" s="85"/>
    </row>
    <row r="824" spans="1:4" ht="12.75" x14ac:dyDescent="0.2">
      <c r="A824" s="85"/>
      <c r="B824" s="85"/>
      <c r="D824" s="85"/>
    </row>
    <row r="825" spans="1:4" ht="12.75" x14ac:dyDescent="0.2">
      <c r="A825" s="85"/>
      <c r="B825" s="85"/>
      <c r="D825" s="85"/>
    </row>
    <row r="826" spans="1:4" ht="12.75" x14ac:dyDescent="0.2">
      <c r="A826" s="85"/>
      <c r="B826" s="85"/>
      <c r="D826" s="85"/>
    </row>
    <row r="827" spans="1:4" ht="12.75" x14ac:dyDescent="0.2">
      <c r="A827" s="85"/>
      <c r="B827" s="85"/>
      <c r="D827" s="85"/>
    </row>
    <row r="828" spans="1:4" ht="12.75" x14ac:dyDescent="0.2">
      <c r="A828" s="85"/>
      <c r="B828" s="85"/>
      <c r="D828" s="85"/>
    </row>
    <row r="829" spans="1:4" ht="12.75" x14ac:dyDescent="0.2">
      <c r="A829" s="85"/>
      <c r="B829" s="85"/>
      <c r="D829" s="85"/>
    </row>
    <row r="830" spans="1:4" ht="12.75" x14ac:dyDescent="0.2">
      <c r="A830" s="85"/>
      <c r="B830" s="85"/>
      <c r="D830" s="85"/>
    </row>
    <row r="831" spans="1:4" ht="12.75" x14ac:dyDescent="0.2">
      <c r="A831" s="85"/>
      <c r="B831" s="85"/>
      <c r="D831" s="85"/>
    </row>
    <row r="832" spans="1:4" ht="12.75" x14ac:dyDescent="0.2">
      <c r="A832" s="85"/>
      <c r="B832" s="85"/>
      <c r="D832" s="85"/>
    </row>
    <row r="833" spans="1:4" ht="12.75" x14ac:dyDescent="0.2">
      <c r="A833" s="85"/>
      <c r="B833" s="85"/>
      <c r="D833" s="85"/>
    </row>
    <row r="834" spans="1:4" ht="12.75" x14ac:dyDescent="0.2">
      <c r="A834" s="85"/>
      <c r="B834" s="85"/>
      <c r="D834" s="85"/>
    </row>
    <row r="835" spans="1:4" ht="12.75" x14ac:dyDescent="0.2">
      <c r="A835" s="85"/>
      <c r="B835" s="85"/>
      <c r="D835" s="85"/>
    </row>
    <row r="836" spans="1:4" ht="12.75" x14ac:dyDescent="0.2">
      <c r="A836" s="85"/>
      <c r="B836" s="85"/>
      <c r="D836" s="85"/>
    </row>
    <row r="837" spans="1:4" ht="12.75" x14ac:dyDescent="0.2">
      <c r="A837" s="85"/>
      <c r="B837" s="85"/>
      <c r="D837" s="85"/>
    </row>
    <row r="838" spans="1:4" ht="12.75" x14ac:dyDescent="0.2">
      <c r="A838" s="85"/>
      <c r="B838" s="85"/>
      <c r="D838" s="85"/>
    </row>
    <row r="839" spans="1:4" ht="12.75" x14ac:dyDescent="0.2">
      <c r="A839" s="85"/>
      <c r="B839" s="85"/>
      <c r="D839" s="85"/>
    </row>
    <row r="840" spans="1:4" ht="12.75" x14ac:dyDescent="0.2">
      <c r="A840" s="85"/>
      <c r="B840" s="85"/>
      <c r="D840" s="85"/>
    </row>
    <row r="841" spans="1:4" ht="12.75" x14ac:dyDescent="0.2">
      <c r="A841" s="85"/>
      <c r="B841" s="85"/>
      <c r="D841" s="85"/>
    </row>
    <row r="842" spans="1:4" ht="12.75" x14ac:dyDescent="0.2">
      <c r="A842" s="85"/>
      <c r="B842" s="85"/>
      <c r="D842" s="85"/>
    </row>
    <row r="843" spans="1:4" ht="12.75" x14ac:dyDescent="0.2">
      <c r="A843" s="85"/>
      <c r="B843" s="85"/>
      <c r="D843" s="85"/>
    </row>
    <row r="844" spans="1:4" ht="12.75" x14ac:dyDescent="0.2">
      <c r="A844" s="85"/>
      <c r="B844" s="85"/>
      <c r="D844" s="85"/>
    </row>
    <row r="845" spans="1:4" ht="12.75" x14ac:dyDescent="0.2">
      <c r="A845" s="85"/>
      <c r="B845" s="85"/>
      <c r="D845" s="85"/>
    </row>
    <row r="846" spans="1:4" ht="12.75" x14ac:dyDescent="0.2">
      <c r="A846" s="85"/>
      <c r="B846" s="85"/>
      <c r="D846" s="85"/>
    </row>
    <row r="847" spans="1:4" ht="12.75" x14ac:dyDescent="0.2">
      <c r="A847" s="85"/>
      <c r="B847" s="85"/>
      <c r="D847" s="85"/>
    </row>
    <row r="848" spans="1:4" ht="12.75" x14ac:dyDescent="0.2">
      <c r="A848" s="85"/>
      <c r="B848" s="85"/>
      <c r="D848" s="85"/>
    </row>
    <row r="849" spans="1:4" ht="12.75" x14ac:dyDescent="0.2">
      <c r="A849" s="85"/>
      <c r="B849" s="85"/>
      <c r="D849" s="85"/>
    </row>
    <row r="850" spans="1:4" ht="12.75" x14ac:dyDescent="0.2">
      <c r="A850" s="85"/>
      <c r="B850" s="85"/>
      <c r="D850" s="85"/>
    </row>
    <row r="851" spans="1:4" ht="12.75" x14ac:dyDescent="0.2">
      <c r="A851" s="85"/>
      <c r="B851" s="85"/>
      <c r="D851" s="85"/>
    </row>
    <row r="852" spans="1:4" ht="12.75" x14ac:dyDescent="0.2">
      <c r="A852" s="85"/>
      <c r="B852" s="85"/>
      <c r="D852" s="85"/>
    </row>
    <row r="853" spans="1:4" ht="12.75" x14ac:dyDescent="0.2">
      <c r="A853" s="85"/>
      <c r="B853" s="85"/>
      <c r="D853" s="85"/>
    </row>
    <row r="854" spans="1:4" ht="12.75" x14ac:dyDescent="0.2">
      <c r="A854" s="85"/>
      <c r="B854" s="85"/>
      <c r="D854" s="85"/>
    </row>
    <row r="855" spans="1:4" ht="12.75" x14ac:dyDescent="0.2">
      <c r="A855" s="85"/>
      <c r="B855" s="85"/>
      <c r="D855" s="85"/>
    </row>
    <row r="856" spans="1:4" ht="12.75" x14ac:dyDescent="0.2">
      <c r="A856" s="85"/>
      <c r="B856" s="85"/>
      <c r="D856" s="85"/>
    </row>
    <row r="857" spans="1:4" ht="12.75" x14ac:dyDescent="0.2">
      <c r="A857" s="85"/>
      <c r="B857" s="85"/>
      <c r="D857" s="85"/>
    </row>
    <row r="858" spans="1:4" ht="12.75" x14ac:dyDescent="0.2">
      <c r="A858" s="85"/>
      <c r="B858" s="85"/>
      <c r="D858" s="85"/>
    </row>
    <row r="859" spans="1:4" ht="12.75" x14ac:dyDescent="0.2">
      <c r="A859" s="85"/>
      <c r="B859" s="85"/>
      <c r="D859" s="85"/>
    </row>
    <row r="860" spans="1:4" ht="12.75" x14ac:dyDescent="0.2">
      <c r="A860" s="85"/>
      <c r="B860" s="85"/>
      <c r="D860" s="85"/>
    </row>
    <row r="861" spans="1:4" ht="12.75" x14ac:dyDescent="0.2">
      <c r="A861" s="85"/>
      <c r="B861" s="85"/>
      <c r="D861" s="85"/>
    </row>
    <row r="862" spans="1:4" ht="12.75" x14ac:dyDescent="0.2">
      <c r="A862" s="85"/>
      <c r="B862" s="85"/>
      <c r="D862" s="85"/>
    </row>
    <row r="863" spans="1:4" ht="12.75" x14ac:dyDescent="0.2">
      <c r="A863" s="85"/>
      <c r="B863" s="85"/>
      <c r="D863" s="85"/>
    </row>
    <row r="864" spans="1:4" ht="12.75" x14ac:dyDescent="0.2">
      <c r="A864" s="85"/>
      <c r="B864" s="85"/>
      <c r="D864" s="85"/>
    </row>
    <row r="865" spans="1:4" ht="12.75" x14ac:dyDescent="0.2">
      <c r="A865" s="85"/>
      <c r="B865" s="85"/>
      <c r="D865" s="85"/>
    </row>
    <row r="866" spans="1:4" ht="12.75" x14ac:dyDescent="0.2">
      <c r="A866" s="85"/>
      <c r="B866" s="85"/>
      <c r="D866" s="85"/>
    </row>
    <row r="867" spans="1:4" ht="12.75" x14ac:dyDescent="0.2">
      <c r="A867" s="85"/>
      <c r="B867" s="85"/>
      <c r="D867" s="85"/>
    </row>
    <row r="868" spans="1:4" ht="12.75" x14ac:dyDescent="0.2">
      <c r="A868" s="85"/>
      <c r="B868" s="85"/>
      <c r="D868" s="85"/>
    </row>
    <row r="869" spans="1:4" ht="12.75" x14ac:dyDescent="0.2">
      <c r="A869" s="85"/>
      <c r="B869" s="85"/>
      <c r="D869" s="85"/>
    </row>
    <row r="870" spans="1:4" ht="12.75" x14ac:dyDescent="0.2">
      <c r="A870" s="85"/>
      <c r="B870" s="85"/>
      <c r="D870" s="85"/>
    </row>
    <row r="871" spans="1:4" ht="12.75" x14ac:dyDescent="0.2">
      <c r="A871" s="85"/>
      <c r="B871" s="85"/>
      <c r="D871" s="85"/>
    </row>
    <row r="872" spans="1:4" ht="12.75" x14ac:dyDescent="0.2">
      <c r="A872" s="85"/>
      <c r="B872" s="85"/>
      <c r="D872" s="85"/>
    </row>
    <row r="873" spans="1:4" ht="12.75" x14ac:dyDescent="0.2">
      <c r="A873" s="85"/>
      <c r="B873" s="85"/>
      <c r="D873" s="85"/>
    </row>
    <row r="874" spans="1:4" ht="12.75" x14ac:dyDescent="0.2">
      <c r="A874" s="85"/>
      <c r="B874" s="85"/>
      <c r="D874" s="85"/>
    </row>
    <row r="875" spans="1:4" ht="12.75" x14ac:dyDescent="0.2">
      <c r="A875" s="85"/>
      <c r="B875" s="85"/>
      <c r="D875" s="85"/>
    </row>
    <row r="876" spans="1:4" ht="12.75" x14ac:dyDescent="0.2">
      <c r="A876" s="85"/>
      <c r="B876" s="85"/>
      <c r="D876" s="85"/>
    </row>
    <row r="877" spans="1:4" ht="12.75" x14ac:dyDescent="0.2">
      <c r="A877" s="85"/>
      <c r="B877" s="85"/>
      <c r="D877" s="85"/>
    </row>
    <row r="878" spans="1:4" ht="12.75" x14ac:dyDescent="0.2">
      <c r="A878" s="85"/>
      <c r="B878" s="85"/>
      <c r="D878" s="85"/>
    </row>
    <row r="879" spans="1:4" ht="12.75" x14ac:dyDescent="0.2">
      <c r="A879" s="85"/>
      <c r="B879" s="85"/>
      <c r="D879" s="85"/>
    </row>
    <row r="880" spans="1:4" ht="12.75" x14ac:dyDescent="0.2">
      <c r="A880" s="85"/>
      <c r="B880" s="85"/>
      <c r="D880" s="85"/>
    </row>
    <row r="881" spans="1:4" ht="12.75" x14ac:dyDescent="0.2">
      <c r="A881" s="85"/>
      <c r="B881" s="85"/>
      <c r="D881" s="85"/>
    </row>
    <row r="882" spans="1:4" ht="12.75" x14ac:dyDescent="0.2">
      <c r="A882" s="85"/>
      <c r="B882" s="85"/>
      <c r="D882" s="85"/>
    </row>
    <row r="883" spans="1:4" ht="12.75" x14ac:dyDescent="0.2">
      <c r="A883" s="85"/>
      <c r="B883" s="85"/>
      <c r="D883" s="85"/>
    </row>
    <row r="884" spans="1:4" ht="12.75" x14ac:dyDescent="0.2">
      <c r="A884" s="85"/>
      <c r="B884" s="85"/>
      <c r="D884" s="85"/>
    </row>
    <row r="885" spans="1:4" ht="12.75" x14ac:dyDescent="0.2">
      <c r="A885" s="85"/>
      <c r="B885" s="85"/>
      <c r="D885" s="85"/>
    </row>
    <row r="886" spans="1:4" ht="12.75" x14ac:dyDescent="0.2">
      <c r="A886" s="85"/>
      <c r="B886" s="85"/>
      <c r="D886" s="85"/>
    </row>
    <row r="887" spans="1:4" ht="12.75" x14ac:dyDescent="0.2">
      <c r="A887" s="85"/>
      <c r="B887" s="85"/>
      <c r="D887" s="85"/>
    </row>
    <row r="888" spans="1:4" ht="12.75" x14ac:dyDescent="0.2">
      <c r="A888" s="85"/>
      <c r="B888" s="85"/>
      <c r="D888" s="85"/>
    </row>
    <row r="889" spans="1:4" ht="12.75" x14ac:dyDescent="0.2">
      <c r="A889" s="85"/>
      <c r="B889" s="85"/>
      <c r="D889" s="85"/>
    </row>
    <row r="890" spans="1:4" ht="12.75" x14ac:dyDescent="0.2">
      <c r="A890" s="85"/>
      <c r="B890" s="85"/>
      <c r="D890" s="85"/>
    </row>
    <row r="891" spans="1:4" ht="12.75" x14ac:dyDescent="0.2">
      <c r="A891" s="85"/>
      <c r="B891" s="85"/>
      <c r="D891" s="85"/>
    </row>
    <row r="892" spans="1:4" ht="12.75" x14ac:dyDescent="0.2">
      <c r="A892" s="85"/>
      <c r="B892" s="85"/>
      <c r="D892" s="85"/>
    </row>
    <row r="893" spans="1:4" ht="12.75" x14ac:dyDescent="0.2">
      <c r="A893" s="85"/>
      <c r="B893" s="85"/>
      <c r="D893" s="85"/>
    </row>
    <row r="894" spans="1:4" ht="12.75" x14ac:dyDescent="0.2">
      <c r="A894" s="85"/>
      <c r="B894" s="85"/>
      <c r="D894" s="85"/>
    </row>
    <row r="895" spans="1:4" ht="12.75" x14ac:dyDescent="0.2">
      <c r="A895" s="85"/>
      <c r="B895" s="85"/>
      <c r="D895" s="85"/>
    </row>
    <row r="896" spans="1:4" ht="12.75" x14ac:dyDescent="0.2">
      <c r="A896" s="85"/>
      <c r="B896" s="85"/>
      <c r="D896" s="85"/>
    </row>
    <row r="897" spans="1:4" ht="12.75" x14ac:dyDescent="0.2">
      <c r="A897" s="85"/>
      <c r="B897" s="85"/>
      <c r="D897" s="85"/>
    </row>
    <row r="898" spans="1:4" ht="12.75" x14ac:dyDescent="0.2">
      <c r="A898" s="85"/>
      <c r="B898" s="85"/>
      <c r="D898" s="85"/>
    </row>
    <row r="899" spans="1:4" ht="12.75" x14ac:dyDescent="0.2">
      <c r="A899" s="85"/>
      <c r="B899" s="85"/>
      <c r="D899" s="85"/>
    </row>
    <row r="900" spans="1:4" ht="12.75" x14ac:dyDescent="0.2">
      <c r="A900" s="85"/>
      <c r="B900" s="85"/>
      <c r="D900" s="85"/>
    </row>
    <row r="901" spans="1:4" ht="12.75" x14ac:dyDescent="0.2">
      <c r="A901" s="85"/>
      <c r="B901" s="85"/>
      <c r="D901" s="85"/>
    </row>
    <row r="902" spans="1:4" ht="12.75" x14ac:dyDescent="0.2">
      <c r="A902" s="85"/>
      <c r="B902" s="85"/>
      <c r="D902" s="85"/>
    </row>
    <row r="903" spans="1:4" ht="12.75" x14ac:dyDescent="0.2">
      <c r="A903" s="85"/>
      <c r="B903" s="85"/>
      <c r="D903" s="85"/>
    </row>
    <row r="904" spans="1:4" ht="12.75" x14ac:dyDescent="0.2">
      <c r="A904" s="85"/>
      <c r="B904" s="85"/>
      <c r="D904" s="85"/>
    </row>
    <row r="905" spans="1:4" ht="12.75" x14ac:dyDescent="0.2">
      <c r="A905" s="85"/>
      <c r="B905" s="85"/>
      <c r="D905" s="85"/>
    </row>
    <row r="906" spans="1:4" ht="12.75" x14ac:dyDescent="0.2">
      <c r="A906" s="85"/>
      <c r="B906" s="85"/>
      <c r="D906" s="85"/>
    </row>
    <row r="907" spans="1:4" ht="12.75" x14ac:dyDescent="0.2">
      <c r="A907" s="85"/>
      <c r="B907" s="85"/>
      <c r="D907" s="85"/>
    </row>
    <row r="908" spans="1:4" ht="12.75" x14ac:dyDescent="0.2">
      <c r="A908" s="85"/>
      <c r="B908" s="85"/>
      <c r="D908" s="85"/>
    </row>
    <row r="909" spans="1:4" ht="12.75" x14ac:dyDescent="0.2">
      <c r="A909" s="85"/>
      <c r="B909" s="85"/>
      <c r="D909" s="85"/>
    </row>
    <row r="910" spans="1:4" ht="12.75" x14ac:dyDescent="0.2">
      <c r="A910" s="85"/>
      <c r="B910" s="85"/>
      <c r="D910" s="85"/>
    </row>
    <row r="911" spans="1:4" ht="12.75" x14ac:dyDescent="0.2">
      <c r="A911" s="85"/>
      <c r="B911" s="85"/>
      <c r="D911" s="85"/>
    </row>
    <row r="912" spans="1:4" ht="12.75" x14ac:dyDescent="0.2">
      <c r="A912" s="85"/>
      <c r="B912" s="85"/>
      <c r="D912" s="85"/>
    </row>
    <row r="913" spans="1:4" ht="12.75" x14ac:dyDescent="0.2">
      <c r="A913" s="85"/>
      <c r="B913" s="85"/>
      <c r="D913" s="85"/>
    </row>
    <row r="914" spans="1:4" ht="12.75" x14ac:dyDescent="0.2">
      <c r="A914" s="85"/>
      <c r="B914" s="85"/>
      <c r="D914" s="85"/>
    </row>
    <row r="915" spans="1:4" ht="12.75" x14ac:dyDescent="0.2">
      <c r="A915" s="85"/>
      <c r="B915" s="85"/>
      <c r="D915" s="85"/>
    </row>
    <row r="916" spans="1:4" ht="12.75" x14ac:dyDescent="0.2">
      <c r="A916" s="85"/>
      <c r="B916" s="85"/>
      <c r="D916" s="85"/>
    </row>
    <row r="917" spans="1:4" ht="12.75" x14ac:dyDescent="0.2">
      <c r="A917" s="85"/>
      <c r="B917" s="85"/>
      <c r="D917" s="85"/>
    </row>
    <row r="918" spans="1:4" ht="12.75" x14ac:dyDescent="0.2">
      <c r="A918" s="85"/>
      <c r="B918" s="85"/>
      <c r="D918" s="85"/>
    </row>
    <row r="919" spans="1:4" ht="12.75" x14ac:dyDescent="0.2">
      <c r="A919" s="85"/>
      <c r="B919" s="85"/>
      <c r="D919" s="85"/>
    </row>
    <row r="920" spans="1:4" ht="12.75" x14ac:dyDescent="0.2">
      <c r="A920" s="85"/>
      <c r="B920" s="85"/>
      <c r="D920" s="85"/>
    </row>
    <row r="921" spans="1:4" ht="12.75" x14ac:dyDescent="0.2">
      <c r="A921" s="85"/>
      <c r="B921" s="85"/>
      <c r="D921" s="85"/>
    </row>
    <row r="922" spans="1:4" ht="12.75" x14ac:dyDescent="0.2">
      <c r="A922" s="85"/>
      <c r="B922" s="85"/>
      <c r="D922" s="85"/>
    </row>
    <row r="923" spans="1:4" ht="12.75" x14ac:dyDescent="0.2">
      <c r="A923" s="85"/>
      <c r="B923" s="85"/>
      <c r="D923" s="85"/>
    </row>
    <row r="924" spans="1:4" ht="12.75" x14ac:dyDescent="0.2">
      <c r="A924" s="85"/>
      <c r="B924" s="85"/>
      <c r="D924" s="85"/>
    </row>
    <row r="925" spans="1:4" ht="12.75" x14ac:dyDescent="0.2">
      <c r="A925" s="85"/>
      <c r="B925" s="85"/>
      <c r="D925" s="85"/>
    </row>
    <row r="926" spans="1:4" ht="12.75" x14ac:dyDescent="0.2">
      <c r="A926" s="85"/>
      <c r="B926" s="85"/>
      <c r="D926" s="85"/>
    </row>
    <row r="927" spans="1:4" ht="12.75" x14ac:dyDescent="0.2">
      <c r="A927" s="85"/>
      <c r="B927" s="85"/>
      <c r="D927" s="85"/>
    </row>
    <row r="928" spans="1:4" ht="12.75" x14ac:dyDescent="0.2">
      <c r="A928" s="85"/>
      <c r="B928" s="85"/>
      <c r="D928" s="85"/>
    </row>
    <row r="929" spans="1:4" ht="12.75" x14ac:dyDescent="0.2">
      <c r="A929" s="85"/>
      <c r="B929" s="85"/>
      <c r="D929" s="85"/>
    </row>
    <row r="930" spans="1:4" ht="12.75" x14ac:dyDescent="0.2">
      <c r="A930" s="85"/>
      <c r="B930" s="85"/>
      <c r="D930" s="85"/>
    </row>
    <row r="931" spans="1:4" ht="12.75" x14ac:dyDescent="0.2">
      <c r="A931" s="85"/>
      <c r="B931" s="85"/>
      <c r="D931" s="85"/>
    </row>
    <row r="932" spans="1:4" ht="12.75" x14ac:dyDescent="0.2">
      <c r="A932" s="85"/>
      <c r="B932" s="85"/>
      <c r="D932" s="85"/>
    </row>
    <row r="933" spans="1:4" ht="12.75" x14ac:dyDescent="0.2">
      <c r="A933" s="85"/>
      <c r="B933" s="85"/>
      <c r="D933" s="85"/>
    </row>
    <row r="934" spans="1:4" ht="12.75" x14ac:dyDescent="0.2">
      <c r="A934" s="85"/>
      <c r="B934" s="85"/>
      <c r="D934" s="85"/>
    </row>
    <row r="935" spans="1:4" ht="12.75" x14ac:dyDescent="0.2">
      <c r="A935" s="85"/>
      <c r="B935" s="85"/>
      <c r="D935" s="85"/>
    </row>
    <row r="936" spans="1:4" ht="12.75" x14ac:dyDescent="0.2">
      <c r="A936" s="85"/>
      <c r="B936" s="85"/>
      <c r="D936" s="85"/>
    </row>
    <row r="937" spans="1:4" ht="12.75" x14ac:dyDescent="0.2">
      <c r="A937" s="85"/>
      <c r="B937" s="85"/>
      <c r="D937" s="85"/>
    </row>
    <row r="938" spans="1:4" ht="12.75" x14ac:dyDescent="0.2">
      <c r="A938" s="85"/>
      <c r="B938" s="85"/>
      <c r="D938" s="85"/>
    </row>
    <row r="939" spans="1:4" ht="12.75" x14ac:dyDescent="0.2">
      <c r="A939" s="85"/>
      <c r="B939" s="85"/>
      <c r="D939" s="85"/>
    </row>
    <row r="940" spans="1:4" ht="12.75" x14ac:dyDescent="0.2">
      <c r="A940" s="85"/>
      <c r="B940" s="85"/>
      <c r="D940" s="85"/>
    </row>
    <row r="941" spans="1:4" ht="12.75" x14ac:dyDescent="0.2">
      <c r="A941" s="85"/>
      <c r="B941" s="85"/>
      <c r="D941" s="85"/>
    </row>
    <row r="942" spans="1:4" ht="12.75" x14ac:dyDescent="0.2">
      <c r="A942" s="85"/>
      <c r="B942" s="85"/>
      <c r="D942" s="85"/>
    </row>
    <row r="943" spans="1:4" ht="12.75" x14ac:dyDescent="0.2">
      <c r="A943" s="85"/>
      <c r="B943" s="85"/>
      <c r="D943" s="85"/>
    </row>
    <row r="944" spans="1:4" ht="12.75" x14ac:dyDescent="0.2">
      <c r="A944" s="85"/>
      <c r="B944" s="85"/>
      <c r="D944" s="85"/>
    </row>
    <row r="945" spans="1:4" ht="12.75" x14ac:dyDescent="0.2">
      <c r="A945" s="85"/>
      <c r="B945" s="85"/>
      <c r="D945" s="85"/>
    </row>
    <row r="946" spans="1:4" ht="12.75" x14ac:dyDescent="0.2">
      <c r="A946" s="85"/>
      <c r="B946" s="85"/>
      <c r="D946" s="85"/>
    </row>
    <row r="947" spans="1:4" ht="12.75" x14ac:dyDescent="0.2">
      <c r="A947" s="85"/>
      <c r="B947" s="85"/>
      <c r="D947" s="85"/>
    </row>
    <row r="948" spans="1:4" ht="12.75" x14ac:dyDescent="0.2">
      <c r="A948" s="85"/>
      <c r="B948" s="85"/>
      <c r="D948" s="85"/>
    </row>
    <row r="949" spans="1:4" ht="12.75" x14ac:dyDescent="0.2">
      <c r="A949" s="85"/>
      <c r="B949" s="85"/>
      <c r="D949" s="85"/>
    </row>
    <row r="950" spans="1:4" ht="12.75" x14ac:dyDescent="0.2">
      <c r="A950" s="85"/>
      <c r="B950" s="85"/>
      <c r="D950" s="85"/>
    </row>
    <row r="951" spans="1:4" ht="12.75" x14ac:dyDescent="0.2">
      <c r="A951" s="85"/>
      <c r="B951" s="85"/>
      <c r="D951" s="85"/>
    </row>
    <row r="952" spans="1:4" ht="12.75" x14ac:dyDescent="0.2">
      <c r="A952" s="85"/>
      <c r="B952" s="85"/>
      <c r="D952" s="85"/>
    </row>
    <row r="953" spans="1:4" ht="12.75" x14ac:dyDescent="0.2">
      <c r="A953" s="85"/>
      <c r="B953" s="85"/>
      <c r="D953" s="85"/>
    </row>
    <row r="954" spans="1:4" ht="12.75" x14ac:dyDescent="0.2">
      <c r="A954" s="85"/>
      <c r="B954" s="85"/>
      <c r="D954" s="85"/>
    </row>
    <row r="955" spans="1:4" ht="12.75" x14ac:dyDescent="0.2">
      <c r="A955" s="85"/>
      <c r="B955" s="85"/>
      <c r="D955" s="85"/>
    </row>
    <row r="956" spans="1:4" ht="12.75" x14ac:dyDescent="0.2">
      <c r="A956" s="85"/>
      <c r="B956" s="85"/>
      <c r="D956" s="85"/>
    </row>
    <row r="957" spans="1:4" ht="12.75" x14ac:dyDescent="0.2">
      <c r="A957" s="85"/>
      <c r="B957" s="85"/>
      <c r="D957" s="85"/>
    </row>
    <row r="958" spans="1:4" ht="12.75" x14ac:dyDescent="0.2">
      <c r="A958" s="85"/>
      <c r="B958" s="85"/>
      <c r="D958" s="85"/>
    </row>
    <row r="959" spans="1:4" ht="12.75" x14ac:dyDescent="0.2">
      <c r="A959" s="85"/>
      <c r="B959" s="85"/>
      <c r="D959" s="85"/>
    </row>
    <row r="960" spans="1:4" ht="12.75" x14ac:dyDescent="0.2">
      <c r="A960" s="85"/>
      <c r="B960" s="85"/>
      <c r="D960" s="85"/>
    </row>
    <row r="961" spans="1:4" ht="12.75" x14ac:dyDescent="0.2">
      <c r="A961" s="85"/>
      <c r="B961" s="85"/>
      <c r="D961" s="85"/>
    </row>
    <row r="962" spans="1:4" ht="12.75" x14ac:dyDescent="0.2">
      <c r="A962" s="85"/>
      <c r="B962" s="85"/>
      <c r="D962" s="85"/>
    </row>
    <row r="963" spans="1:4" ht="12.75" x14ac:dyDescent="0.2">
      <c r="A963" s="85"/>
      <c r="B963" s="85"/>
      <c r="D963" s="85"/>
    </row>
    <row r="964" spans="1:4" ht="12.75" x14ac:dyDescent="0.2">
      <c r="A964" s="85"/>
      <c r="B964" s="85"/>
      <c r="D964" s="85"/>
    </row>
    <row r="965" spans="1:4" ht="12.75" x14ac:dyDescent="0.2">
      <c r="A965" s="85"/>
      <c r="B965" s="85"/>
      <c r="D965" s="85"/>
    </row>
    <row r="966" spans="1:4" ht="12.75" x14ac:dyDescent="0.2">
      <c r="A966" s="85"/>
      <c r="B966" s="85"/>
      <c r="D966" s="85"/>
    </row>
    <row r="967" spans="1:4" ht="12.75" x14ac:dyDescent="0.2">
      <c r="A967" s="85"/>
      <c r="B967" s="85"/>
      <c r="D967" s="85"/>
    </row>
    <row r="968" spans="1:4" ht="12.75" x14ac:dyDescent="0.2">
      <c r="A968" s="85"/>
      <c r="B968" s="85"/>
      <c r="D968" s="85"/>
    </row>
    <row r="969" spans="1:4" ht="12.75" x14ac:dyDescent="0.2">
      <c r="A969" s="85"/>
      <c r="B969" s="85"/>
      <c r="D969" s="85"/>
    </row>
    <row r="970" spans="1:4" ht="12.75" x14ac:dyDescent="0.2">
      <c r="A970" s="85"/>
      <c r="B970" s="85"/>
      <c r="D970" s="85"/>
    </row>
    <row r="971" spans="1:4" ht="12.75" x14ac:dyDescent="0.2">
      <c r="A971" s="85"/>
      <c r="B971" s="85"/>
      <c r="D971" s="85"/>
    </row>
    <row r="972" spans="1:4" ht="12.75" x14ac:dyDescent="0.2">
      <c r="A972" s="85"/>
      <c r="B972" s="85"/>
      <c r="D972" s="85"/>
    </row>
    <row r="973" spans="1:4" ht="12.75" x14ac:dyDescent="0.2">
      <c r="A973" s="85"/>
      <c r="B973" s="85"/>
      <c r="D973" s="85"/>
    </row>
    <row r="974" spans="1:4" ht="12.75" x14ac:dyDescent="0.2">
      <c r="A974" s="85"/>
      <c r="B974" s="85"/>
      <c r="D974" s="85"/>
    </row>
    <row r="975" spans="1:4" ht="12.75" x14ac:dyDescent="0.2">
      <c r="A975" s="85"/>
      <c r="B975" s="85"/>
      <c r="D975" s="85"/>
    </row>
    <row r="976" spans="1:4" ht="12.75" x14ac:dyDescent="0.2">
      <c r="A976" s="85"/>
      <c r="B976" s="85"/>
      <c r="D976" s="85"/>
    </row>
    <row r="977" spans="1:4" ht="12.75" x14ac:dyDescent="0.2">
      <c r="A977" s="85"/>
      <c r="B977" s="85"/>
      <c r="D977" s="85"/>
    </row>
    <row r="978" spans="1:4" ht="12.75" x14ac:dyDescent="0.2">
      <c r="A978" s="85"/>
      <c r="B978" s="85"/>
      <c r="D978" s="85"/>
    </row>
    <row r="979" spans="1:4" ht="12.75" x14ac:dyDescent="0.2">
      <c r="A979" s="85"/>
      <c r="B979" s="85"/>
      <c r="D979" s="85"/>
    </row>
    <row r="980" spans="1:4" ht="12.75" x14ac:dyDescent="0.2">
      <c r="A980" s="85"/>
      <c r="B980" s="85"/>
      <c r="D980" s="85"/>
    </row>
    <row r="981" spans="1:4" ht="12.75" x14ac:dyDescent="0.2">
      <c r="A981" s="85"/>
      <c r="B981" s="85"/>
      <c r="D981" s="85"/>
    </row>
    <row r="982" spans="1:4" ht="12.75" x14ac:dyDescent="0.2">
      <c r="A982" s="85"/>
      <c r="B982" s="85"/>
      <c r="D982" s="85"/>
    </row>
    <row r="983" spans="1:4" ht="12.75" x14ac:dyDescent="0.2">
      <c r="A983" s="85"/>
      <c r="B983" s="85"/>
      <c r="D983" s="85"/>
    </row>
    <row r="984" spans="1:4" ht="12.75" x14ac:dyDescent="0.2">
      <c r="A984" s="85"/>
      <c r="B984" s="85"/>
      <c r="D984" s="85"/>
    </row>
    <row r="985" spans="1:4" ht="12.75" x14ac:dyDescent="0.2">
      <c r="A985" s="85"/>
      <c r="B985" s="85"/>
      <c r="D985" s="85"/>
    </row>
    <row r="986" spans="1:4" ht="12.75" x14ac:dyDescent="0.2">
      <c r="A986" s="85"/>
      <c r="B986" s="85"/>
      <c r="D986" s="85"/>
    </row>
    <row r="987" spans="1:4" ht="12.75" x14ac:dyDescent="0.2">
      <c r="A987" s="85"/>
      <c r="B987" s="85"/>
      <c r="D987" s="85"/>
    </row>
    <row r="988" spans="1:4" ht="12.75" x14ac:dyDescent="0.2">
      <c r="A988" s="85"/>
      <c r="B988" s="85"/>
      <c r="D988" s="85"/>
    </row>
    <row r="989" spans="1:4" ht="12.75" x14ac:dyDescent="0.2">
      <c r="A989" s="85"/>
      <c r="B989" s="85"/>
      <c r="D989" s="85"/>
    </row>
    <row r="990" spans="1:4" ht="12.75" x14ac:dyDescent="0.2">
      <c r="A990" s="85"/>
      <c r="B990" s="85"/>
      <c r="D990" s="85"/>
    </row>
    <row r="991" spans="1:4" ht="12.75" x14ac:dyDescent="0.2">
      <c r="A991" s="85"/>
      <c r="B991" s="85"/>
      <c r="D991" s="85"/>
    </row>
    <row r="992" spans="1:4" ht="12.75" x14ac:dyDescent="0.2">
      <c r="A992" s="85"/>
      <c r="B992" s="85"/>
      <c r="D992" s="85"/>
    </row>
    <row r="993" spans="1:4" ht="12.75" x14ac:dyDescent="0.2">
      <c r="A993" s="85"/>
      <c r="B993" s="85"/>
      <c r="D993" s="85"/>
    </row>
    <row r="994" spans="1:4" ht="12.75" x14ac:dyDescent="0.2">
      <c r="A994" s="85"/>
      <c r="B994" s="85"/>
      <c r="D994" s="85"/>
    </row>
    <row r="995" spans="1:4" ht="12.75" x14ac:dyDescent="0.2">
      <c r="A995" s="85"/>
      <c r="B995" s="85"/>
      <c r="D995" s="85"/>
    </row>
    <row r="996" spans="1:4" ht="12.75" x14ac:dyDescent="0.2">
      <c r="A996" s="85"/>
      <c r="B996" s="85"/>
      <c r="D996" s="85"/>
    </row>
    <row r="997" spans="1:4" ht="12.75" x14ac:dyDescent="0.2">
      <c r="A997" s="85"/>
      <c r="B997" s="85"/>
      <c r="D997" s="85"/>
    </row>
    <row r="998" spans="1:4" ht="12.75" x14ac:dyDescent="0.2">
      <c r="A998" s="85"/>
      <c r="B998" s="85"/>
      <c r="D998" s="85"/>
    </row>
    <row r="999" spans="1:4" ht="12.75" x14ac:dyDescent="0.2">
      <c r="A999" s="85"/>
      <c r="B999" s="85"/>
      <c r="D999" s="85"/>
    </row>
    <row r="1000" spans="1:4" ht="12.75" x14ac:dyDescent="0.2">
      <c r="A1000" s="85"/>
      <c r="B1000" s="85"/>
      <c r="D1000" s="85"/>
    </row>
    <row r="1001" spans="1:4" ht="12.75" x14ac:dyDescent="0.2">
      <c r="A1001" s="85"/>
      <c r="B1001" s="85"/>
      <c r="D1001" s="85"/>
    </row>
    <row r="1002" spans="1:4" ht="12.75" x14ac:dyDescent="0.2">
      <c r="A1002" s="85"/>
      <c r="B1002" s="85"/>
      <c r="D1002" s="85"/>
    </row>
    <row r="1003" spans="1:4" ht="12.75" x14ac:dyDescent="0.2">
      <c r="A1003" s="85"/>
      <c r="B1003" s="85"/>
      <c r="D1003" s="85"/>
    </row>
    <row r="1004" spans="1:4" ht="12.75" x14ac:dyDescent="0.2">
      <c r="A1004" s="85"/>
      <c r="B1004" s="85"/>
      <c r="D1004" s="85"/>
    </row>
    <row r="1005" spans="1:4" ht="12.75" x14ac:dyDescent="0.2">
      <c r="A1005" s="85"/>
      <c r="B1005" s="85"/>
      <c r="D1005" s="85"/>
    </row>
    <row r="1006" spans="1:4" ht="12.75" x14ac:dyDescent="0.2">
      <c r="A1006" s="85"/>
      <c r="B1006" s="85"/>
      <c r="D1006" s="85"/>
    </row>
  </sheetData>
  <autoFilter ref="B3:F1001"/>
  <mergeCells count="2">
    <mergeCell ref="B1:F1"/>
    <mergeCell ref="B2:F2"/>
  </mergeCells>
  <conditionalFormatting sqref="C4:C327 E4:E327">
    <cfRule type="cellIs" dxfId="59" priority="1" operator="equal">
      <formula>$A$4</formula>
    </cfRule>
  </conditionalFormatting>
  <conditionalFormatting sqref="C4:C327 E4:E327">
    <cfRule type="cellIs" dxfId="58" priority="2" operator="equal">
      <formula>$A$5</formula>
    </cfRule>
  </conditionalFormatting>
  <conditionalFormatting sqref="C4:C327 E4:E327">
    <cfRule type="cellIs" dxfId="57" priority="3" operator="equal">
      <formula>$A$6</formula>
    </cfRule>
  </conditionalFormatting>
  <conditionalFormatting sqref="C4:C327 E4:E327">
    <cfRule type="cellIs" dxfId="56" priority="4" operator="equal">
      <formula>$A$7</formula>
    </cfRule>
  </conditionalFormatting>
  <conditionalFormatting sqref="C4:C327 E4:E327">
    <cfRule type="cellIs" dxfId="55" priority="5" operator="equal">
      <formula>$A$8</formula>
    </cfRule>
  </conditionalFormatting>
  <conditionalFormatting sqref="C4:C327 E4:E327">
    <cfRule type="cellIs" dxfId="54" priority="6" operator="equal">
      <formula>$A$9</formula>
    </cfRule>
  </conditionalFormatting>
  <conditionalFormatting sqref="C4:C327 E4:E327">
    <cfRule type="cellIs" dxfId="53" priority="7" operator="equal">
      <formula>$A$10</formula>
    </cfRule>
  </conditionalFormatting>
  <conditionalFormatting sqref="C4:C327 E4:E327">
    <cfRule type="cellIs" dxfId="52" priority="8" operator="equal">
      <formula>$A$11</formula>
    </cfRule>
  </conditionalFormatting>
  <conditionalFormatting sqref="C4:C327 E4:E327">
    <cfRule type="cellIs" dxfId="51" priority="9" operator="equal">
      <formula>$A$12</formula>
    </cfRule>
  </conditionalFormatting>
  <conditionalFormatting sqref="C4:C327 E4:E327">
    <cfRule type="cellIs" dxfId="50" priority="10" operator="equal">
      <formula>$A$13</formula>
    </cfRule>
  </conditionalFormatting>
  <conditionalFormatting sqref="C4:C327 E4:E327">
    <cfRule type="cellIs" dxfId="49" priority="11" operator="equal">
      <formula>$A$14</formula>
    </cfRule>
  </conditionalFormatting>
  <conditionalFormatting sqref="C4:C327 E4:E327">
    <cfRule type="cellIs" dxfId="48" priority="12" operator="equal">
      <formula>$A$15</formula>
    </cfRule>
  </conditionalFormatting>
  <conditionalFormatting sqref="C4:C327 E4:E327">
    <cfRule type="cellIs" dxfId="47" priority="13" operator="equal">
      <formula>$A$16</formula>
    </cfRule>
  </conditionalFormatting>
  <conditionalFormatting sqref="C4:C327 E4:E327">
    <cfRule type="cellIs" dxfId="46" priority="14" operator="equal">
      <formula>$A$17</formula>
    </cfRule>
  </conditionalFormatting>
  <conditionalFormatting sqref="C4:C327 E4:E327">
    <cfRule type="cellIs" dxfId="45" priority="15" operator="equal">
      <formula>$A$18</formula>
    </cfRule>
  </conditionalFormatting>
  <conditionalFormatting sqref="C4:C327 E4:E327">
    <cfRule type="cellIs" dxfId="44" priority="16" operator="equal">
      <formula>$A$19</formula>
    </cfRule>
  </conditionalFormatting>
  <conditionalFormatting sqref="C4:C327 E4:E327">
    <cfRule type="cellIs" dxfId="43" priority="17" operator="equal">
      <formula>$A$20</formula>
    </cfRule>
  </conditionalFormatting>
  <conditionalFormatting sqref="C4:C327 E4:E327">
    <cfRule type="cellIs" dxfId="42" priority="18" operator="equal">
      <formula>$A$21</formula>
    </cfRule>
  </conditionalFormatting>
  <conditionalFormatting sqref="C4:C327 E4:E327">
    <cfRule type="containsBlanks" dxfId="41" priority="19">
      <formula>LEN(TRIM(C4))=0</formula>
    </cfRule>
  </conditionalFormatting>
  <conditionalFormatting sqref="C328:C345">
    <cfRule type="cellIs" dxfId="40" priority="20" operator="equal">
      <formula>#REF!</formula>
    </cfRule>
  </conditionalFormatting>
  <conditionalFormatting sqref="C328:C345">
    <cfRule type="cellIs" dxfId="39" priority="21" operator="equal">
      <formula>#REF!</formula>
    </cfRule>
  </conditionalFormatting>
  <conditionalFormatting sqref="C328:C345">
    <cfRule type="cellIs" dxfId="38" priority="22" operator="equal">
      <formula>#REF!</formula>
    </cfRule>
  </conditionalFormatting>
  <conditionalFormatting sqref="C328:C345">
    <cfRule type="cellIs" dxfId="37" priority="23" operator="equal">
      <formula>#REF!</formula>
    </cfRule>
  </conditionalFormatting>
  <conditionalFormatting sqref="C328:C345">
    <cfRule type="cellIs" dxfId="36" priority="24" operator="equal">
      <formula>#REF!</formula>
    </cfRule>
  </conditionalFormatting>
  <conditionalFormatting sqref="C328:C345">
    <cfRule type="cellIs" dxfId="35" priority="25" operator="equal">
      <formula>#REF!</formula>
    </cfRule>
  </conditionalFormatting>
  <conditionalFormatting sqref="C328:C345">
    <cfRule type="cellIs" dxfId="34" priority="26" operator="equal">
      <formula>#REF!</formula>
    </cfRule>
  </conditionalFormatting>
  <conditionalFormatting sqref="C328:C345">
    <cfRule type="cellIs" dxfId="33" priority="27" operator="equal">
      <formula>#REF!</formula>
    </cfRule>
  </conditionalFormatting>
  <conditionalFormatting sqref="C328:C345">
    <cfRule type="cellIs" dxfId="32" priority="28" operator="equal">
      <formula>#REF!</formula>
    </cfRule>
  </conditionalFormatting>
  <conditionalFormatting sqref="C328:C345">
    <cfRule type="cellIs" dxfId="31" priority="29" operator="equal">
      <formula>#REF!</formula>
    </cfRule>
  </conditionalFormatting>
  <conditionalFormatting sqref="C328:C345">
    <cfRule type="cellIs" dxfId="30" priority="30" operator="equal">
      <formula>#REF!</formula>
    </cfRule>
  </conditionalFormatting>
  <conditionalFormatting sqref="C328:C345">
    <cfRule type="cellIs" dxfId="29" priority="31" operator="equal">
      <formula>#REF!</formula>
    </cfRule>
  </conditionalFormatting>
  <conditionalFormatting sqref="C328:C345">
    <cfRule type="cellIs" dxfId="28" priority="32" operator="equal">
      <formula>#REF!</formula>
    </cfRule>
  </conditionalFormatting>
  <conditionalFormatting sqref="C328:C345">
    <cfRule type="cellIs" dxfId="27" priority="33" operator="equal">
      <formula>#REF!</formula>
    </cfRule>
  </conditionalFormatting>
  <conditionalFormatting sqref="C328:C345">
    <cfRule type="cellIs" dxfId="26" priority="34" operator="equal">
      <formula>#REF!</formula>
    </cfRule>
  </conditionalFormatting>
  <conditionalFormatting sqref="C328:C345">
    <cfRule type="cellIs" dxfId="25" priority="35" operator="equal">
      <formula>#REF!</formula>
    </cfRule>
  </conditionalFormatting>
  <conditionalFormatting sqref="C328:C345">
    <cfRule type="cellIs" dxfId="24" priority="36" operator="equal">
      <formula>#REF!</formula>
    </cfRule>
  </conditionalFormatting>
  <conditionalFormatting sqref="C328:C345">
    <cfRule type="cellIs" dxfId="23" priority="37" operator="equal">
      <formula>#REF!</formula>
    </cfRule>
  </conditionalFormatting>
  <conditionalFormatting sqref="F4:F327">
    <cfRule type="cellIs" dxfId="22" priority="38" operator="lessThan">
      <formula>1</formula>
    </cfRule>
  </conditionalFormatting>
  <conditionalFormatting sqref="F4:F327">
    <cfRule type="cellIs" dxfId="21" priority="39" operator="greaterThan">
      <formula>1</formula>
    </cfRule>
  </conditionalFormatting>
  <dataValidations count="1">
    <dataValidation type="list" allowBlank="1" showInputMessage="1" showErrorMessage="1" prompt="Select appropriate damage multiplier from list." sqref="F4:F327">
      <formula1>Game_Type_Multipliers</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2"/>
  <sheetViews>
    <sheetView showGridLines="0" workbookViewId="0">
      <selection activeCell="D3" sqref="D1:E1048576"/>
    </sheetView>
  </sheetViews>
  <sheetFormatPr defaultColWidth="14.42578125" defaultRowHeight="15.75" customHeight="1" x14ac:dyDescent="0.2"/>
  <cols>
    <col min="1" max="1" width="8.7109375" customWidth="1"/>
    <col min="3" max="3" width="5.28515625" customWidth="1"/>
    <col min="4" max="4" width="8.85546875" customWidth="1"/>
    <col min="5" max="5" width="16.85546875" customWidth="1"/>
    <col min="6" max="6" width="5.28515625" customWidth="1"/>
    <col min="7" max="10" width="9.140625" customWidth="1"/>
    <col min="11" max="11" width="5.28515625" customWidth="1"/>
    <col min="12" max="12" width="18.42578125" customWidth="1"/>
    <col min="13" max="15" width="11.28515625" customWidth="1"/>
    <col min="16" max="16" width="0" hidden="1"/>
  </cols>
  <sheetData>
    <row r="1" spans="1:16" ht="15.75" customHeight="1" x14ac:dyDescent="0.2">
      <c r="A1" s="104" t="s">
        <v>368</v>
      </c>
      <c r="B1" s="93"/>
      <c r="C1" s="93"/>
      <c r="D1" s="93"/>
      <c r="E1" s="93"/>
      <c r="F1" s="93"/>
      <c r="G1" s="93"/>
      <c r="H1" s="93"/>
      <c r="I1" s="93"/>
      <c r="J1" s="93"/>
      <c r="K1" s="93"/>
      <c r="L1" s="93"/>
      <c r="M1" s="93"/>
      <c r="N1" s="93"/>
      <c r="O1" s="93"/>
      <c r="P1" s="48"/>
    </row>
    <row r="2" spans="1:16" ht="15.75" customHeight="1" x14ac:dyDescent="0.2">
      <c r="A2" s="105" t="s">
        <v>369</v>
      </c>
      <c r="B2" s="93"/>
      <c r="C2" s="93"/>
      <c r="D2" s="93"/>
      <c r="E2" s="93"/>
      <c r="F2" s="93"/>
      <c r="G2" s="93"/>
      <c r="H2" s="93"/>
      <c r="I2" s="93"/>
      <c r="J2" s="93"/>
      <c r="K2" s="93"/>
      <c r="L2" s="93"/>
      <c r="M2" s="93"/>
      <c r="N2" s="93"/>
      <c r="O2" s="93"/>
      <c r="P2" s="48"/>
    </row>
    <row r="3" spans="1:16" ht="15.75" customHeight="1" x14ac:dyDescent="0.2">
      <c r="A3" s="49" t="s">
        <v>370</v>
      </c>
      <c r="B3" s="8" t="s">
        <v>371</v>
      </c>
      <c r="D3" s="8" t="s">
        <v>372</v>
      </c>
      <c r="E3" s="8" t="s">
        <v>373</v>
      </c>
      <c r="I3" s="100" t="s">
        <v>374</v>
      </c>
      <c r="J3" s="96"/>
      <c r="M3" s="8" t="s">
        <v>375</v>
      </c>
      <c r="N3" s="8" t="s">
        <v>376</v>
      </c>
      <c r="O3" s="8" t="s">
        <v>377</v>
      </c>
    </row>
    <row r="4" spans="1:16" ht="15.75" customHeight="1" x14ac:dyDescent="0.2">
      <c r="A4" s="43">
        <v>7</v>
      </c>
      <c r="B4" s="45" t="s">
        <v>83</v>
      </c>
      <c r="D4" s="50">
        <v>1</v>
      </c>
      <c r="E4" s="51">
        <v>9.4E-2</v>
      </c>
      <c r="G4" s="100" t="s">
        <v>378</v>
      </c>
      <c r="H4" s="98"/>
      <c r="I4" s="108">
        <v>1.25</v>
      </c>
      <c r="J4" s="98"/>
      <c r="L4" s="8" t="str">
        <f>'Combination Data'!$R$5</f>
        <v>Duel Ability</v>
      </c>
      <c r="M4" s="52">
        <v>350</v>
      </c>
      <c r="N4" s="53">
        <v>275</v>
      </c>
      <c r="O4" s="54">
        <v>200</v>
      </c>
    </row>
    <row r="5" spans="1:16" ht="15.75" customHeight="1" x14ac:dyDescent="0.2">
      <c r="A5" s="43">
        <v>17</v>
      </c>
      <c r="B5" s="55" t="s">
        <v>60</v>
      </c>
      <c r="D5" s="50">
        <v>1.5</v>
      </c>
      <c r="E5" s="51">
        <v>0.135137432</v>
      </c>
      <c r="G5" s="100" t="s">
        <v>379</v>
      </c>
      <c r="H5" s="96"/>
      <c r="I5" s="108">
        <v>1</v>
      </c>
      <c r="J5" s="98"/>
      <c r="L5" s="8" t="str">
        <f>'Combination Data'!$S$5</f>
        <v>Gym Offense</v>
      </c>
      <c r="M5" s="52">
        <v>350</v>
      </c>
      <c r="N5" s="53">
        <v>275</v>
      </c>
      <c r="O5" s="54">
        <v>200</v>
      </c>
    </row>
    <row r="6" spans="1:16" ht="15.75" customHeight="1" x14ac:dyDescent="0.2">
      <c r="A6" s="43">
        <v>16</v>
      </c>
      <c r="B6" s="56" t="s">
        <v>63</v>
      </c>
      <c r="D6" s="50">
        <v>2</v>
      </c>
      <c r="E6" s="51">
        <v>0.16639787</v>
      </c>
      <c r="G6" s="100" t="s">
        <v>380</v>
      </c>
      <c r="H6" s="96"/>
      <c r="I6" s="108">
        <v>0.8</v>
      </c>
      <c r="J6" s="98"/>
      <c r="L6" s="8" t="str">
        <f>'Combination Data'!$Y$5</f>
        <v>Gym Defense</v>
      </c>
      <c r="M6" s="52">
        <v>350</v>
      </c>
      <c r="N6" s="53">
        <v>275</v>
      </c>
      <c r="O6" s="54">
        <v>200</v>
      </c>
    </row>
    <row r="7" spans="1:16" ht="15.75" customHeight="1" x14ac:dyDescent="0.2">
      <c r="A7" s="43">
        <v>13</v>
      </c>
      <c r="B7" s="45" t="s">
        <v>107</v>
      </c>
      <c r="D7" s="50">
        <v>2.5</v>
      </c>
      <c r="E7" s="51">
        <v>0.192650919</v>
      </c>
      <c r="G7" s="100" t="s">
        <v>381</v>
      </c>
      <c r="H7" s="96"/>
      <c r="I7" s="96"/>
      <c r="J7" s="98"/>
      <c r="L7" s="8" t="str">
        <f>'Combination Data'!$T$5</f>
        <v>ODPS</v>
      </c>
      <c r="M7" s="57">
        <v>20</v>
      </c>
      <c r="N7" s="58">
        <v>15</v>
      </c>
      <c r="O7" s="59">
        <v>10</v>
      </c>
    </row>
    <row r="8" spans="1:16" ht="15.75" customHeight="1" x14ac:dyDescent="0.2">
      <c r="A8" s="43">
        <v>18</v>
      </c>
      <c r="B8" s="45" t="s">
        <v>162</v>
      </c>
      <c r="D8" s="50">
        <v>3</v>
      </c>
      <c r="E8" s="51">
        <v>0.21573247000000001</v>
      </c>
      <c r="G8" s="106">
        <v>1.25</v>
      </c>
      <c r="H8" s="96"/>
      <c r="I8" s="96"/>
      <c r="J8" s="98"/>
      <c r="L8" s="8" t="str">
        <f>'Combination Data'!$Z$5</f>
        <v>DDPS</v>
      </c>
      <c r="M8" s="57">
        <v>8</v>
      </c>
      <c r="N8" s="58">
        <v>6.5</v>
      </c>
      <c r="O8" s="59">
        <v>5</v>
      </c>
    </row>
    <row r="9" spans="1:16" ht="15.75" customHeight="1" x14ac:dyDescent="0.2">
      <c r="A9" s="43">
        <v>2</v>
      </c>
      <c r="B9" s="45" t="s">
        <v>98</v>
      </c>
      <c r="D9" s="50">
        <v>3.5</v>
      </c>
      <c r="E9" s="51">
        <v>0.23657266099999999</v>
      </c>
      <c r="G9" s="100" t="s">
        <v>382</v>
      </c>
      <c r="H9" s="96"/>
      <c r="I9" s="96"/>
      <c r="J9" s="98"/>
      <c r="L9" s="60"/>
      <c r="M9" s="60"/>
      <c r="N9" s="60"/>
      <c r="O9" s="60"/>
    </row>
    <row r="10" spans="1:16" ht="15.75" customHeight="1" x14ac:dyDescent="0.2">
      <c r="A10" s="43">
        <v>10</v>
      </c>
      <c r="B10" s="45" t="s">
        <v>72</v>
      </c>
      <c r="D10" s="50">
        <v>4</v>
      </c>
      <c r="E10" s="51">
        <v>0.25572004999999998</v>
      </c>
      <c r="G10" s="106">
        <v>1.5</v>
      </c>
      <c r="H10" s="96"/>
      <c r="I10" s="96"/>
      <c r="J10" s="98"/>
      <c r="L10" s="7" t="str">
        <f>'Species Data'!$H$4</f>
        <v>Attack</v>
      </c>
      <c r="M10" s="52">
        <v>250</v>
      </c>
      <c r="N10" s="53">
        <v>175</v>
      </c>
      <c r="O10" s="54">
        <v>100</v>
      </c>
    </row>
    <row r="11" spans="1:16" ht="15.75" customHeight="1" x14ac:dyDescent="0.2">
      <c r="A11" s="43">
        <v>3</v>
      </c>
      <c r="B11" s="45" t="s">
        <v>70</v>
      </c>
      <c r="D11" s="50">
        <v>4.5</v>
      </c>
      <c r="E11" s="51">
        <v>0.27353038099999999</v>
      </c>
      <c r="L11" s="7" t="str">
        <f>'Species Data'!$I$4</f>
        <v>Defense</v>
      </c>
      <c r="M11" s="52">
        <v>250</v>
      </c>
      <c r="N11" s="53">
        <v>175</v>
      </c>
      <c r="O11" s="54">
        <v>100</v>
      </c>
    </row>
    <row r="12" spans="1:16" ht="15.75" customHeight="1" x14ac:dyDescent="0.2">
      <c r="A12" s="43">
        <v>8</v>
      </c>
      <c r="B12" s="45" t="s">
        <v>75</v>
      </c>
      <c r="D12" s="50">
        <v>5</v>
      </c>
      <c r="E12" s="51">
        <v>0.29024988000000002</v>
      </c>
      <c r="G12" s="100" t="s">
        <v>383</v>
      </c>
      <c r="H12" s="96"/>
      <c r="I12" s="96"/>
      <c r="J12" s="98"/>
      <c r="L12" s="7" t="str">
        <f>'Species Data'!$J$4</f>
        <v>Stamina</v>
      </c>
      <c r="M12" s="52">
        <v>250</v>
      </c>
      <c r="N12" s="53">
        <v>175</v>
      </c>
      <c r="O12" s="54">
        <v>100</v>
      </c>
    </row>
    <row r="13" spans="1:16" ht="15.75" customHeight="1" x14ac:dyDescent="0.2">
      <c r="A13" s="43">
        <v>12</v>
      </c>
      <c r="B13" s="45" t="s">
        <v>43</v>
      </c>
      <c r="D13" s="50">
        <v>5.5</v>
      </c>
      <c r="E13" s="51">
        <v>0.30605737700000002</v>
      </c>
      <c r="G13" s="107">
        <v>100000</v>
      </c>
      <c r="H13" s="96"/>
      <c r="I13" s="96"/>
      <c r="J13" s="98"/>
      <c r="L13" s="7" t="str">
        <f>'Species Data'!$K$4</f>
        <v>Tankiness</v>
      </c>
      <c r="M13" s="52">
        <v>250</v>
      </c>
      <c r="N13" s="53">
        <v>175</v>
      </c>
      <c r="O13" s="54">
        <v>100</v>
      </c>
    </row>
    <row r="14" spans="1:16" ht="15.75" customHeight="1" x14ac:dyDescent="0.2">
      <c r="A14" s="43">
        <v>5</v>
      </c>
      <c r="B14" s="45" t="s">
        <v>85</v>
      </c>
      <c r="D14" s="50">
        <v>6</v>
      </c>
      <c r="E14" s="51">
        <v>0.32108759999999997</v>
      </c>
      <c r="G14" s="100" t="s">
        <v>384</v>
      </c>
      <c r="H14" s="96"/>
      <c r="I14" s="96"/>
      <c r="J14" s="98"/>
      <c r="L14" s="61"/>
      <c r="M14" s="61"/>
      <c r="N14" s="61"/>
      <c r="O14" s="61"/>
    </row>
    <row r="15" spans="1:16" ht="15.75" customHeight="1" x14ac:dyDescent="0.2">
      <c r="A15" s="43">
        <v>15</v>
      </c>
      <c r="B15" s="45" t="s">
        <v>88</v>
      </c>
      <c r="D15" s="50">
        <v>6.5</v>
      </c>
      <c r="E15" s="51">
        <v>0.33544503599999997</v>
      </c>
      <c r="G15" s="107">
        <v>500</v>
      </c>
      <c r="H15" s="96"/>
      <c r="I15" s="96"/>
      <c r="J15" s="98"/>
      <c r="L15" s="8" t="str">
        <f>'Quick Move Data'!$H$3</f>
        <v>QDPS</v>
      </c>
      <c r="M15" s="62">
        <v>12</v>
      </c>
      <c r="N15" s="63">
        <v>10.5</v>
      </c>
      <c r="O15" s="64">
        <v>9</v>
      </c>
    </row>
    <row r="16" spans="1:16" ht="15.75" customHeight="1" x14ac:dyDescent="0.2">
      <c r="A16" s="43">
        <v>1</v>
      </c>
      <c r="B16" s="45" t="s">
        <v>35</v>
      </c>
      <c r="D16" s="50">
        <v>7</v>
      </c>
      <c r="E16" s="51">
        <v>0.34921268</v>
      </c>
      <c r="G16" s="100" t="s">
        <v>385</v>
      </c>
      <c r="H16" s="96"/>
      <c r="I16" s="96"/>
      <c r="J16" s="98"/>
      <c r="L16" s="8" t="str">
        <f>'Quick Move Data'!$I$3</f>
        <v>QEPS</v>
      </c>
      <c r="M16" s="62">
        <v>14</v>
      </c>
      <c r="N16" s="63">
        <v>11.5</v>
      </c>
      <c r="O16" s="64">
        <v>9</v>
      </c>
    </row>
    <row r="17" spans="1:15" ht="15.75" customHeight="1" x14ac:dyDescent="0.2">
      <c r="A17" s="43">
        <v>4</v>
      </c>
      <c r="B17" s="45" t="s">
        <v>44</v>
      </c>
      <c r="D17" s="50">
        <v>7.5</v>
      </c>
      <c r="E17" s="51">
        <v>0.36245775099999999</v>
      </c>
      <c r="G17" s="109">
        <v>0.05</v>
      </c>
      <c r="H17" s="96"/>
      <c r="I17" s="96"/>
      <c r="J17" s="98"/>
      <c r="L17" s="60"/>
      <c r="M17" s="60"/>
      <c r="N17" s="60"/>
      <c r="O17" s="60"/>
    </row>
    <row r="18" spans="1:15" ht="15.75" customHeight="1" x14ac:dyDescent="0.2">
      <c r="A18" s="43">
        <v>14</v>
      </c>
      <c r="B18" s="45" t="s">
        <v>58</v>
      </c>
      <c r="D18" s="50">
        <v>8</v>
      </c>
      <c r="E18" s="51">
        <v>0.37523559000000001</v>
      </c>
      <c r="G18" s="100" t="s">
        <v>386</v>
      </c>
      <c r="H18" s="96"/>
      <c r="I18" s="96"/>
      <c r="J18" s="98"/>
      <c r="L18" s="8" t="str">
        <f>'Charge Move Data'!$H$3</f>
        <v>Dodge Window</v>
      </c>
      <c r="M18" s="65">
        <v>300</v>
      </c>
      <c r="N18" s="66">
        <v>650</v>
      </c>
      <c r="O18" s="67">
        <v>1000</v>
      </c>
    </row>
    <row r="19" spans="1:15" ht="15.75" customHeight="1" x14ac:dyDescent="0.2">
      <c r="A19" s="43">
        <v>6</v>
      </c>
      <c r="B19" s="45" t="s">
        <v>113</v>
      </c>
      <c r="D19" s="50">
        <v>8.5</v>
      </c>
      <c r="E19" s="51">
        <v>0.387592406</v>
      </c>
      <c r="G19" s="107">
        <v>2000</v>
      </c>
      <c r="H19" s="96"/>
      <c r="I19" s="96"/>
      <c r="J19" s="98"/>
      <c r="L19" s="8" t="str">
        <f>'Charge Move Data'!$I$3</f>
        <v>Critical %</v>
      </c>
      <c r="M19" s="68">
        <v>0.3</v>
      </c>
      <c r="N19" s="69">
        <v>0.1</v>
      </c>
      <c r="O19" s="70">
        <v>0</v>
      </c>
    </row>
    <row r="20" spans="1:15" ht="15.75" customHeight="1" x14ac:dyDescent="0.2">
      <c r="A20" s="43">
        <v>9</v>
      </c>
      <c r="B20" s="45" t="s">
        <v>56</v>
      </c>
      <c r="D20" s="50">
        <v>9</v>
      </c>
      <c r="E20" s="51">
        <v>0.39956728000000002</v>
      </c>
      <c r="G20" s="100" t="s">
        <v>387</v>
      </c>
      <c r="H20" s="96"/>
      <c r="I20" s="96"/>
      <c r="J20" s="98"/>
      <c r="L20" s="8" t="str">
        <f>'Charge Move Data'!$J$3</f>
        <v>CDPS</v>
      </c>
      <c r="M20" s="62">
        <v>25</v>
      </c>
      <c r="N20" s="63">
        <v>20</v>
      </c>
      <c r="O20" s="64">
        <v>15</v>
      </c>
    </row>
    <row r="21" spans="1:15" ht="15.75" customHeight="1" x14ac:dyDescent="0.2">
      <c r="A21" s="43">
        <v>11</v>
      </c>
      <c r="B21" s="45" t="s">
        <v>66</v>
      </c>
      <c r="D21" s="50">
        <v>9.5</v>
      </c>
      <c r="E21" s="51">
        <v>0.41119355099999999</v>
      </c>
      <c r="G21" s="110">
        <v>2</v>
      </c>
      <c r="H21" s="96"/>
      <c r="I21" s="96"/>
      <c r="J21" s="98"/>
      <c r="L21" s="8" t="str">
        <f>'Charge Move Data'!$K$3</f>
        <v>CDPE</v>
      </c>
      <c r="M21" s="57">
        <v>1.7</v>
      </c>
      <c r="N21" s="58">
        <v>1.35</v>
      </c>
      <c r="O21" s="59">
        <v>1</v>
      </c>
    </row>
    <row r="22" spans="1:15" ht="15.75" customHeight="1" x14ac:dyDescent="0.2">
      <c r="D22" s="50">
        <v>10</v>
      </c>
      <c r="E22" s="51">
        <v>0.42250000999999998</v>
      </c>
      <c r="G22" s="100" t="s">
        <v>388</v>
      </c>
      <c r="H22" s="96"/>
      <c r="I22" s="96"/>
      <c r="J22" s="98"/>
    </row>
    <row r="23" spans="1:15" ht="15.75" customHeight="1" x14ac:dyDescent="0.2">
      <c r="D23" s="50">
        <v>10.5</v>
      </c>
      <c r="E23" s="51">
        <v>0.43292641900000001</v>
      </c>
      <c r="G23" s="107">
        <v>1000</v>
      </c>
      <c r="H23" s="96"/>
      <c r="I23" s="96"/>
      <c r="J23" s="98"/>
    </row>
    <row r="24" spans="1:15" ht="15.75" customHeight="1" x14ac:dyDescent="0.2">
      <c r="D24" s="50">
        <v>11</v>
      </c>
      <c r="E24" s="51">
        <v>0.44310755000000002</v>
      </c>
    </row>
    <row r="25" spans="1:15" ht="15.75" customHeight="1" x14ac:dyDescent="0.2">
      <c r="D25" s="50">
        <v>11.5</v>
      </c>
      <c r="E25" s="51">
        <v>0.45305995780000002</v>
      </c>
      <c r="G25" s="71"/>
      <c r="H25" s="7" t="str">
        <f>'Species Data'!$H$4</f>
        <v>Attack</v>
      </c>
      <c r="I25" s="7" t="str">
        <f>'Species Data'!$I$4</f>
        <v>Defense</v>
      </c>
      <c r="J25" s="7" t="str">
        <f>'Species Data'!$J$4</f>
        <v>Stamina</v>
      </c>
    </row>
    <row r="26" spans="1:15" ht="15.75" customHeight="1" x14ac:dyDescent="0.2">
      <c r="D26" s="50">
        <v>12</v>
      </c>
      <c r="E26" s="51">
        <v>0.46279839</v>
      </c>
      <c r="G26" s="8" t="s">
        <v>389</v>
      </c>
      <c r="H26" s="15">
        <v>15</v>
      </c>
      <c r="I26" s="15">
        <v>15</v>
      </c>
      <c r="J26" s="15">
        <v>15</v>
      </c>
    </row>
    <row r="27" spans="1:15" ht="15.75" customHeight="1" x14ac:dyDescent="0.2">
      <c r="D27" s="50">
        <v>12.5</v>
      </c>
      <c r="E27" s="51">
        <v>0.47233608300000002</v>
      </c>
      <c r="G27" s="8" t="s">
        <v>390</v>
      </c>
      <c r="H27" s="15">
        <v>0</v>
      </c>
      <c r="I27" s="15">
        <v>0</v>
      </c>
      <c r="J27" s="15">
        <v>0</v>
      </c>
    </row>
    <row r="28" spans="1:15" ht="15.75" customHeight="1" x14ac:dyDescent="0.2">
      <c r="D28" s="50">
        <v>13</v>
      </c>
      <c r="E28" s="51">
        <v>0.48168495</v>
      </c>
    </row>
    <row r="29" spans="1:15" ht="15.75" customHeight="1" x14ac:dyDescent="0.2">
      <c r="D29" s="50">
        <v>13.5</v>
      </c>
      <c r="E29" s="51">
        <v>0.49085580000000001</v>
      </c>
    </row>
    <row r="30" spans="1:15" ht="15.75" customHeight="1" x14ac:dyDescent="0.2">
      <c r="D30" s="50">
        <v>14</v>
      </c>
      <c r="E30" s="51">
        <v>0.49985844000000001</v>
      </c>
    </row>
    <row r="31" spans="1:15" ht="15.75" customHeight="1" x14ac:dyDescent="0.2">
      <c r="D31" s="50">
        <v>14.5</v>
      </c>
      <c r="E31" s="51">
        <v>0.50870176499999997</v>
      </c>
    </row>
    <row r="32" spans="1:15" ht="15.75" customHeight="1" x14ac:dyDescent="0.2">
      <c r="D32" s="50">
        <v>15</v>
      </c>
      <c r="E32" s="51">
        <v>0.51739394999999999</v>
      </c>
    </row>
    <row r="33" spans="4:5" ht="15.75" customHeight="1" x14ac:dyDescent="0.2">
      <c r="D33" s="50">
        <v>15.5</v>
      </c>
      <c r="E33" s="51">
        <v>0.525942511</v>
      </c>
    </row>
    <row r="34" spans="4:5" ht="15.75" customHeight="1" x14ac:dyDescent="0.2">
      <c r="D34" s="50">
        <v>16</v>
      </c>
      <c r="E34" s="51">
        <v>0.53435432999999999</v>
      </c>
    </row>
    <row r="35" spans="4:5" ht="15.75" customHeight="1" x14ac:dyDescent="0.2">
      <c r="D35" s="50">
        <v>16.5</v>
      </c>
      <c r="E35" s="51">
        <v>0.54263576700000005</v>
      </c>
    </row>
    <row r="36" spans="4:5" ht="15.75" customHeight="1" x14ac:dyDescent="0.2">
      <c r="D36" s="50">
        <v>17</v>
      </c>
      <c r="E36" s="51">
        <v>0.55079268999999997</v>
      </c>
    </row>
    <row r="37" spans="4:5" ht="15.75" customHeight="1" x14ac:dyDescent="0.2">
      <c r="D37" s="50">
        <v>17.5</v>
      </c>
      <c r="E37" s="51">
        <v>0.55883057599999997</v>
      </c>
    </row>
    <row r="38" spans="4:5" ht="15.75" customHeight="1" x14ac:dyDescent="0.2">
      <c r="D38" s="50">
        <v>18</v>
      </c>
      <c r="E38" s="51">
        <v>0.56675452000000004</v>
      </c>
    </row>
    <row r="39" spans="4:5" ht="15.75" customHeight="1" x14ac:dyDescent="0.2">
      <c r="D39" s="50">
        <v>18.5</v>
      </c>
      <c r="E39" s="51">
        <v>0.574569153</v>
      </c>
    </row>
    <row r="40" spans="4:5" ht="15.75" customHeight="1" x14ac:dyDescent="0.2">
      <c r="D40" s="50">
        <v>19</v>
      </c>
      <c r="E40" s="51">
        <v>0.58227890999999998</v>
      </c>
    </row>
    <row r="41" spans="4:5" ht="12.75" x14ac:dyDescent="0.2">
      <c r="D41" s="50">
        <v>19.5</v>
      </c>
      <c r="E41" s="51">
        <v>0.58988791699999998</v>
      </c>
    </row>
    <row r="42" spans="4:5" ht="12.75" x14ac:dyDescent="0.2">
      <c r="D42" s="50">
        <v>20</v>
      </c>
      <c r="E42" s="51">
        <v>0.59740000999999998</v>
      </c>
    </row>
    <row r="43" spans="4:5" ht="12.75" x14ac:dyDescent="0.2">
      <c r="D43" s="50">
        <v>20.5</v>
      </c>
      <c r="E43" s="51">
        <v>0.60481881400000004</v>
      </c>
    </row>
    <row r="44" spans="4:5" ht="12.75" x14ac:dyDescent="0.2">
      <c r="D44" s="50">
        <v>21</v>
      </c>
      <c r="E44" s="51">
        <v>0.61215728999999997</v>
      </c>
    </row>
    <row r="45" spans="4:5" ht="12.75" x14ac:dyDescent="0.2">
      <c r="D45" s="50">
        <v>21.5</v>
      </c>
      <c r="E45" s="51">
        <v>0.61939936500000004</v>
      </c>
    </row>
    <row r="46" spans="4:5" ht="12.75" x14ac:dyDescent="0.2">
      <c r="D46" s="50">
        <v>22</v>
      </c>
      <c r="E46" s="51">
        <v>0.62656712999999997</v>
      </c>
    </row>
    <row r="47" spans="4:5" ht="12.75" x14ac:dyDescent="0.2">
      <c r="D47" s="50">
        <v>22.5</v>
      </c>
      <c r="E47" s="51">
        <v>0.63364453300000001</v>
      </c>
    </row>
    <row r="48" spans="4:5" ht="12.75" x14ac:dyDescent="0.2">
      <c r="D48" s="50">
        <v>23</v>
      </c>
      <c r="E48" s="51">
        <v>0.64065295</v>
      </c>
    </row>
    <row r="49" spans="4:5" ht="12.75" x14ac:dyDescent="0.2">
      <c r="D49" s="50">
        <v>23.5</v>
      </c>
      <c r="E49" s="51">
        <v>0.64757642599999998</v>
      </c>
    </row>
    <row r="50" spans="4:5" ht="12.75" x14ac:dyDescent="0.2">
      <c r="D50" s="50">
        <v>24</v>
      </c>
      <c r="E50" s="51">
        <v>0.65443563000000005</v>
      </c>
    </row>
    <row r="51" spans="4:5" ht="12.75" x14ac:dyDescent="0.2">
      <c r="D51" s="50">
        <v>24.5</v>
      </c>
      <c r="E51" s="51">
        <v>0.66121480600000004</v>
      </c>
    </row>
    <row r="52" spans="4:5" ht="12.75" x14ac:dyDescent="0.2">
      <c r="D52" s="50">
        <v>25</v>
      </c>
      <c r="E52" s="51">
        <v>0.66793400000000003</v>
      </c>
    </row>
    <row r="53" spans="4:5" ht="12.75" x14ac:dyDescent="0.2">
      <c r="D53" s="50">
        <v>25.5</v>
      </c>
      <c r="E53" s="51">
        <v>0.674577537</v>
      </c>
    </row>
    <row r="54" spans="4:5" ht="12.75" x14ac:dyDescent="0.2">
      <c r="D54" s="50">
        <v>26</v>
      </c>
      <c r="E54" s="51">
        <v>0.68116491999999995</v>
      </c>
    </row>
    <row r="55" spans="4:5" ht="12.75" x14ac:dyDescent="0.2">
      <c r="D55" s="50">
        <v>26.5</v>
      </c>
      <c r="E55" s="51">
        <v>0.68768064799999995</v>
      </c>
    </row>
    <row r="56" spans="4:5" ht="12.75" x14ac:dyDescent="0.2">
      <c r="D56" s="50">
        <v>27</v>
      </c>
      <c r="E56" s="51">
        <v>0.69414365</v>
      </c>
    </row>
    <row r="57" spans="4:5" ht="12.75" x14ac:dyDescent="0.2">
      <c r="D57" s="50">
        <v>27.5</v>
      </c>
      <c r="E57" s="51">
        <v>0.70053867299999995</v>
      </c>
    </row>
    <row r="58" spans="4:5" ht="12.75" x14ac:dyDescent="0.2">
      <c r="D58" s="50">
        <v>28</v>
      </c>
      <c r="E58" s="51">
        <v>0.70688421000000001</v>
      </c>
    </row>
    <row r="59" spans="4:5" ht="12.75" x14ac:dyDescent="0.2">
      <c r="D59" s="50">
        <v>28.5</v>
      </c>
      <c r="E59" s="51">
        <v>0.71316499600000005</v>
      </c>
    </row>
    <row r="60" spans="4:5" ht="12.75" x14ac:dyDescent="0.2">
      <c r="D60" s="50">
        <v>29</v>
      </c>
      <c r="E60" s="51">
        <v>0.71939909000000002</v>
      </c>
    </row>
    <row r="61" spans="4:5" ht="12.75" x14ac:dyDescent="0.2">
      <c r="D61" s="50">
        <v>29.5</v>
      </c>
      <c r="E61" s="51">
        <v>0.72557155200000001</v>
      </c>
    </row>
    <row r="62" spans="4:5" ht="12.75" x14ac:dyDescent="0.2">
      <c r="D62" s="50">
        <v>30</v>
      </c>
      <c r="E62" s="51">
        <v>0.73170000000000002</v>
      </c>
    </row>
    <row r="63" spans="4:5" ht="12.75" x14ac:dyDescent="0.2">
      <c r="D63" s="50">
        <v>30.5</v>
      </c>
      <c r="E63" s="51">
        <v>0.73474100899999994</v>
      </c>
    </row>
    <row r="64" spans="4:5" ht="12.75" x14ac:dyDescent="0.2">
      <c r="D64" s="50">
        <v>31</v>
      </c>
      <c r="E64" s="51">
        <v>0.73776947999999998</v>
      </c>
    </row>
    <row r="65" spans="4:5" ht="12.75" x14ac:dyDescent="0.2">
      <c r="D65" s="50">
        <v>31.5</v>
      </c>
      <c r="E65" s="51">
        <v>0.740785574</v>
      </c>
    </row>
    <row r="66" spans="4:5" ht="12.75" x14ac:dyDescent="0.2">
      <c r="D66" s="50">
        <v>32</v>
      </c>
      <c r="E66" s="51">
        <v>0.74378942999999997</v>
      </c>
    </row>
    <row r="67" spans="4:5" ht="12.75" x14ac:dyDescent="0.2">
      <c r="D67" s="50">
        <v>32.5</v>
      </c>
      <c r="E67" s="51">
        <v>0.74678121099999994</v>
      </c>
    </row>
    <row r="68" spans="4:5" ht="12.75" x14ac:dyDescent="0.2">
      <c r="D68" s="50">
        <v>33</v>
      </c>
      <c r="E68" s="51">
        <v>0.74976103999999999</v>
      </c>
    </row>
    <row r="69" spans="4:5" ht="12.75" x14ac:dyDescent="0.2">
      <c r="D69" s="50">
        <v>33.5</v>
      </c>
      <c r="E69" s="51">
        <v>0.75272908699999996</v>
      </c>
    </row>
    <row r="70" spans="4:5" ht="12.75" x14ac:dyDescent="0.2">
      <c r="D70" s="50">
        <v>34</v>
      </c>
      <c r="E70" s="51">
        <v>0.75568550999999995</v>
      </c>
    </row>
    <row r="71" spans="4:5" ht="12.75" x14ac:dyDescent="0.2">
      <c r="D71" s="50">
        <v>34.5</v>
      </c>
      <c r="E71" s="51">
        <v>0.75863037799999999</v>
      </c>
    </row>
    <row r="72" spans="4:5" ht="12.75" x14ac:dyDescent="0.2">
      <c r="D72" s="50">
        <v>35</v>
      </c>
      <c r="E72" s="51">
        <v>0.76156383999999999</v>
      </c>
    </row>
    <row r="73" spans="4:5" ht="12.75" x14ac:dyDescent="0.2">
      <c r="D73" s="50">
        <v>35.5</v>
      </c>
      <c r="E73" s="51">
        <v>0.76448606500000005</v>
      </c>
    </row>
    <row r="74" spans="4:5" ht="12.75" x14ac:dyDescent="0.2">
      <c r="D74" s="50">
        <v>36</v>
      </c>
      <c r="E74" s="51">
        <v>0.76739716999999996</v>
      </c>
    </row>
    <row r="75" spans="4:5" ht="12.75" x14ac:dyDescent="0.2">
      <c r="D75" s="50">
        <v>36.5</v>
      </c>
      <c r="E75" s="51">
        <v>0.77029726600000004</v>
      </c>
    </row>
    <row r="76" spans="4:5" ht="12.75" x14ac:dyDescent="0.2">
      <c r="D76" s="50">
        <v>37</v>
      </c>
      <c r="E76" s="51">
        <v>0.7731865</v>
      </c>
    </row>
    <row r="77" spans="4:5" ht="12.75" x14ac:dyDescent="0.2">
      <c r="D77" s="50">
        <v>37.5</v>
      </c>
      <c r="E77" s="51">
        <v>0.77606496199999997</v>
      </c>
    </row>
    <row r="78" spans="4:5" ht="12.75" x14ac:dyDescent="0.2">
      <c r="D78" s="50">
        <v>38</v>
      </c>
      <c r="E78" s="51">
        <v>0.77893274999999995</v>
      </c>
    </row>
    <row r="79" spans="4:5" ht="12.75" x14ac:dyDescent="0.2">
      <c r="D79" s="50">
        <v>38.5</v>
      </c>
      <c r="E79" s="51">
        <v>0.78179005499999998</v>
      </c>
    </row>
    <row r="80" spans="4:5" ht="12.75" x14ac:dyDescent="0.2">
      <c r="D80" s="50">
        <v>39</v>
      </c>
      <c r="E80" s="51">
        <v>0.78463696999999999</v>
      </c>
    </row>
    <row r="81" spans="4:5" ht="12.75" x14ac:dyDescent="0.2">
      <c r="D81" s="50">
        <v>39.5</v>
      </c>
      <c r="E81" s="51">
        <v>0.78747357799999995</v>
      </c>
    </row>
    <row r="82" spans="4:5" ht="12.75" x14ac:dyDescent="0.2">
      <c r="D82" s="50">
        <v>40</v>
      </c>
      <c r="E82" s="51">
        <v>0.79030001000000005</v>
      </c>
    </row>
  </sheetData>
  <mergeCells count="25">
    <mergeCell ref="G22:J22"/>
    <mergeCell ref="G23:J23"/>
    <mergeCell ref="G17:J17"/>
    <mergeCell ref="G21:J21"/>
    <mergeCell ref="G20:J20"/>
    <mergeCell ref="G18:J18"/>
    <mergeCell ref="G19:J19"/>
    <mergeCell ref="G16:J16"/>
    <mergeCell ref="G15:J15"/>
    <mergeCell ref="G14:J14"/>
    <mergeCell ref="G13:J13"/>
    <mergeCell ref="G12:J12"/>
    <mergeCell ref="A1:O1"/>
    <mergeCell ref="A2:O2"/>
    <mergeCell ref="G10:J10"/>
    <mergeCell ref="G8:J8"/>
    <mergeCell ref="G9:J9"/>
    <mergeCell ref="I3:J3"/>
    <mergeCell ref="G7:J7"/>
    <mergeCell ref="G6:H6"/>
    <mergeCell ref="G5:H5"/>
    <mergeCell ref="I5:J5"/>
    <mergeCell ref="I6:J6"/>
    <mergeCell ref="I4:J4"/>
    <mergeCell ref="G4:H4"/>
  </mergeCells>
  <conditionalFormatting sqref="I4:I6">
    <cfRule type="cellIs" dxfId="20" priority="1" operator="lessThan">
      <formula>1</formula>
    </cfRule>
  </conditionalFormatting>
  <conditionalFormatting sqref="I4:I6">
    <cfRule type="cellIs" dxfId="19" priority="2" operator="greaterThan">
      <formula>1</formula>
    </cfRule>
  </conditionalFormatting>
  <conditionalFormatting sqref="B4:B21">
    <cfRule type="cellIs" dxfId="18" priority="3" operator="equal">
      <formula>$B$4</formula>
    </cfRule>
  </conditionalFormatting>
  <conditionalFormatting sqref="B4:B21">
    <cfRule type="cellIs" dxfId="17" priority="4" operator="equal">
      <formula>$B$5</formula>
    </cfRule>
  </conditionalFormatting>
  <conditionalFormatting sqref="B4:B21">
    <cfRule type="cellIs" dxfId="16" priority="5" operator="equal">
      <formula>$B$6</formula>
    </cfRule>
  </conditionalFormatting>
  <conditionalFormatting sqref="B4:B21">
    <cfRule type="cellIs" dxfId="15" priority="6" operator="equal">
      <formula>$B$7</formula>
    </cfRule>
  </conditionalFormatting>
  <conditionalFormatting sqref="B4:B21">
    <cfRule type="cellIs" dxfId="14" priority="7" operator="equal">
      <formula>$B$8</formula>
    </cfRule>
  </conditionalFormatting>
  <conditionalFormatting sqref="B4:B21">
    <cfRule type="cellIs" dxfId="13" priority="8" operator="equal">
      <formula>$B$9</formula>
    </cfRule>
  </conditionalFormatting>
  <conditionalFormatting sqref="B4:B21">
    <cfRule type="cellIs" dxfId="12" priority="9" operator="equal">
      <formula>$B$10</formula>
    </cfRule>
  </conditionalFormatting>
  <conditionalFormatting sqref="B4:B21">
    <cfRule type="cellIs" dxfId="11" priority="10" operator="equal">
      <formula>$B$11</formula>
    </cfRule>
  </conditionalFormatting>
  <conditionalFormatting sqref="B4:B21">
    <cfRule type="cellIs" dxfId="10" priority="11" operator="equal">
      <formula>$B$12</formula>
    </cfRule>
  </conditionalFormatting>
  <conditionalFormatting sqref="B4:B21">
    <cfRule type="cellIs" dxfId="9" priority="12" operator="equal">
      <formula>$B$13</formula>
    </cfRule>
  </conditionalFormatting>
  <conditionalFormatting sqref="B4:B21">
    <cfRule type="cellIs" dxfId="8" priority="13" operator="equal">
      <formula>$B$14</formula>
    </cfRule>
  </conditionalFormatting>
  <conditionalFormatting sqref="B4:B21">
    <cfRule type="cellIs" dxfId="7" priority="14" operator="equal">
      <formula>$B$15</formula>
    </cfRule>
  </conditionalFormatting>
  <conditionalFormatting sqref="B4:B21">
    <cfRule type="cellIs" dxfId="6" priority="15" operator="equal">
      <formula>$B$16</formula>
    </cfRule>
  </conditionalFormatting>
  <conditionalFormatting sqref="B4:B21">
    <cfRule type="cellIs" dxfId="5" priority="16" operator="equal">
      <formula>$B$17</formula>
    </cfRule>
  </conditionalFormatting>
  <conditionalFormatting sqref="B4:B21">
    <cfRule type="cellIs" dxfId="4" priority="17" operator="equal">
      <formula>$B$18</formula>
    </cfRule>
  </conditionalFormatting>
  <conditionalFormatting sqref="B4:B21">
    <cfRule type="cellIs" dxfId="3" priority="18" operator="equal">
      <formula>$B$19</formula>
    </cfRule>
  </conditionalFormatting>
  <conditionalFormatting sqref="B4:B21">
    <cfRule type="cellIs" dxfId="2" priority="19" operator="equal">
      <formula>$B$20</formula>
    </cfRule>
  </conditionalFormatting>
  <conditionalFormatting sqref="B4:B21">
    <cfRule type="cellIs" dxfId="1" priority="20" operator="equal">
      <formula>$B$21</formula>
    </cfRule>
  </conditionalFormatting>
  <conditionalFormatting sqref="B4:B21">
    <cfRule type="containsBlanks" dxfId="0" priority="21">
      <formula>LEN(TRIM(B4))=0</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1"/>
  <sheetViews>
    <sheetView showGridLines="0" workbookViewId="0">
      <selection sqref="A1:C1"/>
    </sheetView>
  </sheetViews>
  <sheetFormatPr defaultColWidth="14.42578125" defaultRowHeight="15.75" customHeight="1" x14ac:dyDescent="0.2"/>
  <cols>
    <col min="2" max="2" width="104.5703125" customWidth="1"/>
    <col min="4" max="4" width="0" hidden="1"/>
  </cols>
  <sheetData>
    <row r="1" spans="1:4" ht="15.75" customHeight="1" x14ac:dyDescent="0.2">
      <c r="A1" s="113" t="s">
        <v>391</v>
      </c>
      <c r="B1" s="93"/>
      <c r="C1" s="93"/>
      <c r="D1" s="72"/>
    </row>
    <row r="2" spans="1:4" ht="15.75" customHeight="1" x14ac:dyDescent="0.2">
      <c r="A2" s="73" t="s">
        <v>392</v>
      </c>
      <c r="B2" s="73" t="s">
        <v>393</v>
      </c>
      <c r="C2" s="73" t="s">
        <v>394</v>
      </c>
      <c r="D2" s="72"/>
    </row>
    <row r="3" spans="1:4" ht="15.75" customHeight="1" x14ac:dyDescent="0.2">
      <c r="A3" s="74">
        <v>1</v>
      </c>
      <c r="B3" s="75" t="s">
        <v>395</v>
      </c>
      <c r="C3" s="76">
        <v>42591</v>
      </c>
      <c r="D3" s="72"/>
    </row>
    <row r="4" spans="1:4" ht="15.75" customHeight="1" x14ac:dyDescent="0.2">
      <c r="A4" s="77"/>
      <c r="B4" s="77"/>
      <c r="C4" s="77"/>
      <c r="D4" s="72"/>
    </row>
    <row r="5" spans="1:4" ht="15.75" customHeight="1" x14ac:dyDescent="0.2">
      <c r="A5" s="111" t="s">
        <v>396</v>
      </c>
      <c r="B5" s="112"/>
      <c r="C5" s="112"/>
      <c r="D5" s="72"/>
    </row>
    <row r="6" spans="1:4" ht="15.75" customHeight="1" x14ac:dyDescent="0.2">
      <c r="A6" s="78" t="s">
        <v>397</v>
      </c>
      <c r="B6" s="78" t="s">
        <v>398</v>
      </c>
      <c r="C6" s="78" t="s">
        <v>399</v>
      </c>
      <c r="D6" s="72"/>
    </row>
    <row r="7" spans="1:4" ht="15.75" customHeight="1" x14ac:dyDescent="0.2">
      <c r="A7" s="79"/>
      <c r="B7" s="80"/>
      <c r="C7" s="81"/>
      <c r="D7" s="72"/>
    </row>
    <row r="8" spans="1:4" ht="15.75" customHeight="1" x14ac:dyDescent="0.2">
      <c r="A8" s="82"/>
      <c r="B8" s="82"/>
      <c r="C8" s="82"/>
      <c r="D8" s="72"/>
    </row>
    <row r="9" spans="1:4" ht="15.75" customHeight="1" x14ac:dyDescent="0.2">
      <c r="A9" s="111" t="s">
        <v>400</v>
      </c>
      <c r="B9" s="112"/>
      <c r="C9" s="112"/>
      <c r="D9" s="72"/>
    </row>
    <row r="10" spans="1:4" ht="15.75" customHeight="1" x14ac:dyDescent="0.2">
      <c r="A10" s="78" t="s">
        <v>401</v>
      </c>
      <c r="B10" s="78" t="s">
        <v>402</v>
      </c>
      <c r="C10" s="78" t="s">
        <v>403</v>
      </c>
      <c r="D10" s="72"/>
    </row>
    <row r="11" spans="1:4" ht="15.75" customHeight="1" x14ac:dyDescent="0.2">
      <c r="A11" s="79"/>
      <c r="B11" s="83" t="s">
        <v>404</v>
      </c>
      <c r="C11" s="79">
        <v>1</v>
      </c>
      <c r="D11" s="72"/>
    </row>
    <row r="12" spans="1:4" ht="15.75" customHeight="1" x14ac:dyDescent="0.2">
      <c r="A12" s="79"/>
      <c r="B12" s="80" t="s">
        <v>405</v>
      </c>
      <c r="C12" s="79">
        <v>2</v>
      </c>
      <c r="D12" s="72"/>
    </row>
    <row r="13" spans="1:4" ht="15.75" customHeight="1" x14ac:dyDescent="0.2">
      <c r="A13" s="79"/>
      <c r="B13" s="80" t="s">
        <v>406</v>
      </c>
      <c r="C13" s="79">
        <v>3</v>
      </c>
      <c r="D13" s="72"/>
    </row>
    <row r="14" spans="1:4" ht="15.75" customHeight="1" x14ac:dyDescent="0.2">
      <c r="A14" s="79"/>
      <c r="B14" s="80" t="s">
        <v>407</v>
      </c>
      <c r="C14" s="79">
        <v>4</v>
      </c>
      <c r="D14" s="72"/>
    </row>
    <row r="15" spans="1:4" ht="15.75" customHeight="1" x14ac:dyDescent="0.2">
      <c r="A15" s="79"/>
      <c r="B15" s="80" t="s">
        <v>408</v>
      </c>
      <c r="C15" s="79">
        <v>5</v>
      </c>
      <c r="D15" s="72"/>
    </row>
    <row r="16" spans="1:4" ht="15.75" customHeight="1" x14ac:dyDescent="0.2">
      <c r="A16" s="72"/>
      <c r="B16" s="72"/>
      <c r="C16" s="72"/>
      <c r="D16" s="72"/>
    </row>
    <row r="17" spans="1:4" ht="15.75" customHeight="1" x14ac:dyDescent="0.2">
      <c r="A17" s="72"/>
      <c r="B17" s="72"/>
      <c r="C17" s="72"/>
      <c r="D17" s="72"/>
    </row>
    <row r="18" spans="1:4" ht="15.75" customHeight="1" x14ac:dyDescent="0.2">
      <c r="A18" s="72"/>
      <c r="B18" s="72"/>
      <c r="C18" s="72"/>
      <c r="D18" s="72"/>
    </row>
    <row r="19" spans="1:4" ht="15.75" customHeight="1" x14ac:dyDescent="0.2">
      <c r="A19" s="72"/>
      <c r="B19" s="72"/>
      <c r="C19" s="72"/>
      <c r="D19" s="72"/>
    </row>
    <row r="20" spans="1:4" ht="15.75" customHeight="1" x14ac:dyDescent="0.2">
      <c r="A20" s="72"/>
      <c r="B20" s="72"/>
      <c r="C20" s="72"/>
      <c r="D20" s="72"/>
    </row>
    <row r="21" spans="1:4" ht="15.75" customHeight="1" x14ac:dyDescent="0.2">
      <c r="A21" s="72"/>
      <c r="B21" s="72"/>
      <c r="C21" s="72"/>
      <c r="D21" s="72"/>
    </row>
    <row r="22" spans="1:4" ht="15.75" customHeight="1" x14ac:dyDescent="0.2">
      <c r="A22" s="72"/>
      <c r="B22" s="72"/>
      <c r="C22" s="72"/>
      <c r="D22" s="72"/>
    </row>
    <row r="23" spans="1:4" ht="15.75" customHeight="1" x14ac:dyDescent="0.2">
      <c r="A23" s="72"/>
      <c r="B23" s="72"/>
      <c r="C23" s="72"/>
      <c r="D23" s="72"/>
    </row>
    <row r="24" spans="1:4" ht="15.75" customHeight="1" x14ac:dyDescent="0.2">
      <c r="A24" s="72"/>
      <c r="B24" s="72"/>
      <c r="C24" s="72"/>
      <c r="D24" s="72"/>
    </row>
    <row r="25" spans="1:4" ht="15.75" customHeight="1" x14ac:dyDescent="0.2">
      <c r="A25" s="72"/>
      <c r="B25" s="72"/>
      <c r="C25" s="72"/>
      <c r="D25" s="72"/>
    </row>
    <row r="26" spans="1:4" ht="15.75" customHeight="1" x14ac:dyDescent="0.2">
      <c r="A26" s="72"/>
      <c r="B26" s="72"/>
      <c r="C26" s="72"/>
      <c r="D26" s="72"/>
    </row>
    <row r="27" spans="1:4" ht="15.75" customHeight="1" x14ac:dyDescent="0.2">
      <c r="A27" s="72"/>
      <c r="B27" s="72"/>
      <c r="C27" s="72"/>
      <c r="D27" s="72"/>
    </row>
    <row r="28" spans="1:4" ht="15.75" customHeight="1" x14ac:dyDescent="0.2">
      <c r="A28" s="72"/>
      <c r="B28" s="72"/>
      <c r="C28" s="72"/>
      <c r="D28" s="72"/>
    </row>
    <row r="29" spans="1:4" ht="15.75" customHeight="1" x14ac:dyDescent="0.2">
      <c r="A29" s="72"/>
      <c r="B29" s="72"/>
      <c r="C29" s="72"/>
      <c r="D29" s="72"/>
    </row>
    <row r="30" spans="1:4" ht="15.75" customHeight="1" x14ac:dyDescent="0.2">
      <c r="A30" s="72"/>
      <c r="B30" s="72"/>
      <c r="C30" s="72"/>
      <c r="D30" s="72"/>
    </row>
    <row r="31" spans="1:4" ht="15.75" customHeight="1" x14ac:dyDescent="0.2">
      <c r="A31" s="72"/>
      <c r="B31" s="72"/>
      <c r="C31" s="72"/>
      <c r="D31" s="72"/>
    </row>
    <row r="32" spans="1:4" ht="15.75" customHeight="1" x14ac:dyDescent="0.2">
      <c r="A32" s="72"/>
      <c r="B32" s="72"/>
      <c r="C32" s="72"/>
      <c r="D32" s="72"/>
    </row>
    <row r="33" spans="1:4" ht="15.75" customHeight="1" x14ac:dyDescent="0.2">
      <c r="A33" s="72"/>
      <c r="B33" s="72"/>
      <c r="C33" s="72"/>
      <c r="D33" s="72"/>
    </row>
    <row r="34" spans="1:4" ht="15.75" customHeight="1" x14ac:dyDescent="0.2">
      <c r="A34" s="72"/>
      <c r="B34" s="72"/>
      <c r="C34" s="72"/>
      <c r="D34" s="72"/>
    </row>
    <row r="35" spans="1:4" ht="15.75" customHeight="1" x14ac:dyDescent="0.2">
      <c r="A35" s="72"/>
      <c r="B35" s="72"/>
      <c r="C35" s="72"/>
      <c r="D35" s="72"/>
    </row>
    <row r="36" spans="1:4" ht="15.75" customHeight="1" x14ac:dyDescent="0.2">
      <c r="A36" s="72"/>
      <c r="B36" s="72"/>
      <c r="C36" s="72"/>
      <c r="D36" s="72"/>
    </row>
    <row r="37" spans="1:4" ht="15.75" customHeight="1" x14ac:dyDescent="0.2">
      <c r="A37" s="72"/>
      <c r="B37" s="72"/>
      <c r="C37" s="72"/>
      <c r="D37" s="72"/>
    </row>
    <row r="38" spans="1:4" ht="15.75" customHeight="1" x14ac:dyDescent="0.2">
      <c r="A38" s="72"/>
      <c r="B38" s="72"/>
      <c r="C38" s="72"/>
      <c r="D38" s="72"/>
    </row>
    <row r="39" spans="1:4" ht="15.75" customHeight="1" x14ac:dyDescent="0.2">
      <c r="A39" s="72"/>
      <c r="B39" s="72"/>
      <c r="C39" s="72"/>
      <c r="D39" s="72"/>
    </row>
    <row r="40" spans="1:4" ht="15.75" customHeight="1" x14ac:dyDescent="0.2">
      <c r="A40" s="72"/>
      <c r="B40" s="72"/>
      <c r="C40" s="72"/>
      <c r="D40" s="72"/>
    </row>
    <row r="41" spans="1:4" ht="12.75" x14ac:dyDescent="0.2">
      <c r="A41" s="72"/>
      <c r="B41" s="72"/>
      <c r="C41" s="72"/>
      <c r="D41" s="72"/>
    </row>
    <row r="42" spans="1:4" ht="12.75" x14ac:dyDescent="0.2">
      <c r="A42" s="72"/>
      <c r="B42" s="72"/>
      <c r="C42" s="72"/>
      <c r="D42" s="72"/>
    </row>
    <row r="43" spans="1:4" ht="12.75" x14ac:dyDescent="0.2">
      <c r="A43" s="72"/>
      <c r="B43" s="72"/>
      <c r="C43" s="72"/>
      <c r="D43" s="72"/>
    </row>
    <row r="44" spans="1:4" ht="12.75" x14ac:dyDescent="0.2">
      <c r="A44" s="72"/>
      <c r="B44" s="72"/>
      <c r="C44" s="72"/>
      <c r="D44" s="72"/>
    </row>
    <row r="45" spans="1:4" ht="12.75" x14ac:dyDescent="0.2">
      <c r="A45" s="72"/>
      <c r="B45" s="72"/>
      <c r="C45" s="72"/>
      <c r="D45" s="72"/>
    </row>
    <row r="46" spans="1:4" ht="12.75" x14ac:dyDescent="0.2">
      <c r="A46" s="72"/>
      <c r="B46" s="72"/>
      <c r="C46" s="72"/>
      <c r="D46" s="72"/>
    </row>
    <row r="47" spans="1:4" ht="12.75" x14ac:dyDescent="0.2">
      <c r="A47" s="72"/>
      <c r="B47" s="72"/>
      <c r="C47" s="72"/>
      <c r="D47" s="72"/>
    </row>
    <row r="48" spans="1:4" ht="12.75" x14ac:dyDescent="0.2">
      <c r="A48" s="72"/>
      <c r="B48" s="72"/>
      <c r="C48" s="72"/>
      <c r="D48" s="72"/>
    </row>
    <row r="49" spans="1:4" ht="12.75" x14ac:dyDescent="0.2">
      <c r="A49" s="72"/>
      <c r="B49" s="72"/>
      <c r="C49" s="72"/>
      <c r="D49" s="72"/>
    </row>
    <row r="50" spans="1:4" ht="12.75" x14ac:dyDescent="0.2">
      <c r="A50" s="72"/>
      <c r="B50" s="72"/>
      <c r="C50" s="72"/>
      <c r="D50" s="72"/>
    </row>
    <row r="51" spans="1:4" ht="12.75" x14ac:dyDescent="0.2">
      <c r="A51" s="72"/>
      <c r="B51" s="72"/>
      <c r="C51" s="72"/>
      <c r="D51" s="72"/>
    </row>
    <row r="52" spans="1:4" ht="12.75" x14ac:dyDescent="0.2">
      <c r="A52" s="72"/>
      <c r="B52" s="72"/>
      <c r="C52" s="72"/>
      <c r="D52" s="72"/>
    </row>
    <row r="53" spans="1:4" ht="12.75" x14ac:dyDescent="0.2">
      <c r="A53" s="72"/>
      <c r="B53" s="72"/>
      <c r="C53" s="72"/>
      <c r="D53" s="72"/>
    </row>
    <row r="54" spans="1:4" ht="12.75" x14ac:dyDescent="0.2">
      <c r="A54" s="72"/>
      <c r="B54" s="72"/>
      <c r="C54" s="72"/>
      <c r="D54" s="72"/>
    </row>
    <row r="55" spans="1:4" ht="12.75" x14ac:dyDescent="0.2">
      <c r="A55" s="72"/>
      <c r="B55" s="72"/>
      <c r="C55" s="72"/>
      <c r="D55" s="72"/>
    </row>
    <row r="56" spans="1:4" ht="12.75" x14ac:dyDescent="0.2">
      <c r="A56" s="72"/>
      <c r="B56" s="72"/>
      <c r="C56" s="72"/>
      <c r="D56" s="72"/>
    </row>
    <row r="57" spans="1:4" ht="12.75" x14ac:dyDescent="0.2">
      <c r="A57" s="72"/>
      <c r="B57" s="72"/>
      <c r="C57" s="72"/>
      <c r="D57" s="72"/>
    </row>
    <row r="58" spans="1:4" ht="12.75" x14ac:dyDescent="0.2">
      <c r="A58" s="72"/>
      <c r="B58" s="72"/>
      <c r="C58" s="72"/>
      <c r="D58" s="72"/>
    </row>
    <row r="59" spans="1:4" ht="12.75" x14ac:dyDescent="0.2">
      <c r="A59" s="72"/>
      <c r="B59" s="72"/>
      <c r="C59" s="72"/>
      <c r="D59" s="72"/>
    </row>
    <row r="60" spans="1:4" ht="12.75" x14ac:dyDescent="0.2">
      <c r="A60" s="72"/>
      <c r="B60" s="72"/>
      <c r="C60" s="72"/>
      <c r="D60" s="72"/>
    </row>
    <row r="61" spans="1:4" ht="12.75" x14ac:dyDescent="0.2">
      <c r="A61" s="72"/>
      <c r="B61" s="72"/>
      <c r="C61" s="72"/>
      <c r="D61" s="72"/>
    </row>
    <row r="62" spans="1:4" ht="12.75" x14ac:dyDescent="0.2">
      <c r="A62" s="72"/>
      <c r="B62" s="72"/>
      <c r="C62" s="72"/>
      <c r="D62" s="72"/>
    </row>
    <row r="63" spans="1:4" ht="12.75" x14ac:dyDescent="0.2">
      <c r="A63" s="72"/>
      <c r="B63" s="72"/>
      <c r="C63" s="72"/>
      <c r="D63" s="72"/>
    </row>
    <row r="64" spans="1:4" ht="12.75" x14ac:dyDescent="0.2">
      <c r="A64" s="72"/>
      <c r="B64" s="72"/>
      <c r="C64" s="72"/>
      <c r="D64" s="72"/>
    </row>
    <row r="65" spans="1:4" ht="12.75" x14ac:dyDescent="0.2">
      <c r="A65" s="72"/>
      <c r="B65" s="72"/>
      <c r="C65" s="72"/>
      <c r="D65" s="72"/>
    </row>
    <row r="66" spans="1:4" ht="12.75" x14ac:dyDescent="0.2">
      <c r="A66" s="72"/>
      <c r="B66" s="72"/>
      <c r="C66" s="72"/>
      <c r="D66" s="72"/>
    </row>
    <row r="67" spans="1:4" ht="12.75" x14ac:dyDescent="0.2">
      <c r="A67" s="72"/>
      <c r="B67" s="72"/>
      <c r="C67" s="72"/>
      <c r="D67" s="72"/>
    </row>
    <row r="68" spans="1:4" ht="12.75" x14ac:dyDescent="0.2">
      <c r="A68" s="72"/>
      <c r="B68" s="72"/>
      <c r="C68" s="72"/>
      <c r="D68" s="72"/>
    </row>
    <row r="69" spans="1:4" ht="12.75" x14ac:dyDescent="0.2">
      <c r="A69" s="72"/>
      <c r="B69" s="72"/>
      <c r="C69" s="72"/>
      <c r="D69" s="72"/>
    </row>
    <row r="70" spans="1:4" ht="12.75" x14ac:dyDescent="0.2">
      <c r="A70" s="72"/>
      <c r="B70" s="72"/>
      <c r="C70" s="72"/>
      <c r="D70" s="72"/>
    </row>
    <row r="71" spans="1:4" ht="12.75" x14ac:dyDescent="0.2">
      <c r="A71" s="72"/>
      <c r="B71" s="72"/>
      <c r="C71" s="72"/>
      <c r="D71" s="72"/>
    </row>
    <row r="72" spans="1:4" ht="12.75" x14ac:dyDescent="0.2">
      <c r="A72" s="72"/>
      <c r="B72" s="72"/>
      <c r="C72" s="72"/>
      <c r="D72" s="72"/>
    </row>
    <row r="73" spans="1:4" ht="12.75" x14ac:dyDescent="0.2">
      <c r="A73" s="72"/>
      <c r="B73" s="72"/>
      <c r="C73" s="72"/>
      <c r="D73" s="72"/>
    </row>
    <row r="74" spans="1:4" ht="12.75" x14ac:dyDescent="0.2">
      <c r="A74" s="72"/>
      <c r="B74" s="72"/>
      <c r="C74" s="72"/>
      <c r="D74" s="72"/>
    </row>
    <row r="75" spans="1:4" ht="12.75" x14ac:dyDescent="0.2">
      <c r="A75" s="72"/>
      <c r="B75" s="72"/>
      <c r="C75" s="72"/>
      <c r="D75" s="72"/>
    </row>
    <row r="76" spans="1:4" ht="12.75" x14ac:dyDescent="0.2">
      <c r="A76" s="72"/>
      <c r="B76" s="72"/>
      <c r="C76" s="72"/>
      <c r="D76" s="72"/>
    </row>
    <row r="77" spans="1:4" ht="12.75" x14ac:dyDescent="0.2">
      <c r="A77" s="72"/>
      <c r="B77" s="72"/>
      <c r="C77" s="72"/>
      <c r="D77" s="72"/>
    </row>
    <row r="78" spans="1:4" ht="12.75" x14ac:dyDescent="0.2">
      <c r="A78" s="72"/>
      <c r="B78" s="72"/>
      <c r="C78" s="72"/>
      <c r="D78" s="72"/>
    </row>
    <row r="79" spans="1:4" ht="12.75" x14ac:dyDescent="0.2">
      <c r="A79" s="72"/>
      <c r="B79" s="72"/>
      <c r="C79" s="72"/>
      <c r="D79" s="72"/>
    </row>
    <row r="80" spans="1:4" ht="12.75" x14ac:dyDescent="0.2">
      <c r="A80" s="72"/>
      <c r="B80" s="72"/>
      <c r="C80" s="72"/>
      <c r="D80" s="72"/>
    </row>
    <row r="81" spans="1:4" ht="12.75" x14ac:dyDescent="0.2">
      <c r="A81" s="72"/>
      <c r="B81" s="72"/>
      <c r="C81" s="72"/>
      <c r="D81" s="72"/>
    </row>
    <row r="82" spans="1:4" ht="12.75" x14ac:dyDescent="0.2">
      <c r="A82" s="72"/>
      <c r="B82" s="72"/>
      <c r="C82" s="72"/>
      <c r="D82" s="72"/>
    </row>
    <row r="83" spans="1:4" ht="12.75" x14ac:dyDescent="0.2">
      <c r="A83" s="72"/>
      <c r="B83" s="72"/>
      <c r="C83" s="72"/>
      <c r="D83" s="72"/>
    </row>
    <row r="84" spans="1:4" ht="12.75" x14ac:dyDescent="0.2">
      <c r="A84" s="72"/>
      <c r="B84" s="72"/>
      <c r="C84" s="72"/>
      <c r="D84" s="72"/>
    </row>
    <row r="85" spans="1:4" ht="12.75" x14ac:dyDescent="0.2">
      <c r="A85" s="72"/>
      <c r="B85" s="72"/>
      <c r="C85" s="72"/>
      <c r="D85" s="72"/>
    </row>
    <row r="86" spans="1:4" ht="12.75" x14ac:dyDescent="0.2">
      <c r="A86" s="72"/>
      <c r="B86" s="72"/>
      <c r="C86" s="72"/>
      <c r="D86" s="72"/>
    </row>
    <row r="87" spans="1:4" ht="12.75" x14ac:dyDescent="0.2">
      <c r="A87" s="72"/>
      <c r="B87" s="72"/>
      <c r="C87" s="72"/>
      <c r="D87" s="72"/>
    </row>
    <row r="88" spans="1:4" ht="12.75" x14ac:dyDescent="0.2">
      <c r="A88" s="72"/>
      <c r="B88" s="72"/>
      <c r="C88" s="72"/>
      <c r="D88" s="72"/>
    </row>
    <row r="89" spans="1:4" ht="12.75" x14ac:dyDescent="0.2">
      <c r="A89" s="72"/>
      <c r="B89" s="72"/>
      <c r="C89" s="72"/>
      <c r="D89" s="72"/>
    </row>
    <row r="90" spans="1:4" ht="12.75" x14ac:dyDescent="0.2">
      <c r="A90" s="72"/>
      <c r="B90" s="72"/>
      <c r="C90" s="72"/>
      <c r="D90" s="72"/>
    </row>
    <row r="91" spans="1:4" ht="12.75" x14ac:dyDescent="0.2">
      <c r="A91" s="72"/>
      <c r="B91" s="72"/>
      <c r="C91" s="72"/>
      <c r="D91" s="72"/>
    </row>
    <row r="92" spans="1:4" ht="12.75" x14ac:dyDescent="0.2">
      <c r="A92" s="72"/>
      <c r="B92" s="72"/>
      <c r="C92" s="72"/>
      <c r="D92" s="72"/>
    </row>
    <row r="93" spans="1:4" ht="12.75" x14ac:dyDescent="0.2">
      <c r="A93" s="72"/>
      <c r="B93" s="72"/>
      <c r="C93" s="72"/>
      <c r="D93" s="72"/>
    </row>
    <row r="94" spans="1:4" ht="12.75" x14ac:dyDescent="0.2">
      <c r="A94" s="72"/>
      <c r="B94" s="72"/>
      <c r="C94" s="72"/>
      <c r="D94" s="72"/>
    </row>
    <row r="95" spans="1:4" ht="12.75" x14ac:dyDescent="0.2">
      <c r="A95" s="72"/>
      <c r="B95" s="72"/>
      <c r="C95" s="72"/>
      <c r="D95" s="72"/>
    </row>
    <row r="96" spans="1:4" ht="12.75" x14ac:dyDescent="0.2">
      <c r="A96" s="72"/>
      <c r="B96" s="72"/>
      <c r="C96" s="72"/>
      <c r="D96" s="72"/>
    </row>
    <row r="97" spans="1:4" ht="12.75" x14ac:dyDescent="0.2">
      <c r="A97" s="72"/>
      <c r="B97" s="72"/>
      <c r="C97" s="72"/>
      <c r="D97" s="72"/>
    </row>
    <row r="98" spans="1:4" ht="12.75" x14ac:dyDescent="0.2">
      <c r="A98" s="72"/>
      <c r="B98" s="72"/>
      <c r="C98" s="72"/>
      <c r="D98" s="72"/>
    </row>
    <row r="99" spans="1:4" ht="12.75" x14ac:dyDescent="0.2">
      <c r="A99" s="72"/>
      <c r="B99" s="72"/>
      <c r="C99" s="72"/>
      <c r="D99" s="72"/>
    </row>
    <row r="100" spans="1:4" ht="12.75" x14ac:dyDescent="0.2">
      <c r="A100" s="72"/>
      <c r="B100" s="72"/>
      <c r="C100" s="72"/>
      <c r="D100" s="72"/>
    </row>
    <row r="101" spans="1:4" ht="12.75" x14ac:dyDescent="0.2">
      <c r="A101" s="72"/>
      <c r="B101" s="72"/>
      <c r="C101" s="72"/>
      <c r="D101" s="72"/>
    </row>
    <row r="102" spans="1:4" ht="12.75" x14ac:dyDescent="0.2">
      <c r="A102" s="72"/>
      <c r="B102" s="72"/>
      <c r="C102" s="72"/>
      <c r="D102" s="72"/>
    </row>
    <row r="103" spans="1:4" ht="12.75" x14ac:dyDescent="0.2">
      <c r="A103" s="72"/>
      <c r="B103" s="72"/>
      <c r="C103" s="72"/>
      <c r="D103" s="72"/>
    </row>
    <row r="104" spans="1:4" ht="12.75" x14ac:dyDescent="0.2">
      <c r="A104" s="72"/>
      <c r="B104" s="72"/>
      <c r="C104" s="72"/>
      <c r="D104" s="72"/>
    </row>
    <row r="105" spans="1:4" ht="12.75" x14ac:dyDescent="0.2">
      <c r="A105" s="72"/>
      <c r="B105" s="72"/>
      <c r="C105" s="72"/>
      <c r="D105" s="72"/>
    </row>
    <row r="106" spans="1:4" ht="12.75" x14ac:dyDescent="0.2">
      <c r="A106" s="72"/>
      <c r="B106" s="72"/>
      <c r="C106" s="72"/>
      <c r="D106" s="72"/>
    </row>
    <row r="107" spans="1:4" ht="12.75" x14ac:dyDescent="0.2">
      <c r="A107" s="72"/>
      <c r="B107" s="72"/>
      <c r="C107" s="72"/>
      <c r="D107" s="72"/>
    </row>
    <row r="108" spans="1:4" ht="12.75" x14ac:dyDescent="0.2">
      <c r="A108" s="72"/>
      <c r="B108" s="72"/>
      <c r="C108" s="72"/>
      <c r="D108" s="72"/>
    </row>
    <row r="109" spans="1:4" ht="12.75" x14ac:dyDescent="0.2">
      <c r="A109" s="72"/>
      <c r="B109" s="72"/>
      <c r="C109" s="72"/>
      <c r="D109" s="72"/>
    </row>
    <row r="110" spans="1:4" ht="12.75" x14ac:dyDescent="0.2">
      <c r="A110" s="72"/>
      <c r="B110" s="72"/>
      <c r="C110" s="72"/>
      <c r="D110" s="72"/>
    </row>
    <row r="111" spans="1:4" ht="12.75" x14ac:dyDescent="0.2">
      <c r="A111" s="72"/>
      <c r="B111" s="72"/>
      <c r="C111" s="72"/>
      <c r="D111" s="72"/>
    </row>
    <row r="112" spans="1:4" ht="12.75" x14ac:dyDescent="0.2">
      <c r="A112" s="72"/>
      <c r="B112" s="72"/>
      <c r="C112" s="72"/>
      <c r="D112" s="72"/>
    </row>
    <row r="113" spans="1:4" ht="12.75" x14ac:dyDescent="0.2">
      <c r="A113" s="72"/>
      <c r="B113" s="72"/>
      <c r="C113" s="72"/>
      <c r="D113" s="72"/>
    </row>
    <row r="114" spans="1:4" ht="12.75" x14ac:dyDescent="0.2">
      <c r="A114" s="72"/>
      <c r="B114" s="72"/>
      <c r="C114" s="72"/>
      <c r="D114" s="72"/>
    </row>
    <row r="115" spans="1:4" ht="12.75" x14ac:dyDescent="0.2">
      <c r="A115" s="72"/>
      <c r="B115" s="72"/>
      <c r="C115" s="72"/>
      <c r="D115" s="72"/>
    </row>
    <row r="116" spans="1:4" ht="12.75" x14ac:dyDescent="0.2">
      <c r="A116" s="72"/>
      <c r="B116" s="72"/>
      <c r="C116" s="72"/>
      <c r="D116" s="72"/>
    </row>
    <row r="117" spans="1:4" ht="12.75" x14ac:dyDescent="0.2">
      <c r="A117" s="72"/>
      <c r="B117" s="72"/>
      <c r="C117" s="72"/>
      <c r="D117" s="72"/>
    </row>
    <row r="118" spans="1:4" ht="12.75" x14ac:dyDescent="0.2">
      <c r="A118" s="72"/>
      <c r="B118" s="72"/>
      <c r="C118" s="72"/>
      <c r="D118" s="72"/>
    </row>
    <row r="119" spans="1:4" ht="12.75" x14ac:dyDescent="0.2">
      <c r="A119" s="72"/>
      <c r="B119" s="72"/>
      <c r="C119" s="72"/>
      <c r="D119" s="72"/>
    </row>
    <row r="120" spans="1:4" ht="12.75" x14ac:dyDescent="0.2">
      <c r="A120" s="72"/>
      <c r="B120" s="72"/>
      <c r="C120" s="72"/>
      <c r="D120" s="72"/>
    </row>
    <row r="121" spans="1:4" ht="12.75" x14ac:dyDescent="0.2">
      <c r="A121" s="72"/>
      <c r="B121" s="72"/>
      <c r="C121" s="72"/>
      <c r="D121" s="72"/>
    </row>
    <row r="122" spans="1:4" ht="12.75" x14ac:dyDescent="0.2">
      <c r="A122" s="72"/>
      <c r="B122" s="72"/>
      <c r="C122" s="72"/>
      <c r="D122" s="72"/>
    </row>
    <row r="123" spans="1:4" ht="12.75" x14ac:dyDescent="0.2">
      <c r="A123" s="72"/>
      <c r="B123" s="72"/>
      <c r="C123" s="72"/>
      <c r="D123" s="72"/>
    </row>
    <row r="124" spans="1:4" ht="12.75" x14ac:dyDescent="0.2">
      <c r="A124" s="72"/>
      <c r="B124" s="72"/>
      <c r="C124" s="72"/>
      <c r="D124" s="72"/>
    </row>
    <row r="125" spans="1:4" ht="12.75" x14ac:dyDescent="0.2">
      <c r="A125" s="72"/>
      <c r="B125" s="72"/>
      <c r="C125" s="72"/>
      <c r="D125" s="72"/>
    </row>
    <row r="126" spans="1:4" ht="12.75" x14ac:dyDescent="0.2">
      <c r="A126" s="72"/>
      <c r="B126" s="72"/>
      <c r="C126" s="72"/>
      <c r="D126" s="72"/>
    </row>
    <row r="127" spans="1:4" ht="12.75" x14ac:dyDescent="0.2">
      <c r="A127" s="72"/>
      <c r="B127" s="72"/>
      <c r="C127" s="72"/>
      <c r="D127" s="72"/>
    </row>
    <row r="128" spans="1:4" ht="12.75" x14ac:dyDescent="0.2">
      <c r="A128" s="72"/>
      <c r="B128" s="72"/>
      <c r="C128" s="72"/>
      <c r="D128" s="72"/>
    </row>
    <row r="129" spans="1:4" ht="12.75" x14ac:dyDescent="0.2">
      <c r="A129" s="72"/>
      <c r="B129" s="72"/>
      <c r="C129" s="72"/>
      <c r="D129" s="72"/>
    </row>
    <row r="130" spans="1:4" ht="12.75" x14ac:dyDescent="0.2">
      <c r="A130" s="72"/>
      <c r="B130" s="72"/>
      <c r="C130" s="72"/>
      <c r="D130" s="72"/>
    </row>
    <row r="131" spans="1:4" ht="12.75" x14ac:dyDescent="0.2">
      <c r="A131" s="72"/>
      <c r="B131" s="72"/>
      <c r="C131" s="72"/>
      <c r="D131" s="72"/>
    </row>
    <row r="132" spans="1:4" ht="12.75" x14ac:dyDescent="0.2">
      <c r="A132" s="72"/>
      <c r="B132" s="72"/>
      <c r="C132" s="72"/>
      <c r="D132" s="72"/>
    </row>
    <row r="133" spans="1:4" ht="12.75" x14ac:dyDescent="0.2">
      <c r="A133" s="72"/>
      <c r="B133" s="72"/>
      <c r="C133" s="72"/>
      <c r="D133" s="72"/>
    </row>
    <row r="134" spans="1:4" ht="12.75" x14ac:dyDescent="0.2">
      <c r="A134" s="72"/>
      <c r="B134" s="72"/>
      <c r="C134" s="72"/>
      <c r="D134" s="72"/>
    </row>
    <row r="135" spans="1:4" ht="12.75" x14ac:dyDescent="0.2">
      <c r="A135" s="72"/>
      <c r="B135" s="72"/>
      <c r="C135" s="72"/>
      <c r="D135" s="72"/>
    </row>
    <row r="136" spans="1:4" ht="12.75" x14ac:dyDescent="0.2">
      <c r="A136" s="72"/>
      <c r="B136" s="72"/>
      <c r="C136" s="72"/>
      <c r="D136" s="72"/>
    </row>
    <row r="137" spans="1:4" ht="12.75" x14ac:dyDescent="0.2">
      <c r="A137" s="72"/>
      <c r="B137" s="72"/>
      <c r="C137" s="72"/>
      <c r="D137" s="72"/>
    </row>
    <row r="138" spans="1:4" ht="12.75" x14ac:dyDescent="0.2">
      <c r="A138" s="72"/>
      <c r="B138" s="72"/>
      <c r="C138" s="72"/>
      <c r="D138" s="72"/>
    </row>
    <row r="139" spans="1:4" ht="12.75" x14ac:dyDescent="0.2">
      <c r="A139" s="72"/>
      <c r="B139" s="72"/>
      <c r="C139" s="72"/>
      <c r="D139" s="72"/>
    </row>
    <row r="140" spans="1:4" ht="12.75" x14ac:dyDescent="0.2">
      <c r="A140" s="72"/>
      <c r="B140" s="72"/>
      <c r="C140" s="72"/>
      <c r="D140" s="72"/>
    </row>
    <row r="141" spans="1:4" ht="12.75" x14ac:dyDescent="0.2">
      <c r="A141" s="72"/>
      <c r="B141" s="72"/>
      <c r="C141" s="72"/>
      <c r="D141" s="72"/>
    </row>
    <row r="142" spans="1:4" ht="12.75" x14ac:dyDescent="0.2">
      <c r="A142" s="72"/>
      <c r="B142" s="72"/>
      <c r="C142" s="72"/>
      <c r="D142" s="72"/>
    </row>
    <row r="143" spans="1:4" ht="12.75" x14ac:dyDescent="0.2">
      <c r="A143" s="72"/>
      <c r="B143" s="72"/>
      <c r="C143" s="72"/>
      <c r="D143" s="72"/>
    </row>
    <row r="144" spans="1:4" ht="12.75" x14ac:dyDescent="0.2">
      <c r="A144" s="72"/>
      <c r="B144" s="72"/>
      <c r="C144" s="72"/>
      <c r="D144" s="72"/>
    </row>
    <row r="145" spans="1:4" ht="12.75" x14ac:dyDescent="0.2">
      <c r="A145" s="72"/>
      <c r="B145" s="72"/>
      <c r="C145" s="72"/>
      <c r="D145" s="72"/>
    </row>
    <row r="146" spans="1:4" ht="12.75" x14ac:dyDescent="0.2">
      <c r="A146" s="72"/>
      <c r="B146" s="72"/>
      <c r="C146" s="72"/>
      <c r="D146" s="72"/>
    </row>
    <row r="147" spans="1:4" ht="12.75" x14ac:dyDescent="0.2">
      <c r="A147" s="72"/>
      <c r="B147" s="72"/>
      <c r="C147" s="72"/>
      <c r="D147" s="72"/>
    </row>
    <row r="148" spans="1:4" ht="12.75" x14ac:dyDescent="0.2">
      <c r="A148" s="72"/>
      <c r="B148" s="72"/>
      <c r="C148" s="72"/>
      <c r="D148" s="72"/>
    </row>
    <row r="149" spans="1:4" ht="12.75" x14ac:dyDescent="0.2">
      <c r="A149" s="72"/>
      <c r="B149" s="72"/>
      <c r="C149" s="72"/>
      <c r="D149" s="72"/>
    </row>
    <row r="150" spans="1:4" ht="12.75" x14ac:dyDescent="0.2">
      <c r="A150" s="72"/>
      <c r="B150" s="72"/>
      <c r="C150" s="72"/>
      <c r="D150" s="72"/>
    </row>
    <row r="151" spans="1:4" ht="12.75" x14ac:dyDescent="0.2">
      <c r="A151" s="72"/>
      <c r="B151" s="72"/>
      <c r="C151" s="72"/>
      <c r="D151" s="72"/>
    </row>
    <row r="152" spans="1:4" ht="12.75" x14ac:dyDescent="0.2">
      <c r="A152" s="72"/>
      <c r="B152" s="72"/>
      <c r="C152" s="72"/>
      <c r="D152" s="72"/>
    </row>
    <row r="153" spans="1:4" ht="12.75" x14ac:dyDescent="0.2">
      <c r="A153" s="72"/>
      <c r="B153" s="72"/>
      <c r="C153" s="72"/>
      <c r="D153" s="72"/>
    </row>
    <row r="154" spans="1:4" ht="12.75" x14ac:dyDescent="0.2">
      <c r="A154" s="72"/>
      <c r="B154" s="72"/>
      <c r="C154" s="72"/>
      <c r="D154" s="72"/>
    </row>
    <row r="155" spans="1:4" ht="12.75" x14ac:dyDescent="0.2">
      <c r="A155" s="72"/>
      <c r="B155" s="72"/>
      <c r="C155" s="72"/>
      <c r="D155" s="72"/>
    </row>
    <row r="156" spans="1:4" ht="12.75" x14ac:dyDescent="0.2">
      <c r="A156" s="72"/>
      <c r="B156" s="72"/>
      <c r="C156" s="72"/>
      <c r="D156" s="72"/>
    </row>
    <row r="157" spans="1:4" ht="12.75" x14ac:dyDescent="0.2">
      <c r="A157" s="72"/>
      <c r="B157" s="72"/>
      <c r="C157" s="72"/>
      <c r="D157" s="72"/>
    </row>
    <row r="158" spans="1:4" ht="12.75" x14ac:dyDescent="0.2">
      <c r="A158" s="72"/>
      <c r="B158" s="72"/>
      <c r="C158" s="72"/>
      <c r="D158" s="72"/>
    </row>
    <row r="159" spans="1:4" ht="12.75" x14ac:dyDescent="0.2">
      <c r="A159" s="72"/>
      <c r="B159" s="72"/>
      <c r="C159" s="72"/>
      <c r="D159" s="72"/>
    </row>
    <row r="160" spans="1:4" ht="12.75" x14ac:dyDescent="0.2">
      <c r="A160" s="72"/>
      <c r="B160" s="72"/>
      <c r="C160" s="72"/>
      <c r="D160" s="72"/>
    </row>
    <row r="161" spans="1:4" ht="12.75" x14ac:dyDescent="0.2">
      <c r="A161" s="72"/>
      <c r="B161" s="72"/>
      <c r="C161" s="72"/>
      <c r="D161" s="72"/>
    </row>
    <row r="162" spans="1:4" ht="12.75" x14ac:dyDescent="0.2">
      <c r="A162" s="72"/>
      <c r="B162" s="72"/>
      <c r="C162" s="72"/>
      <c r="D162" s="72"/>
    </row>
    <row r="163" spans="1:4" ht="12.75" x14ac:dyDescent="0.2">
      <c r="A163" s="72"/>
      <c r="B163" s="72"/>
      <c r="C163" s="72"/>
      <c r="D163" s="72"/>
    </row>
    <row r="164" spans="1:4" ht="12.75" x14ac:dyDescent="0.2">
      <c r="A164" s="72"/>
      <c r="B164" s="72"/>
      <c r="C164" s="72"/>
      <c r="D164" s="72"/>
    </row>
    <row r="165" spans="1:4" ht="12.75" x14ac:dyDescent="0.2">
      <c r="A165" s="72"/>
      <c r="B165" s="72"/>
      <c r="C165" s="72"/>
      <c r="D165" s="72"/>
    </row>
    <row r="166" spans="1:4" ht="12.75" x14ac:dyDescent="0.2">
      <c r="A166" s="72"/>
      <c r="B166" s="72"/>
      <c r="C166" s="72"/>
      <c r="D166" s="72"/>
    </row>
    <row r="167" spans="1:4" ht="12.75" x14ac:dyDescent="0.2">
      <c r="A167" s="72"/>
      <c r="B167" s="72"/>
      <c r="C167" s="72"/>
      <c r="D167" s="72"/>
    </row>
    <row r="168" spans="1:4" ht="12.75" x14ac:dyDescent="0.2">
      <c r="A168" s="72"/>
      <c r="B168" s="72"/>
      <c r="C168" s="72"/>
      <c r="D168" s="72"/>
    </row>
    <row r="169" spans="1:4" ht="12.75" x14ac:dyDescent="0.2">
      <c r="A169" s="72"/>
      <c r="B169" s="72"/>
      <c r="C169" s="72"/>
      <c r="D169" s="72"/>
    </row>
    <row r="170" spans="1:4" ht="12.75" x14ac:dyDescent="0.2">
      <c r="A170" s="72"/>
      <c r="B170" s="72"/>
      <c r="C170" s="72"/>
      <c r="D170" s="72"/>
    </row>
    <row r="171" spans="1:4" ht="12.75" x14ac:dyDescent="0.2">
      <c r="A171" s="72"/>
      <c r="B171" s="72"/>
      <c r="C171" s="72"/>
      <c r="D171" s="72"/>
    </row>
    <row r="172" spans="1:4" ht="12.75" x14ac:dyDescent="0.2">
      <c r="A172" s="72"/>
      <c r="B172" s="72"/>
      <c r="C172" s="72"/>
      <c r="D172" s="72"/>
    </row>
    <row r="173" spans="1:4" ht="12.75" x14ac:dyDescent="0.2">
      <c r="A173" s="72"/>
      <c r="B173" s="72"/>
      <c r="C173" s="72"/>
      <c r="D173" s="72"/>
    </row>
    <row r="174" spans="1:4" ht="12.75" x14ac:dyDescent="0.2">
      <c r="A174" s="72"/>
      <c r="B174" s="72"/>
      <c r="C174" s="72"/>
      <c r="D174" s="72"/>
    </row>
    <row r="175" spans="1:4" ht="12.75" x14ac:dyDescent="0.2">
      <c r="A175" s="72"/>
      <c r="B175" s="72"/>
      <c r="C175" s="72"/>
      <c r="D175" s="72"/>
    </row>
    <row r="176" spans="1:4" ht="12.75" x14ac:dyDescent="0.2">
      <c r="A176" s="72"/>
      <c r="B176" s="72"/>
      <c r="C176" s="72"/>
      <c r="D176" s="72"/>
    </row>
    <row r="177" spans="1:4" ht="12.75" x14ac:dyDescent="0.2">
      <c r="A177" s="72"/>
      <c r="B177" s="72"/>
      <c r="C177" s="72"/>
      <c r="D177" s="72"/>
    </row>
    <row r="178" spans="1:4" ht="12.75" x14ac:dyDescent="0.2">
      <c r="A178" s="72"/>
      <c r="B178" s="72"/>
      <c r="C178" s="72"/>
      <c r="D178" s="72"/>
    </row>
    <row r="179" spans="1:4" ht="12.75" x14ac:dyDescent="0.2">
      <c r="A179" s="72"/>
      <c r="B179" s="72"/>
      <c r="C179" s="72"/>
      <c r="D179" s="72"/>
    </row>
    <row r="180" spans="1:4" ht="12.75" x14ac:dyDescent="0.2">
      <c r="A180" s="72"/>
      <c r="B180" s="72"/>
      <c r="C180" s="72"/>
      <c r="D180" s="72"/>
    </row>
    <row r="181" spans="1:4" ht="12.75" x14ac:dyDescent="0.2">
      <c r="A181" s="72"/>
      <c r="B181" s="72"/>
      <c r="C181" s="72"/>
      <c r="D181" s="72"/>
    </row>
    <row r="182" spans="1:4" ht="12.75" x14ac:dyDescent="0.2">
      <c r="A182" s="72"/>
      <c r="B182" s="72"/>
      <c r="C182" s="72"/>
      <c r="D182" s="72"/>
    </row>
    <row r="183" spans="1:4" ht="12.75" x14ac:dyDescent="0.2">
      <c r="A183" s="72"/>
      <c r="B183" s="72"/>
      <c r="C183" s="72"/>
      <c r="D183" s="72"/>
    </row>
    <row r="184" spans="1:4" ht="12.75" x14ac:dyDescent="0.2">
      <c r="A184" s="72"/>
      <c r="B184" s="72"/>
      <c r="C184" s="72"/>
      <c r="D184" s="72"/>
    </row>
    <row r="185" spans="1:4" ht="12.75" x14ac:dyDescent="0.2">
      <c r="A185" s="72"/>
      <c r="B185" s="72"/>
      <c r="C185" s="72"/>
      <c r="D185" s="72"/>
    </row>
    <row r="186" spans="1:4" ht="12.75" x14ac:dyDescent="0.2">
      <c r="A186" s="72"/>
      <c r="B186" s="72"/>
      <c r="C186" s="72"/>
      <c r="D186" s="72"/>
    </row>
    <row r="187" spans="1:4" ht="12.75" x14ac:dyDescent="0.2">
      <c r="A187" s="72"/>
      <c r="B187" s="72"/>
      <c r="C187" s="72"/>
      <c r="D187" s="72"/>
    </row>
    <row r="188" spans="1:4" ht="12.75" x14ac:dyDescent="0.2">
      <c r="A188" s="72"/>
      <c r="B188" s="72"/>
      <c r="C188" s="72"/>
      <c r="D188" s="72"/>
    </row>
    <row r="189" spans="1:4" ht="12.75" x14ac:dyDescent="0.2">
      <c r="A189" s="72"/>
      <c r="B189" s="72"/>
      <c r="C189" s="72"/>
      <c r="D189" s="72"/>
    </row>
    <row r="190" spans="1:4" ht="12.75" x14ac:dyDescent="0.2">
      <c r="A190" s="72"/>
      <c r="B190" s="72"/>
      <c r="C190" s="72"/>
      <c r="D190" s="72"/>
    </row>
    <row r="191" spans="1:4" ht="12.75" x14ac:dyDescent="0.2">
      <c r="A191" s="72"/>
      <c r="B191" s="72"/>
      <c r="C191" s="72"/>
      <c r="D191" s="72"/>
    </row>
    <row r="192" spans="1:4" ht="12.75" x14ac:dyDescent="0.2">
      <c r="A192" s="72"/>
      <c r="B192" s="72"/>
      <c r="C192" s="72"/>
      <c r="D192" s="72"/>
    </row>
    <row r="193" spans="1:4" ht="12.75" x14ac:dyDescent="0.2">
      <c r="A193" s="72"/>
      <c r="B193" s="72"/>
      <c r="C193" s="72"/>
      <c r="D193" s="72"/>
    </row>
    <row r="194" spans="1:4" ht="12.75" x14ac:dyDescent="0.2">
      <c r="A194" s="72"/>
      <c r="B194" s="72"/>
      <c r="C194" s="72"/>
      <c r="D194" s="72"/>
    </row>
    <row r="195" spans="1:4" ht="12.75" x14ac:dyDescent="0.2">
      <c r="A195" s="72"/>
      <c r="B195" s="72"/>
      <c r="C195" s="72"/>
      <c r="D195" s="72"/>
    </row>
    <row r="196" spans="1:4" ht="12.75" x14ac:dyDescent="0.2">
      <c r="A196" s="72"/>
      <c r="B196" s="72"/>
      <c r="C196" s="72"/>
      <c r="D196" s="72"/>
    </row>
    <row r="197" spans="1:4" ht="12.75" x14ac:dyDescent="0.2">
      <c r="A197" s="72"/>
      <c r="B197" s="72"/>
      <c r="C197" s="72"/>
      <c r="D197" s="72"/>
    </row>
    <row r="198" spans="1:4" ht="12.75" x14ac:dyDescent="0.2">
      <c r="A198" s="72"/>
      <c r="B198" s="72"/>
      <c r="C198" s="72"/>
      <c r="D198" s="72"/>
    </row>
    <row r="199" spans="1:4" ht="12.75" x14ac:dyDescent="0.2">
      <c r="A199" s="72"/>
      <c r="B199" s="72"/>
      <c r="C199" s="72"/>
      <c r="D199" s="72"/>
    </row>
    <row r="200" spans="1:4" ht="12.75" x14ac:dyDescent="0.2">
      <c r="A200" s="72"/>
      <c r="B200" s="72"/>
      <c r="C200" s="72"/>
      <c r="D200" s="72"/>
    </row>
    <row r="201" spans="1:4" ht="12.75" x14ac:dyDescent="0.2">
      <c r="A201" s="72"/>
      <c r="B201" s="72"/>
      <c r="C201" s="72"/>
      <c r="D201" s="72"/>
    </row>
    <row r="202" spans="1:4" ht="12.75" x14ac:dyDescent="0.2">
      <c r="A202" s="72"/>
      <c r="B202" s="72"/>
      <c r="C202" s="72"/>
      <c r="D202" s="72"/>
    </row>
    <row r="203" spans="1:4" ht="12.75" x14ac:dyDescent="0.2">
      <c r="A203" s="72"/>
      <c r="B203" s="72"/>
      <c r="C203" s="72"/>
      <c r="D203" s="72"/>
    </row>
    <row r="204" spans="1:4" ht="12.75" x14ac:dyDescent="0.2">
      <c r="A204" s="72"/>
      <c r="B204" s="72"/>
      <c r="C204" s="72"/>
      <c r="D204" s="72"/>
    </row>
    <row r="205" spans="1:4" ht="12.75" x14ac:dyDescent="0.2">
      <c r="A205" s="72"/>
      <c r="B205" s="72"/>
      <c r="C205" s="72"/>
      <c r="D205" s="72"/>
    </row>
    <row r="206" spans="1:4" ht="12.75" x14ac:dyDescent="0.2">
      <c r="A206" s="72"/>
      <c r="B206" s="72"/>
      <c r="C206" s="72"/>
      <c r="D206" s="72"/>
    </row>
    <row r="207" spans="1:4" ht="12.75" x14ac:dyDescent="0.2">
      <c r="A207" s="72"/>
      <c r="B207" s="72"/>
      <c r="C207" s="72"/>
      <c r="D207" s="72"/>
    </row>
    <row r="208" spans="1:4" ht="12.75" x14ac:dyDescent="0.2">
      <c r="A208" s="72"/>
      <c r="B208" s="72"/>
      <c r="C208" s="72"/>
      <c r="D208" s="72"/>
    </row>
    <row r="209" spans="1:4" ht="12.75" x14ac:dyDescent="0.2">
      <c r="A209" s="72"/>
      <c r="B209" s="72"/>
      <c r="C209" s="72"/>
      <c r="D209" s="72"/>
    </row>
    <row r="210" spans="1:4" ht="12.75" x14ac:dyDescent="0.2">
      <c r="A210" s="72"/>
      <c r="B210" s="72"/>
      <c r="C210" s="72"/>
      <c r="D210" s="72"/>
    </row>
    <row r="211" spans="1:4" ht="12.75" x14ac:dyDescent="0.2">
      <c r="A211" s="72"/>
      <c r="B211" s="72"/>
      <c r="C211" s="72"/>
      <c r="D211" s="72"/>
    </row>
    <row r="212" spans="1:4" ht="12.75" x14ac:dyDescent="0.2">
      <c r="A212" s="72"/>
      <c r="B212" s="72"/>
      <c r="C212" s="72"/>
      <c r="D212" s="72"/>
    </row>
    <row r="213" spans="1:4" ht="12.75" x14ac:dyDescent="0.2">
      <c r="A213" s="72"/>
      <c r="B213" s="72"/>
      <c r="C213" s="72"/>
      <c r="D213" s="72"/>
    </row>
    <row r="214" spans="1:4" ht="12.75" x14ac:dyDescent="0.2">
      <c r="A214" s="72"/>
      <c r="B214" s="72"/>
      <c r="C214" s="72"/>
      <c r="D214" s="72"/>
    </row>
    <row r="215" spans="1:4" ht="12.75" x14ac:dyDescent="0.2">
      <c r="A215" s="72"/>
      <c r="B215" s="72"/>
      <c r="C215" s="72"/>
      <c r="D215" s="72"/>
    </row>
    <row r="216" spans="1:4" ht="12.75" x14ac:dyDescent="0.2">
      <c r="A216" s="72"/>
      <c r="B216" s="72"/>
      <c r="C216" s="72"/>
      <c r="D216" s="72"/>
    </row>
    <row r="217" spans="1:4" ht="12.75" x14ac:dyDescent="0.2">
      <c r="A217" s="72"/>
      <c r="B217" s="72"/>
      <c r="C217" s="72"/>
      <c r="D217" s="72"/>
    </row>
    <row r="218" spans="1:4" ht="12.75" x14ac:dyDescent="0.2">
      <c r="A218" s="72"/>
      <c r="B218" s="72"/>
      <c r="C218" s="72"/>
      <c r="D218" s="72"/>
    </row>
    <row r="219" spans="1:4" ht="12.75" x14ac:dyDescent="0.2">
      <c r="A219" s="72"/>
      <c r="B219" s="72"/>
      <c r="C219" s="72"/>
      <c r="D219" s="72"/>
    </row>
    <row r="220" spans="1:4" ht="12.75" x14ac:dyDescent="0.2">
      <c r="A220" s="72"/>
      <c r="B220" s="72"/>
      <c r="C220" s="72"/>
      <c r="D220" s="72"/>
    </row>
    <row r="221" spans="1:4" ht="12.75" x14ac:dyDescent="0.2">
      <c r="A221" s="72"/>
      <c r="B221" s="72"/>
      <c r="C221" s="72"/>
      <c r="D221" s="72"/>
    </row>
    <row r="222" spans="1:4" ht="12.75" x14ac:dyDescent="0.2">
      <c r="A222" s="72"/>
      <c r="B222" s="72"/>
      <c r="C222" s="72"/>
      <c r="D222" s="72"/>
    </row>
    <row r="223" spans="1:4" ht="12.75" x14ac:dyDescent="0.2">
      <c r="A223" s="72"/>
      <c r="B223" s="72"/>
      <c r="C223" s="72"/>
      <c r="D223" s="72"/>
    </row>
    <row r="224" spans="1:4" ht="12.75" x14ac:dyDescent="0.2">
      <c r="A224" s="72"/>
      <c r="B224" s="72"/>
      <c r="C224" s="72"/>
      <c r="D224" s="72"/>
    </row>
    <row r="225" spans="1:4" ht="12.75" x14ac:dyDescent="0.2">
      <c r="A225" s="72"/>
      <c r="B225" s="72"/>
      <c r="C225" s="72"/>
      <c r="D225" s="72"/>
    </row>
    <row r="226" spans="1:4" ht="12.75" x14ac:dyDescent="0.2">
      <c r="A226" s="72"/>
      <c r="B226" s="72"/>
      <c r="C226" s="72"/>
      <c r="D226" s="72"/>
    </row>
    <row r="227" spans="1:4" ht="12.75" x14ac:dyDescent="0.2">
      <c r="A227" s="72"/>
      <c r="B227" s="72"/>
      <c r="C227" s="72"/>
      <c r="D227" s="72"/>
    </row>
    <row r="228" spans="1:4" ht="12.75" x14ac:dyDescent="0.2">
      <c r="A228" s="72"/>
      <c r="B228" s="72"/>
      <c r="C228" s="72"/>
      <c r="D228" s="72"/>
    </row>
    <row r="229" spans="1:4" ht="12.75" x14ac:dyDescent="0.2">
      <c r="A229" s="72"/>
      <c r="B229" s="72"/>
      <c r="C229" s="72"/>
      <c r="D229" s="72"/>
    </row>
    <row r="230" spans="1:4" ht="12.75" x14ac:dyDescent="0.2">
      <c r="A230" s="72"/>
      <c r="B230" s="72"/>
      <c r="C230" s="72"/>
      <c r="D230" s="72"/>
    </row>
    <row r="231" spans="1:4" ht="12.75" x14ac:dyDescent="0.2">
      <c r="A231" s="72"/>
      <c r="B231" s="72"/>
      <c r="C231" s="72"/>
      <c r="D231" s="72"/>
    </row>
    <row r="232" spans="1:4" ht="12.75" x14ac:dyDescent="0.2">
      <c r="A232" s="72"/>
      <c r="B232" s="72"/>
      <c r="C232" s="72"/>
      <c r="D232" s="72"/>
    </row>
    <row r="233" spans="1:4" ht="12.75" x14ac:dyDescent="0.2">
      <c r="A233" s="72"/>
      <c r="B233" s="72"/>
      <c r="C233" s="72"/>
      <c r="D233" s="72"/>
    </row>
    <row r="234" spans="1:4" ht="12.75" x14ac:dyDescent="0.2">
      <c r="A234" s="72"/>
      <c r="B234" s="72"/>
      <c r="C234" s="72"/>
      <c r="D234" s="72"/>
    </row>
    <row r="235" spans="1:4" ht="12.75" x14ac:dyDescent="0.2">
      <c r="A235" s="72"/>
      <c r="B235" s="72"/>
      <c r="C235" s="72"/>
      <c r="D235" s="72"/>
    </row>
    <row r="236" spans="1:4" ht="12.75" x14ac:dyDescent="0.2">
      <c r="A236" s="72"/>
      <c r="B236" s="72"/>
      <c r="C236" s="72"/>
      <c r="D236" s="72"/>
    </row>
    <row r="237" spans="1:4" ht="12.75" x14ac:dyDescent="0.2">
      <c r="A237" s="72"/>
      <c r="B237" s="72"/>
      <c r="C237" s="72"/>
      <c r="D237" s="72"/>
    </row>
    <row r="238" spans="1:4" ht="12.75" x14ac:dyDescent="0.2">
      <c r="A238" s="72"/>
      <c r="B238" s="72"/>
      <c r="C238" s="72"/>
      <c r="D238" s="72"/>
    </row>
    <row r="239" spans="1:4" ht="12.75" x14ac:dyDescent="0.2">
      <c r="A239" s="72"/>
      <c r="B239" s="72"/>
      <c r="C239" s="72"/>
      <c r="D239" s="72"/>
    </row>
    <row r="240" spans="1:4" ht="12.75" x14ac:dyDescent="0.2">
      <c r="A240" s="72"/>
      <c r="B240" s="72"/>
      <c r="C240" s="72"/>
      <c r="D240" s="72"/>
    </row>
    <row r="241" spans="1:4" ht="12.75" x14ac:dyDescent="0.2">
      <c r="A241" s="72"/>
      <c r="B241" s="72"/>
      <c r="C241" s="72"/>
      <c r="D241" s="72"/>
    </row>
    <row r="242" spans="1:4" ht="12.75" x14ac:dyDescent="0.2">
      <c r="A242" s="72"/>
      <c r="B242" s="72"/>
      <c r="C242" s="72"/>
      <c r="D242" s="72"/>
    </row>
    <row r="243" spans="1:4" ht="12.75" x14ac:dyDescent="0.2">
      <c r="A243" s="72"/>
      <c r="B243" s="72"/>
      <c r="C243" s="72"/>
      <c r="D243" s="72"/>
    </row>
    <row r="244" spans="1:4" ht="12.75" x14ac:dyDescent="0.2">
      <c r="A244" s="72"/>
      <c r="B244" s="72"/>
      <c r="C244" s="72"/>
      <c r="D244" s="72"/>
    </row>
    <row r="245" spans="1:4" ht="12.75" x14ac:dyDescent="0.2">
      <c r="A245" s="72"/>
      <c r="B245" s="72"/>
      <c r="C245" s="72"/>
      <c r="D245" s="72"/>
    </row>
    <row r="246" spans="1:4" ht="12.75" x14ac:dyDescent="0.2">
      <c r="A246" s="72"/>
      <c r="B246" s="72"/>
      <c r="C246" s="72"/>
      <c r="D246" s="72"/>
    </row>
    <row r="247" spans="1:4" ht="12.75" x14ac:dyDescent="0.2">
      <c r="A247" s="72"/>
      <c r="B247" s="72"/>
      <c r="C247" s="72"/>
      <c r="D247" s="72"/>
    </row>
    <row r="248" spans="1:4" ht="12.75" x14ac:dyDescent="0.2">
      <c r="A248" s="72"/>
      <c r="B248" s="72"/>
      <c r="C248" s="72"/>
      <c r="D248" s="72"/>
    </row>
    <row r="249" spans="1:4" ht="12.75" x14ac:dyDescent="0.2">
      <c r="A249" s="72"/>
      <c r="B249" s="72"/>
      <c r="C249" s="72"/>
      <c r="D249" s="72"/>
    </row>
    <row r="250" spans="1:4" ht="12.75" x14ac:dyDescent="0.2">
      <c r="A250" s="72"/>
      <c r="B250" s="72"/>
      <c r="C250" s="72"/>
      <c r="D250" s="72"/>
    </row>
    <row r="251" spans="1:4" ht="12.75" x14ac:dyDescent="0.2">
      <c r="A251" s="72"/>
      <c r="B251" s="72"/>
      <c r="C251" s="72"/>
      <c r="D251" s="72"/>
    </row>
    <row r="252" spans="1:4" ht="12.75" x14ac:dyDescent="0.2">
      <c r="A252" s="72"/>
      <c r="B252" s="72"/>
      <c r="C252" s="72"/>
      <c r="D252" s="72"/>
    </row>
    <row r="253" spans="1:4" ht="12.75" x14ac:dyDescent="0.2">
      <c r="A253" s="72"/>
      <c r="B253" s="72"/>
      <c r="C253" s="72"/>
      <c r="D253" s="72"/>
    </row>
    <row r="254" spans="1:4" ht="12.75" x14ac:dyDescent="0.2">
      <c r="A254" s="72"/>
      <c r="B254" s="72"/>
      <c r="C254" s="72"/>
      <c r="D254" s="72"/>
    </row>
    <row r="255" spans="1:4" ht="12.75" x14ac:dyDescent="0.2">
      <c r="A255" s="72"/>
      <c r="B255" s="72"/>
      <c r="C255" s="72"/>
      <c r="D255" s="72"/>
    </row>
    <row r="256" spans="1:4" ht="12.75" x14ac:dyDescent="0.2">
      <c r="A256" s="72"/>
      <c r="B256" s="72"/>
      <c r="C256" s="72"/>
      <c r="D256" s="72"/>
    </row>
    <row r="257" spans="1:4" ht="12.75" x14ac:dyDescent="0.2">
      <c r="A257" s="72"/>
      <c r="B257" s="72"/>
      <c r="C257" s="72"/>
      <c r="D257" s="72"/>
    </row>
    <row r="258" spans="1:4" ht="12.75" x14ac:dyDescent="0.2">
      <c r="A258" s="72"/>
      <c r="B258" s="72"/>
      <c r="C258" s="72"/>
      <c r="D258" s="72"/>
    </row>
    <row r="259" spans="1:4" ht="12.75" x14ac:dyDescent="0.2">
      <c r="A259" s="72"/>
      <c r="B259" s="72"/>
      <c r="C259" s="72"/>
      <c r="D259" s="72"/>
    </row>
    <row r="260" spans="1:4" ht="12.75" x14ac:dyDescent="0.2">
      <c r="A260" s="72"/>
      <c r="B260" s="72"/>
      <c r="C260" s="72"/>
      <c r="D260" s="72"/>
    </row>
    <row r="261" spans="1:4" ht="12.75" x14ac:dyDescent="0.2">
      <c r="A261" s="72"/>
      <c r="B261" s="72"/>
      <c r="C261" s="72"/>
      <c r="D261" s="72"/>
    </row>
    <row r="262" spans="1:4" ht="12.75" x14ac:dyDescent="0.2">
      <c r="A262" s="72"/>
      <c r="B262" s="72"/>
      <c r="C262" s="72"/>
      <c r="D262" s="72"/>
    </row>
    <row r="263" spans="1:4" ht="12.75" x14ac:dyDescent="0.2">
      <c r="A263" s="72"/>
      <c r="B263" s="72"/>
      <c r="C263" s="72"/>
      <c r="D263" s="72"/>
    </row>
    <row r="264" spans="1:4" ht="12.75" x14ac:dyDescent="0.2">
      <c r="A264" s="72"/>
      <c r="B264" s="72"/>
      <c r="C264" s="72"/>
      <c r="D264" s="72"/>
    </row>
    <row r="265" spans="1:4" ht="12.75" x14ac:dyDescent="0.2">
      <c r="A265" s="72"/>
      <c r="B265" s="72"/>
      <c r="C265" s="72"/>
      <c r="D265" s="72"/>
    </row>
    <row r="266" spans="1:4" ht="12.75" x14ac:dyDescent="0.2">
      <c r="A266" s="72"/>
      <c r="B266" s="72"/>
      <c r="C266" s="72"/>
      <c r="D266" s="72"/>
    </row>
    <row r="267" spans="1:4" ht="12.75" x14ac:dyDescent="0.2">
      <c r="A267" s="72"/>
      <c r="B267" s="72"/>
      <c r="C267" s="72"/>
      <c r="D267" s="72"/>
    </row>
    <row r="268" spans="1:4" ht="12.75" x14ac:dyDescent="0.2">
      <c r="A268" s="72"/>
      <c r="B268" s="72"/>
      <c r="C268" s="72"/>
      <c r="D268" s="72"/>
    </row>
    <row r="269" spans="1:4" ht="12.75" x14ac:dyDescent="0.2">
      <c r="A269" s="72"/>
      <c r="B269" s="72"/>
      <c r="C269" s="72"/>
      <c r="D269" s="72"/>
    </row>
    <row r="270" spans="1:4" ht="12.75" x14ac:dyDescent="0.2">
      <c r="A270" s="72"/>
      <c r="B270" s="72"/>
      <c r="C270" s="72"/>
      <c r="D270" s="72"/>
    </row>
    <row r="271" spans="1:4" ht="12.75" x14ac:dyDescent="0.2">
      <c r="A271" s="72"/>
      <c r="B271" s="72"/>
      <c r="C271" s="72"/>
      <c r="D271" s="72"/>
    </row>
    <row r="272" spans="1:4" ht="12.75" x14ac:dyDescent="0.2">
      <c r="A272" s="72"/>
      <c r="B272" s="72"/>
      <c r="C272" s="72"/>
      <c r="D272" s="72"/>
    </row>
    <row r="273" spans="1:4" ht="12.75" x14ac:dyDescent="0.2">
      <c r="A273" s="72"/>
      <c r="B273" s="72"/>
      <c r="C273" s="72"/>
      <c r="D273" s="72"/>
    </row>
    <row r="274" spans="1:4" ht="12.75" x14ac:dyDescent="0.2">
      <c r="A274" s="72"/>
      <c r="B274" s="72"/>
      <c r="C274" s="72"/>
      <c r="D274" s="72"/>
    </row>
    <row r="275" spans="1:4" ht="12.75" x14ac:dyDescent="0.2">
      <c r="A275" s="72"/>
      <c r="B275" s="72"/>
      <c r="C275" s="72"/>
      <c r="D275" s="72"/>
    </row>
    <row r="276" spans="1:4" ht="12.75" x14ac:dyDescent="0.2">
      <c r="A276" s="72"/>
      <c r="B276" s="72"/>
      <c r="C276" s="72"/>
      <c r="D276" s="72"/>
    </row>
    <row r="277" spans="1:4" ht="12.75" x14ac:dyDescent="0.2">
      <c r="A277" s="72"/>
      <c r="B277" s="72"/>
      <c r="C277" s="72"/>
      <c r="D277" s="72"/>
    </row>
    <row r="278" spans="1:4" ht="12.75" x14ac:dyDescent="0.2">
      <c r="A278" s="72"/>
      <c r="B278" s="72"/>
      <c r="C278" s="72"/>
      <c r="D278" s="72"/>
    </row>
    <row r="279" spans="1:4" ht="12.75" x14ac:dyDescent="0.2">
      <c r="A279" s="72"/>
      <c r="B279" s="72"/>
      <c r="C279" s="72"/>
      <c r="D279" s="72"/>
    </row>
    <row r="280" spans="1:4" ht="12.75" x14ac:dyDescent="0.2">
      <c r="A280" s="72"/>
      <c r="B280" s="72"/>
      <c r="C280" s="72"/>
      <c r="D280" s="72"/>
    </row>
    <row r="281" spans="1:4" ht="12.75" x14ac:dyDescent="0.2">
      <c r="A281" s="72"/>
      <c r="B281" s="72"/>
      <c r="C281" s="72"/>
      <c r="D281" s="72"/>
    </row>
    <row r="282" spans="1:4" ht="12.75" x14ac:dyDescent="0.2">
      <c r="A282" s="72"/>
      <c r="B282" s="72"/>
      <c r="C282" s="72"/>
      <c r="D282" s="72"/>
    </row>
    <row r="283" spans="1:4" ht="12.75" x14ac:dyDescent="0.2">
      <c r="A283" s="72"/>
      <c r="B283" s="72"/>
      <c r="C283" s="72"/>
      <c r="D283" s="72"/>
    </row>
    <row r="284" spans="1:4" ht="12.75" x14ac:dyDescent="0.2">
      <c r="A284" s="72"/>
      <c r="B284" s="72"/>
      <c r="C284" s="72"/>
      <c r="D284" s="72"/>
    </row>
    <row r="285" spans="1:4" ht="12.75" x14ac:dyDescent="0.2">
      <c r="A285" s="72"/>
      <c r="B285" s="72"/>
      <c r="C285" s="72"/>
      <c r="D285" s="72"/>
    </row>
    <row r="286" spans="1:4" ht="12.75" x14ac:dyDescent="0.2">
      <c r="A286" s="72"/>
      <c r="B286" s="72"/>
      <c r="C286" s="72"/>
      <c r="D286" s="72"/>
    </row>
    <row r="287" spans="1:4" ht="12.75" x14ac:dyDescent="0.2">
      <c r="A287" s="72"/>
      <c r="B287" s="72"/>
      <c r="C287" s="72"/>
      <c r="D287" s="72"/>
    </row>
    <row r="288" spans="1:4" ht="12.75" x14ac:dyDescent="0.2">
      <c r="A288" s="72"/>
      <c r="B288" s="72"/>
      <c r="C288" s="72"/>
      <c r="D288" s="72"/>
    </row>
    <row r="289" spans="1:4" ht="12.75" x14ac:dyDescent="0.2">
      <c r="A289" s="72"/>
      <c r="B289" s="72"/>
      <c r="C289" s="72"/>
      <c r="D289" s="72"/>
    </row>
    <row r="290" spans="1:4" ht="12.75" x14ac:dyDescent="0.2">
      <c r="A290" s="72"/>
      <c r="B290" s="72"/>
      <c r="C290" s="72"/>
      <c r="D290" s="72"/>
    </row>
    <row r="291" spans="1:4" ht="12.75" x14ac:dyDescent="0.2">
      <c r="A291" s="72"/>
      <c r="B291" s="72"/>
      <c r="C291" s="72"/>
      <c r="D291" s="72"/>
    </row>
    <row r="292" spans="1:4" ht="12.75" x14ac:dyDescent="0.2">
      <c r="A292" s="72"/>
      <c r="B292" s="72"/>
      <c r="C292" s="72"/>
      <c r="D292" s="72"/>
    </row>
    <row r="293" spans="1:4" ht="12.75" x14ac:dyDescent="0.2">
      <c r="A293" s="72"/>
      <c r="B293" s="72"/>
      <c r="C293" s="72"/>
      <c r="D293" s="72"/>
    </row>
    <row r="294" spans="1:4" ht="12.75" x14ac:dyDescent="0.2">
      <c r="A294" s="72"/>
      <c r="B294" s="72"/>
      <c r="C294" s="72"/>
      <c r="D294" s="72"/>
    </row>
    <row r="295" spans="1:4" ht="12.75" x14ac:dyDescent="0.2">
      <c r="A295" s="72"/>
      <c r="B295" s="72"/>
      <c r="C295" s="72"/>
      <c r="D295" s="72"/>
    </row>
    <row r="296" spans="1:4" ht="12.75" x14ac:dyDescent="0.2">
      <c r="A296" s="72"/>
      <c r="B296" s="72"/>
      <c r="C296" s="72"/>
      <c r="D296" s="72"/>
    </row>
    <row r="297" spans="1:4" ht="12.75" x14ac:dyDescent="0.2">
      <c r="A297" s="72"/>
      <c r="B297" s="72"/>
      <c r="C297" s="72"/>
      <c r="D297" s="72"/>
    </row>
    <row r="298" spans="1:4" ht="12.75" x14ac:dyDescent="0.2">
      <c r="A298" s="72"/>
      <c r="B298" s="72"/>
      <c r="C298" s="72"/>
      <c r="D298" s="72"/>
    </row>
    <row r="299" spans="1:4" ht="12.75" x14ac:dyDescent="0.2">
      <c r="A299" s="72"/>
      <c r="B299" s="72"/>
      <c r="C299" s="72"/>
      <c r="D299" s="72"/>
    </row>
    <row r="300" spans="1:4" ht="12.75" x14ac:dyDescent="0.2">
      <c r="A300" s="72"/>
      <c r="B300" s="72"/>
      <c r="C300" s="72"/>
      <c r="D300" s="72"/>
    </row>
    <row r="301" spans="1:4" ht="12.75" x14ac:dyDescent="0.2">
      <c r="A301" s="72"/>
      <c r="B301" s="72"/>
      <c r="C301" s="72"/>
      <c r="D301" s="72"/>
    </row>
    <row r="302" spans="1:4" ht="12.75" x14ac:dyDescent="0.2">
      <c r="A302" s="72"/>
      <c r="B302" s="72"/>
      <c r="C302" s="72"/>
      <c r="D302" s="72"/>
    </row>
    <row r="303" spans="1:4" ht="12.75" x14ac:dyDescent="0.2">
      <c r="A303" s="72"/>
      <c r="B303" s="72"/>
      <c r="C303" s="72"/>
      <c r="D303" s="72"/>
    </row>
    <row r="304" spans="1:4" ht="12.75" x14ac:dyDescent="0.2">
      <c r="A304" s="72"/>
      <c r="B304" s="72"/>
      <c r="C304" s="72"/>
      <c r="D304" s="72"/>
    </row>
    <row r="305" spans="1:4" ht="12.75" x14ac:dyDescent="0.2">
      <c r="A305" s="72"/>
      <c r="B305" s="72"/>
      <c r="C305" s="72"/>
      <c r="D305" s="72"/>
    </row>
    <row r="306" spans="1:4" ht="12.75" x14ac:dyDescent="0.2">
      <c r="A306" s="72"/>
      <c r="B306" s="72"/>
      <c r="C306" s="72"/>
      <c r="D306" s="72"/>
    </row>
    <row r="307" spans="1:4" ht="12.75" x14ac:dyDescent="0.2">
      <c r="A307" s="72"/>
      <c r="B307" s="72"/>
      <c r="C307" s="72"/>
      <c r="D307" s="72"/>
    </row>
    <row r="308" spans="1:4" ht="12.75" x14ac:dyDescent="0.2">
      <c r="A308" s="72"/>
      <c r="B308" s="72"/>
      <c r="C308" s="72"/>
      <c r="D308" s="72"/>
    </row>
    <row r="309" spans="1:4" ht="12.75" x14ac:dyDescent="0.2">
      <c r="A309" s="72"/>
      <c r="B309" s="72"/>
      <c r="C309" s="72"/>
      <c r="D309" s="72"/>
    </row>
    <row r="310" spans="1:4" ht="12.75" x14ac:dyDescent="0.2">
      <c r="A310" s="72"/>
      <c r="B310" s="72"/>
      <c r="C310" s="72"/>
      <c r="D310" s="72"/>
    </row>
    <row r="311" spans="1:4" ht="12.75" x14ac:dyDescent="0.2">
      <c r="A311" s="72"/>
      <c r="B311" s="72"/>
      <c r="C311" s="72"/>
      <c r="D311" s="72"/>
    </row>
    <row r="312" spans="1:4" ht="12.75" x14ac:dyDescent="0.2">
      <c r="A312" s="72"/>
      <c r="B312" s="72"/>
      <c r="C312" s="72"/>
      <c r="D312" s="72"/>
    </row>
    <row r="313" spans="1:4" ht="12.75" x14ac:dyDescent="0.2">
      <c r="A313" s="72"/>
      <c r="B313" s="72"/>
      <c r="C313" s="72"/>
      <c r="D313" s="72"/>
    </row>
    <row r="314" spans="1:4" ht="12.75" x14ac:dyDescent="0.2">
      <c r="A314" s="72"/>
      <c r="B314" s="72"/>
      <c r="C314" s="72"/>
      <c r="D314" s="72"/>
    </row>
    <row r="315" spans="1:4" ht="12.75" x14ac:dyDescent="0.2">
      <c r="A315" s="72"/>
      <c r="B315" s="72"/>
      <c r="C315" s="72"/>
      <c r="D315" s="72"/>
    </row>
    <row r="316" spans="1:4" ht="12.75" x14ac:dyDescent="0.2">
      <c r="A316" s="72"/>
      <c r="B316" s="72"/>
      <c r="C316" s="72"/>
      <c r="D316" s="72"/>
    </row>
    <row r="317" spans="1:4" ht="12.75" x14ac:dyDescent="0.2">
      <c r="A317" s="72"/>
      <c r="B317" s="72"/>
      <c r="C317" s="72"/>
      <c r="D317" s="72"/>
    </row>
    <row r="318" spans="1:4" ht="12.75" x14ac:dyDescent="0.2">
      <c r="A318" s="72"/>
      <c r="B318" s="72"/>
      <c r="C318" s="72"/>
      <c r="D318" s="72"/>
    </row>
    <row r="319" spans="1:4" ht="12.75" x14ac:dyDescent="0.2">
      <c r="A319" s="72"/>
      <c r="B319" s="72"/>
      <c r="C319" s="72"/>
      <c r="D319" s="72"/>
    </row>
    <row r="320" spans="1:4" ht="12.75" x14ac:dyDescent="0.2">
      <c r="A320" s="72"/>
      <c r="B320" s="72"/>
      <c r="C320" s="72"/>
      <c r="D320" s="72"/>
    </row>
    <row r="321" spans="1:4" ht="12.75" x14ac:dyDescent="0.2">
      <c r="A321" s="72"/>
      <c r="B321" s="72"/>
      <c r="C321" s="72"/>
      <c r="D321" s="72"/>
    </row>
    <row r="322" spans="1:4" ht="12.75" x14ac:dyDescent="0.2">
      <c r="A322" s="72"/>
      <c r="B322" s="72"/>
      <c r="C322" s="72"/>
      <c r="D322" s="72"/>
    </row>
    <row r="323" spans="1:4" ht="12.75" x14ac:dyDescent="0.2">
      <c r="A323" s="72"/>
      <c r="B323" s="72"/>
      <c r="C323" s="72"/>
      <c r="D323" s="72"/>
    </row>
    <row r="324" spans="1:4" ht="12.75" x14ac:dyDescent="0.2">
      <c r="A324" s="72"/>
      <c r="B324" s="72"/>
      <c r="C324" s="72"/>
      <c r="D324" s="72"/>
    </row>
    <row r="325" spans="1:4" ht="12.75" x14ac:dyDescent="0.2">
      <c r="A325" s="72"/>
      <c r="B325" s="72"/>
      <c r="C325" s="72"/>
      <c r="D325" s="72"/>
    </row>
    <row r="326" spans="1:4" ht="12.75" x14ac:dyDescent="0.2">
      <c r="A326" s="72"/>
      <c r="B326" s="72"/>
      <c r="C326" s="72"/>
      <c r="D326" s="72"/>
    </row>
    <row r="327" spans="1:4" ht="12.75" x14ac:dyDescent="0.2">
      <c r="A327" s="72"/>
      <c r="B327" s="72"/>
      <c r="C327" s="72"/>
      <c r="D327" s="72"/>
    </row>
    <row r="328" spans="1:4" ht="12.75" x14ac:dyDescent="0.2">
      <c r="A328" s="72"/>
      <c r="B328" s="72"/>
      <c r="C328" s="72"/>
      <c r="D328" s="72"/>
    </row>
    <row r="329" spans="1:4" ht="12.75" x14ac:dyDescent="0.2">
      <c r="A329" s="72"/>
      <c r="B329" s="72"/>
      <c r="C329" s="72"/>
      <c r="D329" s="72"/>
    </row>
    <row r="330" spans="1:4" ht="12.75" x14ac:dyDescent="0.2">
      <c r="A330" s="72"/>
      <c r="B330" s="72"/>
      <c r="C330" s="72"/>
      <c r="D330" s="72"/>
    </row>
    <row r="331" spans="1:4" ht="12.75" x14ac:dyDescent="0.2">
      <c r="A331" s="72"/>
      <c r="B331" s="72"/>
      <c r="C331" s="72"/>
      <c r="D331" s="72"/>
    </row>
    <row r="332" spans="1:4" ht="12.75" x14ac:dyDescent="0.2">
      <c r="A332" s="72"/>
      <c r="B332" s="72"/>
      <c r="C332" s="72"/>
      <c r="D332" s="72"/>
    </row>
    <row r="333" spans="1:4" ht="12.75" x14ac:dyDescent="0.2">
      <c r="A333" s="72"/>
      <c r="B333" s="72"/>
      <c r="C333" s="72"/>
      <c r="D333" s="72"/>
    </row>
    <row r="334" spans="1:4" ht="12.75" x14ac:dyDescent="0.2">
      <c r="A334" s="72"/>
      <c r="B334" s="72"/>
      <c r="C334" s="72"/>
      <c r="D334" s="72"/>
    </row>
    <row r="335" spans="1:4" ht="12.75" x14ac:dyDescent="0.2">
      <c r="A335" s="72"/>
      <c r="B335" s="72"/>
      <c r="C335" s="72"/>
      <c r="D335" s="72"/>
    </row>
    <row r="336" spans="1:4" ht="12.75" x14ac:dyDescent="0.2">
      <c r="A336" s="72"/>
      <c r="B336" s="72"/>
      <c r="C336" s="72"/>
      <c r="D336" s="72"/>
    </row>
    <row r="337" spans="1:4" ht="12.75" x14ac:dyDescent="0.2">
      <c r="A337" s="72"/>
      <c r="B337" s="72"/>
      <c r="C337" s="72"/>
      <c r="D337" s="72"/>
    </row>
    <row r="338" spans="1:4" ht="12.75" x14ac:dyDescent="0.2">
      <c r="A338" s="72"/>
      <c r="B338" s="72"/>
      <c r="C338" s="72"/>
      <c r="D338" s="72"/>
    </row>
    <row r="339" spans="1:4" ht="12.75" x14ac:dyDescent="0.2">
      <c r="A339" s="72"/>
      <c r="B339" s="72"/>
      <c r="C339" s="72"/>
      <c r="D339" s="72"/>
    </row>
    <row r="340" spans="1:4" ht="12.75" x14ac:dyDescent="0.2">
      <c r="A340" s="72"/>
      <c r="B340" s="72"/>
      <c r="C340" s="72"/>
      <c r="D340" s="72"/>
    </row>
    <row r="341" spans="1:4" ht="12.75" x14ac:dyDescent="0.2">
      <c r="A341" s="72"/>
      <c r="B341" s="72"/>
      <c r="C341" s="72"/>
      <c r="D341" s="72"/>
    </row>
    <row r="342" spans="1:4" ht="12.75" x14ac:dyDescent="0.2">
      <c r="A342" s="72"/>
      <c r="B342" s="72"/>
      <c r="C342" s="72"/>
      <c r="D342" s="72"/>
    </row>
    <row r="343" spans="1:4" ht="12.75" x14ac:dyDescent="0.2">
      <c r="A343" s="72"/>
      <c r="B343" s="72"/>
      <c r="C343" s="72"/>
      <c r="D343" s="72"/>
    </row>
    <row r="344" spans="1:4" ht="12.75" x14ac:dyDescent="0.2">
      <c r="A344" s="72"/>
      <c r="B344" s="72"/>
      <c r="C344" s="72"/>
      <c r="D344" s="72"/>
    </row>
    <row r="345" spans="1:4" ht="12.75" x14ac:dyDescent="0.2">
      <c r="A345" s="72"/>
      <c r="B345" s="72"/>
      <c r="C345" s="72"/>
      <c r="D345" s="72"/>
    </row>
    <row r="346" spans="1:4" ht="12.75" x14ac:dyDescent="0.2">
      <c r="A346" s="72"/>
      <c r="B346" s="72"/>
      <c r="C346" s="72"/>
      <c r="D346" s="72"/>
    </row>
    <row r="347" spans="1:4" ht="12.75" x14ac:dyDescent="0.2">
      <c r="A347" s="72"/>
      <c r="B347" s="72"/>
      <c r="C347" s="72"/>
      <c r="D347" s="72"/>
    </row>
    <row r="348" spans="1:4" ht="12.75" x14ac:dyDescent="0.2">
      <c r="A348" s="72"/>
      <c r="B348" s="72"/>
      <c r="C348" s="72"/>
      <c r="D348" s="72"/>
    </row>
    <row r="349" spans="1:4" ht="12.75" x14ac:dyDescent="0.2">
      <c r="A349" s="72"/>
      <c r="B349" s="72"/>
      <c r="C349" s="72"/>
      <c r="D349" s="72"/>
    </row>
    <row r="350" spans="1:4" ht="12.75" x14ac:dyDescent="0.2">
      <c r="A350" s="72"/>
      <c r="B350" s="72"/>
      <c r="C350" s="72"/>
      <c r="D350" s="72"/>
    </row>
    <row r="351" spans="1:4" ht="12.75" x14ac:dyDescent="0.2">
      <c r="A351" s="72"/>
      <c r="B351" s="72"/>
      <c r="C351" s="72"/>
      <c r="D351" s="72"/>
    </row>
    <row r="352" spans="1:4" ht="12.75" x14ac:dyDescent="0.2">
      <c r="A352" s="72"/>
      <c r="B352" s="72"/>
      <c r="C352" s="72"/>
      <c r="D352" s="72"/>
    </row>
    <row r="353" spans="1:4" ht="12.75" x14ac:dyDescent="0.2">
      <c r="A353" s="72"/>
      <c r="B353" s="72"/>
      <c r="C353" s="72"/>
      <c r="D353" s="72"/>
    </row>
    <row r="354" spans="1:4" ht="12.75" x14ac:dyDescent="0.2">
      <c r="A354" s="72"/>
      <c r="B354" s="72"/>
      <c r="C354" s="72"/>
      <c r="D354" s="72"/>
    </row>
    <row r="355" spans="1:4" ht="12.75" x14ac:dyDescent="0.2">
      <c r="A355" s="72"/>
      <c r="B355" s="72"/>
      <c r="C355" s="72"/>
      <c r="D355" s="72"/>
    </row>
    <row r="356" spans="1:4" ht="12.75" x14ac:dyDescent="0.2">
      <c r="A356" s="72"/>
      <c r="B356" s="72"/>
      <c r="C356" s="72"/>
      <c r="D356" s="72"/>
    </row>
    <row r="357" spans="1:4" ht="12.75" x14ac:dyDescent="0.2">
      <c r="A357" s="72"/>
      <c r="B357" s="72"/>
      <c r="C357" s="72"/>
      <c r="D357" s="72"/>
    </row>
    <row r="358" spans="1:4" ht="12.75" x14ac:dyDescent="0.2">
      <c r="A358" s="72"/>
      <c r="B358" s="72"/>
      <c r="C358" s="72"/>
      <c r="D358" s="72"/>
    </row>
    <row r="359" spans="1:4" ht="12.75" x14ac:dyDescent="0.2">
      <c r="A359" s="72"/>
      <c r="B359" s="72"/>
      <c r="C359" s="72"/>
      <c r="D359" s="72"/>
    </row>
    <row r="360" spans="1:4" ht="12.75" x14ac:dyDescent="0.2">
      <c r="A360" s="72"/>
      <c r="B360" s="72"/>
      <c r="C360" s="72"/>
      <c r="D360" s="72"/>
    </row>
    <row r="361" spans="1:4" ht="12.75" x14ac:dyDescent="0.2">
      <c r="A361" s="72"/>
      <c r="B361" s="72"/>
      <c r="C361" s="72"/>
      <c r="D361" s="72"/>
    </row>
    <row r="362" spans="1:4" ht="12.75" x14ac:dyDescent="0.2">
      <c r="A362" s="72"/>
      <c r="B362" s="72"/>
      <c r="C362" s="72"/>
      <c r="D362" s="72"/>
    </row>
    <row r="363" spans="1:4" ht="12.75" x14ac:dyDescent="0.2">
      <c r="A363" s="72"/>
      <c r="B363" s="72"/>
      <c r="C363" s="72"/>
      <c r="D363" s="72"/>
    </row>
    <row r="364" spans="1:4" ht="12.75" x14ac:dyDescent="0.2">
      <c r="A364" s="72"/>
      <c r="B364" s="72"/>
      <c r="C364" s="72"/>
      <c r="D364" s="72"/>
    </row>
    <row r="365" spans="1:4" ht="12.75" x14ac:dyDescent="0.2">
      <c r="A365" s="72"/>
      <c r="B365" s="72"/>
      <c r="C365" s="72"/>
      <c r="D365" s="72"/>
    </row>
    <row r="366" spans="1:4" ht="12.75" x14ac:dyDescent="0.2">
      <c r="A366" s="72"/>
      <c r="B366" s="72"/>
      <c r="C366" s="72"/>
      <c r="D366" s="72"/>
    </row>
    <row r="367" spans="1:4" ht="12.75" x14ac:dyDescent="0.2">
      <c r="A367" s="72"/>
      <c r="B367" s="72"/>
      <c r="C367" s="72"/>
      <c r="D367" s="72"/>
    </row>
    <row r="368" spans="1:4" ht="12.75" x14ac:dyDescent="0.2">
      <c r="A368" s="72"/>
      <c r="B368" s="72"/>
      <c r="C368" s="72"/>
      <c r="D368" s="72"/>
    </row>
    <row r="369" spans="1:4" ht="12.75" x14ac:dyDescent="0.2">
      <c r="A369" s="72"/>
      <c r="B369" s="72"/>
      <c r="C369" s="72"/>
      <c r="D369" s="72"/>
    </row>
    <row r="370" spans="1:4" ht="12.75" x14ac:dyDescent="0.2">
      <c r="A370" s="72"/>
      <c r="B370" s="72"/>
      <c r="C370" s="72"/>
      <c r="D370" s="72"/>
    </row>
    <row r="371" spans="1:4" ht="12.75" x14ac:dyDescent="0.2">
      <c r="A371" s="72"/>
      <c r="B371" s="72"/>
      <c r="C371" s="72"/>
      <c r="D371" s="72"/>
    </row>
    <row r="372" spans="1:4" ht="12.75" x14ac:dyDescent="0.2">
      <c r="A372" s="72"/>
      <c r="B372" s="72"/>
      <c r="C372" s="72"/>
      <c r="D372" s="72"/>
    </row>
    <row r="373" spans="1:4" ht="12.75" x14ac:dyDescent="0.2">
      <c r="A373" s="72"/>
      <c r="B373" s="72"/>
      <c r="C373" s="72"/>
      <c r="D373" s="72"/>
    </row>
    <row r="374" spans="1:4" ht="12.75" x14ac:dyDescent="0.2">
      <c r="A374" s="72"/>
      <c r="B374" s="72"/>
      <c r="C374" s="72"/>
      <c r="D374" s="72"/>
    </row>
    <row r="375" spans="1:4" ht="12.75" x14ac:dyDescent="0.2">
      <c r="A375" s="72"/>
      <c r="B375" s="72"/>
      <c r="C375" s="72"/>
      <c r="D375" s="72"/>
    </row>
    <row r="376" spans="1:4" ht="12.75" x14ac:dyDescent="0.2">
      <c r="A376" s="72"/>
      <c r="B376" s="72"/>
      <c r="C376" s="72"/>
      <c r="D376" s="72"/>
    </row>
    <row r="377" spans="1:4" ht="12.75" x14ac:dyDescent="0.2">
      <c r="A377" s="72"/>
      <c r="B377" s="72"/>
      <c r="C377" s="72"/>
      <c r="D377" s="72"/>
    </row>
    <row r="378" spans="1:4" ht="12.75" x14ac:dyDescent="0.2">
      <c r="A378" s="72"/>
      <c r="B378" s="72"/>
      <c r="C378" s="72"/>
      <c r="D378" s="72"/>
    </row>
    <row r="379" spans="1:4" ht="12.75" x14ac:dyDescent="0.2">
      <c r="A379" s="72"/>
      <c r="B379" s="72"/>
      <c r="C379" s="72"/>
      <c r="D379" s="72"/>
    </row>
    <row r="380" spans="1:4" ht="12.75" x14ac:dyDescent="0.2">
      <c r="A380" s="72"/>
      <c r="B380" s="72"/>
      <c r="C380" s="72"/>
      <c r="D380" s="72"/>
    </row>
    <row r="381" spans="1:4" ht="12.75" x14ac:dyDescent="0.2">
      <c r="A381" s="72"/>
      <c r="B381" s="72"/>
      <c r="C381" s="72"/>
      <c r="D381" s="72"/>
    </row>
    <row r="382" spans="1:4" ht="12.75" x14ac:dyDescent="0.2">
      <c r="A382" s="72"/>
      <c r="B382" s="72"/>
      <c r="C382" s="72"/>
      <c r="D382" s="72"/>
    </row>
    <row r="383" spans="1:4" ht="12.75" x14ac:dyDescent="0.2">
      <c r="A383" s="72"/>
      <c r="B383" s="72"/>
      <c r="C383" s="72"/>
      <c r="D383" s="72"/>
    </row>
    <row r="384" spans="1:4" ht="12.75" x14ac:dyDescent="0.2">
      <c r="A384" s="72"/>
      <c r="B384" s="72"/>
      <c r="C384" s="72"/>
      <c r="D384" s="72"/>
    </row>
    <row r="385" spans="1:4" ht="12.75" x14ac:dyDescent="0.2">
      <c r="A385" s="72"/>
      <c r="B385" s="72"/>
      <c r="C385" s="72"/>
      <c r="D385" s="72"/>
    </row>
    <row r="386" spans="1:4" ht="12.75" x14ac:dyDescent="0.2">
      <c r="A386" s="72"/>
      <c r="B386" s="72"/>
      <c r="C386" s="72"/>
      <c r="D386" s="72"/>
    </row>
    <row r="387" spans="1:4" ht="12.75" x14ac:dyDescent="0.2">
      <c r="A387" s="72"/>
      <c r="B387" s="72"/>
      <c r="C387" s="72"/>
      <c r="D387" s="72"/>
    </row>
    <row r="388" spans="1:4" ht="12.75" x14ac:dyDescent="0.2">
      <c r="A388" s="72"/>
      <c r="B388" s="72"/>
      <c r="C388" s="72"/>
      <c r="D388" s="72"/>
    </row>
    <row r="389" spans="1:4" ht="12.75" x14ac:dyDescent="0.2">
      <c r="A389" s="72"/>
      <c r="B389" s="72"/>
      <c r="C389" s="72"/>
      <c r="D389" s="72"/>
    </row>
    <row r="390" spans="1:4" ht="12.75" x14ac:dyDescent="0.2">
      <c r="A390" s="72"/>
      <c r="B390" s="72"/>
      <c r="C390" s="72"/>
      <c r="D390" s="72"/>
    </row>
    <row r="391" spans="1:4" ht="12.75" x14ac:dyDescent="0.2">
      <c r="A391" s="72"/>
      <c r="B391" s="72"/>
      <c r="C391" s="72"/>
      <c r="D391" s="72"/>
    </row>
    <row r="392" spans="1:4" ht="12.75" x14ac:dyDescent="0.2">
      <c r="A392" s="72"/>
      <c r="B392" s="72"/>
      <c r="C392" s="72"/>
      <c r="D392" s="72"/>
    </row>
    <row r="393" spans="1:4" ht="12.75" x14ac:dyDescent="0.2">
      <c r="A393" s="72"/>
      <c r="B393" s="72"/>
      <c r="C393" s="72"/>
      <c r="D393" s="72"/>
    </row>
    <row r="394" spans="1:4" ht="12.75" x14ac:dyDescent="0.2">
      <c r="A394" s="72"/>
      <c r="B394" s="72"/>
      <c r="C394" s="72"/>
      <c r="D394" s="72"/>
    </row>
    <row r="395" spans="1:4" ht="12.75" x14ac:dyDescent="0.2">
      <c r="A395" s="72"/>
      <c r="B395" s="72"/>
      <c r="C395" s="72"/>
      <c r="D395" s="72"/>
    </row>
    <row r="396" spans="1:4" ht="12.75" x14ac:dyDescent="0.2">
      <c r="A396" s="72"/>
      <c r="B396" s="72"/>
      <c r="C396" s="72"/>
      <c r="D396" s="72"/>
    </row>
    <row r="397" spans="1:4" ht="12.75" x14ac:dyDescent="0.2">
      <c r="A397" s="72"/>
      <c r="B397" s="72"/>
      <c r="C397" s="72"/>
      <c r="D397" s="72"/>
    </row>
    <row r="398" spans="1:4" ht="12.75" x14ac:dyDescent="0.2">
      <c r="A398" s="72"/>
      <c r="B398" s="72"/>
      <c r="C398" s="72"/>
      <c r="D398" s="72"/>
    </row>
    <row r="399" spans="1:4" ht="12.75" x14ac:dyDescent="0.2">
      <c r="A399" s="72"/>
      <c r="B399" s="72"/>
      <c r="C399" s="72"/>
      <c r="D399" s="72"/>
    </row>
    <row r="400" spans="1:4" ht="12.75" x14ac:dyDescent="0.2">
      <c r="A400" s="72"/>
      <c r="B400" s="72"/>
      <c r="C400" s="72"/>
      <c r="D400" s="72"/>
    </row>
    <row r="401" spans="1:4" ht="12.75" x14ac:dyDescent="0.2">
      <c r="A401" s="72"/>
      <c r="B401" s="72"/>
      <c r="C401" s="72"/>
      <c r="D401" s="72"/>
    </row>
    <row r="402" spans="1:4" ht="12.75" x14ac:dyDescent="0.2">
      <c r="A402" s="72"/>
      <c r="B402" s="72"/>
      <c r="C402" s="72"/>
      <c r="D402" s="72"/>
    </row>
    <row r="403" spans="1:4" ht="12.75" x14ac:dyDescent="0.2">
      <c r="A403" s="72"/>
      <c r="B403" s="72"/>
      <c r="C403" s="72"/>
      <c r="D403" s="72"/>
    </row>
    <row r="404" spans="1:4" ht="12.75" x14ac:dyDescent="0.2">
      <c r="A404" s="72"/>
      <c r="B404" s="72"/>
      <c r="C404" s="72"/>
      <c r="D404" s="72"/>
    </row>
    <row r="405" spans="1:4" ht="12.75" x14ac:dyDescent="0.2">
      <c r="A405" s="72"/>
      <c r="B405" s="72"/>
      <c r="C405" s="72"/>
      <c r="D405" s="72"/>
    </row>
    <row r="406" spans="1:4" ht="12.75" x14ac:dyDescent="0.2">
      <c r="A406" s="72"/>
      <c r="B406" s="72"/>
      <c r="C406" s="72"/>
      <c r="D406" s="72"/>
    </row>
    <row r="407" spans="1:4" ht="12.75" x14ac:dyDescent="0.2">
      <c r="A407" s="72"/>
      <c r="B407" s="72"/>
      <c r="C407" s="72"/>
      <c r="D407" s="72"/>
    </row>
    <row r="408" spans="1:4" ht="12.75" x14ac:dyDescent="0.2">
      <c r="A408" s="72"/>
      <c r="B408" s="72"/>
      <c r="C408" s="72"/>
      <c r="D408" s="72"/>
    </row>
    <row r="409" spans="1:4" ht="12.75" x14ac:dyDescent="0.2">
      <c r="A409" s="72"/>
      <c r="B409" s="72"/>
      <c r="C409" s="72"/>
      <c r="D409" s="72"/>
    </row>
    <row r="410" spans="1:4" ht="12.75" x14ac:dyDescent="0.2">
      <c r="A410" s="72"/>
      <c r="B410" s="72"/>
      <c r="C410" s="72"/>
      <c r="D410" s="72"/>
    </row>
    <row r="411" spans="1:4" ht="12.75" x14ac:dyDescent="0.2">
      <c r="A411" s="72"/>
      <c r="B411" s="72"/>
      <c r="C411" s="72"/>
      <c r="D411" s="72"/>
    </row>
    <row r="412" spans="1:4" ht="12.75" x14ac:dyDescent="0.2">
      <c r="A412" s="72"/>
      <c r="B412" s="72"/>
      <c r="C412" s="72"/>
      <c r="D412" s="72"/>
    </row>
    <row r="413" spans="1:4" ht="12.75" x14ac:dyDescent="0.2">
      <c r="A413" s="72"/>
      <c r="B413" s="72"/>
      <c r="C413" s="72"/>
      <c r="D413" s="72"/>
    </row>
    <row r="414" spans="1:4" ht="12.75" x14ac:dyDescent="0.2">
      <c r="A414" s="72"/>
      <c r="B414" s="72"/>
      <c r="C414" s="72"/>
      <c r="D414" s="72"/>
    </row>
    <row r="415" spans="1:4" ht="12.75" x14ac:dyDescent="0.2">
      <c r="A415" s="72"/>
      <c r="B415" s="72"/>
      <c r="C415" s="72"/>
      <c r="D415" s="72"/>
    </row>
    <row r="416" spans="1:4" ht="12.75" x14ac:dyDescent="0.2">
      <c r="A416" s="72"/>
      <c r="B416" s="72"/>
      <c r="C416" s="72"/>
      <c r="D416" s="72"/>
    </row>
    <row r="417" spans="1:4" ht="12.75" x14ac:dyDescent="0.2">
      <c r="A417" s="72"/>
      <c r="B417" s="72"/>
      <c r="C417" s="72"/>
      <c r="D417" s="72"/>
    </row>
    <row r="418" spans="1:4" ht="12.75" x14ac:dyDescent="0.2">
      <c r="A418" s="72"/>
      <c r="B418" s="72"/>
      <c r="C418" s="72"/>
      <c r="D418" s="72"/>
    </row>
    <row r="419" spans="1:4" ht="12.75" x14ac:dyDescent="0.2">
      <c r="A419" s="72"/>
      <c r="B419" s="72"/>
      <c r="C419" s="72"/>
      <c r="D419" s="72"/>
    </row>
    <row r="420" spans="1:4" ht="12.75" x14ac:dyDescent="0.2">
      <c r="A420" s="72"/>
      <c r="B420" s="72"/>
      <c r="C420" s="72"/>
      <c r="D420" s="72"/>
    </row>
    <row r="421" spans="1:4" ht="12.75" x14ac:dyDescent="0.2">
      <c r="A421" s="72"/>
      <c r="B421" s="72"/>
      <c r="C421" s="72"/>
      <c r="D421" s="72"/>
    </row>
    <row r="422" spans="1:4" ht="12.75" x14ac:dyDescent="0.2">
      <c r="A422" s="72"/>
      <c r="B422" s="72"/>
      <c r="C422" s="72"/>
      <c r="D422" s="72"/>
    </row>
    <row r="423" spans="1:4" ht="12.75" x14ac:dyDescent="0.2">
      <c r="A423" s="72"/>
      <c r="B423" s="72"/>
      <c r="C423" s="72"/>
      <c r="D423" s="72"/>
    </row>
    <row r="424" spans="1:4" ht="12.75" x14ac:dyDescent="0.2">
      <c r="A424" s="72"/>
      <c r="B424" s="72"/>
      <c r="C424" s="72"/>
      <c r="D424" s="72"/>
    </row>
    <row r="425" spans="1:4" ht="12.75" x14ac:dyDescent="0.2">
      <c r="A425" s="72"/>
      <c r="B425" s="72"/>
      <c r="C425" s="72"/>
      <c r="D425" s="72"/>
    </row>
    <row r="426" spans="1:4" ht="12.75" x14ac:dyDescent="0.2">
      <c r="A426" s="72"/>
      <c r="B426" s="72"/>
      <c r="C426" s="72"/>
      <c r="D426" s="72"/>
    </row>
    <row r="427" spans="1:4" ht="12.75" x14ac:dyDescent="0.2">
      <c r="A427" s="72"/>
      <c r="B427" s="72"/>
      <c r="C427" s="72"/>
      <c r="D427" s="72"/>
    </row>
    <row r="428" spans="1:4" ht="12.75" x14ac:dyDescent="0.2">
      <c r="A428" s="72"/>
      <c r="B428" s="72"/>
      <c r="C428" s="72"/>
      <c r="D428" s="72"/>
    </row>
    <row r="429" spans="1:4" ht="12.75" x14ac:dyDescent="0.2">
      <c r="A429" s="72"/>
      <c r="B429" s="72"/>
      <c r="C429" s="72"/>
      <c r="D429" s="72"/>
    </row>
    <row r="430" spans="1:4" ht="12.75" x14ac:dyDescent="0.2">
      <c r="A430" s="72"/>
      <c r="B430" s="72"/>
      <c r="C430" s="72"/>
      <c r="D430" s="72"/>
    </row>
    <row r="431" spans="1:4" ht="12.75" x14ac:dyDescent="0.2">
      <c r="A431" s="72"/>
      <c r="B431" s="72"/>
      <c r="C431" s="72"/>
      <c r="D431" s="72"/>
    </row>
    <row r="432" spans="1:4" ht="12.75" x14ac:dyDescent="0.2">
      <c r="A432" s="72"/>
      <c r="B432" s="72"/>
      <c r="C432" s="72"/>
      <c r="D432" s="72"/>
    </row>
    <row r="433" spans="1:4" ht="12.75" x14ac:dyDescent="0.2">
      <c r="A433" s="72"/>
      <c r="B433" s="72"/>
      <c r="C433" s="72"/>
      <c r="D433" s="72"/>
    </row>
    <row r="434" spans="1:4" ht="12.75" x14ac:dyDescent="0.2">
      <c r="A434" s="72"/>
      <c r="B434" s="72"/>
      <c r="C434" s="72"/>
      <c r="D434" s="72"/>
    </row>
    <row r="435" spans="1:4" ht="12.75" x14ac:dyDescent="0.2">
      <c r="A435" s="72"/>
      <c r="B435" s="72"/>
      <c r="C435" s="72"/>
      <c r="D435" s="72"/>
    </row>
    <row r="436" spans="1:4" ht="12.75" x14ac:dyDescent="0.2">
      <c r="A436" s="72"/>
      <c r="B436" s="72"/>
      <c r="C436" s="72"/>
      <c r="D436" s="72"/>
    </row>
    <row r="437" spans="1:4" ht="12.75" x14ac:dyDescent="0.2">
      <c r="A437" s="72"/>
      <c r="B437" s="72"/>
      <c r="C437" s="72"/>
      <c r="D437" s="72"/>
    </row>
    <row r="438" spans="1:4" ht="12.75" x14ac:dyDescent="0.2">
      <c r="A438" s="72"/>
      <c r="B438" s="72"/>
      <c r="C438" s="72"/>
      <c r="D438" s="72"/>
    </row>
    <row r="439" spans="1:4" ht="12.75" x14ac:dyDescent="0.2">
      <c r="A439" s="72"/>
      <c r="B439" s="72"/>
      <c r="C439" s="72"/>
      <c r="D439" s="72"/>
    </row>
    <row r="440" spans="1:4" ht="12.75" x14ac:dyDescent="0.2">
      <c r="A440" s="72"/>
      <c r="B440" s="72"/>
      <c r="C440" s="72"/>
      <c r="D440" s="72"/>
    </row>
    <row r="441" spans="1:4" ht="12.75" x14ac:dyDescent="0.2">
      <c r="A441" s="72"/>
      <c r="B441" s="72"/>
      <c r="C441" s="72"/>
      <c r="D441" s="72"/>
    </row>
    <row r="442" spans="1:4" ht="12.75" x14ac:dyDescent="0.2">
      <c r="A442" s="72"/>
      <c r="B442" s="72"/>
      <c r="C442" s="72"/>
      <c r="D442" s="72"/>
    </row>
    <row r="443" spans="1:4" ht="12.75" x14ac:dyDescent="0.2">
      <c r="A443" s="72"/>
      <c r="B443" s="72"/>
      <c r="C443" s="72"/>
      <c r="D443" s="72"/>
    </row>
    <row r="444" spans="1:4" ht="12.75" x14ac:dyDescent="0.2">
      <c r="A444" s="72"/>
      <c r="B444" s="72"/>
      <c r="C444" s="72"/>
      <c r="D444" s="72"/>
    </row>
    <row r="445" spans="1:4" ht="12.75" x14ac:dyDescent="0.2">
      <c r="A445" s="72"/>
      <c r="B445" s="72"/>
      <c r="C445" s="72"/>
      <c r="D445" s="72"/>
    </row>
    <row r="446" spans="1:4" ht="12.75" x14ac:dyDescent="0.2">
      <c r="A446" s="72"/>
      <c r="B446" s="72"/>
      <c r="C446" s="72"/>
      <c r="D446" s="72"/>
    </row>
    <row r="447" spans="1:4" ht="12.75" x14ac:dyDescent="0.2">
      <c r="A447" s="72"/>
      <c r="B447" s="72"/>
      <c r="C447" s="72"/>
      <c r="D447" s="72"/>
    </row>
    <row r="448" spans="1:4" ht="12.75" x14ac:dyDescent="0.2">
      <c r="A448" s="72"/>
      <c r="B448" s="72"/>
      <c r="C448" s="72"/>
      <c r="D448" s="72"/>
    </row>
    <row r="449" spans="1:4" ht="12.75" x14ac:dyDescent="0.2">
      <c r="A449" s="72"/>
      <c r="B449" s="72"/>
      <c r="C449" s="72"/>
      <c r="D449" s="72"/>
    </row>
    <row r="450" spans="1:4" ht="12.75" x14ac:dyDescent="0.2">
      <c r="A450" s="72"/>
      <c r="B450" s="72"/>
      <c r="C450" s="72"/>
      <c r="D450" s="72"/>
    </row>
    <row r="451" spans="1:4" ht="12.75" x14ac:dyDescent="0.2">
      <c r="A451" s="72"/>
      <c r="B451" s="72"/>
      <c r="C451" s="72"/>
      <c r="D451" s="72"/>
    </row>
    <row r="452" spans="1:4" ht="12.75" x14ac:dyDescent="0.2">
      <c r="A452" s="72"/>
      <c r="B452" s="72"/>
      <c r="C452" s="72"/>
      <c r="D452" s="72"/>
    </row>
    <row r="453" spans="1:4" ht="12.75" x14ac:dyDescent="0.2">
      <c r="A453" s="72"/>
      <c r="B453" s="72"/>
      <c r="C453" s="72"/>
      <c r="D453" s="72"/>
    </row>
    <row r="454" spans="1:4" ht="12.75" x14ac:dyDescent="0.2">
      <c r="A454" s="72"/>
      <c r="B454" s="72"/>
      <c r="C454" s="72"/>
      <c r="D454" s="72"/>
    </row>
    <row r="455" spans="1:4" ht="12.75" x14ac:dyDescent="0.2">
      <c r="A455" s="72"/>
      <c r="B455" s="72"/>
      <c r="C455" s="72"/>
      <c r="D455" s="72"/>
    </row>
    <row r="456" spans="1:4" ht="12.75" x14ac:dyDescent="0.2">
      <c r="A456" s="72"/>
      <c r="B456" s="72"/>
      <c r="C456" s="72"/>
      <c r="D456" s="72"/>
    </row>
    <row r="457" spans="1:4" ht="12.75" x14ac:dyDescent="0.2">
      <c r="A457" s="72"/>
      <c r="B457" s="72"/>
      <c r="C457" s="72"/>
      <c r="D457" s="72"/>
    </row>
    <row r="458" spans="1:4" ht="12.75" x14ac:dyDescent="0.2">
      <c r="A458" s="72"/>
      <c r="B458" s="72"/>
      <c r="C458" s="72"/>
      <c r="D458" s="72"/>
    </row>
    <row r="459" spans="1:4" ht="12.75" x14ac:dyDescent="0.2">
      <c r="A459" s="72"/>
      <c r="B459" s="72"/>
      <c r="C459" s="72"/>
      <c r="D459" s="72"/>
    </row>
    <row r="460" spans="1:4" ht="12.75" x14ac:dyDescent="0.2">
      <c r="A460" s="72"/>
      <c r="B460" s="72"/>
      <c r="C460" s="72"/>
      <c r="D460" s="72"/>
    </row>
    <row r="461" spans="1:4" ht="12.75" x14ac:dyDescent="0.2">
      <c r="A461" s="72"/>
      <c r="B461" s="72"/>
      <c r="C461" s="72"/>
      <c r="D461" s="72"/>
    </row>
    <row r="462" spans="1:4" ht="12.75" x14ac:dyDescent="0.2">
      <c r="A462" s="72"/>
      <c r="B462" s="72"/>
      <c r="C462" s="72"/>
      <c r="D462" s="72"/>
    </row>
    <row r="463" spans="1:4" ht="12.75" x14ac:dyDescent="0.2">
      <c r="A463" s="72"/>
      <c r="B463" s="72"/>
      <c r="C463" s="72"/>
      <c r="D463" s="72"/>
    </row>
    <row r="464" spans="1:4" ht="12.75" x14ac:dyDescent="0.2">
      <c r="A464" s="72"/>
      <c r="B464" s="72"/>
      <c r="C464" s="72"/>
      <c r="D464" s="72"/>
    </row>
    <row r="465" spans="1:4" ht="12.75" x14ac:dyDescent="0.2">
      <c r="A465" s="72"/>
      <c r="B465" s="72"/>
      <c r="C465" s="72"/>
      <c r="D465" s="72"/>
    </row>
    <row r="466" spans="1:4" ht="12.75" x14ac:dyDescent="0.2">
      <c r="A466" s="72"/>
      <c r="B466" s="72"/>
      <c r="C466" s="72"/>
      <c r="D466" s="72"/>
    </row>
    <row r="467" spans="1:4" ht="12.75" x14ac:dyDescent="0.2">
      <c r="A467" s="72"/>
      <c r="B467" s="72"/>
      <c r="C467" s="72"/>
      <c r="D467" s="72"/>
    </row>
    <row r="468" spans="1:4" ht="12.75" x14ac:dyDescent="0.2">
      <c r="A468" s="72"/>
      <c r="B468" s="72"/>
      <c r="C468" s="72"/>
      <c r="D468" s="72"/>
    </row>
    <row r="469" spans="1:4" ht="12.75" x14ac:dyDescent="0.2">
      <c r="A469" s="72"/>
      <c r="B469" s="72"/>
      <c r="C469" s="72"/>
      <c r="D469" s="72"/>
    </row>
    <row r="470" spans="1:4" ht="12.75" x14ac:dyDescent="0.2">
      <c r="A470" s="72"/>
      <c r="B470" s="72"/>
      <c r="C470" s="72"/>
      <c r="D470" s="72"/>
    </row>
    <row r="471" spans="1:4" ht="12.75" x14ac:dyDescent="0.2">
      <c r="A471" s="72"/>
      <c r="B471" s="72"/>
      <c r="C471" s="72"/>
      <c r="D471" s="72"/>
    </row>
    <row r="472" spans="1:4" ht="12.75" x14ac:dyDescent="0.2">
      <c r="A472" s="72"/>
      <c r="B472" s="72"/>
      <c r="C472" s="72"/>
      <c r="D472" s="72"/>
    </row>
    <row r="473" spans="1:4" ht="12.75" x14ac:dyDescent="0.2">
      <c r="A473" s="72"/>
      <c r="B473" s="72"/>
      <c r="C473" s="72"/>
      <c r="D473" s="72"/>
    </row>
    <row r="474" spans="1:4" ht="12.75" x14ac:dyDescent="0.2">
      <c r="A474" s="72"/>
      <c r="B474" s="72"/>
      <c r="C474" s="72"/>
      <c r="D474" s="72"/>
    </row>
    <row r="475" spans="1:4" ht="12.75" x14ac:dyDescent="0.2">
      <c r="A475" s="72"/>
      <c r="B475" s="72"/>
      <c r="C475" s="72"/>
      <c r="D475" s="72"/>
    </row>
    <row r="476" spans="1:4" ht="12.75" x14ac:dyDescent="0.2">
      <c r="A476" s="72"/>
      <c r="B476" s="72"/>
      <c r="C476" s="72"/>
      <c r="D476" s="72"/>
    </row>
    <row r="477" spans="1:4" ht="12.75" x14ac:dyDescent="0.2">
      <c r="A477" s="72"/>
      <c r="B477" s="72"/>
      <c r="C477" s="72"/>
      <c r="D477" s="72"/>
    </row>
    <row r="478" spans="1:4" ht="12.75" x14ac:dyDescent="0.2">
      <c r="A478" s="72"/>
      <c r="B478" s="72"/>
      <c r="C478" s="72"/>
      <c r="D478" s="72"/>
    </row>
    <row r="479" spans="1:4" ht="12.75" x14ac:dyDescent="0.2">
      <c r="A479" s="72"/>
      <c r="B479" s="72"/>
      <c r="C479" s="72"/>
      <c r="D479" s="72"/>
    </row>
    <row r="480" spans="1:4" ht="12.75" x14ac:dyDescent="0.2">
      <c r="A480" s="72"/>
      <c r="B480" s="72"/>
      <c r="C480" s="72"/>
      <c r="D480" s="72"/>
    </row>
    <row r="481" spans="1:4" ht="12.75" x14ac:dyDescent="0.2">
      <c r="A481" s="72"/>
      <c r="B481" s="72"/>
      <c r="C481" s="72"/>
      <c r="D481" s="72"/>
    </row>
    <row r="482" spans="1:4" ht="12.75" x14ac:dyDescent="0.2">
      <c r="A482" s="72"/>
      <c r="B482" s="72"/>
      <c r="C482" s="72"/>
      <c r="D482" s="72"/>
    </row>
    <row r="483" spans="1:4" ht="12.75" x14ac:dyDescent="0.2">
      <c r="A483" s="72"/>
      <c r="B483" s="72"/>
      <c r="C483" s="72"/>
      <c r="D483" s="72"/>
    </row>
    <row r="484" spans="1:4" ht="12.75" x14ac:dyDescent="0.2">
      <c r="A484" s="72"/>
      <c r="B484" s="72"/>
      <c r="C484" s="72"/>
      <c r="D484" s="72"/>
    </row>
    <row r="485" spans="1:4" ht="12.75" x14ac:dyDescent="0.2">
      <c r="A485" s="72"/>
      <c r="B485" s="72"/>
      <c r="C485" s="72"/>
      <c r="D485" s="72"/>
    </row>
    <row r="486" spans="1:4" ht="12.75" x14ac:dyDescent="0.2">
      <c r="A486" s="72"/>
      <c r="B486" s="72"/>
      <c r="C486" s="72"/>
      <c r="D486" s="72"/>
    </row>
    <row r="487" spans="1:4" ht="12.75" x14ac:dyDescent="0.2">
      <c r="A487" s="72"/>
      <c r="B487" s="72"/>
      <c r="C487" s="72"/>
      <c r="D487" s="72"/>
    </row>
    <row r="488" spans="1:4" ht="12.75" x14ac:dyDescent="0.2">
      <c r="A488" s="72"/>
      <c r="B488" s="72"/>
      <c r="C488" s="72"/>
      <c r="D488" s="72"/>
    </row>
    <row r="489" spans="1:4" ht="12.75" x14ac:dyDescent="0.2">
      <c r="A489" s="72"/>
      <c r="B489" s="72"/>
      <c r="C489" s="72"/>
      <c r="D489" s="72"/>
    </row>
    <row r="490" spans="1:4" ht="12.75" x14ac:dyDescent="0.2">
      <c r="A490" s="72"/>
      <c r="B490" s="72"/>
      <c r="C490" s="72"/>
      <c r="D490" s="72"/>
    </row>
    <row r="491" spans="1:4" ht="12.75" x14ac:dyDescent="0.2">
      <c r="A491" s="72"/>
      <c r="B491" s="72"/>
      <c r="C491" s="72"/>
      <c r="D491" s="72"/>
    </row>
    <row r="492" spans="1:4" ht="12.75" x14ac:dyDescent="0.2">
      <c r="A492" s="72"/>
      <c r="B492" s="72"/>
      <c r="C492" s="72"/>
      <c r="D492" s="72"/>
    </row>
    <row r="493" spans="1:4" ht="12.75" x14ac:dyDescent="0.2">
      <c r="A493" s="72"/>
      <c r="B493" s="72"/>
      <c r="C493" s="72"/>
      <c r="D493" s="72"/>
    </row>
    <row r="494" spans="1:4" ht="12.75" x14ac:dyDescent="0.2">
      <c r="A494" s="72"/>
      <c r="B494" s="72"/>
      <c r="C494" s="72"/>
      <c r="D494" s="72"/>
    </row>
    <row r="495" spans="1:4" ht="12.75" x14ac:dyDescent="0.2">
      <c r="A495" s="72"/>
      <c r="B495" s="72"/>
      <c r="C495" s="72"/>
      <c r="D495" s="72"/>
    </row>
    <row r="496" spans="1:4" ht="12.75" x14ac:dyDescent="0.2">
      <c r="A496" s="72"/>
      <c r="B496" s="72"/>
      <c r="C496" s="72"/>
      <c r="D496" s="72"/>
    </row>
    <row r="497" spans="1:4" ht="12.75" x14ac:dyDescent="0.2">
      <c r="A497" s="72"/>
      <c r="B497" s="72"/>
      <c r="C497" s="72"/>
      <c r="D497" s="72"/>
    </row>
    <row r="498" spans="1:4" ht="12.75" x14ac:dyDescent="0.2">
      <c r="A498" s="72"/>
      <c r="B498" s="72"/>
      <c r="C498" s="72"/>
      <c r="D498" s="72"/>
    </row>
    <row r="499" spans="1:4" ht="12.75" x14ac:dyDescent="0.2">
      <c r="A499" s="72"/>
      <c r="B499" s="72"/>
      <c r="C499" s="72"/>
      <c r="D499" s="72"/>
    </row>
    <row r="500" spans="1:4" ht="12.75" x14ac:dyDescent="0.2">
      <c r="A500" s="72"/>
      <c r="B500" s="72"/>
      <c r="C500" s="72"/>
      <c r="D500" s="72"/>
    </row>
    <row r="501" spans="1:4" ht="12.75" x14ac:dyDescent="0.2">
      <c r="A501" s="72"/>
      <c r="B501" s="72"/>
      <c r="C501" s="72"/>
      <c r="D501" s="72"/>
    </row>
    <row r="502" spans="1:4" ht="12.75" x14ac:dyDescent="0.2">
      <c r="A502" s="72"/>
      <c r="B502" s="72"/>
      <c r="C502" s="72"/>
      <c r="D502" s="72"/>
    </row>
    <row r="503" spans="1:4" ht="12.75" x14ac:dyDescent="0.2">
      <c r="A503" s="72"/>
      <c r="B503" s="72"/>
      <c r="C503" s="72"/>
      <c r="D503" s="72"/>
    </row>
    <row r="504" spans="1:4" ht="12.75" x14ac:dyDescent="0.2">
      <c r="A504" s="72"/>
      <c r="B504" s="72"/>
      <c r="C504" s="72"/>
      <c r="D504" s="72"/>
    </row>
    <row r="505" spans="1:4" ht="12.75" x14ac:dyDescent="0.2">
      <c r="A505" s="72"/>
      <c r="B505" s="72"/>
      <c r="C505" s="72"/>
      <c r="D505" s="72"/>
    </row>
    <row r="506" spans="1:4" ht="12.75" x14ac:dyDescent="0.2">
      <c r="A506" s="72"/>
      <c r="B506" s="72"/>
      <c r="C506" s="72"/>
      <c r="D506" s="72"/>
    </row>
    <row r="507" spans="1:4" ht="12.75" x14ac:dyDescent="0.2">
      <c r="A507" s="72"/>
      <c r="B507" s="72"/>
      <c r="C507" s="72"/>
      <c r="D507" s="72"/>
    </row>
    <row r="508" spans="1:4" ht="12.75" x14ac:dyDescent="0.2">
      <c r="A508" s="72"/>
      <c r="B508" s="72"/>
      <c r="C508" s="72"/>
      <c r="D508" s="72"/>
    </row>
    <row r="509" spans="1:4" ht="12.75" x14ac:dyDescent="0.2">
      <c r="A509" s="72"/>
      <c r="B509" s="72"/>
      <c r="C509" s="72"/>
      <c r="D509" s="72"/>
    </row>
    <row r="510" spans="1:4" ht="12.75" x14ac:dyDescent="0.2">
      <c r="A510" s="72"/>
      <c r="B510" s="72"/>
      <c r="C510" s="72"/>
      <c r="D510" s="72"/>
    </row>
    <row r="511" spans="1:4" ht="12.75" x14ac:dyDescent="0.2">
      <c r="A511" s="72"/>
      <c r="B511" s="72"/>
      <c r="C511" s="72"/>
      <c r="D511" s="72"/>
    </row>
    <row r="512" spans="1:4" ht="12.75" x14ac:dyDescent="0.2">
      <c r="A512" s="72"/>
      <c r="B512" s="72"/>
      <c r="C512" s="72"/>
      <c r="D512" s="72"/>
    </row>
    <row r="513" spans="1:4" ht="12.75" x14ac:dyDescent="0.2">
      <c r="A513" s="72"/>
      <c r="B513" s="72"/>
      <c r="C513" s="72"/>
      <c r="D513" s="72"/>
    </row>
    <row r="514" spans="1:4" ht="12.75" x14ac:dyDescent="0.2">
      <c r="A514" s="72"/>
      <c r="B514" s="72"/>
      <c r="C514" s="72"/>
      <c r="D514" s="72"/>
    </row>
    <row r="515" spans="1:4" ht="12.75" x14ac:dyDescent="0.2">
      <c r="A515" s="72"/>
      <c r="B515" s="72"/>
      <c r="C515" s="72"/>
      <c r="D515" s="72"/>
    </row>
    <row r="516" spans="1:4" ht="12.75" x14ac:dyDescent="0.2">
      <c r="A516" s="72"/>
      <c r="B516" s="72"/>
      <c r="C516" s="72"/>
      <c r="D516" s="72"/>
    </row>
    <row r="517" spans="1:4" ht="12.75" x14ac:dyDescent="0.2">
      <c r="A517" s="72"/>
      <c r="B517" s="72"/>
      <c r="C517" s="72"/>
      <c r="D517" s="72"/>
    </row>
    <row r="518" spans="1:4" ht="12.75" x14ac:dyDescent="0.2">
      <c r="A518" s="72"/>
      <c r="B518" s="72"/>
      <c r="C518" s="72"/>
      <c r="D518" s="72"/>
    </row>
    <row r="519" spans="1:4" ht="12.75" x14ac:dyDescent="0.2">
      <c r="A519" s="72"/>
      <c r="B519" s="72"/>
      <c r="C519" s="72"/>
      <c r="D519" s="72"/>
    </row>
    <row r="520" spans="1:4" ht="12.75" x14ac:dyDescent="0.2">
      <c r="A520" s="72"/>
      <c r="B520" s="72"/>
      <c r="C520" s="72"/>
      <c r="D520" s="72"/>
    </row>
    <row r="521" spans="1:4" ht="12.75" x14ac:dyDescent="0.2">
      <c r="A521" s="72"/>
      <c r="B521" s="72"/>
      <c r="C521" s="72"/>
      <c r="D521" s="72"/>
    </row>
    <row r="522" spans="1:4" ht="12.75" x14ac:dyDescent="0.2">
      <c r="A522" s="72"/>
      <c r="B522" s="72"/>
      <c r="C522" s="72"/>
      <c r="D522" s="72"/>
    </row>
    <row r="523" spans="1:4" ht="12.75" x14ac:dyDescent="0.2">
      <c r="A523" s="72"/>
      <c r="B523" s="72"/>
      <c r="C523" s="72"/>
      <c r="D523" s="72"/>
    </row>
    <row r="524" spans="1:4" ht="12.75" x14ac:dyDescent="0.2">
      <c r="A524" s="72"/>
      <c r="B524" s="72"/>
      <c r="C524" s="72"/>
      <c r="D524" s="72"/>
    </row>
    <row r="525" spans="1:4" ht="12.75" x14ac:dyDescent="0.2">
      <c r="A525" s="72"/>
      <c r="B525" s="72"/>
      <c r="C525" s="72"/>
      <c r="D525" s="72"/>
    </row>
    <row r="526" spans="1:4" ht="12.75" x14ac:dyDescent="0.2">
      <c r="A526" s="72"/>
      <c r="B526" s="72"/>
      <c r="C526" s="72"/>
      <c r="D526" s="72"/>
    </row>
    <row r="527" spans="1:4" ht="12.75" x14ac:dyDescent="0.2">
      <c r="A527" s="72"/>
      <c r="B527" s="72"/>
      <c r="C527" s="72"/>
      <c r="D527" s="72"/>
    </row>
    <row r="528" spans="1:4" ht="12.75" x14ac:dyDescent="0.2">
      <c r="A528" s="72"/>
      <c r="B528" s="72"/>
      <c r="C528" s="72"/>
      <c r="D528" s="72"/>
    </row>
    <row r="529" spans="1:4" ht="12.75" x14ac:dyDescent="0.2">
      <c r="A529" s="72"/>
      <c r="B529" s="72"/>
      <c r="C529" s="72"/>
      <c r="D529" s="72"/>
    </row>
    <row r="530" spans="1:4" ht="12.75" x14ac:dyDescent="0.2">
      <c r="A530" s="72"/>
      <c r="B530" s="72"/>
      <c r="C530" s="72"/>
      <c r="D530" s="72"/>
    </row>
    <row r="531" spans="1:4" ht="12.75" x14ac:dyDescent="0.2">
      <c r="A531" s="72"/>
      <c r="B531" s="72"/>
      <c r="C531" s="72"/>
      <c r="D531" s="72"/>
    </row>
    <row r="532" spans="1:4" ht="12.75" x14ac:dyDescent="0.2">
      <c r="A532" s="72"/>
      <c r="B532" s="72"/>
      <c r="C532" s="72"/>
      <c r="D532" s="72"/>
    </row>
    <row r="533" spans="1:4" ht="12.75" x14ac:dyDescent="0.2">
      <c r="A533" s="72"/>
      <c r="B533" s="72"/>
      <c r="C533" s="72"/>
      <c r="D533" s="72"/>
    </row>
    <row r="534" spans="1:4" ht="12.75" x14ac:dyDescent="0.2">
      <c r="A534" s="72"/>
      <c r="B534" s="72"/>
      <c r="C534" s="72"/>
      <c r="D534" s="72"/>
    </row>
    <row r="535" spans="1:4" ht="12.75" x14ac:dyDescent="0.2">
      <c r="A535" s="72"/>
      <c r="B535" s="72"/>
      <c r="C535" s="72"/>
      <c r="D535" s="72"/>
    </row>
    <row r="536" spans="1:4" ht="12.75" x14ac:dyDescent="0.2">
      <c r="A536" s="72"/>
      <c r="B536" s="72"/>
      <c r="C536" s="72"/>
      <c r="D536" s="72"/>
    </row>
    <row r="537" spans="1:4" ht="12.75" x14ac:dyDescent="0.2">
      <c r="A537" s="72"/>
      <c r="B537" s="72"/>
      <c r="C537" s="72"/>
      <c r="D537" s="72"/>
    </row>
    <row r="538" spans="1:4" ht="12.75" x14ac:dyDescent="0.2">
      <c r="A538" s="72"/>
      <c r="B538" s="72"/>
      <c r="C538" s="72"/>
      <c r="D538" s="72"/>
    </row>
    <row r="539" spans="1:4" ht="12.75" x14ac:dyDescent="0.2">
      <c r="A539" s="72"/>
      <c r="B539" s="72"/>
      <c r="C539" s="72"/>
      <c r="D539" s="72"/>
    </row>
    <row r="540" spans="1:4" ht="12.75" x14ac:dyDescent="0.2">
      <c r="A540" s="72"/>
      <c r="B540" s="72"/>
      <c r="C540" s="72"/>
      <c r="D540" s="72"/>
    </row>
    <row r="541" spans="1:4" ht="12.75" x14ac:dyDescent="0.2">
      <c r="A541" s="72"/>
      <c r="B541" s="72"/>
      <c r="C541" s="72"/>
      <c r="D541" s="72"/>
    </row>
    <row r="542" spans="1:4" ht="12.75" x14ac:dyDescent="0.2">
      <c r="A542" s="72"/>
      <c r="B542" s="72"/>
      <c r="C542" s="72"/>
      <c r="D542" s="72"/>
    </row>
    <row r="543" spans="1:4" ht="12.75" x14ac:dyDescent="0.2">
      <c r="A543" s="72"/>
      <c r="B543" s="72"/>
      <c r="C543" s="72"/>
      <c r="D543" s="72"/>
    </row>
    <row r="544" spans="1:4" ht="12.75" x14ac:dyDescent="0.2">
      <c r="A544" s="72"/>
      <c r="B544" s="72"/>
      <c r="C544" s="72"/>
      <c r="D544" s="72"/>
    </row>
    <row r="545" spans="1:4" ht="12.75" x14ac:dyDescent="0.2">
      <c r="A545" s="72"/>
      <c r="B545" s="72"/>
      <c r="C545" s="72"/>
      <c r="D545" s="72"/>
    </row>
    <row r="546" spans="1:4" ht="12.75" x14ac:dyDescent="0.2">
      <c r="A546" s="72"/>
      <c r="B546" s="72"/>
      <c r="C546" s="72"/>
      <c r="D546" s="72"/>
    </row>
    <row r="547" spans="1:4" ht="12.75" x14ac:dyDescent="0.2">
      <c r="A547" s="72"/>
      <c r="B547" s="72"/>
      <c r="C547" s="72"/>
      <c r="D547" s="72"/>
    </row>
    <row r="548" spans="1:4" ht="12.75" x14ac:dyDescent="0.2">
      <c r="A548" s="72"/>
      <c r="B548" s="72"/>
      <c r="C548" s="72"/>
      <c r="D548" s="72"/>
    </row>
    <row r="549" spans="1:4" ht="12.75" x14ac:dyDescent="0.2">
      <c r="A549" s="72"/>
      <c r="B549" s="72"/>
      <c r="C549" s="72"/>
      <c r="D549" s="72"/>
    </row>
    <row r="550" spans="1:4" ht="12.75" x14ac:dyDescent="0.2">
      <c r="A550" s="72"/>
      <c r="B550" s="72"/>
      <c r="C550" s="72"/>
      <c r="D550" s="72"/>
    </row>
    <row r="551" spans="1:4" ht="12.75" x14ac:dyDescent="0.2">
      <c r="A551" s="72"/>
      <c r="B551" s="72"/>
      <c r="C551" s="72"/>
      <c r="D551" s="72"/>
    </row>
    <row r="552" spans="1:4" ht="12.75" x14ac:dyDescent="0.2">
      <c r="A552" s="72"/>
      <c r="B552" s="72"/>
      <c r="C552" s="72"/>
      <c r="D552" s="72"/>
    </row>
    <row r="553" spans="1:4" ht="12.75" x14ac:dyDescent="0.2">
      <c r="A553" s="72"/>
      <c r="B553" s="72"/>
      <c r="C553" s="72"/>
      <c r="D553" s="72"/>
    </row>
    <row r="554" spans="1:4" ht="12.75" x14ac:dyDescent="0.2">
      <c r="A554" s="72"/>
      <c r="B554" s="72"/>
      <c r="C554" s="72"/>
      <c r="D554" s="72"/>
    </row>
    <row r="555" spans="1:4" ht="12.75" x14ac:dyDescent="0.2">
      <c r="A555" s="72"/>
      <c r="B555" s="72"/>
      <c r="C555" s="72"/>
      <c r="D555" s="72"/>
    </row>
    <row r="556" spans="1:4" ht="12.75" x14ac:dyDescent="0.2">
      <c r="A556" s="72"/>
      <c r="B556" s="72"/>
      <c r="C556" s="72"/>
      <c r="D556" s="72"/>
    </row>
    <row r="557" spans="1:4" ht="12.75" x14ac:dyDescent="0.2">
      <c r="A557" s="72"/>
      <c r="B557" s="72"/>
      <c r="C557" s="72"/>
      <c r="D557" s="72"/>
    </row>
    <row r="558" spans="1:4" ht="12.75" x14ac:dyDescent="0.2">
      <c r="A558" s="72"/>
      <c r="B558" s="72"/>
      <c r="C558" s="72"/>
      <c r="D558" s="72"/>
    </row>
    <row r="559" spans="1:4" ht="12.75" x14ac:dyDescent="0.2">
      <c r="A559" s="72"/>
      <c r="B559" s="72"/>
      <c r="C559" s="72"/>
      <c r="D559" s="72"/>
    </row>
    <row r="560" spans="1:4" ht="12.75" x14ac:dyDescent="0.2">
      <c r="A560" s="72"/>
      <c r="B560" s="72"/>
      <c r="C560" s="72"/>
      <c r="D560" s="72"/>
    </row>
    <row r="561" spans="1:4" ht="12.75" x14ac:dyDescent="0.2">
      <c r="A561" s="72"/>
      <c r="B561" s="72"/>
      <c r="C561" s="72"/>
      <c r="D561" s="72"/>
    </row>
    <row r="562" spans="1:4" ht="12.75" x14ac:dyDescent="0.2">
      <c r="A562" s="72"/>
      <c r="B562" s="72"/>
      <c r="C562" s="72"/>
      <c r="D562" s="72"/>
    </row>
    <row r="563" spans="1:4" ht="12.75" x14ac:dyDescent="0.2">
      <c r="A563" s="72"/>
      <c r="B563" s="72"/>
      <c r="C563" s="72"/>
      <c r="D563" s="72"/>
    </row>
    <row r="564" spans="1:4" ht="12.75" x14ac:dyDescent="0.2">
      <c r="A564" s="72"/>
      <c r="B564" s="72"/>
      <c r="C564" s="72"/>
      <c r="D564" s="72"/>
    </row>
    <row r="565" spans="1:4" ht="12.75" x14ac:dyDescent="0.2">
      <c r="A565" s="72"/>
      <c r="B565" s="72"/>
      <c r="C565" s="72"/>
      <c r="D565" s="72"/>
    </row>
    <row r="566" spans="1:4" ht="12.75" x14ac:dyDescent="0.2">
      <c r="A566" s="72"/>
      <c r="B566" s="72"/>
      <c r="C566" s="72"/>
      <c r="D566" s="72"/>
    </row>
    <row r="567" spans="1:4" ht="12.75" x14ac:dyDescent="0.2">
      <c r="A567" s="72"/>
      <c r="B567" s="72"/>
      <c r="C567" s="72"/>
      <c r="D567" s="72"/>
    </row>
    <row r="568" spans="1:4" ht="12.75" x14ac:dyDescent="0.2">
      <c r="A568" s="72"/>
      <c r="B568" s="72"/>
      <c r="C568" s="72"/>
      <c r="D568" s="72"/>
    </row>
    <row r="569" spans="1:4" ht="12.75" x14ac:dyDescent="0.2">
      <c r="A569" s="72"/>
      <c r="B569" s="72"/>
      <c r="C569" s="72"/>
      <c r="D569" s="72"/>
    </row>
    <row r="570" spans="1:4" ht="12.75" x14ac:dyDescent="0.2">
      <c r="A570" s="72"/>
      <c r="B570" s="72"/>
      <c r="C570" s="72"/>
      <c r="D570" s="72"/>
    </row>
    <row r="571" spans="1:4" ht="12.75" x14ac:dyDescent="0.2">
      <c r="A571" s="72"/>
      <c r="B571" s="72"/>
      <c r="C571" s="72"/>
      <c r="D571" s="72"/>
    </row>
    <row r="572" spans="1:4" ht="12.75" x14ac:dyDescent="0.2">
      <c r="A572" s="72"/>
      <c r="B572" s="72"/>
      <c r="C572" s="72"/>
      <c r="D572" s="72"/>
    </row>
    <row r="573" spans="1:4" ht="12.75" x14ac:dyDescent="0.2">
      <c r="A573" s="72"/>
      <c r="B573" s="72"/>
      <c r="C573" s="72"/>
      <c r="D573" s="72"/>
    </row>
    <row r="574" spans="1:4" ht="12.75" x14ac:dyDescent="0.2">
      <c r="A574" s="72"/>
      <c r="B574" s="72"/>
      <c r="C574" s="72"/>
      <c r="D574" s="72"/>
    </row>
    <row r="575" spans="1:4" ht="12.75" x14ac:dyDescent="0.2">
      <c r="A575" s="72"/>
      <c r="B575" s="72"/>
      <c r="C575" s="72"/>
      <c r="D575" s="72"/>
    </row>
    <row r="576" spans="1:4" ht="12.75" x14ac:dyDescent="0.2">
      <c r="A576" s="72"/>
      <c r="B576" s="72"/>
      <c r="C576" s="72"/>
      <c r="D576" s="72"/>
    </row>
    <row r="577" spans="1:4" ht="12.75" x14ac:dyDescent="0.2">
      <c r="A577" s="72"/>
      <c r="B577" s="72"/>
      <c r="C577" s="72"/>
      <c r="D577" s="72"/>
    </row>
    <row r="578" spans="1:4" ht="12.75" x14ac:dyDescent="0.2">
      <c r="A578" s="72"/>
      <c r="B578" s="72"/>
      <c r="C578" s="72"/>
      <c r="D578" s="72"/>
    </row>
    <row r="579" spans="1:4" ht="12.75" x14ac:dyDescent="0.2">
      <c r="A579" s="72"/>
      <c r="B579" s="72"/>
      <c r="C579" s="72"/>
      <c r="D579" s="72"/>
    </row>
    <row r="580" spans="1:4" ht="12.75" x14ac:dyDescent="0.2">
      <c r="A580" s="72"/>
      <c r="B580" s="72"/>
      <c r="C580" s="72"/>
      <c r="D580" s="72"/>
    </row>
    <row r="581" spans="1:4" ht="12.75" x14ac:dyDescent="0.2">
      <c r="A581" s="72"/>
      <c r="B581" s="72"/>
      <c r="C581" s="72"/>
      <c r="D581" s="72"/>
    </row>
    <row r="582" spans="1:4" ht="12.75" x14ac:dyDescent="0.2">
      <c r="A582" s="72"/>
      <c r="B582" s="72"/>
      <c r="C582" s="72"/>
      <c r="D582" s="72"/>
    </row>
    <row r="583" spans="1:4" ht="12.75" x14ac:dyDescent="0.2">
      <c r="A583" s="72"/>
      <c r="B583" s="72"/>
      <c r="C583" s="72"/>
      <c r="D583" s="72"/>
    </row>
    <row r="584" spans="1:4" ht="12.75" x14ac:dyDescent="0.2">
      <c r="A584" s="72"/>
      <c r="B584" s="72"/>
      <c r="C584" s="72"/>
      <c r="D584" s="72"/>
    </row>
    <row r="585" spans="1:4" ht="12.75" x14ac:dyDescent="0.2">
      <c r="A585" s="72"/>
      <c r="B585" s="72"/>
      <c r="C585" s="72"/>
      <c r="D585" s="72"/>
    </row>
    <row r="586" spans="1:4" ht="12.75" x14ac:dyDescent="0.2">
      <c r="A586" s="72"/>
      <c r="B586" s="72"/>
      <c r="C586" s="72"/>
      <c r="D586" s="72"/>
    </row>
    <row r="587" spans="1:4" ht="12.75" x14ac:dyDescent="0.2">
      <c r="A587" s="72"/>
      <c r="B587" s="72"/>
      <c r="C587" s="72"/>
      <c r="D587" s="72"/>
    </row>
    <row r="588" spans="1:4" ht="12.75" x14ac:dyDescent="0.2">
      <c r="A588" s="72"/>
      <c r="B588" s="72"/>
      <c r="C588" s="72"/>
      <c r="D588" s="72"/>
    </row>
    <row r="589" spans="1:4" ht="12.75" x14ac:dyDescent="0.2">
      <c r="A589" s="72"/>
      <c r="B589" s="72"/>
      <c r="C589" s="72"/>
      <c r="D589" s="72"/>
    </row>
    <row r="590" spans="1:4" ht="12.75" x14ac:dyDescent="0.2">
      <c r="A590" s="72"/>
      <c r="B590" s="72"/>
      <c r="C590" s="72"/>
      <c r="D590" s="72"/>
    </row>
    <row r="591" spans="1:4" ht="12.75" x14ac:dyDescent="0.2">
      <c r="A591" s="72"/>
      <c r="B591" s="72"/>
      <c r="C591" s="72"/>
      <c r="D591" s="72"/>
    </row>
    <row r="592" spans="1:4" ht="12.75" x14ac:dyDescent="0.2">
      <c r="A592" s="72"/>
      <c r="B592" s="72"/>
      <c r="C592" s="72"/>
      <c r="D592" s="72"/>
    </row>
    <row r="593" spans="1:4" ht="12.75" x14ac:dyDescent="0.2">
      <c r="A593" s="72"/>
      <c r="B593" s="72"/>
      <c r="C593" s="72"/>
      <c r="D593" s="72"/>
    </row>
    <row r="594" spans="1:4" ht="12.75" x14ac:dyDescent="0.2">
      <c r="A594" s="72"/>
      <c r="B594" s="72"/>
      <c r="C594" s="72"/>
      <c r="D594" s="72"/>
    </row>
    <row r="595" spans="1:4" ht="12.75" x14ac:dyDescent="0.2">
      <c r="A595" s="72"/>
      <c r="B595" s="72"/>
      <c r="C595" s="72"/>
      <c r="D595" s="72"/>
    </row>
    <row r="596" spans="1:4" ht="12.75" x14ac:dyDescent="0.2">
      <c r="A596" s="72"/>
      <c r="B596" s="72"/>
      <c r="C596" s="72"/>
      <c r="D596" s="72"/>
    </row>
    <row r="597" spans="1:4" ht="12.75" x14ac:dyDescent="0.2">
      <c r="A597" s="72"/>
      <c r="B597" s="72"/>
      <c r="C597" s="72"/>
      <c r="D597" s="72"/>
    </row>
    <row r="598" spans="1:4" ht="12.75" x14ac:dyDescent="0.2">
      <c r="A598" s="72"/>
      <c r="B598" s="72"/>
      <c r="C598" s="72"/>
      <c r="D598" s="72"/>
    </row>
    <row r="599" spans="1:4" ht="12.75" x14ac:dyDescent="0.2">
      <c r="A599" s="72"/>
      <c r="B599" s="72"/>
      <c r="C599" s="72"/>
      <c r="D599" s="72"/>
    </row>
    <row r="600" spans="1:4" ht="12.75" x14ac:dyDescent="0.2">
      <c r="A600" s="72"/>
      <c r="B600" s="72"/>
      <c r="C600" s="72"/>
      <c r="D600" s="72"/>
    </row>
    <row r="601" spans="1:4" ht="12.75" x14ac:dyDescent="0.2">
      <c r="A601" s="72"/>
      <c r="B601" s="72"/>
      <c r="C601" s="72"/>
      <c r="D601" s="72"/>
    </row>
    <row r="602" spans="1:4" ht="12.75" x14ac:dyDescent="0.2">
      <c r="A602" s="72"/>
      <c r="B602" s="72"/>
      <c r="C602" s="72"/>
      <c r="D602" s="72"/>
    </row>
    <row r="603" spans="1:4" ht="12.75" x14ac:dyDescent="0.2">
      <c r="A603" s="72"/>
      <c r="B603" s="72"/>
      <c r="C603" s="72"/>
      <c r="D603" s="72"/>
    </row>
    <row r="604" spans="1:4" ht="12.75" x14ac:dyDescent="0.2">
      <c r="A604" s="72"/>
      <c r="B604" s="72"/>
      <c r="C604" s="72"/>
      <c r="D604" s="72"/>
    </row>
    <row r="605" spans="1:4" ht="12.75" x14ac:dyDescent="0.2">
      <c r="A605" s="72"/>
      <c r="B605" s="72"/>
      <c r="C605" s="72"/>
      <c r="D605" s="72"/>
    </row>
    <row r="606" spans="1:4" ht="12.75" x14ac:dyDescent="0.2">
      <c r="A606" s="72"/>
      <c r="B606" s="72"/>
      <c r="C606" s="72"/>
      <c r="D606" s="72"/>
    </row>
    <row r="607" spans="1:4" ht="12.75" x14ac:dyDescent="0.2">
      <c r="A607" s="72"/>
      <c r="B607" s="72"/>
      <c r="C607" s="72"/>
      <c r="D607" s="72"/>
    </row>
    <row r="608" spans="1:4" ht="12.75" x14ac:dyDescent="0.2">
      <c r="A608" s="72"/>
      <c r="B608" s="72"/>
      <c r="C608" s="72"/>
      <c r="D608" s="72"/>
    </row>
    <row r="609" spans="1:4" ht="12.75" x14ac:dyDescent="0.2">
      <c r="A609" s="72"/>
      <c r="B609" s="72"/>
      <c r="C609" s="72"/>
      <c r="D609" s="72"/>
    </row>
    <row r="610" spans="1:4" ht="12.75" x14ac:dyDescent="0.2">
      <c r="A610" s="72"/>
      <c r="B610" s="72"/>
      <c r="C610" s="72"/>
      <c r="D610" s="72"/>
    </row>
    <row r="611" spans="1:4" ht="12.75" x14ac:dyDescent="0.2">
      <c r="A611" s="72"/>
      <c r="B611" s="72"/>
      <c r="C611" s="72"/>
      <c r="D611" s="72"/>
    </row>
    <row r="612" spans="1:4" ht="12.75" x14ac:dyDescent="0.2">
      <c r="A612" s="72"/>
      <c r="B612" s="72"/>
      <c r="C612" s="72"/>
      <c r="D612" s="72"/>
    </row>
    <row r="613" spans="1:4" ht="12.75" x14ac:dyDescent="0.2">
      <c r="A613" s="72"/>
      <c r="B613" s="72"/>
      <c r="C613" s="72"/>
      <c r="D613" s="72"/>
    </row>
    <row r="614" spans="1:4" ht="12.75" x14ac:dyDescent="0.2">
      <c r="A614" s="72"/>
      <c r="B614" s="72"/>
      <c r="C614" s="72"/>
      <c r="D614" s="72"/>
    </row>
    <row r="615" spans="1:4" ht="12.75" x14ac:dyDescent="0.2">
      <c r="A615" s="72"/>
      <c r="B615" s="72"/>
      <c r="C615" s="72"/>
      <c r="D615" s="72"/>
    </row>
    <row r="616" spans="1:4" ht="12.75" x14ac:dyDescent="0.2">
      <c r="A616" s="72"/>
      <c r="B616" s="72"/>
      <c r="C616" s="72"/>
      <c r="D616" s="72"/>
    </row>
    <row r="617" spans="1:4" ht="12.75" x14ac:dyDescent="0.2">
      <c r="A617" s="72"/>
      <c r="B617" s="72"/>
      <c r="C617" s="72"/>
      <c r="D617" s="72"/>
    </row>
    <row r="618" spans="1:4" ht="12.75" x14ac:dyDescent="0.2">
      <c r="A618" s="72"/>
      <c r="B618" s="72"/>
      <c r="C618" s="72"/>
      <c r="D618" s="72"/>
    </row>
    <row r="619" spans="1:4" ht="12.75" x14ac:dyDescent="0.2">
      <c r="A619" s="72"/>
      <c r="B619" s="72"/>
      <c r="C619" s="72"/>
      <c r="D619" s="72"/>
    </row>
    <row r="620" spans="1:4" ht="12.75" x14ac:dyDescent="0.2">
      <c r="A620" s="72"/>
      <c r="B620" s="72"/>
      <c r="C620" s="72"/>
      <c r="D620" s="72"/>
    </row>
    <row r="621" spans="1:4" ht="12.75" x14ac:dyDescent="0.2">
      <c r="A621" s="72"/>
      <c r="B621" s="72"/>
      <c r="C621" s="72"/>
      <c r="D621" s="72"/>
    </row>
    <row r="622" spans="1:4" ht="12.75" x14ac:dyDescent="0.2">
      <c r="A622" s="72"/>
      <c r="B622" s="72"/>
      <c r="C622" s="72"/>
      <c r="D622" s="72"/>
    </row>
    <row r="623" spans="1:4" ht="12.75" x14ac:dyDescent="0.2">
      <c r="A623" s="72"/>
      <c r="B623" s="72"/>
      <c r="C623" s="72"/>
      <c r="D623" s="72"/>
    </row>
    <row r="624" spans="1:4" ht="12.75" x14ac:dyDescent="0.2">
      <c r="A624" s="72"/>
      <c r="B624" s="72"/>
      <c r="C624" s="72"/>
      <c r="D624" s="72"/>
    </row>
    <row r="625" spans="1:4" ht="12.75" x14ac:dyDescent="0.2">
      <c r="A625" s="72"/>
      <c r="B625" s="72"/>
      <c r="C625" s="72"/>
      <c r="D625" s="72"/>
    </row>
    <row r="626" spans="1:4" ht="12.75" x14ac:dyDescent="0.2">
      <c r="A626" s="72"/>
      <c r="B626" s="72"/>
      <c r="C626" s="72"/>
      <c r="D626" s="72"/>
    </row>
    <row r="627" spans="1:4" ht="12.75" x14ac:dyDescent="0.2">
      <c r="A627" s="72"/>
      <c r="B627" s="72"/>
      <c r="C627" s="72"/>
      <c r="D627" s="72"/>
    </row>
    <row r="628" spans="1:4" ht="12.75" x14ac:dyDescent="0.2">
      <c r="A628" s="72"/>
      <c r="B628" s="72"/>
      <c r="C628" s="72"/>
      <c r="D628" s="72"/>
    </row>
    <row r="629" spans="1:4" ht="12.75" x14ac:dyDescent="0.2">
      <c r="A629" s="72"/>
      <c r="B629" s="72"/>
      <c r="C629" s="72"/>
      <c r="D629" s="72"/>
    </row>
    <row r="630" spans="1:4" ht="12.75" x14ac:dyDescent="0.2">
      <c r="A630" s="72"/>
      <c r="B630" s="72"/>
      <c r="C630" s="72"/>
      <c r="D630" s="72"/>
    </row>
    <row r="631" spans="1:4" ht="12.75" x14ac:dyDescent="0.2">
      <c r="A631" s="72"/>
      <c r="B631" s="72"/>
      <c r="C631" s="72"/>
      <c r="D631" s="72"/>
    </row>
    <row r="632" spans="1:4" ht="12.75" x14ac:dyDescent="0.2">
      <c r="A632" s="72"/>
      <c r="B632" s="72"/>
      <c r="C632" s="72"/>
      <c r="D632" s="72"/>
    </row>
    <row r="633" spans="1:4" ht="12.75" x14ac:dyDescent="0.2">
      <c r="A633" s="72"/>
      <c r="B633" s="72"/>
      <c r="C633" s="72"/>
      <c r="D633" s="72"/>
    </row>
    <row r="634" spans="1:4" ht="12.75" x14ac:dyDescent="0.2">
      <c r="A634" s="72"/>
      <c r="B634" s="72"/>
      <c r="C634" s="72"/>
      <c r="D634" s="72"/>
    </row>
    <row r="635" spans="1:4" ht="12.75" x14ac:dyDescent="0.2">
      <c r="A635" s="72"/>
      <c r="B635" s="72"/>
      <c r="C635" s="72"/>
      <c r="D635" s="72"/>
    </row>
    <row r="636" spans="1:4" ht="12.75" x14ac:dyDescent="0.2">
      <c r="A636" s="72"/>
      <c r="B636" s="72"/>
      <c r="C636" s="72"/>
      <c r="D636" s="72"/>
    </row>
    <row r="637" spans="1:4" ht="12.75" x14ac:dyDescent="0.2">
      <c r="A637" s="72"/>
      <c r="B637" s="72"/>
      <c r="C637" s="72"/>
      <c r="D637" s="72"/>
    </row>
    <row r="638" spans="1:4" ht="12.75" x14ac:dyDescent="0.2">
      <c r="A638" s="72"/>
      <c r="B638" s="72"/>
      <c r="C638" s="72"/>
      <c r="D638" s="72"/>
    </row>
    <row r="639" spans="1:4" ht="12.75" x14ac:dyDescent="0.2">
      <c r="A639" s="72"/>
      <c r="B639" s="72"/>
      <c r="C639" s="72"/>
      <c r="D639" s="72"/>
    </row>
    <row r="640" spans="1:4" ht="12.75" x14ac:dyDescent="0.2">
      <c r="A640" s="72"/>
      <c r="B640" s="72"/>
      <c r="C640" s="72"/>
      <c r="D640" s="72"/>
    </row>
    <row r="641" spans="1:4" ht="12.75" x14ac:dyDescent="0.2">
      <c r="A641" s="72"/>
      <c r="B641" s="72"/>
      <c r="C641" s="72"/>
      <c r="D641" s="72"/>
    </row>
    <row r="642" spans="1:4" ht="12.75" x14ac:dyDescent="0.2">
      <c r="A642" s="72"/>
      <c r="B642" s="72"/>
      <c r="C642" s="72"/>
      <c r="D642" s="72"/>
    </row>
    <row r="643" spans="1:4" ht="12.75" x14ac:dyDescent="0.2">
      <c r="A643" s="72"/>
      <c r="B643" s="72"/>
      <c r="C643" s="72"/>
      <c r="D643" s="72"/>
    </row>
    <row r="644" spans="1:4" ht="12.75" x14ac:dyDescent="0.2">
      <c r="A644" s="72"/>
      <c r="B644" s="72"/>
      <c r="C644" s="72"/>
      <c r="D644" s="72"/>
    </row>
    <row r="645" spans="1:4" ht="12.75" x14ac:dyDescent="0.2">
      <c r="A645" s="72"/>
      <c r="B645" s="72"/>
      <c r="C645" s="72"/>
      <c r="D645" s="72"/>
    </row>
    <row r="646" spans="1:4" ht="12.75" x14ac:dyDescent="0.2">
      <c r="A646" s="72"/>
      <c r="B646" s="72"/>
      <c r="C646" s="72"/>
      <c r="D646" s="72"/>
    </row>
    <row r="647" spans="1:4" ht="12.75" x14ac:dyDescent="0.2">
      <c r="A647" s="72"/>
      <c r="B647" s="72"/>
      <c r="C647" s="72"/>
      <c r="D647" s="72"/>
    </row>
    <row r="648" spans="1:4" ht="12.75" x14ac:dyDescent="0.2">
      <c r="A648" s="72"/>
      <c r="B648" s="72"/>
      <c r="C648" s="72"/>
      <c r="D648" s="72"/>
    </row>
    <row r="649" spans="1:4" ht="12.75" x14ac:dyDescent="0.2">
      <c r="A649" s="72"/>
      <c r="B649" s="72"/>
      <c r="C649" s="72"/>
      <c r="D649" s="72"/>
    </row>
    <row r="650" spans="1:4" ht="12.75" x14ac:dyDescent="0.2">
      <c r="A650" s="72"/>
      <c r="B650" s="72"/>
      <c r="C650" s="72"/>
      <c r="D650" s="72"/>
    </row>
    <row r="651" spans="1:4" ht="12.75" x14ac:dyDescent="0.2">
      <c r="A651" s="72"/>
      <c r="B651" s="72"/>
      <c r="C651" s="72"/>
      <c r="D651" s="72"/>
    </row>
    <row r="652" spans="1:4" ht="12.75" x14ac:dyDescent="0.2">
      <c r="A652" s="72"/>
      <c r="B652" s="72"/>
      <c r="C652" s="72"/>
      <c r="D652" s="72"/>
    </row>
    <row r="653" spans="1:4" ht="12.75" x14ac:dyDescent="0.2">
      <c r="A653" s="72"/>
      <c r="B653" s="72"/>
      <c r="C653" s="72"/>
      <c r="D653" s="72"/>
    </row>
    <row r="654" spans="1:4" ht="12.75" x14ac:dyDescent="0.2">
      <c r="A654" s="72"/>
      <c r="B654" s="72"/>
      <c r="C654" s="72"/>
      <c r="D654" s="72"/>
    </row>
    <row r="655" spans="1:4" ht="12.75" x14ac:dyDescent="0.2">
      <c r="A655" s="72"/>
      <c r="B655" s="72"/>
      <c r="C655" s="72"/>
      <c r="D655" s="72"/>
    </row>
    <row r="656" spans="1:4" ht="12.75" x14ac:dyDescent="0.2">
      <c r="A656" s="72"/>
      <c r="B656" s="72"/>
      <c r="C656" s="72"/>
      <c r="D656" s="72"/>
    </row>
    <row r="657" spans="1:4" ht="12.75" x14ac:dyDescent="0.2">
      <c r="A657" s="72"/>
      <c r="B657" s="72"/>
      <c r="C657" s="72"/>
      <c r="D657" s="72"/>
    </row>
    <row r="658" spans="1:4" ht="12.75" x14ac:dyDescent="0.2">
      <c r="A658" s="72"/>
      <c r="B658" s="72"/>
      <c r="C658" s="72"/>
      <c r="D658" s="72"/>
    </row>
    <row r="659" spans="1:4" ht="12.75" x14ac:dyDescent="0.2">
      <c r="A659" s="72"/>
      <c r="B659" s="72"/>
      <c r="C659" s="72"/>
      <c r="D659" s="72"/>
    </row>
    <row r="660" spans="1:4" ht="12.75" x14ac:dyDescent="0.2">
      <c r="A660" s="72"/>
      <c r="B660" s="72"/>
      <c r="C660" s="72"/>
      <c r="D660" s="72"/>
    </row>
    <row r="661" spans="1:4" ht="12.75" x14ac:dyDescent="0.2">
      <c r="A661" s="72"/>
      <c r="B661" s="72"/>
      <c r="C661" s="72"/>
      <c r="D661" s="72"/>
    </row>
    <row r="662" spans="1:4" ht="12.75" x14ac:dyDescent="0.2">
      <c r="A662" s="72"/>
      <c r="B662" s="72"/>
      <c r="C662" s="72"/>
      <c r="D662" s="72"/>
    </row>
    <row r="663" spans="1:4" ht="12.75" x14ac:dyDescent="0.2">
      <c r="A663" s="72"/>
      <c r="B663" s="72"/>
      <c r="C663" s="72"/>
      <c r="D663" s="72"/>
    </row>
    <row r="664" spans="1:4" ht="12.75" x14ac:dyDescent="0.2">
      <c r="A664" s="72"/>
      <c r="B664" s="72"/>
      <c r="C664" s="72"/>
      <c r="D664" s="72"/>
    </row>
    <row r="665" spans="1:4" ht="12.75" x14ac:dyDescent="0.2">
      <c r="A665" s="72"/>
      <c r="B665" s="72"/>
      <c r="C665" s="72"/>
      <c r="D665" s="72"/>
    </row>
    <row r="666" spans="1:4" ht="12.75" x14ac:dyDescent="0.2">
      <c r="A666" s="72"/>
      <c r="B666" s="72"/>
      <c r="C666" s="72"/>
      <c r="D666" s="72"/>
    </row>
    <row r="667" spans="1:4" ht="12.75" x14ac:dyDescent="0.2">
      <c r="A667" s="72"/>
      <c r="B667" s="72"/>
      <c r="C667" s="72"/>
      <c r="D667" s="72"/>
    </row>
    <row r="668" spans="1:4" ht="12.75" x14ac:dyDescent="0.2">
      <c r="A668" s="72"/>
      <c r="B668" s="72"/>
      <c r="C668" s="72"/>
      <c r="D668" s="72"/>
    </row>
    <row r="669" spans="1:4" ht="12.75" x14ac:dyDescent="0.2">
      <c r="A669" s="72"/>
      <c r="B669" s="72"/>
      <c r="C669" s="72"/>
      <c r="D669" s="72"/>
    </row>
    <row r="670" spans="1:4" ht="12.75" x14ac:dyDescent="0.2">
      <c r="A670" s="72"/>
      <c r="B670" s="72"/>
      <c r="C670" s="72"/>
      <c r="D670" s="72"/>
    </row>
    <row r="671" spans="1:4" ht="12.75" x14ac:dyDescent="0.2">
      <c r="A671" s="72"/>
      <c r="B671" s="72"/>
      <c r="C671" s="72"/>
      <c r="D671" s="72"/>
    </row>
    <row r="672" spans="1:4" ht="12.75" x14ac:dyDescent="0.2">
      <c r="A672" s="72"/>
      <c r="B672" s="72"/>
      <c r="C672" s="72"/>
      <c r="D672" s="72"/>
    </row>
    <row r="673" spans="1:4" ht="12.75" x14ac:dyDescent="0.2">
      <c r="A673" s="72"/>
      <c r="B673" s="72"/>
      <c r="C673" s="72"/>
      <c r="D673" s="72"/>
    </row>
    <row r="674" spans="1:4" ht="12.75" x14ac:dyDescent="0.2">
      <c r="A674" s="72"/>
      <c r="B674" s="72"/>
      <c r="C674" s="72"/>
      <c r="D674" s="72"/>
    </row>
    <row r="675" spans="1:4" ht="12.75" x14ac:dyDescent="0.2">
      <c r="A675" s="72"/>
      <c r="B675" s="72"/>
      <c r="C675" s="72"/>
      <c r="D675" s="72"/>
    </row>
    <row r="676" spans="1:4" ht="12.75" x14ac:dyDescent="0.2">
      <c r="A676" s="72"/>
      <c r="B676" s="72"/>
      <c r="C676" s="72"/>
      <c r="D676" s="72"/>
    </row>
    <row r="677" spans="1:4" ht="12.75" x14ac:dyDescent="0.2">
      <c r="A677" s="72"/>
      <c r="B677" s="72"/>
      <c r="C677" s="72"/>
      <c r="D677" s="72"/>
    </row>
    <row r="678" spans="1:4" ht="12.75" x14ac:dyDescent="0.2">
      <c r="A678" s="72"/>
      <c r="B678" s="72"/>
      <c r="C678" s="72"/>
      <c r="D678" s="72"/>
    </row>
    <row r="679" spans="1:4" ht="12.75" x14ac:dyDescent="0.2">
      <c r="A679" s="72"/>
      <c r="B679" s="72"/>
      <c r="C679" s="72"/>
      <c r="D679" s="72"/>
    </row>
    <row r="680" spans="1:4" ht="12.75" x14ac:dyDescent="0.2">
      <c r="A680" s="72"/>
      <c r="B680" s="72"/>
      <c r="C680" s="72"/>
      <c r="D680" s="72"/>
    </row>
    <row r="681" spans="1:4" ht="12.75" x14ac:dyDescent="0.2">
      <c r="A681" s="72"/>
      <c r="B681" s="72"/>
      <c r="C681" s="72"/>
      <c r="D681" s="72"/>
    </row>
    <row r="682" spans="1:4" ht="12.75" x14ac:dyDescent="0.2">
      <c r="A682" s="72"/>
      <c r="B682" s="72"/>
      <c r="C682" s="72"/>
      <c r="D682" s="72"/>
    </row>
    <row r="683" spans="1:4" ht="12.75" x14ac:dyDescent="0.2">
      <c r="A683" s="72"/>
      <c r="B683" s="72"/>
      <c r="C683" s="72"/>
      <c r="D683" s="72"/>
    </row>
    <row r="684" spans="1:4" ht="12.75" x14ac:dyDescent="0.2">
      <c r="A684" s="72"/>
      <c r="B684" s="72"/>
      <c r="C684" s="72"/>
      <c r="D684" s="72"/>
    </row>
    <row r="685" spans="1:4" ht="12.75" x14ac:dyDescent="0.2">
      <c r="A685" s="72"/>
      <c r="B685" s="72"/>
      <c r="C685" s="72"/>
      <c r="D685" s="72"/>
    </row>
    <row r="686" spans="1:4" ht="12.75" x14ac:dyDescent="0.2">
      <c r="A686" s="72"/>
      <c r="B686" s="72"/>
      <c r="C686" s="72"/>
      <c r="D686" s="72"/>
    </row>
    <row r="687" spans="1:4" ht="12.75" x14ac:dyDescent="0.2">
      <c r="A687" s="72"/>
      <c r="B687" s="72"/>
      <c r="C687" s="72"/>
      <c r="D687" s="72"/>
    </row>
    <row r="688" spans="1:4" ht="12.75" x14ac:dyDescent="0.2">
      <c r="A688" s="72"/>
      <c r="B688" s="72"/>
      <c r="C688" s="72"/>
      <c r="D688" s="72"/>
    </row>
    <row r="689" spans="1:4" ht="12.75" x14ac:dyDescent="0.2">
      <c r="A689" s="72"/>
      <c r="B689" s="72"/>
      <c r="C689" s="72"/>
      <c r="D689" s="72"/>
    </row>
    <row r="690" spans="1:4" ht="12.75" x14ac:dyDescent="0.2">
      <c r="A690" s="72"/>
      <c r="B690" s="72"/>
      <c r="C690" s="72"/>
      <c r="D690" s="72"/>
    </row>
    <row r="691" spans="1:4" ht="12.75" x14ac:dyDescent="0.2">
      <c r="A691" s="72"/>
      <c r="B691" s="72"/>
      <c r="C691" s="72"/>
      <c r="D691" s="72"/>
    </row>
    <row r="692" spans="1:4" ht="12.75" x14ac:dyDescent="0.2">
      <c r="A692" s="72"/>
      <c r="B692" s="72"/>
      <c r="C692" s="72"/>
      <c r="D692" s="72"/>
    </row>
    <row r="693" spans="1:4" ht="12.75" x14ac:dyDescent="0.2">
      <c r="A693" s="72"/>
      <c r="B693" s="72"/>
      <c r="C693" s="72"/>
      <c r="D693" s="72"/>
    </row>
    <row r="694" spans="1:4" ht="12.75" x14ac:dyDescent="0.2">
      <c r="A694" s="72"/>
      <c r="B694" s="72"/>
      <c r="C694" s="72"/>
      <c r="D694" s="72"/>
    </row>
    <row r="695" spans="1:4" ht="12.75" x14ac:dyDescent="0.2">
      <c r="A695" s="72"/>
      <c r="B695" s="72"/>
      <c r="C695" s="72"/>
      <c r="D695" s="72"/>
    </row>
    <row r="696" spans="1:4" ht="12.75" x14ac:dyDescent="0.2">
      <c r="A696" s="72"/>
      <c r="B696" s="72"/>
      <c r="C696" s="72"/>
      <c r="D696" s="72"/>
    </row>
    <row r="697" spans="1:4" ht="12.75" x14ac:dyDescent="0.2">
      <c r="A697" s="72"/>
      <c r="B697" s="72"/>
      <c r="C697" s="72"/>
      <c r="D697" s="72"/>
    </row>
    <row r="698" spans="1:4" ht="12.75" x14ac:dyDescent="0.2">
      <c r="A698" s="72"/>
      <c r="B698" s="72"/>
      <c r="C698" s="72"/>
      <c r="D698" s="72"/>
    </row>
    <row r="699" spans="1:4" ht="12.75" x14ac:dyDescent="0.2">
      <c r="A699" s="72"/>
      <c r="B699" s="72"/>
      <c r="C699" s="72"/>
      <c r="D699" s="72"/>
    </row>
    <row r="700" spans="1:4" ht="12.75" x14ac:dyDescent="0.2">
      <c r="A700" s="72"/>
      <c r="B700" s="72"/>
      <c r="C700" s="72"/>
      <c r="D700" s="72"/>
    </row>
    <row r="701" spans="1:4" ht="12.75" x14ac:dyDescent="0.2">
      <c r="A701" s="72"/>
      <c r="B701" s="72"/>
      <c r="C701" s="72"/>
      <c r="D701" s="72"/>
    </row>
    <row r="702" spans="1:4" ht="12.75" x14ac:dyDescent="0.2">
      <c r="A702" s="72"/>
      <c r="B702" s="72"/>
      <c r="C702" s="72"/>
      <c r="D702" s="72"/>
    </row>
    <row r="703" spans="1:4" ht="12.75" x14ac:dyDescent="0.2">
      <c r="A703" s="72"/>
      <c r="B703" s="72"/>
      <c r="C703" s="72"/>
      <c r="D703" s="72"/>
    </row>
    <row r="704" spans="1:4" ht="12.75" x14ac:dyDescent="0.2">
      <c r="A704" s="72"/>
      <c r="B704" s="72"/>
      <c r="C704" s="72"/>
      <c r="D704" s="72"/>
    </row>
    <row r="705" spans="1:4" ht="12.75" x14ac:dyDescent="0.2">
      <c r="A705" s="72"/>
      <c r="B705" s="72"/>
      <c r="C705" s="72"/>
      <c r="D705" s="72"/>
    </row>
    <row r="706" spans="1:4" ht="12.75" x14ac:dyDescent="0.2">
      <c r="A706" s="72"/>
      <c r="B706" s="72"/>
      <c r="C706" s="72"/>
      <c r="D706" s="72"/>
    </row>
    <row r="707" spans="1:4" ht="12.75" x14ac:dyDescent="0.2">
      <c r="A707" s="72"/>
      <c r="B707" s="72"/>
      <c r="C707" s="72"/>
      <c r="D707" s="72"/>
    </row>
    <row r="708" spans="1:4" ht="12.75" x14ac:dyDescent="0.2">
      <c r="A708" s="72"/>
      <c r="B708" s="72"/>
      <c r="C708" s="72"/>
      <c r="D708" s="72"/>
    </row>
    <row r="709" spans="1:4" ht="12.75" x14ac:dyDescent="0.2">
      <c r="A709" s="72"/>
      <c r="B709" s="72"/>
      <c r="C709" s="72"/>
      <c r="D709" s="72"/>
    </row>
    <row r="710" spans="1:4" ht="12.75" x14ac:dyDescent="0.2">
      <c r="A710" s="72"/>
      <c r="B710" s="72"/>
      <c r="C710" s="72"/>
      <c r="D710" s="72"/>
    </row>
    <row r="711" spans="1:4" ht="12.75" x14ac:dyDescent="0.2">
      <c r="A711" s="72"/>
      <c r="B711" s="72"/>
      <c r="C711" s="72"/>
      <c r="D711" s="72"/>
    </row>
    <row r="712" spans="1:4" ht="12.75" x14ac:dyDescent="0.2">
      <c r="A712" s="72"/>
      <c r="B712" s="72"/>
      <c r="C712" s="72"/>
      <c r="D712" s="72"/>
    </row>
    <row r="713" spans="1:4" ht="12.75" x14ac:dyDescent="0.2">
      <c r="A713" s="72"/>
      <c r="B713" s="72"/>
      <c r="C713" s="72"/>
      <c r="D713" s="72"/>
    </row>
    <row r="714" spans="1:4" ht="12.75" x14ac:dyDescent="0.2">
      <c r="A714" s="72"/>
      <c r="B714" s="72"/>
      <c r="C714" s="72"/>
      <c r="D714" s="72"/>
    </row>
    <row r="715" spans="1:4" ht="12.75" x14ac:dyDescent="0.2">
      <c r="A715" s="72"/>
      <c r="B715" s="72"/>
      <c r="C715" s="72"/>
      <c r="D715" s="72"/>
    </row>
    <row r="716" spans="1:4" ht="12.75" x14ac:dyDescent="0.2">
      <c r="A716" s="72"/>
      <c r="B716" s="72"/>
      <c r="C716" s="72"/>
      <c r="D716" s="72"/>
    </row>
    <row r="717" spans="1:4" ht="12.75" x14ac:dyDescent="0.2">
      <c r="A717" s="72"/>
      <c r="B717" s="72"/>
      <c r="C717" s="72"/>
      <c r="D717" s="72"/>
    </row>
    <row r="718" spans="1:4" ht="12.75" x14ac:dyDescent="0.2">
      <c r="A718" s="72"/>
      <c r="B718" s="72"/>
      <c r="C718" s="72"/>
      <c r="D718" s="72"/>
    </row>
    <row r="719" spans="1:4" ht="12.75" x14ac:dyDescent="0.2">
      <c r="A719" s="72"/>
      <c r="B719" s="72"/>
      <c r="C719" s="72"/>
      <c r="D719" s="72"/>
    </row>
    <row r="720" spans="1:4" ht="12.75" x14ac:dyDescent="0.2">
      <c r="A720" s="72"/>
      <c r="B720" s="72"/>
      <c r="C720" s="72"/>
      <c r="D720" s="72"/>
    </row>
    <row r="721" spans="1:4" ht="12.75" x14ac:dyDescent="0.2">
      <c r="A721" s="72"/>
      <c r="B721" s="72"/>
      <c r="C721" s="72"/>
      <c r="D721" s="72"/>
    </row>
    <row r="722" spans="1:4" ht="12.75" x14ac:dyDescent="0.2">
      <c r="A722" s="72"/>
      <c r="B722" s="72"/>
      <c r="C722" s="72"/>
      <c r="D722" s="72"/>
    </row>
    <row r="723" spans="1:4" ht="12.75" x14ac:dyDescent="0.2">
      <c r="A723" s="72"/>
      <c r="B723" s="72"/>
      <c r="C723" s="72"/>
      <c r="D723" s="72"/>
    </row>
    <row r="724" spans="1:4" ht="12.75" x14ac:dyDescent="0.2">
      <c r="A724" s="72"/>
      <c r="B724" s="72"/>
      <c r="C724" s="72"/>
      <c r="D724" s="72"/>
    </row>
    <row r="725" spans="1:4" ht="12.75" x14ac:dyDescent="0.2">
      <c r="A725" s="72"/>
      <c r="B725" s="72"/>
      <c r="C725" s="72"/>
      <c r="D725" s="72"/>
    </row>
    <row r="726" spans="1:4" ht="12.75" x14ac:dyDescent="0.2">
      <c r="A726" s="72"/>
      <c r="B726" s="72"/>
      <c r="C726" s="72"/>
      <c r="D726" s="72"/>
    </row>
    <row r="727" spans="1:4" ht="12.75" x14ac:dyDescent="0.2">
      <c r="A727" s="72"/>
      <c r="B727" s="72"/>
      <c r="C727" s="72"/>
      <c r="D727" s="72"/>
    </row>
    <row r="728" spans="1:4" ht="12.75" x14ac:dyDescent="0.2">
      <c r="A728" s="72"/>
      <c r="B728" s="72"/>
      <c r="C728" s="72"/>
      <c r="D728" s="72"/>
    </row>
    <row r="729" spans="1:4" ht="12.75" x14ac:dyDescent="0.2">
      <c r="A729" s="72"/>
      <c r="B729" s="72"/>
      <c r="C729" s="72"/>
      <c r="D729" s="72"/>
    </row>
    <row r="730" spans="1:4" ht="12.75" x14ac:dyDescent="0.2">
      <c r="A730" s="72"/>
      <c r="B730" s="72"/>
      <c r="C730" s="72"/>
      <c r="D730" s="72"/>
    </row>
    <row r="731" spans="1:4" ht="12.75" x14ac:dyDescent="0.2">
      <c r="A731" s="72"/>
      <c r="B731" s="72"/>
      <c r="C731" s="72"/>
      <c r="D731" s="72"/>
    </row>
    <row r="732" spans="1:4" ht="12.75" x14ac:dyDescent="0.2">
      <c r="A732" s="72"/>
      <c r="B732" s="72"/>
      <c r="C732" s="72"/>
      <c r="D732" s="72"/>
    </row>
    <row r="733" spans="1:4" ht="12.75" x14ac:dyDescent="0.2">
      <c r="A733" s="72"/>
      <c r="B733" s="72"/>
      <c r="C733" s="72"/>
      <c r="D733" s="72"/>
    </row>
    <row r="734" spans="1:4" ht="12.75" x14ac:dyDescent="0.2">
      <c r="A734" s="72"/>
      <c r="B734" s="72"/>
      <c r="C734" s="72"/>
      <c r="D734" s="72"/>
    </row>
    <row r="735" spans="1:4" ht="12.75" x14ac:dyDescent="0.2">
      <c r="A735" s="72"/>
      <c r="B735" s="72"/>
      <c r="C735" s="72"/>
      <c r="D735" s="72"/>
    </row>
    <row r="736" spans="1:4" ht="12.75" x14ac:dyDescent="0.2">
      <c r="A736" s="72"/>
      <c r="B736" s="72"/>
      <c r="C736" s="72"/>
      <c r="D736" s="72"/>
    </row>
    <row r="737" spans="1:4" ht="12.75" x14ac:dyDescent="0.2">
      <c r="A737" s="72"/>
      <c r="B737" s="72"/>
      <c r="C737" s="72"/>
      <c r="D737" s="72"/>
    </row>
    <row r="738" spans="1:4" ht="12.75" x14ac:dyDescent="0.2">
      <c r="A738" s="72"/>
      <c r="B738" s="72"/>
      <c r="C738" s="72"/>
      <c r="D738" s="72"/>
    </row>
    <row r="739" spans="1:4" ht="12.75" x14ac:dyDescent="0.2">
      <c r="A739" s="72"/>
      <c r="B739" s="72"/>
      <c r="C739" s="72"/>
      <c r="D739" s="72"/>
    </row>
    <row r="740" spans="1:4" ht="12.75" x14ac:dyDescent="0.2">
      <c r="A740" s="72"/>
      <c r="B740" s="72"/>
      <c r="C740" s="72"/>
      <c r="D740" s="72"/>
    </row>
    <row r="741" spans="1:4" ht="12.75" x14ac:dyDescent="0.2">
      <c r="A741" s="72"/>
      <c r="B741" s="72"/>
      <c r="C741" s="72"/>
      <c r="D741" s="72"/>
    </row>
    <row r="742" spans="1:4" ht="12.75" x14ac:dyDescent="0.2">
      <c r="A742" s="72"/>
      <c r="B742" s="72"/>
      <c r="C742" s="72"/>
      <c r="D742" s="72"/>
    </row>
    <row r="743" spans="1:4" ht="12.75" x14ac:dyDescent="0.2">
      <c r="A743" s="72"/>
      <c r="B743" s="72"/>
      <c r="C743" s="72"/>
      <c r="D743" s="72"/>
    </row>
    <row r="744" spans="1:4" ht="12.75" x14ac:dyDescent="0.2">
      <c r="A744" s="72"/>
      <c r="B744" s="72"/>
      <c r="C744" s="72"/>
      <c r="D744" s="72"/>
    </row>
    <row r="745" spans="1:4" ht="12.75" x14ac:dyDescent="0.2">
      <c r="A745" s="72"/>
      <c r="B745" s="72"/>
      <c r="C745" s="72"/>
      <c r="D745" s="72"/>
    </row>
    <row r="746" spans="1:4" ht="12.75" x14ac:dyDescent="0.2">
      <c r="A746" s="72"/>
      <c r="B746" s="72"/>
      <c r="C746" s="72"/>
      <c r="D746" s="72"/>
    </row>
    <row r="747" spans="1:4" ht="12.75" x14ac:dyDescent="0.2">
      <c r="A747" s="72"/>
      <c r="B747" s="72"/>
      <c r="C747" s="72"/>
      <c r="D747" s="72"/>
    </row>
    <row r="748" spans="1:4" ht="12.75" x14ac:dyDescent="0.2">
      <c r="A748" s="72"/>
      <c r="B748" s="72"/>
      <c r="C748" s="72"/>
      <c r="D748" s="72"/>
    </row>
    <row r="749" spans="1:4" ht="12.75" x14ac:dyDescent="0.2">
      <c r="A749" s="72"/>
      <c r="B749" s="72"/>
      <c r="C749" s="72"/>
      <c r="D749" s="72"/>
    </row>
    <row r="750" spans="1:4" ht="12.75" x14ac:dyDescent="0.2">
      <c r="A750" s="72"/>
      <c r="B750" s="72"/>
      <c r="C750" s="72"/>
      <c r="D750" s="72"/>
    </row>
    <row r="751" spans="1:4" ht="12.75" x14ac:dyDescent="0.2">
      <c r="A751" s="72"/>
      <c r="B751" s="72"/>
      <c r="C751" s="72"/>
      <c r="D751" s="72"/>
    </row>
    <row r="752" spans="1:4" ht="12.75" x14ac:dyDescent="0.2">
      <c r="A752" s="72"/>
      <c r="B752" s="72"/>
      <c r="C752" s="72"/>
      <c r="D752" s="72"/>
    </row>
    <row r="753" spans="1:4" ht="12.75" x14ac:dyDescent="0.2">
      <c r="A753" s="72"/>
      <c r="B753" s="72"/>
      <c r="C753" s="72"/>
      <c r="D753" s="72"/>
    </row>
    <row r="754" spans="1:4" ht="12.75" x14ac:dyDescent="0.2">
      <c r="A754" s="72"/>
      <c r="B754" s="72"/>
      <c r="C754" s="72"/>
      <c r="D754" s="72"/>
    </row>
    <row r="755" spans="1:4" ht="12.75" x14ac:dyDescent="0.2">
      <c r="A755" s="72"/>
      <c r="B755" s="72"/>
      <c r="C755" s="72"/>
      <c r="D755" s="72"/>
    </row>
    <row r="756" spans="1:4" ht="12.75" x14ac:dyDescent="0.2">
      <c r="A756" s="72"/>
      <c r="B756" s="72"/>
      <c r="C756" s="72"/>
      <c r="D756" s="72"/>
    </row>
    <row r="757" spans="1:4" ht="12.75" x14ac:dyDescent="0.2">
      <c r="A757" s="72"/>
      <c r="B757" s="72"/>
      <c r="C757" s="72"/>
      <c r="D757" s="72"/>
    </row>
    <row r="758" spans="1:4" ht="12.75" x14ac:dyDescent="0.2">
      <c r="A758" s="72"/>
      <c r="B758" s="72"/>
      <c r="C758" s="72"/>
      <c r="D758" s="72"/>
    </row>
    <row r="759" spans="1:4" ht="12.75" x14ac:dyDescent="0.2">
      <c r="A759" s="72"/>
      <c r="B759" s="72"/>
      <c r="C759" s="72"/>
      <c r="D759" s="72"/>
    </row>
    <row r="760" spans="1:4" ht="12.75" x14ac:dyDescent="0.2">
      <c r="A760" s="72"/>
      <c r="B760" s="72"/>
      <c r="C760" s="72"/>
      <c r="D760" s="72"/>
    </row>
    <row r="761" spans="1:4" ht="12.75" x14ac:dyDescent="0.2">
      <c r="A761" s="72"/>
      <c r="B761" s="72"/>
      <c r="C761" s="72"/>
      <c r="D761" s="72"/>
    </row>
    <row r="762" spans="1:4" ht="12.75" x14ac:dyDescent="0.2">
      <c r="A762" s="72"/>
      <c r="B762" s="72"/>
      <c r="C762" s="72"/>
      <c r="D762" s="72"/>
    </row>
    <row r="763" spans="1:4" ht="12.75" x14ac:dyDescent="0.2">
      <c r="A763" s="72"/>
      <c r="B763" s="72"/>
      <c r="C763" s="72"/>
      <c r="D763" s="72"/>
    </row>
    <row r="764" spans="1:4" ht="12.75" x14ac:dyDescent="0.2">
      <c r="A764" s="72"/>
      <c r="B764" s="72"/>
      <c r="C764" s="72"/>
      <c r="D764" s="72"/>
    </row>
    <row r="765" spans="1:4" ht="12.75" x14ac:dyDescent="0.2">
      <c r="A765" s="72"/>
      <c r="B765" s="72"/>
      <c r="C765" s="72"/>
      <c r="D765" s="72"/>
    </row>
    <row r="766" spans="1:4" ht="12.75" x14ac:dyDescent="0.2">
      <c r="A766" s="72"/>
      <c r="B766" s="72"/>
      <c r="C766" s="72"/>
      <c r="D766" s="72"/>
    </row>
    <row r="767" spans="1:4" ht="12.75" x14ac:dyDescent="0.2">
      <c r="A767" s="72"/>
      <c r="B767" s="72"/>
      <c r="C767" s="72"/>
      <c r="D767" s="72"/>
    </row>
    <row r="768" spans="1:4" ht="12.75" x14ac:dyDescent="0.2">
      <c r="A768" s="72"/>
      <c r="B768" s="72"/>
      <c r="C768" s="72"/>
      <c r="D768" s="72"/>
    </row>
    <row r="769" spans="1:4" ht="12.75" x14ac:dyDescent="0.2">
      <c r="A769" s="72"/>
      <c r="B769" s="72"/>
      <c r="C769" s="72"/>
      <c r="D769" s="72"/>
    </row>
    <row r="770" spans="1:4" ht="12.75" x14ac:dyDescent="0.2">
      <c r="A770" s="72"/>
      <c r="B770" s="72"/>
      <c r="C770" s="72"/>
      <c r="D770" s="72"/>
    </row>
    <row r="771" spans="1:4" ht="12.75" x14ac:dyDescent="0.2">
      <c r="A771" s="72"/>
      <c r="B771" s="72"/>
      <c r="C771" s="72"/>
      <c r="D771" s="72"/>
    </row>
    <row r="772" spans="1:4" ht="12.75" x14ac:dyDescent="0.2">
      <c r="A772" s="72"/>
      <c r="B772" s="72"/>
      <c r="C772" s="72"/>
      <c r="D772" s="72"/>
    </row>
    <row r="773" spans="1:4" ht="12.75" x14ac:dyDescent="0.2">
      <c r="A773" s="72"/>
      <c r="B773" s="72"/>
      <c r="C773" s="72"/>
      <c r="D773" s="72"/>
    </row>
    <row r="774" spans="1:4" ht="12.75" x14ac:dyDescent="0.2">
      <c r="A774" s="72"/>
      <c r="B774" s="72"/>
      <c r="C774" s="72"/>
      <c r="D774" s="72"/>
    </row>
    <row r="775" spans="1:4" ht="12.75" x14ac:dyDescent="0.2">
      <c r="A775" s="72"/>
      <c r="B775" s="72"/>
      <c r="C775" s="72"/>
      <c r="D775" s="72"/>
    </row>
    <row r="776" spans="1:4" ht="12.75" x14ac:dyDescent="0.2">
      <c r="A776" s="72"/>
      <c r="B776" s="72"/>
      <c r="C776" s="72"/>
      <c r="D776" s="72"/>
    </row>
    <row r="777" spans="1:4" ht="12.75" x14ac:dyDescent="0.2">
      <c r="A777" s="72"/>
      <c r="B777" s="72"/>
      <c r="C777" s="72"/>
      <c r="D777" s="72"/>
    </row>
    <row r="778" spans="1:4" ht="12.75" x14ac:dyDescent="0.2">
      <c r="A778" s="72"/>
      <c r="B778" s="72"/>
      <c r="C778" s="72"/>
      <c r="D778" s="72"/>
    </row>
    <row r="779" spans="1:4" ht="12.75" x14ac:dyDescent="0.2">
      <c r="A779" s="72"/>
      <c r="B779" s="72"/>
      <c r="C779" s="72"/>
      <c r="D779" s="72"/>
    </row>
    <row r="780" spans="1:4" ht="12.75" x14ac:dyDescent="0.2">
      <c r="A780" s="72"/>
      <c r="B780" s="72"/>
      <c r="C780" s="72"/>
      <c r="D780" s="72"/>
    </row>
    <row r="781" spans="1:4" ht="12.75" x14ac:dyDescent="0.2">
      <c r="A781" s="72"/>
      <c r="B781" s="72"/>
      <c r="C781" s="72"/>
      <c r="D781" s="72"/>
    </row>
    <row r="782" spans="1:4" ht="12.75" x14ac:dyDescent="0.2">
      <c r="A782" s="72"/>
      <c r="B782" s="72"/>
      <c r="C782" s="72"/>
      <c r="D782" s="72"/>
    </row>
    <row r="783" spans="1:4" ht="12.75" x14ac:dyDescent="0.2">
      <c r="A783" s="72"/>
      <c r="B783" s="72"/>
      <c r="C783" s="72"/>
      <c r="D783" s="72"/>
    </row>
    <row r="784" spans="1:4" ht="12.75" x14ac:dyDescent="0.2">
      <c r="A784" s="72"/>
      <c r="B784" s="72"/>
      <c r="C784" s="72"/>
      <c r="D784" s="72"/>
    </row>
    <row r="785" spans="1:4" ht="12.75" x14ac:dyDescent="0.2">
      <c r="A785" s="72"/>
      <c r="B785" s="72"/>
      <c r="C785" s="72"/>
      <c r="D785" s="72"/>
    </row>
    <row r="786" spans="1:4" ht="12.75" x14ac:dyDescent="0.2">
      <c r="A786" s="72"/>
      <c r="B786" s="72"/>
      <c r="C786" s="72"/>
      <c r="D786" s="72"/>
    </row>
    <row r="787" spans="1:4" ht="12.75" x14ac:dyDescent="0.2">
      <c r="A787" s="72"/>
      <c r="B787" s="72"/>
      <c r="C787" s="72"/>
      <c r="D787" s="72"/>
    </row>
    <row r="788" spans="1:4" ht="12.75" x14ac:dyDescent="0.2">
      <c r="A788" s="72"/>
      <c r="B788" s="72"/>
      <c r="C788" s="72"/>
      <c r="D788" s="72"/>
    </row>
    <row r="789" spans="1:4" ht="12.75" x14ac:dyDescent="0.2">
      <c r="A789" s="72"/>
      <c r="B789" s="72"/>
      <c r="C789" s="72"/>
      <c r="D789" s="72"/>
    </row>
    <row r="790" spans="1:4" ht="12.75" x14ac:dyDescent="0.2">
      <c r="A790" s="72"/>
      <c r="B790" s="72"/>
      <c r="C790" s="72"/>
      <c r="D790" s="72"/>
    </row>
    <row r="791" spans="1:4" ht="12.75" x14ac:dyDescent="0.2">
      <c r="A791" s="72"/>
      <c r="B791" s="72"/>
      <c r="C791" s="72"/>
      <c r="D791" s="72"/>
    </row>
    <row r="792" spans="1:4" ht="12.75" x14ac:dyDescent="0.2">
      <c r="A792" s="72"/>
      <c r="B792" s="72"/>
      <c r="C792" s="72"/>
      <c r="D792" s="72"/>
    </row>
    <row r="793" spans="1:4" ht="12.75" x14ac:dyDescent="0.2">
      <c r="A793" s="72"/>
      <c r="B793" s="72"/>
      <c r="C793" s="72"/>
      <c r="D793" s="72"/>
    </row>
    <row r="794" spans="1:4" ht="12.75" x14ac:dyDescent="0.2">
      <c r="A794" s="72"/>
      <c r="B794" s="72"/>
      <c r="C794" s="72"/>
      <c r="D794" s="72"/>
    </row>
    <row r="795" spans="1:4" ht="12.75" x14ac:dyDescent="0.2">
      <c r="A795" s="72"/>
      <c r="B795" s="72"/>
      <c r="C795" s="72"/>
      <c r="D795" s="72"/>
    </row>
    <row r="796" spans="1:4" ht="12.75" x14ac:dyDescent="0.2">
      <c r="A796" s="72"/>
      <c r="B796" s="72"/>
      <c r="C796" s="72"/>
      <c r="D796" s="72"/>
    </row>
    <row r="797" spans="1:4" ht="12.75" x14ac:dyDescent="0.2">
      <c r="A797" s="72"/>
      <c r="B797" s="72"/>
      <c r="C797" s="72"/>
      <c r="D797" s="72"/>
    </row>
    <row r="798" spans="1:4" ht="12.75" x14ac:dyDescent="0.2">
      <c r="A798" s="72"/>
      <c r="B798" s="72"/>
      <c r="C798" s="72"/>
      <c r="D798" s="72"/>
    </row>
    <row r="799" spans="1:4" ht="12.75" x14ac:dyDescent="0.2">
      <c r="A799" s="72"/>
      <c r="B799" s="72"/>
      <c r="C799" s="72"/>
      <c r="D799" s="72"/>
    </row>
    <row r="800" spans="1:4" ht="12.75" x14ac:dyDescent="0.2">
      <c r="A800" s="72"/>
      <c r="B800" s="72"/>
      <c r="C800" s="72"/>
      <c r="D800" s="72"/>
    </row>
    <row r="801" spans="1:4" ht="12.75" x14ac:dyDescent="0.2">
      <c r="A801" s="72"/>
      <c r="B801" s="72"/>
      <c r="C801" s="72"/>
      <c r="D801" s="72"/>
    </row>
    <row r="802" spans="1:4" ht="12.75" x14ac:dyDescent="0.2">
      <c r="A802" s="72"/>
      <c r="B802" s="72"/>
      <c r="C802" s="72"/>
      <c r="D802" s="72"/>
    </row>
    <row r="803" spans="1:4" ht="12.75" x14ac:dyDescent="0.2">
      <c r="A803" s="72"/>
      <c r="B803" s="72"/>
      <c r="C803" s="72"/>
      <c r="D803" s="72"/>
    </row>
    <row r="804" spans="1:4" ht="12.75" x14ac:dyDescent="0.2">
      <c r="A804" s="72"/>
      <c r="B804" s="72"/>
      <c r="C804" s="72"/>
      <c r="D804" s="72"/>
    </row>
    <row r="805" spans="1:4" ht="12.75" x14ac:dyDescent="0.2">
      <c r="A805" s="72"/>
      <c r="B805" s="72"/>
      <c r="C805" s="72"/>
      <c r="D805" s="72"/>
    </row>
    <row r="806" spans="1:4" ht="12.75" x14ac:dyDescent="0.2">
      <c r="A806" s="72"/>
      <c r="B806" s="72"/>
      <c r="C806" s="72"/>
      <c r="D806" s="72"/>
    </row>
    <row r="807" spans="1:4" ht="12.75" x14ac:dyDescent="0.2">
      <c r="A807" s="72"/>
      <c r="B807" s="72"/>
      <c r="C807" s="72"/>
      <c r="D807" s="72"/>
    </row>
    <row r="808" spans="1:4" ht="12.75" x14ac:dyDescent="0.2">
      <c r="A808" s="72"/>
      <c r="B808" s="72"/>
      <c r="C808" s="72"/>
      <c r="D808" s="72"/>
    </row>
    <row r="809" spans="1:4" ht="12.75" x14ac:dyDescent="0.2">
      <c r="A809" s="72"/>
      <c r="B809" s="72"/>
      <c r="C809" s="72"/>
      <c r="D809" s="72"/>
    </row>
    <row r="810" spans="1:4" ht="12.75" x14ac:dyDescent="0.2">
      <c r="A810" s="72"/>
      <c r="B810" s="72"/>
      <c r="C810" s="72"/>
      <c r="D810" s="72"/>
    </row>
    <row r="811" spans="1:4" ht="12.75" x14ac:dyDescent="0.2">
      <c r="A811" s="72"/>
      <c r="B811" s="72"/>
      <c r="C811" s="72"/>
      <c r="D811" s="72"/>
    </row>
    <row r="812" spans="1:4" ht="12.75" x14ac:dyDescent="0.2">
      <c r="A812" s="72"/>
      <c r="B812" s="72"/>
      <c r="C812" s="72"/>
      <c r="D812" s="72"/>
    </row>
    <row r="813" spans="1:4" ht="12.75" x14ac:dyDescent="0.2">
      <c r="A813" s="72"/>
      <c r="B813" s="72"/>
      <c r="C813" s="72"/>
      <c r="D813" s="72"/>
    </row>
    <row r="814" spans="1:4" ht="12.75" x14ac:dyDescent="0.2">
      <c r="A814" s="72"/>
      <c r="B814" s="72"/>
      <c r="C814" s="72"/>
      <c r="D814" s="72"/>
    </row>
    <row r="815" spans="1:4" ht="12.75" x14ac:dyDescent="0.2">
      <c r="A815" s="72"/>
      <c r="B815" s="72"/>
      <c r="C815" s="72"/>
      <c r="D815" s="72"/>
    </row>
    <row r="816" spans="1:4" ht="12.75" x14ac:dyDescent="0.2">
      <c r="A816" s="72"/>
      <c r="B816" s="72"/>
      <c r="C816" s="72"/>
      <c r="D816" s="72"/>
    </row>
    <row r="817" spans="1:4" ht="12.75" x14ac:dyDescent="0.2">
      <c r="A817" s="72"/>
      <c r="B817" s="72"/>
      <c r="C817" s="72"/>
      <c r="D817" s="72"/>
    </row>
    <row r="818" spans="1:4" ht="12.75" x14ac:dyDescent="0.2">
      <c r="A818" s="72"/>
      <c r="B818" s="72"/>
      <c r="C818" s="72"/>
      <c r="D818" s="72"/>
    </row>
    <row r="819" spans="1:4" ht="12.75" x14ac:dyDescent="0.2">
      <c r="A819" s="72"/>
      <c r="B819" s="72"/>
      <c r="C819" s="72"/>
      <c r="D819" s="72"/>
    </row>
    <row r="820" spans="1:4" ht="12.75" x14ac:dyDescent="0.2">
      <c r="A820" s="72"/>
      <c r="B820" s="72"/>
      <c r="C820" s="72"/>
      <c r="D820" s="72"/>
    </row>
    <row r="821" spans="1:4" ht="12.75" x14ac:dyDescent="0.2">
      <c r="A821" s="72"/>
      <c r="B821" s="72"/>
      <c r="C821" s="72"/>
      <c r="D821" s="72"/>
    </row>
    <row r="822" spans="1:4" ht="12.75" x14ac:dyDescent="0.2">
      <c r="A822" s="72"/>
      <c r="B822" s="72"/>
      <c r="C822" s="72"/>
      <c r="D822" s="72"/>
    </row>
    <row r="823" spans="1:4" ht="12.75" x14ac:dyDescent="0.2">
      <c r="A823" s="72"/>
      <c r="B823" s="72"/>
      <c r="C823" s="72"/>
      <c r="D823" s="72"/>
    </row>
    <row r="824" spans="1:4" ht="12.75" x14ac:dyDescent="0.2">
      <c r="A824" s="72"/>
      <c r="B824" s="72"/>
      <c r="C824" s="72"/>
      <c r="D824" s="72"/>
    </row>
    <row r="825" spans="1:4" ht="12.75" x14ac:dyDescent="0.2">
      <c r="A825" s="72"/>
      <c r="B825" s="72"/>
      <c r="C825" s="72"/>
      <c r="D825" s="72"/>
    </row>
    <row r="826" spans="1:4" ht="12.75" x14ac:dyDescent="0.2">
      <c r="A826" s="72"/>
      <c r="B826" s="72"/>
      <c r="C826" s="72"/>
      <c r="D826" s="72"/>
    </row>
    <row r="827" spans="1:4" ht="12.75" x14ac:dyDescent="0.2">
      <c r="A827" s="72"/>
      <c r="B827" s="72"/>
      <c r="C827" s="72"/>
      <c r="D827" s="72"/>
    </row>
    <row r="828" spans="1:4" ht="12.75" x14ac:dyDescent="0.2">
      <c r="A828" s="72"/>
      <c r="B828" s="72"/>
      <c r="C828" s="72"/>
      <c r="D828" s="72"/>
    </row>
    <row r="829" spans="1:4" ht="12.75" x14ac:dyDescent="0.2">
      <c r="A829" s="72"/>
      <c r="B829" s="72"/>
      <c r="C829" s="72"/>
      <c r="D829" s="72"/>
    </row>
    <row r="830" spans="1:4" ht="12.75" x14ac:dyDescent="0.2">
      <c r="A830" s="72"/>
      <c r="B830" s="72"/>
      <c r="C830" s="72"/>
      <c r="D830" s="72"/>
    </row>
    <row r="831" spans="1:4" ht="12.75" x14ac:dyDescent="0.2">
      <c r="A831" s="72"/>
      <c r="B831" s="72"/>
      <c r="C831" s="72"/>
      <c r="D831" s="72"/>
    </row>
    <row r="832" spans="1:4" ht="12.75" x14ac:dyDescent="0.2">
      <c r="A832" s="72"/>
      <c r="B832" s="72"/>
      <c r="C832" s="72"/>
      <c r="D832" s="72"/>
    </row>
    <row r="833" spans="1:4" ht="12.75" x14ac:dyDescent="0.2">
      <c r="A833" s="72"/>
      <c r="B833" s="72"/>
      <c r="C833" s="72"/>
      <c r="D833" s="72"/>
    </row>
    <row r="834" spans="1:4" ht="12.75" x14ac:dyDescent="0.2">
      <c r="A834" s="72"/>
      <c r="B834" s="72"/>
      <c r="C834" s="72"/>
      <c r="D834" s="72"/>
    </row>
    <row r="835" spans="1:4" ht="12.75" x14ac:dyDescent="0.2">
      <c r="A835" s="72"/>
      <c r="B835" s="72"/>
      <c r="C835" s="72"/>
      <c r="D835" s="72"/>
    </row>
    <row r="836" spans="1:4" ht="12.75" x14ac:dyDescent="0.2">
      <c r="A836" s="72"/>
      <c r="B836" s="72"/>
      <c r="C836" s="72"/>
      <c r="D836" s="72"/>
    </row>
    <row r="837" spans="1:4" ht="12.75" x14ac:dyDescent="0.2">
      <c r="A837" s="72"/>
      <c r="B837" s="72"/>
      <c r="C837" s="72"/>
      <c r="D837" s="72"/>
    </row>
    <row r="838" spans="1:4" ht="12.75" x14ac:dyDescent="0.2">
      <c r="A838" s="72"/>
      <c r="B838" s="72"/>
      <c r="C838" s="72"/>
      <c r="D838" s="72"/>
    </row>
    <row r="839" spans="1:4" ht="12.75" x14ac:dyDescent="0.2">
      <c r="A839" s="72"/>
      <c r="B839" s="72"/>
      <c r="C839" s="72"/>
      <c r="D839" s="72"/>
    </row>
    <row r="840" spans="1:4" ht="12.75" x14ac:dyDescent="0.2">
      <c r="A840" s="72"/>
      <c r="B840" s="72"/>
      <c r="C840" s="72"/>
      <c r="D840" s="72"/>
    </row>
    <row r="841" spans="1:4" ht="12.75" x14ac:dyDescent="0.2">
      <c r="A841" s="72"/>
      <c r="B841" s="72"/>
      <c r="C841" s="72"/>
      <c r="D841" s="72"/>
    </row>
    <row r="842" spans="1:4" ht="12.75" x14ac:dyDescent="0.2">
      <c r="A842" s="72"/>
      <c r="B842" s="72"/>
      <c r="C842" s="72"/>
      <c r="D842" s="72"/>
    </row>
    <row r="843" spans="1:4" ht="12.75" x14ac:dyDescent="0.2">
      <c r="A843" s="72"/>
      <c r="B843" s="72"/>
      <c r="C843" s="72"/>
      <c r="D843" s="72"/>
    </row>
    <row r="844" spans="1:4" ht="12.75" x14ac:dyDescent="0.2">
      <c r="A844" s="72"/>
      <c r="B844" s="72"/>
      <c r="C844" s="72"/>
      <c r="D844" s="72"/>
    </row>
    <row r="845" spans="1:4" ht="12.75" x14ac:dyDescent="0.2">
      <c r="A845" s="72"/>
      <c r="B845" s="72"/>
      <c r="C845" s="72"/>
      <c r="D845" s="72"/>
    </row>
    <row r="846" spans="1:4" ht="12.75" x14ac:dyDescent="0.2">
      <c r="A846" s="72"/>
      <c r="B846" s="72"/>
      <c r="C846" s="72"/>
      <c r="D846" s="72"/>
    </row>
    <row r="847" spans="1:4" ht="12.75" x14ac:dyDescent="0.2">
      <c r="A847" s="72"/>
      <c r="B847" s="72"/>
      <c r="C847" s="72"/>
      <c r="D847" s="72"/>
    </row>
    <row r="848" spans="1:4" ht="12.75" x14ac:dyDescent="0.2">
      <c r="A848" s="72"/>
      <c r="B848" s="72"/>
      <c r="C848" s="72"/>
      <c r="D848" s="72"/>
    </row>
    <row r="849" spans="1:4" ht="12.75" x14ac:dyDescent="0.2">
      <c r="A849" s="72"/>
      <c r="B849" s="72"/>
      <c r="C849" s="72"/>
      <c r="D849" s="72"/>
    </row>
    <row r="850" spans="1:4" ht="12.75" x14ac:dyDescent="0.2">
      <c r="A850" s="72"/>
      <c r="B850" s="72"/>
      <c r="C850" s="72"/>
      <c r="D850" s="72"/>
    </row>
    <row r="851" spans="1:4" ht="12.75" x14ac:dyDescent="0.2">
      <c r="A851" s="72"/>
      <c r="B851" s="72"/>
      <c r="C851" s="72"/>
      <c r="D851" s="72"/>
    </row>
    <row r="852" spans="1:4" ht="12.75" x14ac:dyDescent="0.2">
      <c r="A852" s="72"/>
      <c r="B852" s="72"/>
      <c r="C852" s="72"/>
      <c r="D852" s="72"/>
    </row>
    <row r="853" spans="1:4" ht="12.75" x14ac:dyDescent="0.2">
      <c r="A853" s="72"/>
      <c r="B853" s="72"/>
      <c r="C853" s="72"/>
      <c r="D853" s="72"/>
    </row>
    <row r="854" spans="1:4" ht="12.75" x14ac:dyDescent="0.2">
      <c r="A854" s="72"/>
      <c r="B854" s="72"/>
      <c r="C854" s="72"/>
      <c r="D854" s="72"/>
    </row>
    <row r="855" spans="1:4" ht="12.75" x14ac:dyDescent="0.2">
      <c r="A855" s="72"/>
      <c r="B855" s="72"/>
      <c r="C855" s="72"/>
      <c r="D855" s="72"/>
    </row>
    <row r="856" spans="1:4" ht="12.75" x14ac:dyDescent="0.2">
      <c r="A856" s="72"/>
      <c r="B856" s="72"/>
      <c r="C856" s="72"/>
      <c r="D856" s="72"/>
    </row>
    <row r="857" spans="1:4" ht="12.75" x14ac:dyDescent="0.2">
      <c r="A857" s="72"/>
      <c r="B857" s="72"/>
      <c r="C857" s="72"/>
      <c r="D857" s="72"/>
    </row>
    <row r="858" spans="1:4" ht="12.75" x14ac:dyDescent="0.2">
      <c r="A858" s="72"/>
      <c r="B858" s="72"/>
      <c r="C858" s="72"/>
      <c r="D858" s="72"/>
    </row>
    <row r="859" spans="1:4" ht="12.75" x14ac:dyDescent="0.2">
      <c r="A859" s="72"/>
      <c r="B859" s="72"/>
      <c r="C859" s="72"/>
      <c r="D859" s="72"/>
    </row>
    <row r="860" spans="1:4" ht="12.75" x14ac:dyDescent="0.2">
      <c r="A860" s="72"/>
      <c r="B860" s="72"/>
      <c r="C860" s="72"/>
      <c r="D860" s="72"/>
    </row>
    <row r="861" spans="1:4" ht="12.75" x14ac:dyDescent="0.2">
      <c r="A861" s="72"/>
      <c r="B861" s="72"/>
      <c r="C861" s="72"/>
      <c r="D861" s="72"/>
    </row>
    <row r="862" spans="1:4" ht="12.75" x14ac:dyDescent="0.2">
      <c r="A862" s="72"/>
      <c r="B862" s="72"/>
      <c r="C862" s="72"/>
      <c r="D862" s="72"/>
    </row>
    <row r="863" spans="1:4" ht="12.75" x14ac:dyDescent="0.2">
      <c r="A863" s="72"/>
      <c r="B863" s="72"/>
      <c r="C863" s="72"/>
      <c r="D863" s="72"/>
    </row>
    <row r="864" spans="1:4" ht="12.75" x14ac:dyDescent="0.2">
      <c r="A864" s="72"/>
      <c r="B864" s="72"/>
      <c r="C864" s="72"/>
      <c r="D864" s="72"/>
    </row>
    <row r="865" spans="1:4" ht="12.75" x14ac:dyDescent="0.2">
      <c r="A865" s="72"/>
      <c r="B865" s="72"/>
      <c r="C865" s="72"/>
      <c r="D865" s="72"/>
    </row>
    <row r="866" spans="1:4" ht="12.75" x14ac:dyDescent="0.2">
      <c r="A866" s="72"/>
      <c r="B866" s="72"/>
      <c r="C866" s="72"/>
      <c r="D866" s="72"/>
    </row>
    <row r="867" spans="1:4" ht="12.75" x14ac:dyDescent="0.2">
      <c r="A867" s="72"/>
      <c r="B867" s="72"/>
      <c r="C867" s="72"/>
      <c r="D867" s="72"/>
    </row>
    <row r="868" spans="1:4" ht="12.75" x14ac:dyDescent="0.2">
      <c r="A868" s="72"/>
      <c r="B868" s="72"/>
      <c r="C868" s="72"/>
      <c r="D868" s="72"/>
    </row>
    <row r="869" spans="1:4" ht="12.75" x14ac:dyDescent="0.2">
      <c r="A869" s="72"/>
      <c r="B869" s="72"/>
      <c r="C869" s="72"/>
      <c r="D869" s="72"/>
    </row>
    <row r="870" spans="1:4" ht="12.75" x14ac:dyDescent="0.2">
      <c r="A870" s="72"/>
      <c r="B870" s="72"/>
      <c r="C870" s="72"/>
      <c r="D870" s="72"/>
    </row>
    <row r="871" spans="1:4" ht="12.75" x14ac:dyDescent="0.2">
      <c r="A871" s="72"/>
      <c r="B871" s="72"/>
      <c r="C871" s="72"/>
      <c r="D871" s="72"/>
    </row>
    <row r="872" spans="1:4" ht="12.75" x14ac:dyDescent="0.2">
      <c r="A872" s="72"/>
      <c r="B872" s="72"/>
      <c r="C872" s="72"/>
      <c r="D872" s="72"/>
    </row>
    <row r="873" spans="1:4" ht="12.75" x14ac:dyDescent="0.2">
      <c r="A873" s="72"/>
      <c r="B873" s="72"/>
      <c r="C873" s="72"/>
      <c r="D873" s="72"/>
    </row>
    <row r="874" spans="1:4" ht="12.75" x14ac:dyDescent="0.2">
      <c r="A874" s="72"/>
      <c r="B874" s="72"/>
      <c r="C874" s="72"/>
      <c r="D874" s="72"/>
    </row>
    <row r="875" spans="1:4" ht="12.75" x14ac:dyDescent="0.2">
      <c r="A875" s="72"/>
      <c r="B875" s="72"/>
      <c r="C875" s="72"/>
      <c r="D875" s="72"/>
    </row>
    <row r="876" spans="1:4" ht="12.75" x14ac:dyDescent="0.2">
      <c r="A876" s="72"/>
      <c r="B876" s="72"/>
      <c r="C876" s="72"/>
      <c r="D876" s="72"/>
    </row>
    <row r="877" spans="1:4" ht="12.75" x14ac:dyDescent="0.2">
      <c r="A877" s="72"/>
      <c r="B877" s="72"/>
      <c r="C877" s="72"/>
      <c r="D877" s="72"/>
    </row>
    <row r="878" spans="1:4" ht="12.75" x14ac:dyDescent="0.2">
      <c r="A878" s="72"/>
      <c r="B878" s="72"/>
      <c r="C878" s="72"/>
      <c r="D878" s="72"/>
    </row>
    <row r="879" spans="1:4" ht="12.75" x14ac:dyDescent="0.2">
      <c r="A879" s="72"/>
      <c r="B879" s="72"/>
      <c r="C879" s="72"/>
      <c r="D879" s="72"/>
    </row>
    <row r="880" spans="1:4" ht="12.75" x14ac:dyDescent="0.2">
      <c r="A880" s="72"/>
      <c r="B880" s="72"/>
      <c r="C880" s="72"/>
      <c r="D880" s="72"/>
    </row>
    <row r="881" spans="1:4" ht="12.75" x14ac:dyDescent="0.2">
      <c r="A881" s="72"/>
      <c r="B881" s="72"/>
      <c r="C881" s="72"/>
      <c r="D881" s="72"/>
    </row>
    <row r="882" spans="1:4" ht="12.75" x14ac:dyDescent="0.2">
      <c r="A882" s="72"/>
      <c r="B882" s="72"/>
      <c r="C882" s="72"/>
      <c r="D882" s="72"/>
    </row>
    <row r="883" spans="1:4" ht="12.75" x14ac:dyDescent="0.2">
      <c r="A883" s="72"/>
      <c r="B883" s="72"/>
      <c r="C883" s="72"/>
      <c r="D883" s="72"/>
    </row>
    <row r="884" spans="1:4" ht="12.75" x14ac:dyDescent="0.2">
      <c r="A884" s="72"/>
      <c r="B884" s="72"/>
      <c r="C884" s="72"/>
      <c r="D884" s="72"/>
    </row>
    <row r="885" spans="1:4" ht="12.75" x14ac:dyDescent="0.2">
      <c r="A885" s="72"/>
      <c r="B885" s="72"/>
      <c r="C885" s="72"/>
      <c r="D885" s="72"/>
    </row>
    <row r="886" spans="1:4" ht="12.75" x14ac:dyDescent="0.2">
      <c r="A886" s="72"/>
      <c r="B886" s="72"/>
      <c r="C886" s="72"/>
      <c r="D886" s="72"/>
    </row>
    <row r="887" spans="1:4" ht="12.75" x14ac:dyDescent="0.2">
      <c r="A887" s="72"/>
      <c r="B887" s="72"/>
      <c r="C887" s="72"/>
      <c r="D887" s="72"/>
    </row>
    <row r="888" spans="1:4" ht="12.75" x14ac:dyDescent="0.2">
      <c r="A888" s="72"/>
      <c r="B888" s="72"/>
      <c r="C888" s="72"/>
      <c r="D888" s="72"/>
    </row>
    <row r="889" spans="1:4" ht="12.75" x14ac:dyDescent="0.2">
      <c r="A889" s="72"/>
      <c r="B889" s="72"/>
      <c r="C889" s="72"/>
      <c r="D889" s="72"/>
    </row>
    <row r="890" spans="1:4" ht="12.75" x14ac:dyDescent="0.2">
      <c r="A890" s="72"/>
      <c r="B890" s="72"/>
      <c r="C890" s="72"/>
      <c r="D890" s="72"/>
    </row>
    <row r="891" spans="1:4" ht="12.75" x14ac:dyDescent="0.2">
      <c r="A891" s="72"/>
      <c r="B891" s="72"/>
      <c r="C891" s="72"/>
      <c r="D891" s="72"/>
    </row>
    <row r="892" spans="1:4" ht="12.75" x14ac:dyDescent="0.2">
      <c r="A892" s="72"/>
      <c r="B892" s="72"/>
      <c r="C892" s="72"/>
      <c r="D892" s="72"/>
    </row>
    <row r="893" spans="1:4" ht="12.75" x14ac:dyDescent="0.2">
      <c r="A893" s="72"/>
      <c r="B893" s="72"/>
      <c r="C893" s="72"/>
      <c r="D893" s="72"/>
    </row>
    <row r="894" spans="1:4" ht="12.75" x14ac:dyDescent="0.2">
      <c r="A894" s="72"/>
      <c r="B894" s="72"/>
      <c r="C894" s="72"/>
      <c r="D894" s="72"/>
    </row>
    <row r="895" spans="1:4" ht="12.75" x14ac:dyDescent="0.2">
      <c r="A895" s="72"/>
      <c r="B895" s="72"/>
      <c r="C895" s="72"/>
      <c r="D895" s="72"/>
    </row>
    <row r="896" spans="1:4" ht="12.75" x14ac:dyDescent="0.2">
      <c r="A896" s="72"/>
      <c r="B896" s="72"/>
      <c r="C896" s="72"/>
      <c r="D896" s="72"/>
    </row>
    <row r="897" spans="1:4" ht="12.75" x14ac:dyDescent="0.2">
      <c r="A897" s="72"/>
      <c r="B897" s="72"/>
      <c r="C897" s="72"/>
      <c r="D897" s="72"/>
    </row>
    <row r="898" spans="1:4" ht="12.75" x14ac:dyDescent="0.2">
      <c r="A898" s="72"/>
      <c r="B898" s="72"/>
      <c r="C898" s="72"/>
      <c r="D898" s="72"/>
    </row>
    <row r="899" spans="1:4" ht="12.75" x14ac:dyDescent="0.2">
      <c r="A899" s="72"/>
      <c r="B899" s="72"/>
      <c r="C899" s="72"/>
      <c r="D899" s="72"/>
    </row>
    <row r="900" spans="1:4" ht="12.75" x14ac:dyDescent="0.2">
      <c r="A900" s="72"/>
      <c r="B900" s="72"/>
      <c r="C900" s="72"/>
      <c r="D900" s="72"/>
    </row>
    <row r="901" spans="1:4" ht="12.75" x14ac:dyDescent="0.2">
      <c r="A901" s="72"/>
      <c r="B901" s="72"/>
      <c r="C901" s="72"/>
      <c r="D901" s="72"/>
    </row>
    <row r="902" spans="1:4" ht="12.75" x14ac:dyDescent="0.2">
      <c r="A902" s="72"/>
      <c r="B902" s="72"/>
      <c r="C902" s="72"/>
      <c r="D902" s="72"/>
    </row>
    <row r="903" spans="1:4" ht="12.75" x14ac:dyDescent="0.2">
      <c r="A903" s="72"/>
      <c r="B903" s="72"/>
      <c r="C903" s="72"/>
      <c r="D903" s="72"/>
    </row>
    <row r="904" spans="1:4" ht="12.75" x14ac:dyDescent="0.2">
      <c r="A904" s="72"/>
      <c r="B904" s="72"/>
      <c r="C904" s="72"/>
      <c r="D904" s="72"/>
    </row>
    <row r="905" spans="1:4" ht="12.75" x14ac:dyDescent="0.2">
      <c r="A905" s="72"/>
      <c r="B905" s="72"/>
      <c r="C905" s="72"/>
      <c r="D905" s="72"/>
    </row>
    <row r="906" spans="1:4" ht="12.75" x14ac:dyDescent="0.2">
      <c r="A906" s="72"/>
      <c r="B906" s="72"/>
      <c r="C906" s="72"/>
      <c r="D906" s="72"/>
    </row>
    <row r="907" spans="1:4" ht="12.75" x14ac:dyDescent="0.2">
      <c r="A907" s="72"/>
      <c r="B907" s="72"/>
      <c r="C907" s="72"/>
      <c r="D907" s="72"/>
    </row>
    <row r="908" spans="1:4" ht="12.75" x14ac:dyDescent="0.2">
      <c r="A908" s="72"/>
      <c r="B908" s="72"/>
      <c r="C908" s="72"/>
      <c r="D908" s="72"/>
    </row>
    <row r="909" spans="1:4" ht="12.75" x14ac:dyDescent="0.2">
      <c r="A909" s="72"/>
      <c r="B909" s="72"/>
      <c r="C909" s="72"/>
      <c r="D909" s="72"/>
    </row>
    <row r="910" spans="1:4" ht="12.75" x14ac:dyDescent="0.2">
      <c r="A910" s="72"/>
      <c r="B910" s="72"/>
      <c r="C910" s="72"/>
      <c r="D910" s="72"/>
    </row>
    <row r="911" spans="1:4" ht="12.75" x14ac:dyDescent="0.2">
      <c r="A911" s="72"/>
      <c r="B911" s="72"/>
      <c r="C911" s="72"/>
      <c r="D911" s="72"/>
    </row>
    <row r="912" spans="1:4" ht="12.75" x14ac:dyDescent="0.2">
      <c r="A912" s="72"/>
      <c r="B912" s="72"/>
      <c r="C912" s="72"/>
      <c r="D912" s="72"/>
    </row>
    <row r="913" spans="1:4" ht="12.75" x14ac:dyDescent="0.2">
      <c r="A913" s="72"/>
      <c r="B913" s="72"/>
      <c r="C913" s="72"/>
      <c r="D913" s="72"/>
    </row>
    <row r="914" spans="1:4" ht="12.75" x14ac:dyDescent="0.2">
      <c r="A914" s="72"/>
      <c r="B914" s="72"/>
      <c r="C914" s="72"/>
      <c r="D914" s="72"/>
    </row>
    <row r="915" spans="1:4" ht="12.75" x14ac:dyDescent="0.2">
      <c r="A915" s="72"/>
      <c r="B915" s="72"/>
      <c r="C915" s="72"/>
      <c r="D915" s="72"/>
    </row>
    <row r="916" spans="1:4" ht="12.75" x14ac:dyDescent="0.2">
      <c r="A916" s="72"/>
      <c r="B916" s="72"/>
      <c r="C916" s="72"/>
      <c r="D916" s="72"/>
    </row>
    <row r="917" spans="1:4" ht="12.75" x14ac:dyDescent="0.2">
      <c r="A917" s="72"/>
      <c r="B917" s="72"/>
      <c r="C917" s="72"/>
      <c r="D917" s="72"/>
    </row>
    <row r="918" spans="1:4" ht="12.75" x14ac:dyDescent="0.2">
      <c r="A918" s="72"/>
      <c r="B918" s="72"/>
      <c r="C918" s="72"/>
      <c r="D918" s="72"/>
    </row>
    <row r="919" spans="1:4" ht="12.75" x14ac:dyDescent="0.2">
      <c r="A919" s="72"/>
      <c r="B919" s="72"/>
      <c r="C919" s="72"/>
      <c r="D919" s="72"/>
    </row>
    <row r="920" spans="1:4" ht="12.75" x14ac:dyDescent="0.2">
      <c r="A920" s="72"/>
      <c r="B920" s="72"/>
      <c r="C920" s="72"/>
      <c r="D920" s="72"/>
    </row>
    <row r="921" spans="1:4" ht="12.75" x14ac:dyDescent="0.2">
      <c r="A921" s="72"/>
      <c r="B921" s="72"/>
      <c r="C921" s="72"/>
      <c r="D921" s="72"/>
    </row>
    <row r="922" spans="1:4" ht="12.75" x14ac:dyDescent="0.2">
      <c r="A922" s="72"/>
      <c r="B922" s="72"/>
      <c r="C922" s="72"/>
      <c r="D922" s="72"/>
    </row>
    <row r="923" spans="1:4" ht="12.75" x14ac:dyDescent="0.2">
      <c r="A923" s="72"/>
      <c r="B923" s="72"/>
      <c r="C923" s="72"/>
      <c r="D923" s="72"/>
    </row>
    <row r="924" spans="1:4" ht="12.75" x14ac:dyDescent="0.2">
      <c r="A924" s="72"/>
      <c r="B924" s="72"/>
      <c r="C924" s="72"/>
      <c r="D924" s="72"/>
    </row>
    <row r="925" spans="1:4" ht="12.75" x14ac:dyDescent="0.2">
      <c r="A925" s="72"/>
      <c r="B925" s="72"/>
      <c r="C925" s="72"/>
      <c r="D925" s="72"/>
    </row>
    <row r="926" spans="1:4" ht="12.75" x14ac:dyDescent="0.2">
      <c r="A926" s="72"/>
      <c r="B926" s="72"/>
      <c r="C926" s="72"/>
      <c r="D926" s="72"/>
    </row>
    <row r="927" spans="1:4" ht="12.75" x14ac:dyDescent="0.2">
      <c r="A927" s="72"/>
      <c r="B927" s="72"/>
      <c r="C927" s="72"/>
      <c r="D927" s="72"/>
    </row>
    <row r="928" spans="1:4" ht="12.75" x14ac:dyDescent="0.2">
      <c r="A928" s="72"/>
      <c r="B928" s="72"/>
      <c r="C928" s="72"/>
      <c r="D928" s="72"/>
    </row>
    <row r="929" spans="1:4" ht="12.75" x14ac:dyDescent="0.2">
      <c r="A929" s="72"/>
      <c r="B929" s="72"/>
      <c r="C929" s="72"/>
      <c r="D929" s="72"/>
    </row>
    <row r="930" spans="1:4" ht="12.75" x14ac:dyDescent="0.2">
      <c r="A930" s="72"/>
      <c r="B930" s="72"/>
      <c r="C930" s="72"/>
      <c r="D930" s="72"/>
    </row>
    <row r="931" spans="1:4" ht="12.75" x14ac:dyDescent="0.2">
      <c r="A931" s="72"/>
      <c r="B931" s="72"/>
      <c r="C931" s="72"/>
      <c r="D931" s="72"/>
    </row>
    <row r="932" spans="1:4" ht="12.75" x14ac:dyDescent="0.2">
      <c r="A932" s="72"/>
      <c r="B932" s="72"/>
      <c r="C932" s="72"/>
      <c r="D932" s="72"/>
    </row>
    <row r="933" spans="1:4" ht="12.75" x14ac:dyDescent="0.2">
      <c r="A933" s="72"/>
      <c r="B933" s="72"/>
      <c r="C933" s="72"/>
      <c r="D933" s="72"/>
    </row>
    <row r="934" spans="1:4" ht="12.75" x14ac:dyDescent="0.2">
      <c r="A934" s="72"/>
      <c r="B934" s="72"/>
      <c r="C934" s="72"/>
      <c r="D934" s="72"/>
    </row>
    <row r="935" spans="1:4" ht="12.75" x14ac:dyDescent="0.2">
      <c r="A935" s="72"/>
      <c r="B935" s="72"/>
      <c r="C935" s="72"/>
      <c r="D935" s="72"/>
    </row>
    <row r="936" spans="1:4" ht="12.75" x14ac:dyDescent="0.2">
      <c r="A936" s="72"/>
      <c r="B936" s="72"/>
      <c r="C936" s="72"/>
      <c r="D936" s="72"/>
    </row>
    <row r="937" spans="1:4" ht="12.75" x14ac:dyDescent="0.2">
      <c r="A937" s="72"/>
      <c r="B937" s="72"/>
      <c r="C937" s="72"/>
      <c r="D937" s="72"/>
    </row>
    <row r="938" spans="1:4" ht="12.75" x14ac:dyDescent="0.2">
      <c r="A938" s="72"/>
      <c r="B938" s="72"/>
      <c r="C938" s="72"/>
      <c r="D938" s="72"/>
    </row>
    <row r="939" spans="1:4" ht="12.75" x14ac:dyDescent="0.2">
      <c r="A939" s="72"/>
      <c r="B939" s="72"/>
      <c r="C939" s="72"/>
      <c r="D939" s="72"/>
    </row>
    <row r="940" spans="1:4" ht="12.75" x14ac:dyDescent="0.2">
      <c r="A940" s="72"/>
      <c r="B940" s="72"/>
      <c r="C940" s="72"/>
      <c r="D940" s="72"/>
    </row>
    <row r="941" spans="1:4" ht="12.75" x14ac:dyDescent="0.2">
      <c r="A941" s="72"/>
      <c r="B941" s="72"/>
      <c r="C941" s="72"/>
      <c r="D941" s="72"/>
    </row>
    <row r="942" spans="1:4" ht="12.75" x14ac:dyDescent="0.2">
      <c r="A942" s="72"/>
      <c r="B942" s="72"/>
      <c r="C942" s="72"/>
      <c r="D942" s="72"/>
    </row>
    <row r="943" spans="1:4" ht="12.75" x14ac:dyDescent="0.2">
      <c r="A943" s="72"/>
      <c r="B943" s="72"/>
      <c r="C943" s="72"/>
      <c r="D943" s="72"/>
    </row>
    <row r="944" spans="1:4" ht="12.75" x14ac:dyDescent="0.2">
      <c r="A944" s="72"/>
      <c r="B944" s="72"/>
      <c r="C944" s="72"/>
      <c r="D944" s="72"/>
    </row>
    <row r="945" spans="1:4" ht="12.75" x14ac:dyDescent="0.2">
      <c r="A945" s="72"/>
      <c r="B945" s="72"/>
      <c r="C945" s="72"/>
      <c r="D945" s="72"/>
    </row>
    <row r="946" spans="1:4" ht="12.75" x14ac:dyDescent="0.2">
      <c r="A946" s="72"/>
      <c r="B946" s="72"/>
      <c r="C946" s="72"/>
      <c r="D946" s="72"/>
    </row>
    <row r="947" spans="1:4" ht="12.75" x14ac:dyDescent="0.2">
      <c r="A947" s="72"/>
      <c r="B947" s="72"/>
      <c r="C947" s="72"/>
      <c r="D947" s="72"/>
    </row>
    <row r="948" spans="1:4" ht="12.75" x14ac:dyDescent="0.2">
      <c r="A948" s="72"/>
      <c r="B948" s="72"/>
      <c r="C948" s="72"/>
      <c r="D948" s="72"/>
    </row>
    <row r="949" spans="1:4" ht="12.75" x14ac:dyDescent="0.2">
      <c r="A949" s="72"/>
      <c r="B949" s="72"/>
      <c r="C949" s="72"/>
      <c r="D949" s="72"/>
    </row>
    <row r="950" spans="1:4" ht="12.75" x14ac:dyDescent="0.2">
      <c r="A950" s="72"/>
      <c r="B950" s="72"/>
      <c r="C950" s="72"/>
      <c r="D950" s="72"/>
    </row>
    <row r="951" spans="1:4" ht="12.75" x14ac:dyDescent="0.2">
      <c r="A951" s="72"/>
      <c r="B951" s="72"/>
      <c r="C951" s="72"/>
      <c r="D951" s="72"/>
    </row>
    <row r="952" spans="1:4" ht="12.75" x14ac:dyDescent="0.2">
      <c r="A952" s="72"/>
      <c r="B952" s="72"/>
      <c r="C952" s="72"/>
      <c r="D952" s="72"/>
    </row>
    <row r="953" spans="1:4" ht="12.75" x14ac:dyDescent="0.2">
      <c r="A953" s="72"/>
      <c r="B953" s="72"/>
      <c r="C953" s="72"/>
      <c r="D953" s="72"/>
    </row>
    <row r="954" spans="1:4" ht="12.75" x14ac:dyDescent="0.2">
      <c r="A954" s="72"/>
      <c r="B954" s="72"/>
      <c r="C954" s="72"/>
      <c r="D954" s="72"/>
    </row>
    <row r="955" spans="1:4" ht="12.75" x14ac:dyDescent="0.2">
      <c r="A955" s="72"/>
      <c r="B955" s="72"/>
      <c r="C955" s="72"/>
      <c r="D955" s="72"/>
    </row>
    <row r="956" spans="1:4" ht="12.75" x14ac:dyDescent="0.2">
      <c r="A956" s="72"/>
      <c r="B956" s="72"/>
      <c r="C956" s="72"/>
      <c r="D956" s="72"/>
    </row>
    <row r="957" spans="1:4" ht="12.75" x14ac:dyDescent="0.2">
      <c r="A957" s="72"/>
      <c r="B957" s="72"/>
      <c r="C957" s="72"/>
      <c r="D957" s="72"/>
    </row>
    <row r="958" spans="1:4" ht="12.75" x14ac:dyDescent="0.2">
      <c r="A958" s="72"/>
      <c r="B958" s="72"/>
      <c r="C958" s="72"/>
      <c r="D958" s="72"/>
    </row>
    <row r="959" spans="1:4" ht="12.75" x14ac:dyDescent="0.2">
      <c r="A959" s="72"/>
      <c r="B959" s="72"/>
      <c r="C959" s="72"/>
      <c r="D959" s="72"/>
    </row>
    <row r="960" spans="1:4" ht="12.75" x14ac:dyDescent="0.2">
      <c r="A960" s="72"/>
      <c r="B960" s="72"/>
      <c r="C960" s="72"/>
      <c r="D960" s="72"/>
    </row>
    <row r="961" spans="1:4" ht="12.75" x14ac:dyDescent="0.2">
      <c r="A961" s="72"/>
      <c r="B961" s="72"/>
      <c r="C961" s="72"/>
      <c r="D961" s="72"/>
    </row>
    <row r="962" spans="1:4" ht="12.75" x14ac:dyDescent="0.2">
      <c r="A962" s="72"/>
      <c r="B962" s="72"/>
      <c r="C962" s="72"/>
      <c r="D962" s="72"/>
    </row>
    <row r="963" spans="1:4" ht="12.75" x14ac:dyDescent="0.2">
      <c r="A963" s="72"/>
      <c r="B963" s="72"/>
      <c r="C963" s="72"/>
      <c r="D963" s="72"/>
    </row>
    <row r="964" spans="1:4" ht="12.75" x14ac:dyDescent="0.2">
      <c r="A964" s="72"/>
      <c r="B964" s="72"/>
      <c r="C964" s="72"/>
      <c r="D964" s="72"/>
    </row>
    <row r="965" spans="1:4" ht="12.75" x14ac:dyDescent="0.2">
      <c r="A965" s="72"/>
      <c r="B965" s="72"/>
      <c r="C965" s="72"/>
      <c r="D965" s="72"/>
    </row>
    <row r="966" spans="1:4" ht="12.75" x14ac:dyDescent="0.2">
      <c r="A966" s="72"/>
      <c r="B966" s="72"/>
      <c r="C966" s="72"/>
      <c r="D966" s="72"/>
    </row>
    <row r="967" spans="1:4" ht="12.75" x14ac:dyDescent="0.2">
      <c r="A967" s="72"/>
      <c r="B967" s="72"/>
      <c r="C967" s="72"/>
      <c r="D967" s="72"/>
    </row>
    <row r="968" spans="1:4" ht="12.75" x14ac:dyDescent="0.2">
      <c r="A968" s="72"/>
      <c r="B968" s="72"/>
      <c r="C968" s="72"/>
      <c r="D968" s="72"/>
    </row>
    <row r="969" spans="1:4" ht="12.75" x14ac:dyDescent="0.2">
      <c r="A969" s="72"/>
      <c r="B969" s="72"/>
      <c r="C969" s="72"/>
      <c r="D969" s="72"/>
    </row>
    <row r="970" spans="1:4" ht="12.75" x14ac:dyDescent="0.2">
      <c r="A970" s="72"/>
      <c r="B970" s="72"/>
      <c r="C970" s="72"/>
      <c r="D970" s="72"/>
    </row>
    <row r="971" spans="1:4" ht="12.75" x14ac:dyDescent="0.2">
      <c r="A971" s="72"/>
      <c r="B971" s="72"/>
      <c r="C971" s="72"/>
      <c r="D971" s="72"/>
    </row>
    <row r="972" spans="1:4" ht="12.75" x14ac:dyDescent="0.2">
      <c r="A972" s="72"/>
      <c r="B972" s="72"/>
      <c r="C972" s="72"/>
      <c r="D972" s="72"/>
    </row>
    <row r="973" spans="1:4" ht="12.75" x14ac:dyDescent="0.2">
      <c r="A973" s="72"/>
      <c r="B973" s="72"/>
      <c r="C973" s="72"/>
      <c r="D973" s="72"/>
    </row>
    <row r="974" spans="1:4" ht="12.75" x14ac:dyDescent="0.2">
      <c r="A974" s="72"/>
      <c r="B974" s="72"/>
      <c r="C974" s="72"/>
      <c r="D974" s="72"/>
    </row>
    <row r="975" spans="1:4" ht="12.75" x14ac:dyDescent="0.2">
      <c r="A975" s="72"/>
      <c r="B975" s="72"/>
      <c r="C975" s="72"/>
      <c r="D975" s="72"/>
    </row>
    <row r="976" spans="1:4" ht="12.75" x14ac:dyDescent="0.2">
      <c r="A976" s="72"/>
      <c r="B976" s="72"/>
      <c r="C976" s="72"/>
      <c r="D976" s="72"/>
    </row>
    <row r="977" spans="1:4" ht="12.75" x14ac:dyDescent="0.2">
      <c r="A977" s="72"/>
      <c r="B977" s="72"/>
      <c r="C977" s="72"/>
      <c r="D977" s="72"/>
    </row>
    <row r="978" spans="1:4" ht="12.75" x14ac:dyDescent="0.2">
      <c r="A978" s="72"/>
      <c r="B978" s="72"/>
      <c r="C978" s="72"/>
      <c r="D978" s="72"/>
    </row>
    <row r="979" spans="1:4" ht="12.75" x14ac:dyDescent="0.2">
      <c r="A979" s="72"/>
      <c r="B979" s="72"/>
      <c r="C979" s="72"/>
      <c r="D979" s="72"/>
    </row>
    <row r="980" spans="1:4" ht="12.75" x14ac:dyDescent="0.2">
      <c r="A980" s="72"/>
      <c r="B980" s="72"/>
      <c r="C980" s="72"/>
      <c r="D980" s="72"/>
    </row>
    <row r="981" spans="1:4" ht="12.75" x14ac:dyDescent="0.2">
      <c r="A981" s="72"/>
      <c r="B981" s="72"/>
      <c r="C981" s="72"/>
      <c r="D981" s="72"/>
    </row>
  </sheetData>
  <mergeCells count="3">
    <mergeCell ref="A5:C5"/>
    <mergeCell ref="A1:C1"/>
    <mergeCell ref="A9:C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workbookViewId="0">
      <selection activeCell="D8" sqref="D8"/>
    </sheetView>
  </sheetViews>
  <sheetFormatPr defaultRowHeight="12.75" x14ac:dyDescent="0.2"/>
  <cols>
    <col min="1" max="1" width="8.85546875" style="82" customWidth="1"/>
    <col min="2" max="2" width="16.85546875" style="82" customWidth="1"/>
  </cols>
  <sheetData>
    <row r="1" spans="1:2" x14ac:dyDescent="0.2">
      <c r="A1" s="50">
        <v>1</v>
      </c>
      <c r="B1" s="51">
        <v>9.4E-2</v>
      </c>
    </row>
    <row r="2" spans="1:2" x14ac:dyDescent="0.2">
      <c r="A2" s="50">
        <v>1.5</v>
      </c>
      <c r="B2" s="51">
        <v>0.135137432</v>
      </c>
    </row>
    <row r="3" spans="1:2" x14ac:dyDescent="0.2">
      <c r="A3" s="50">
        <v>2</v>
      </c>
      <c r="B3" s="51">
        <v>0.16639787</v>
      </c>
    </row>
    <row r="4" spans="1:2" x14ac:dyDescent="0.2">
      <c r="A4" s="50">
        <v>2.5</v>
      </c>
      <c r="B4" s="51">
        <v>0.192650919</v>
      </c>
    </row>
    <row r="5" spans="1:2" x14ac:dyDescent="0.2">
      <c r="A5" s="50">
        <v>3</v>
      </c>
      <c r="B5" s="51">
        <v>0.21573247000000001</v>
      </c>
    </row>
    <row r="6" spans="1:2" x14ac:dyDescent="0.2">
      <c r="A6" s="50">
        <v>3.5</v>
      </c>
      <c r="B6" s="51">
        <v>0.23657266099999999</v>
      </c>
    </row>
    <row r="7" spans="1:2" x14ac:dyDescent="0.2">
      <c r="A7" s="50">
        <v>4</v>
      </c>
      <c r="B7" s="51">
        <v>0.25572004999999998</v>
      </c>
    </row>
    <row r="8" spans="1:2" x14ac:dyDescent="0.2">
      <c r="A8" s="50">
        <v>4.5</v>
      </c>
      <c r="B8" s="51">
        <v>0.27353038099999999</v>
      </c>
    </row>
    <row r="9" spans="1:2" x14ac:dyDescent="0.2">
      <c r="A9" s="50">
        <v>5</v>
      </c>
      <c r="B9" s="51">
        <v>0.29024988000000002</v>
      </c>
    </row>
    <row r="10" spans="1:2" x14ac:dyDescent="0.2">
      <c r="A10" s="50">
        <v>5.5</v>
      </c>
      <c r="B10" s="51">
        <v>0.30605737700000002</v>
      </c>
    </row>
    <row r="11" spans="1:2" x14ac:dyDescent="0.2">
      <c r="A11" s="50">
        <v>6</v>
      </c>
      <c r="B11" s="51">
        <v>0.32108759999999997</v>
      </c>
    </row>
    <row r="12" spans="1:2" x14ac:dyDescent="0.2">
      <c r="A12" s="50">
        <v>6.5</v>
      </c>
      <c r="B12" s="51">
        <v>0.33544503599999997</v>
      </c>
    </row>
    <row r="13" spans="1:2" x14ac:dyDescent="0.2">
      <c r="A13" s="50">
        <v>7</v>
      </c>
      <c r="B13" s="51">
        <v>0.34921268</v>
      </c>
    </row>
    <row r="14" spans="1:2" x14ac:dyDescent="0.2">
      <c r="A14" s="50">
        <v>7.5</v>
      </c>
      <c r="B14" s="51">
        <v>0.36245775099999999</v>
      </c>
    </row>
    <row r="15" spans="1:2" x14ac:dyDescent="0.2">
      <c r="A15" s="50">
        <v>8</v>
      </c>
      <c r="B15" s="51">
        <v>0.37523559000000001</v>
      </c>
    </row>
    <row r="16" spans="1:2" x14ac:dyDescent="0.2">
      <c r="A16" s="50">
        <v>8.5</v>
      </c>
      <c r="B16" s="51">
        <v>0.387592406</v>
      </c>
    </row>
    <row r="17" spans="1:2" x14ac:dyDescent="0.2">
      <c r="A17" s="50">
        <v>9</v>
      </c>
      <c r="B17" s="51">
        <v>0.39956728000000002</v>
      </c>
    </row>
    <row r="18" spans="1:2" x14ac:dyDescent="0.2">
      <c r="A18" s="50">
        <v>9.5</v>
      </c>
      <c r="B18" s="51">
        <v>0.41119355099999999</v>
      </c>
    </row>
    <row r="19" spans="1:2" x14ac:dyDescent="0.2">
      <c r="A19" s="50">
        <v>10</v>
      </c>
      <c r="B19" s="51">
        <v>0.42250000999999998</v>
      </c>
    </row>
    <row r="20" spans="1:2" x14ac:dyDescent="0.2">
      <c r="A20" s="50">
        <v>10.5</v>
      </c>
      <c r="B20" s="51">
        <v>0.43292641900000001</v>
      </c>
    </row>
    <row r="21" spans="1:2" x14ac:dyDescent="0.2">
      <c r="A21" s="50">
        <v>11</v>
      </c>
      <c r="B21" s="51">
        <v>0.44310755000000002</v>
      </c>
    </row>
    <row r="22" spans="1:2" x14ac:dyDescent="0.2">
      <c r="A22" s="50">
        <v>11.5</v>
      </c>
      <c r="B22" s="51">
        <v>0.45305995780000002</v>
      </c>
    </row>
    <row r="23" spans="1:2" x14ac:dyDescent="0.2">
      <c r="A23" s="50">
        <v>12</v>
      </c>
      <c r="B23" s="51">
        <v>0.46279839</v>
      </c>
    </row>
    <row r="24" spans="1:2" x14ac:dyDescent="0.2">
      <c r="A24" s="50">
        <v>12.5</v>
      </c>
      <c r="B24" s="51">
        <v>0.47233608300000002</v>
      </c>
    </row>
    <row r="25" spans="1:2" x14ac:dyDescent="0.2">
      <c r="A25" s="50">
        <v>13</v>
      </c>
      <c r="B25" s="51">
        <v>0.48168495</v>
      </c>
    </row>
    <row r="26" spans="1:2" x14ac:dyDescent="0.2">
      <c r="A26" s="50">
        <v>13.5</v>
      </c>
      <c r="B26" s="51">
        <v>0.49085580000000001</v>
      </c>
    </row>
    <row r="27" spans="1:2" x14ac:dyDescent="0.2">
      <c r="A27" s="50">
        <v>14</v>
      </c>
      <c r="B27" s="51">
        <v>0.49985844000000001</v>
      </c>
    </row>
    <row r="28" spans="1:2" x14ac:dyDescent="0.2">
      <c r="A28" s="50">
        <v>14.5</v>
      </c>
      <c r="B28" s="51">
        <v>0.50870176499999997</v>
      </c>
    </row>
    <row r="29" spans="1:2" x14ac:dyDescent="0.2">
      <c r="A29" s="50">
        <v>15</v>
      </c>
      <c r="B29" s="51">
        <v>0.51739394999999999</v>
      </c>
    </row>
    <row r="30" spans="1:2" x14ac:dyDescent="0.2">
      <c r="A30" s="50">
        <v>15.5</v>
      </c>
      <c r="B30" s="51">
        <v>0.525942511</v>
      </c>
    </row>
    <row r="31" spans="1:2" x14ac:dyDescent="0.2">
      <c r="A31" s="50">
        <v>16</v>
      </c>
      <c r="B31" s="51">
        <v>0.53435432999999999</v>
      </c>
    </row>
    <row r="32" spans="1:2" x14ac:dyDescent="0.2">
      <c r="A32" s="50">
        <v>16.5</v>
      </c>
      <c r="B32" s="51">
        <v>0.54263576700000005</v>
      </c>
    </row>
    <row r="33" spans="1:2" x14ac:dyDescent="0.2">
      <c r="A33" s="50">
        <v>17</v>
      </c>
      <c r="B33" s="51">
        <v>0.55079268999999997</v>
      </c>
    </row>
    <row r="34" spans="1:2" x14ac:dyDescent="0.2">
      <c r="A34" s="50">
        <v>17.5</v>
      </c>
      <c r="B34" s="51">
        <v>0.55883057599999997</v>
      </c>
    </row>
    <row r="35" spans="1:2" x14ac:dyDescent="0.2">
      <c r="A35" s="50">
        <v>18</v>
      </c>
      <c r="B35" s="51">
        <v>0.56675452000000004</v>
      </c>
    </row>
    <row r="36" spans="1:2" x14ac:dyDescent="0.2">
      <c r="A36" s="50">
        <v>18.5</v>
      </c>
      <c r="B36" s="51">
        <v>0.574569153</v>
      </c>
    </row>
    <row r="37" spans="1:2" x14ac:dyDescent="0.2">
      <c r="A37" s="50">
        <v>19</v>
      </c>
      <c r="B37" s="51">
        <v>0.58227890999999998</v>
      </c>
    </row>
    <row r="38" spans="1:2" x14ac:dyDescent="0.2">
      <c r="A38" s="50">
        <v>19.5</v>
      </c>
      <c r="B38" s="51">
        <v>0.58988791699999998</v>
      </c>
    </row>
    <row r="39" spans="1:2" x14ac:dyDescent="0.2">
      <c r="A39" s="50">
        <v>20</v>
      </c>
      <c r="B39" s="51">
        <v>0.59740000999999998</v>
      </c>
    </row>
    <row r="40" spans="1:2" x14ac:dyDescent="0.2">
      <c r="A40" s="50">
        <v>20.5</v>
      </c>
      <c r="B40" s="51">
        <v>0.60481881400000004</v>
      </c>
    </row>
    <row r="41" spans="1:2" x14ac:dyDescent="0.2">
      <c r="A41" s="50">
        <v>21</v>
      </c>
      <c r="B41" s="51">
        <v>0.61215728999999997</v>
      </c>
    </row>
    <row r="42" spans="1:2" x14ac:dyDescent="0.2">
      <c r="A42" s="50">
        <v>21.5</v>
      </c>
      <c r="B42" s="51">
        <v>0.61939936500000004</v>
      </c>
    </row>
    <row r="43" spans="1:2" x14ac:dyDescent="0.2">
      <c r="A43" s="50">
        <v>22</v>
      </c>
      <c r="B43" s="51">
        <v>0.62656712999999997</v>
      </c>
    </row>
    <row r="44" spans="1:2" x14ac:dyDescent="0.2">
      <c r="A44" s="50">
        <v>22.5</v>
      </c>
      <c r="B44" s="51">
        <v>0.63364453300000001</v>
      </c>
    </row>
    <row r="45" spans="1:2" x14ac:dyDescent="0.2">
      <c r="A45" s="50">
        <v>23</v>
      </c>
      <c r="B45" s="51">
        <v>0.64065295</v>
      </c>
    </row>
    <row r="46" spans="1:2" x14ac:dyDescent="0.2">
      <c r="A46" s="50">
        <v>23.5</v>
      </c>
      <c r="B46" s="51">
        <v>0.64757642599999998</v>
      </c>
    </row>
    <row r="47" spans="1:2" x14ac:dyDescent="0.2">
      <c r="A47" s="50">
        <v>24</v>
      </c>
      <c r="B47" s="51">
        <v>0.65443563000000005</v>
      </c>
    </row>
    <row r="48" spans="1:2" x14ac:dyDescent="0.2">
      <c r="A48" s="50">
        <v>24.5</v>
      </c>
      <c r="B48" s="51">
        <v>0.66121480600000004</v>
      </c>
    </row>
    <row r="49" spans="1:2" x14ac:dyDescent="0.2">
      <c r="A49" s="50">
        <v>25</v>
      </c>
      <c r="B49" s="51">
        <v>0.66793400000000003</v>
      </c>
    </row>
    <row r="50" spans="1:2" x14ac:dyDescent="0.2">
      <c r="A50" s="50">
        <v>25.5</v>
      </c>
      <c r="B50" s="51">
        <v>0.674577537</v>
      </c>
    </row>
    <row r="51" spans="1:2" x14ac:dyDescent="0.2">
      <c r="A51" s="50">
        <v>26</v>
      </c>
      <c r="B51" s="51">
        <v>0.68116491999999995</v>
      </c>
    </row>
    <row r="52" spans="1:2" x14ac:dyDescent="0.2">
      <c r="A52" s="50">
        <v>26.5</v>
      </c>
      <c r="B52" s="51">
        <v>0.68768064799999995</v>
      </c>
    </row>
    <row r="53" spans="1:2" x14ac:dyDescent="0.2">
      <c r="A53" s="50">
        <v>27</v>
      </c>
      <c r="B53" s="51">
        <v>0.69414365</v>
      </c>
    </row>
    <row r="54" spans="1:2" x14ac:dyDescent="0.2">
      <c r="A54" s="50">
        <v>27.5</v>
      </c>
      <c r="B54" s="51">
        <v>0.70053867299999995</v>
      </c>
    </row>
    <row r="55" spans="1:2" x14ac:dyDescent="0.2">
      <c r="A55" s="50">
        <v>28</v>
      </c>
      <c r="B55" s="51">
        <v>0.70688421000000001</v>
      </c>
    </row>
    <row r="56" spans="1:2" x14ac:dyDescent="0.2">
      <c r="A56" s="50">
        <v>28.5</v>
      </c>
      <c r="B56" s="51">
        <v>0.71316499600000005</v>
      </c>
    </row>
    <row r="57" spans="1:2" x14ac:dyDescent="0.2">
      <c r="A57" s="50">
        <v>29</v>
      </c>
      <c r="B57" s="51">
        <v>0.71939909000000002</v>
      </c>
    </row>
    <row r="58" spans="1:2" x14ac:dyDescent="0.2">
      <c r="A58" s="50">
        <v>29.5</v>
      </c>
      <c r="B58" s="51">
        <v>0.72557155200000001</v>
      </c>
    </row>
    <row r="59" spans="1:2" x14ac:dyDescent="0.2">
      <c r="A59" s="50">
        <v>30</v>
      </c>
      <c r="B59" s="51">
        <v>0.73170000000000002</v>
      </c>
    </row>
    <row r="60" spans="1:2" x14ac:dyDescent="0.2">
      <c r="A60" s="50">
        <v>30.5</v>
      </c>
      <c r="B60" s="51">
        <v>0.73474100899999994</v>
      </c>
    </row>
    <row r="61" spans="1:2" x14ac:dyDescent="0.2">
      <c r="A61" s="50">
        <v>31</v>
      </c>
      <c r="B61" s="51">
        <v>0.73776947999999998</v>
      </c>
    </row>
    <row r="62" spans="1:2" x14ac:dyDescent="0.2">
      <c r="A62" s="50">
        <v>31.5</v>
      </c>
      <c r="B62" s="51">
        <v>0.740785574</v>
      </c>
    </row>
    <row r="63" spans="1:2" x14ac:dyDescent="0.2">
      <c r="A63" s="50">
        <v>32</v>
      </c>
      <c r="B63" s="51">
        <v>0.74378942999999997</v>
      </c>
    </row>
    <row r="64" spans="1:2" x14ac:dyDescent="0.2">
      <c r="A64" s="50">
        <v>32.5</v>
      </c>
      <c r="B64" s="51">
        <v>0.74678121099999994</v>
      </c>
    </row>
    <row r="65" spans="1:2" x14ac:dyDescent="0.2">
      <c r="A65" s="50">
        <v>33</v>
      </c>
      <c r="B65" s="51">
        <v>0.74976103999999999</v>
      </c>
    </row>
    <row r="66" spans="1:2" x14ac:dyDescent="0.2">
      <c r="A66" s="50">
        <v>33.5</v>
      </c>
      <c r="B66" s="51">
        <v>0.75272908699999996</v>
      </c>
    </row>
    <row r="67" spans="1:2" x14ac:dyDescent="0.2">
      <c r="A67" s="50">
        <v>34</v>
      </c>
      <c r="B67" s="51">
        <v>0.75568550999999995</v>
      </c>
    </row>
    <row r="68" spans="1:2" x14ac:dyDescent="0.2">
      <c r="A68" s="50">
        <v>34.5</v>
      </c>
      <c r="B68" s="51">
        <v>0.75863037799999999</v>
      </c>
    </row>
    <row r="69" spans="1:2" x14ac:dyDescent="0.2">
      <c r="A69" s="50">
        <v>35</v>
      </c>
      <c r="B69" s="51">
        <v>0.76156383999999999</v>
      </c>
    </row>
    <row r="70" spans="1:2" x14ac:dyDescent="0.2">
      <c r="A70" s="50">
        <v>35.5</v>
      </c>
      <c r="B70" s="51">
        <v>0.76448606500000005</v>
      </c>
    </row>
    <row r="71" spans="1:2" x14ac:dyDescent="0.2">
      <c r="A71" s="50">
        <v>36</v>
      </c>
      <c r="B71" s="51">
        <v>0.76739716999999996</v>
      </c>
    </row>
    <row r="72" spans="1:2" x14ac:dyDescent="0.2">
      <c r="A72" s="50">
        <v>36.5</v>
      </c>
      <c r="B72" s="51">
        <v>0.77029726600000004</v>
      </c>
    </row>
    <row r="73" spans="1:2" x14ac:dyDescent="0.2">
      <c r="A73" s="50">
        <v>37</v>
      </c>
      <c r="B73" s="51">
        <v>0.7731865</v>
      </c>
    </row>
    <row r="74" spans="1:2" x14ac:dyDescent="0.2">
      <c r="A74" s="50">
        <v>37.5</v>
      </c>
      <c r="B74" s="51">
        <v>0.77606496199999997</v>
      </c>
    </row>
    <row r="75" spans="1:2" x14ac:dyDescent="0.2">
      <c r="A75" s="50">
        <v>38</v>
      </c>
      <c r="B75" s="51">
        <v>0.77893274999999995</v>
      </c>
    </row>
    <row r="76" spans="1:2" x14ac:dyDescent="0.2">
      <c r="A76" s="50">
        <v>38.5</v>
      </c>
      <c r="B76" s="51">
        <v>0.78179005499999998</v>
      </c>
    </row>
    <row r="77" spans="1:2" x14ac:dyDescent="0.2">
      <c r="A77" s="50">
        <v>39</v>
      </c>
      <c r="B77" s="51">
        <v>0.78463696999999999</v>
      </c>
    </row>
    <row r="78" spans="1:2" x14ac:dyDescent="0.2">
      <c r="A78" s="50">
        <v>39.5</v>
      </c>
      <c r="B78" s="51">
        <v>0.78747357799999995</v>
      </c>
    </row>
    <row r="79" spans="1:2" x14ac:dyDescent="0.2">
      <c r="A79" s="50">
        <v>40</v>
      </c>
      <c r="B79" s="51">
        <v>0.79030001000000005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125</vt:i4>
      </vt:variant>
    </vt:vector>
  </HeadingPairs>
  <TitlesOfParts>
    <vt:vector size="133" baseType="lpstr">
      <vt:lpstr>Combination Data</vt:lpstr>
      <vt:lpstr>Species Data</vt:lpstr>
      <vt:lpstr>Quick Move Data</vt:lpstr>
      <vt:lpstr>Charge Move Data</vt:lpstr>
      <vt:lpstr>Type Data</vt:lpstr>
      <vt:lpstr>Game Data</vt:lpstr>
      <vt:lpstr>Versions, Issues &amp; Features</vt:lpstr>
      <vt:lpstr>LevelCP</vt:lpstr>
      <vt:lpstr>CF_High_Attack</vt:lpstr>
      <vt:lpstr>CF_High_CDPE</vt:lpstr>
      <vt:lpstr>CF_High_CDPS</vt:lpstr>
      <vt:lpstr>CF_High_Critical_Percent</vt:lpstr>
      <vt:lpstr>CF_High_DDPS</vt:lpstr>
      <vt:lpstr>CF_High_Defense</vt:lpstr>
      <vt:lpstr>CF_High_Dodge_Window</vt:lpstr>
      <vt:lpstr>CF_High_Duel_Ability</vt:lpstr>
      <vt:lpstr>CF_High_Gym_Defense</vt:lpstr>
      <vt:lpstr>CF_High_Gym_Offense</vt:lpstr>
      <vt:lpstr>CF_High_ODPS</vt:lpstr>
      <vt:lpstr>CF_High_QDPS</vt:lpstr>
      <vt:lpstr>CF_High_QEPS</vt:lpstr>
      <vt:lpstr>CF_High_Stamina</vt:lpstr>
      <vt:lpstr>CF_High_Tankiness</vt:lpstr>
      <vt:lpstr>CF_Low_Attack</vt:lpstr>
      <vt:lpstr>CF_Low_CDPE</vt:lpstr>
      <vt:lpstr>CF_Low_CDPS</vt:lpstr>
      <vt:lpstr>CF_Low_Critical_Percent</vt:lpstr>
      <vt:lpstr>CF_Low_DDPS</vt:lpstr>
      <vt:lpstr>CF_Low_Defense</vt:lpstr>
      <vt:lpstr>CF_Low_Dodge_Window</vt:lpstr>
      <vt:lpstr>CF_Low_Duel_Ability</vt:lpstr>
      <vt:lpstr>CF_Low_Gym_Defense</vt:lpstr>
      <vt:lpstr>CF_Low_Gym_Offense</vt:lpstr>
      <vt:lpstr>CF_Low_ODPS</vt:lpstr>
      <vt:lpstr>CF_Low_QDPS</vt:lpstr>
      <vt:lpstr>CF_Low_QEPS</vt:lpstr>
      <vt:lpstr>CF_Low_Stamina</vt:lpstr>
      <vt:lpstr>CF_Low_Tankiness</vt:lpstr>
      <vt:lpstr>CF_Med_Attack</vt:lpstr>
      <vt:lpstr>CF_Med_CDPE</vt:lpstr>
      <vt:lpstr>CF_Med_CDPS</vt:lpstr>
      <vt:lpstr>CF_Med_Critical_Percent</vt:lpstr>
      <vt:lpstr>CF_Med_DDPS</vt:lpstr>
      <vt:lpstr>CF_Med_Defense</vt:lpstr>
      <vt:lpstr>CF_Med_Dodge_Window</vt:lpstr>
      <vt:lpstr>CF_Med_Duel_Ability</vt:lpstr>
      <vt:lpstr>CF_Med_Gym_Defense</vt:lpstr>
      <vt:lpstr>CF_Med_Gym_Offense</vt:lpstr>
      <vt:lpstr>CF_Med_ODPS</vt:lpstr>
      <vt:lpstr>CF_Med_QDPS</vt:lpstr>
      <vt:lpstr>CF_Med_QEPS</vt:lpstr>
      <vt:lpstr>CF_Med_Stamina</vt:lpstr>
      <vt:lpstr>CF_Med_Tankiness</vt:lpstr>
      <vt:lpstr>Charge_CDPE</vt:lpstr>
      <vt:lpstr>Charge_CDPS</vt:lpstr>
      <vt:lpstr>Charge_Critical_Percent</vt:lpstr>
      <vt:lpstr>Charge_Dodge_Window</vt:lpstr>
      <vt:lpstr>Charge_Duration</vt:lpstr>
      <vt:lpstr>Charge_Energy_Cost</vt:lpstr>
      <vt:lpstr>Charge_Names</vt:lpstr>
      <vt:lpstr>Charge_Number</vt:lpstr>
      <vt:lpstr>Charge_Power</vt:lpstr>
      <vt:lpstr>Charge_Type</vt:lpstr>
      <vt:lpstr>Combo_Defense_Rank</vt:lpstr>
      <vt:lpstr>Combo_Duel_Ability</vt:lpstr>
      <vt:lpstr>Combo_Gym_Defense</vt:lpstr>
      <vt:lpstr>Combo_Gym_Offense</vt:lpstr>
      <vt:lpstr>Combo_Offense_Rank</vt:lpstr>
      <vt:lpstr>Combo_Opponent_Type_1</vt:lpstr>
      <vt:lpstr>Combo_Opponent_Type_2</vt:lpstr>
      <vt:lpstr>Combo_Species_Names</vt:lpstr>
      <vt:lpstr>Game_Battle_Length</vt:lpstr>
      <vt:lpstr>Game_Charge_Delay</vt:lpstr>
      <vt:lpstr>Game_CP_Multipliers</vt:lpstr>
      <vt:lpstr>Game_Critical_Multiplier</vt:lpstr>
      <vt:lpstr>Game_Levels</vt:lpstr>
      <vt:lpstr>Game_Max_IV_Attack</vt:lpstr>
      <vt:lpstr>Game_Max_IV_Defense</vt:lpstr>
      <vt:lpstr>Game_Max_IV_Stamina</vt:lpstr>
      <vt:lpstr>Game_Min_IV_Attack</vt:lpstr>
      <vt:lpstr>Game_Min_IV_Defense</vt:lpstr>
      <vt:lpstr>Game_Min_IV_Stamina</vt:lpstr>
      <vt:lpstr>Game_Non_Std_Delay</vt:lpstr>
      <vt:lpstr>Game_Non_Std_Delay_Moves</vt:lpstr>
      <vt:lpstr>Game_STAB_Multiplier</vt:lpstr>
      <vt:lpstr>Game_Std_Defense_Delay</vt:lpstr>
      <vt:lpstr>Game_Type_Multipliers</vt:lpstr>
      <vt:lpstr>Game_Type_Number</vt:lpstr>
      <vt:lpstr>Game_Type01</vt:lpstr>
      <vt:lpstr>Game_Type02</vt:lpstr>
      <vt:lpstr>Game_Type03</vt:lpstr>
      <vt:lpstr>Game_Type04</vt:lpstr>
      <vt:lpstr>Game_Type05</vt:lpstr>
      <vt:lpstr>Game_Type06</vt:lpstr>
      <vt:lpstr>Game_Type07</vt:lpstr>
      <vt:lpstr>Game_Type08</vt:lpstr>
      <vt:lpstr>Game_Type09</vt:lpstr>
      <vt:lpstr>Game_Type10</vt:lpstr>
      <vt:lpstr>Game_Type11</vt:lpstr>
      <vt:lpstr>Game_Type12</vt:lpstr>
      <vt:lpstr>Game_Type13</vt:lpstr>
      <vt:lpstr>Game_Type14</vt:lpstr>
      <vt:lpstr>Game_Type15</vt:lpstr>
      <vt:lpstr>Game_Type16</vt:lpstr>
      <vt:lpstr>Game_Type17</vt:lpstr>
      <vt:lpstr>Game_Type18</vt:lpstr>
      <vt:lpstr>Game_Types</vt:lpstr>
      <vt:lpstr>Game_Weave_Human_Error</vt:lpstr>
      <vt:lpstr>Quick_Duration</vt:lpstr>
      <vt:lpstr>Quick_Energy</vt:lpstr>
      <vt:lpstr>Quick_Energy_Cost</vt:lpstr>
      <vt:lpstr>Quick_Names</vt:lpstr>
      <vt:lpstr>Quick_Number</vt:lpstr>
      <vt:lpstr>Quick_Power</vt:lpstr>
      <vt:lpstr>Quick_QDPS</vt:lpstr>
      <vt:lpstr>Quick_QEPS</vt:lpstr>
      <vt:lpstr>Quick_Type</vt:lpstr>
      <vt:lpstr>Species_Attack</vt:lpstr>
      <vt:lpstr>Species_Availability</vt:lpstr>
      <vt:lpstr>Species_Defense</vt:lpstr>
      <vt:lpstr>Species_Evo_Numbers</vt:lpstr>
      <vt:lpstr>Species_Level</vt:lpstr>
      <vt:lpstr>Species_Max_IV_CP</vt:lpstr>
      <vt:lpstr>Species_Min_IV_CP</vt:lpstr>
      <vt:lpstr>Species_Names</vt:lpstr>
      <vt:lpstr>Species_Pdex_Numbers</vt:lpstr>
      <vt:lpstr>Species_Stamina</vt:lpstr>
      <vt:lpstr>Species_Tankiness</vt:lpstr>
      <vt:lpstr>Species_Type_1</vt:lpstr>
      <vt:lpstr>Species_Type_2</vt:lpstr>
      <vt:lpstr>Type_Damage_Multipliers</vt:lpstr>
      <vt:lpstr>Type_Move</vt:lpstr>
      <vt:lpstr>Type_Species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dc:creator>
  <cp:lastModifiedBy>Marcin</cp:lastModifiedBy>
  <dcterms:created xsi:type="dcterms:W3CDTF">2016-08-17T09:39:04Z</dcterms:created>
  <dcterms:modified xsi:type="dcterms:W3CDTF">2016-08-18T12:26:55Z</dcterms:modified>
</cp:coreProperties>
</file>