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astorani/Sync/Data/PtReyes_data/PtReyes_seagrass_scar_data/Oyster-rack scar area measurements/"/>
    </mc:Choice>
  </mc:AlternateContent>
  <xr:revisionPtr revIDLastSave="0" documentId="13_ncr:1_{E34E8902-932E-8B4E-9CED-7382054CD6D3}" xr6:coauthVersionLast="46" xr6:coauthVersionMax="46" xr10:uidLastSave="{00000000-0000-0000-0000-000000000000}"/>
  <bookViews>
    <workbookView xWindow="0" yWindow="500" windowWidth="28800" windowHeight="17500" activeTab="1" xr2:uid="{BC4AA7B7-D988-C44C-9508-395D0F8E6D73}"/>
  </bookViews>
  <sheets>
    <sheet name="2017" sheetId="1" r:id="rId1"/>
    <sheet name="2018" sheetId="2" r:id="rId2"/>
    <sheet name="2019" sheetId="3" r:id="rId3"/>
    <sheet name="Total Seagrass Area"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4" l="1"/>
  <c r="D96" i="4"/>
  <c r="D95" i="4"/>
  <c r="D94" i="4"/>
  <c r="D93" i="4"/>
  <c r="D92" i="4"/>
  <c r="D91" i="4"/>
  <c r="D90" i="4"/>
  <c r="D89" i="4"/>
  <c r="D88" i="4"/>
  <c r="D87" i="4"/>
  <c r="D86" i="4"/>
  <c r="D85" i="4"/>
  <c r="E84" i="4"/>
  <c r="E83" i="4"/>
  <c r="E82" i="4"/>
  <c r="E81" i="4"/>
  <c r="D80" i="4"/>
  <c r="D79" i="4"/>
  <c r="D78" i="4"/>
  <c r="D77" i="4"/>
  <c r="D76" i="4"/>
  <c r="D75" i="4"/>
  <c r="D74" i="4"/>
  <c r="D73" i="4"/>
  <c r="D59" i="4"/>
  <c r="D58" i="4"/>
  <c r="D57" i="4"/>
  <c r="D56" i="4"/>
  <c r="D55" i="4"/>
  <c r="D54" i="4"/>
  <c r="D53" i="4"/>
  <c r="D52" i="4"/>
  <c r="D51" i="4"/>
  <c r="D50" i="4"/>
  <c r="D49" i="4"/>
  <c r="D48" i="4"/>
  <c r="D47" i="4"/>
  <c r="D46" i="4"/>
  <c r="D45" i="4"/>
  <c r="D44" i="4"/>
  <c r="D43" i="4"/>
  <c r="D42" i="4"/>
  <c r="D39" i="4"/>
  <c r="D41" i="4"/>
  <c r="D40" i="4"/>
  <c r="D38" i="4"/>
  <c r="D37" i="4"/>
  <c r="D36" i="4"/>
  <c r="D35" i="4"/>
  <c r="D34" i="4"/>
  <c r="D33" i="4"/>
  <c r="D32" i="4"/>
  <c r="D31" i="4"/>
  <c r="D30" i="4"/>
  <c r="D29" i="4"/>
  <c r="D28" i="4"/>
  <c r="D27" i="4"/>
  <c r="D26" i="4"/>
  <c r="D25" i="4"/>
  <c r="D24" i="4"/>
  <c r="D23" i="4"/>
  <c r="D22" i="4"/>
  <c r="D21" i="4"/>
  <c r="D20" i="4"/>
  <c r="D19" i="4"/>
  <c r="D18" i="4"/>
  <c r="D17" i="4"/>
  <c r="D16" i="4"/>
  <c r="D15" i="4"/>
  <c r="D14" i="4"/>
  <c r="D13" i="4"/>
  <c r="D11" i="4"/>
  <c r="D10" i="4"/>
  <c r="D9" i="4"/>
  <c r="D8" i="4"/>
  <c r="D7" i="4"/>
  <c r="D6" i="4"/>
  <c r="D5" i="4"/>
  <c r="D4" i="4"/>
  <c r="G13" i="3" l="1"/>
  <c r="G58" i="3"/>
  <c r="G57" i="3"/>
  <c r="G56" i="3" l="1"/>
  <c r="G55" i="3"/>
  <c r="G54" i="3"/>
  <c r="G12" i="3" l="1"/>
  <c r="G267" i="2" l="1"/>
  <c r="G263" i="2"/>
  <c r="G259" i="2"/>
  <c r="G255" i="2"/>
  <c r="G251" i="2"/>
  <c r="G262" i="2" l="1"/>
  <c r="G258" i="2"/>
  <c r="G265" i="2"/>
  <c r="G261" i="2"/>
  <c r="G257" i="2"/>
  <c r="G253" i="2"/>
  <c r="G249" i="2"/>
  <c r="G264" i="2"/>
  <c r="G256" i="2" l="1"/>
  <c r="G252" i="2"/>
  <c r="G248" i="2"/>
  <c r="G247" i="2"/>
  <c r="G246" i="2"/>
  <c r="G245" i="2"/>
  <c r="G239" i="2"/>
  <c r="G235" i="2" l="1"/>
  <c r="G237" i="2"/>
  <c r="G233" i="2"/>
  <c r="G229" i="2"/>
  <c r="G225" i="2"/>
  <c r="G244" i="2"/>
  <c r="G236" i="2" l="1"/>
  <c r="G232" i="2"/>
  <c r="G228" i="2" l="1"/>
  <c r="G224" i="2"/>
  <c r="G221" i="2"/>
  <c r="G209" i="2"/>
  <c r="G203" i="2"/>
  <c r="G200" i="2"/>
  <c r="G199" i="2"/>
  <c r="G196" i="2" l="1"/>
  <c r="G193" i="2"/>
  <c r="G197" i="2"/>
  <c r="G194" i="2"/>
  <c r="G191" i="2"/>
  <c r="G188" i="2"/>
  <c r="G133" i="2" l="1"/>
  <c r="G127" i="2"/>
  <c r="G124" i="2" l="1"/>
  <c r="G121" i="2"/>
  <c r="G143" i="2" l="1"/>
  <c r="G137" i="2"/>
  <c r="G134" i="2"/>
  <c r="G131" i="2"/>
  <c r="G128" i="2"/>
  <c r="G122" i="2"/>
  <c r="G147" i="2" l="1"/>
  <c r="G144" i="2"/>
  <c r="G138" i="2"/>
  <c r="G135" i="2"/>
  <c r="G132" i="2"/>
  <c r="G129" i="2"/>
  <c r="G126" i="2"/>
  <c r="G123" i="2"/>
  <c r="G98" i="2"/>
  <c r="G96" i="2"/>
  <c r="G97" i="2"/>
  <c r="G99" i="2" l="1"/>
  <c r="G120" i="2"/>
  <c r="G118" i="2"/>
  <c r="G115" i="2"/>
  <c r="G112" i="2"/>
  <c r="G109" i="2" l="1"/>
  <c r="G114" i="2"/>
  <c r="G111" i="2"/>
  <c r="G108" i="2"/>
  <c r="G106" i="2" l="1"/>
  <c r="G104" i="2"/>
  <c r="G90" i="2"/>
  <c r="G85" i="2"/>
  <c r="G83" i="2"/>
  <c r="G81" i="2"/>
  <c r="G79" i="2" l="1"/>
  <c r="G78" i="2"/>
  <c r="G77" i="2"/>
  <c r="G75" i="2"/>
  <c r="G76" i="2"/>
  <c r="G61" i="2" l="1"/>
  <c r="G48" i="2"/>
  <c r="G42" i="2"/>
  <c r="G11" i="2" l="1"/>
  <c r="G8" i="2"/>
  <c r="G5" i="2"/>
  <c r="G73" i="2" l="1"/>
  <c r="G70" i="2"/>
  <c r="G67" i="2"/>
  <c r="G64" i="2"/>
  <c r="G65" i="2"/>
  <c r="G46" i="2"/>
  <c r="G47" i="2"/>
  <c r="G49" i="2"/>
  <c r="G53" i="2" l="1"/>
  <c r="G45" i="2"/>
  <c r="G38" i="2"/>
  <c r="G39" i="2" l="1"/>
  <c r="G41" i="2"/>
  <c r="G40" i="2"/>
  <c r="G30" i="2"/>
  <c r="G31" i="2"/>
  <c r="G32" i="2"/>
  <c r="G21" i="2" l="1"/>
  <c r="G18" i="2"/>
  <c r="G16" i="2"/>
  <c r="G14" i="2"/>
  <c r="G12" i="2"/>
  <c r="G9" i="2"/>
  <c r="G6" i="2" l="1"/>
  <c r="G3" i="2"/>
  <c r="G223" i="2"/>
  <c r="G33" i="2" l="1"/>
  <c r="G62" i="2"/>
  <c r="G119" i="2"/>
  <c r="G110" i="2"/>
  <c r="G107" i="2"/>
  <c r="G105" i="2"/>
  <c r="G91" i="2" l="1"/>
  <c r="G86" i="2"/>
  <c r="G84" i="2"/>
  <c r="G82" i="2"/>
  <c r="G72" i="2" l="1"/>
  <c r="G69" i="2"/>
  <c r="G66" i="2"/>
  <c r="G22" i="2" l="1"/>
  <c r="G19" i="2"/>
  <c r="G13" i="2"/>
  <c r="G17" i="2"/>
  <c r="G15" i="2"/>
  <c r="G10" i="2"/>
  <c r="G7" i="2"/>
  <c r="G4" i="2"/>
  <c r="G222" i="2"/>
  <c r="G88" i="1" l="1"/>
  <c r="G87" i="1"/>
  <c r="G11" i="1"/>
  <c r="G95" i="1" l="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4420B7ED-444A-4B43-9D4B-900CA75F1835}">
      <text>
        <r>
          <rPr>
            <b/>
            <sz val="10"/>
            <color rgb="FF000000"/>
            <rFont val="Calibri"/>
            <family val="2"/>
            <scheme val="minor"/>
          </rPr>
          <t>Katharine Schlachter:</t>
        </r>
        <r>
          <rPr>
            <sz val="10"/>
            <color rgb="FF000000"/>
            <rFont val="Calibri"/>
            <family val="2"/>
            <scheme val="minor"/>
          </rPr>
          <t xml:space="preserve">
</t>
        </r>
        <r>
          <rPr>
            <sz val="10"/>
            <color rgb="FF000000"/>
            <rFont val="Calibri"/>
            <family val="2"/>
            <scheme val="minor"/>
          </rPr>
          <t xml:space="preserve">If racks were traced multiple times the one with the highest image quality and confidence was selected. If the rack was traced in multiple years with equal confidence than the most recent was selected. If the rack was traced multiple times in one year with equal confidence than the area measuements were averaged.  </t>
        </r>
        <r>
          <rPr>
            <sz val="10"/>
            <color rgb="FF000000"/>
            <rFont val="Calibri"/>
            <family val="2"/>
            <scheme val="minor"/>
          </rPr>
          <t xml:space="preserve">
</t>
        </r>
      </text>
    </comment>
  </commentList>
</comments>
</file>

<file path=xl/sharedStrings.xml><?xml version="1.0" encoding="utf-8"?>
<sst xmlns="http://schemas.openxmlformats.org/spreadsheetml/2006/main" count="3041" uniqueCount="215">
  <si>
    <t>Rack ID</t>
  </si>
  <si>
    <t>Area Unvegitated (m^2)</t>
  </si>
  <si>
    <t>6H</t>
  </si>
  <si>
    <t>4I</t>
  </si>
  <si>
    <t>6C</t>
  </si>
  <si>
    <t>22H</t>
  </si>
  <si>
    <t>22G</t>
  </si>
  <si>
    <t>22F</t>
  </si>
  <si>
    <t>22E</t>
  </si>
  <si>
    <t>22D</t>
  </si>
  <si>
    <t>22C</t>
  </si>
  <si>
    <t>22B</t>
  </si>
  <si>
    <t>22A</t>
  </si>
  <si>
    <t>21A</t>
  </si>
  <si>
    <t>21B</t>
  </si>
  <si>
    <t>21C</t>
  </si>
  <si>
    <t>21D</t>
  </si>
  <si>
    <t>11A</t>
  </si>
  <si>
    <t>11B</t>
  </si>
  <si>
    <t>11C</t>
  </si>
  <si>
    <t>11D</t>
  </si>
  <si>
    <t>11E</t>
  </si>
  <si>
    <t>11F</t>
  </si>
  <si>
    <t>11G</t>
  </si>
  <si>
    <t>11H</t>
  </si>
  <si>
    <t>11I</t>
  </si>
  <si>
    <t>11J</t>
  </si>
  <si>
    <t>11K</t>
  </si>
  <si>
    <t>11L</t>
  </si>
  <si>
    <t>11M</t>
  </si>
  <si>
    <t>12A</t>
  </si>
  <si>
    <t>12B</t>
  </si>
  <si>
    <t>13A</t>
  </si>
  <si>
    <t>13B</t>
  </si>
  <si>
    <t>13C</t>
  </si>
  <si>
    <t>9A</t>
  </si>
  <si>
    <t>9B</t>
  </si>
  <si>
    <t>9C</t>
  </si>
  <si>
    <t>9D</t>
  </si>
  <si>
    <t>9E</t>
  </si>
  <si>
    <t>9F</t>
  </si>
  <si>
    <t>9G</t>
  </si>
  <si>
    <t>9H</t>
  </si>
  <si>
    <t>9I</t>
  </si>
  <si>
    <t>8A</t>
  </si>
  <si>
    <t>8B</t>
  </si>
  <si>
    <t>8C</t>
  </si>
  <si>
    <t>8E</t>
  </si>
  <si>
    <t>8D</t>
  </si>
  <si>
    <t>8F</t>
  </si>
  <si>
    <t>8G</t>
  </si>
  <si>
    <t>8H</t>
  </si>
  <si>
    <t>8I</t>
  </si>
  <si>
    <t>8J</t>
  </si>
  <si>
    <t>8K</t>
  </si>
  <si>
    <t>8L</t>
  </si>
  <si>
    <t>8M</t>
  </si>
  <si>
    <t>8N</t>
  </si>
  <si>
    <t>8O</t>
  </si>
  <si>
    <t>8P</t>
  </si>
  <si>
    <t>8Q</t>
  </si>
  <si>
    <t>8R</t>
  </si>
  <si>
    <t>8S</t>
  </si>
  <si>
    <t>8T</t>
  </si>
  <si>
    <t>8U</t>
  </si>
  <si>
    <t>8V</t>
  </si>
  <si>
    <t>﻿689.914</t>
  </si>
  <si>
    <t>﻿642.573</t>
  </si>
  <si>
    <t>﻿647.761</t>
  </si>
  <si>
    <t>﻿805.975</t>
  </si>
  <si>
    <t>﻿1057.100</t>
  </si>
  <si>
    <t>﻿824.896</t>
  </si>
  <si>
    <t>﻿735.054</t>
  </si>
  <si>
    <t>﻿93.991</t>
  </si>
  <si>
    <t>﻿506.143</t>
  </si>
  <si>
    <t>34A</t>
  </si>
  <si>
    <t>4A</t>
  </si>
  <si>
    <t>4B</t>
  </si>
  <si>
    <t>4C</t>
  </si>
  <si>
    <t>4D</t>
  </si>
  <si>
    <t>4E</t>
  </si>
  <si>
    <t>4F</t>
  </si>
  <si>
    <t>4G</t>
  </si>
  <si>
    <t>4H</t>
  </si>
  <si>
    <t>6A</t>
  </si>
  <si>
    <t>6B</t>
  </si>
  <si>
    <t>6D</t>
  </si>
  <si>
    <t>6E</t>
  </si>
  <si>
    <t>6F</t>
  </si>
  <si>
    <t>6G</t>
  </si>
  <si>
    <t>6I</t>
  </si>
  <si>
    <t>6J</t>
  </si>
  <si>
    <t>6K</t>
  </si>
  <si>
    <t>41A</t>
  </si>
  <si>
    <t>41B</t>
  </si>
  <si>
    <t>41C</t>
  </si>
  <si>
    <t>41D</t>
  </si>
  <si>
    <t>41E</t>
  </si>
  <si>
    <t>41F</t>
  </si>
  <si>
    <t>﻿402.064</t>
  </si>
  <si>
    <t>﻿196.455</t>
  </si>
  <si>
    <t>﻿635.357</t>
  </si>
  <si>
    <t>﻿413.076</t>
  </si>
  <si>
    <t>38A</t>
  </si>
  <si>
    <t>38B</t>
  </si>
  <si>
    <t>38C</t>
  </si>
  <si>
    <t>38D</t>
  </si>
  <si>
    <t>38E</t>
  </si>
  <si>
    <t>38G</t>
  </si>
  <si>
    <t>﻿489.071</t>
  </si>
  <si>
    <t>﻿363.461</t>
  </si>
  <si>
    <t>﻿591.291</t>
  </si>
  <si>
    <t>Not Measured</t>
  </si>
  <si>
    <t xml:space="preserve">No Image </t>
  </si>
  <si>
    <t>﻿346.111</t>
  </si>
  <si>
    <t>﻿549.583</t>
  </si>
  <si>
    <t>﻿205.822</t>
  </si>
  <si>
    <t>﻿207.030</t>
  </si>
  <si>
    <t xml:space="preserve">Month </t>
  </si>
  <si>
    <t xml:space="preserve">Day </t>
  </si>
  <si>
    <t>Year</t>
  </si>
  <si>
    <t xml:space="preserve">Completion </t>
  </si>
  <si>
    <t>Notes</t>
  </si>
  <si>
    <t>-</t>
  </si>
  <si>
    <t xml:space="preserve">July </t>
  </si>
  <si>
    <t>May</t>
  </si>
  <si>
    <t>June</t>
  </si>
  <si>
    <t>September</t>
  </si>
  <si>
    <t>Full</t>
  </si>
  <si>
    <t xml:space="preserve">No rack visable </t>
  </si>
  <si>
    <t xml:space="preserve">August </t>
  </si>
  <si>
    <t xml:space="preserve">Partial </t>
  </si>
  <si>
    <t>July</t>
  </si>
  <si>
    <t>Parital</t>
  </si>
  <si>
    <t xml:space="preserve">Only top (NW) half of rack is pictured </t>
  </si>
  <si>
    <t xml:space="preserve">May </t>
  </si>
  <si>
    <t xml:space="preserve">Northern tip is not picutred </t>
  </si>
  <si>
    <t>Poor water quality, no rack visable</t>
  </si>
  <si>
    <t xml:space="preserve">Only southern half of the rack scar is pictured </t>
  </si>
  <si>
    <t xml:space="preserve">Poor water quality, scar is not visible </t>
  </si>
  <si>
    <t xml:space="preserve">Only southwest end pictured </t>
  </si>
  <si>
    <t xml:space="preserve">Top (NE) corner not pictured and poor water quality, scar not visible </t>
  </si>
  <si>
    <t>Image Quality</t>
  </si>
  <si>
    <t>High</t>
  </si>
  <si>
    <t>Medium</t>
  </si>
  <si>
    <t xml:space="preserve">Medium </t>
  </si>
  <si>
    <t>Low</t>
  </si>
  <si>
    <t>﻿978.290</t>
  </si>
  <si>
    <t>﻿2.455</t>
  </si>
  <si>
    <t>﻿1.931</t>
  </si>
  <si>
    <t>﻿1.762</t>
  </si>
  <si>
    <t>﻿187.981</t>
  </si>
  <si>
    <t xml:space="preserve">Most of the rack was traced on a 6/14 image with the northernmost tip drawn on a 6/13 image </t>
  </si>
  <si>
    <t>﻿200.630</t>
  </si>
  <si>
    <t xml:space="preserve">Glint </t>
  </si>
  <si>
    <t>Medium / Low</t>
  </si>
  <si>
    <t>Some areas obscured by guilt</t>
  </si>
  <si>
    <t>﻿329.232</t>
  </si>
  <si>
    <t>﻿5.643</t>
  </si>
  <si>
    <t>﻿234.105</t>
  </si>
  <si>
    <t>Partial</t>
  </si>
  <si>
    <t>August</t>
  </si>
  <si>
    <t>Poor water quality, scar is not visible (glint)</t>
  </si>
  <si>
    <t>Only western tip pictured, poor water quality and scar not visible (glint)</t>
  </si>
  <si>
    <t>Only north-western tip pictured, poor water quality and scar not visible (glint)</t>
  </si>
  <si>
    <t>Eastern tip not pictured. Poor water quality, scar is not visible (glint)</t>
  </si>
  <si>
    <t>Small section in the middle of eastern end not pictured and poor water quality, scar is not visible (glint)</t>
  </si>
  <si>
    <t>Only middle section pictured and poor water quality, scar is not visible (glint)</t>
  </si>
  <si>
    <t>﻿72.991</t>
  </si>
  <si>
    <t>Only north-western tip is pictured and no scar is visible</t>
  </si>
  <si>
    <t>Only middle section pictured and scar is not visible</t>
  </si>
  <si>
    <t>High / Medium</t>
  </si>
  <si>
    <t>Easten side clear and high quality but the western side is less clear</t>
  </si>
  <si>
    <t>Easten side where scar is clear and high quality but the western side is less clear</t>
  </si>
  <si>
    <t xml:space="preserve">Poor water quality, scar is not clear due to high turbidity </t>
  </si>
  <si>
    <t xml:space="preserve">Poor image quality, scar not visible </t>
  </si>
  <si>
    <t>End of scar is unclear, ends in a turbid area</t>
  </si>
  <si>
    <t>22 and 19</t>
  </si>
  <si>
    <t xml:space="preserve">Poor image quality, scar not visible due to large areas obscured by glint </t>
  </si>
  <si>
    <t>Turbidity in the water makes the rack hard to see, tracing may be an under or an overestimate</t>
  </si>
  <si>
    <t>No Image</t>
  </si>
  <si>
    <t xml:space="preserve">No rack visible </t>
  </si>
  <si>
    <t xml:space="preserve">Poor image quality, no rack visible </t>
  </si>
  <si>
    <t xml:space="preserve">Only southwest half of rack is pictured and the image is obscured by glint </t>
  </si>
  <si>
    <t xml:space="preserve">Only southeast tip of rack pictured </t>
  </si>
  <si>
    <t xml:space="preserve">Only middle section is pictured </t>
  </si>
  <si>
    <t xml:space="preserve">Middle section is not pictured </t>
  </si>
  <si>
    <t>Poor image quality, rack not visible</t>
  </si>
  <si>
    <t>Full Date</t>
  </si>
  <si>
    <t>2017-09-06</t>
  </si>
  <si>
    <t>2017-09-05</t>
  </si>
  <si>
    <t>2017-07-26</t>
  </si>
  <si>
    <t>2017-07-25</t>
  </si>
  <si>
    <t>2018-05-22</t>
  </si>
  <si>
    <t>2018-06-13</t>
  </si>
  <si>
    <t>2018-08-11</t>
  </si>
  <si>
    <t>2018-05-16</t>
  </si>
  <si>
    <t>2018-06-14</t>
  </si>
  <si>
    <t>2018-07-16</t>
  </si>
  <si>
    <t>2018-06-13.5</t>
  </si>
  <si>
    <t xml:space="preserve"> </t>
  </si>
  <si>
    <t>2018-05-22 and 19</t>
  </si>
  <si>
    <t>2018-05-21</t>
  </si>
  <si>
    <t>2018-06-16</t>
  </si>
  <si>
    <t>2018-08-12</t>
  </si>
  <si>
    <t xml:space="preserve">2018-06-13 </t>
  </si>
  <si>
    <t xml:space="preserve">2018-08-11 </t>
  </si>
  <si>
    <t>2019-05-23</t>
  </si>
  <si>
    <t>2019-05-22</t>
  </si>
  <si>
    <t>2019-05-18</t>
  </si>
  <si>
    <t>Rack ID vector goes off the image but seagrass recovery in June shows little to no scar in the area not imaged.</t>
  </si>
  <si>
    <t>Only a partial rack</t>
  </si>
  <si>
    <t>No rack visible</t>
  </si>
  <si>
    <t>Total Area Unvegitated (m^2)</t>
  </si>
  <si>
    <t>Area Unvegetated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</si>
</sst>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sz val="12"/>
      <color theme="0"/>
      <name val="Calibri"/>
      <family val="2"/>
      <scheme val="minor"/>
    </font>
    <font>
      <sz val="8"/>
      <name val="Calibri"/>
      <family val="2"/>
      <scheme val="minor"/>
    </font>
    <font>
      <b/>
      <sz val="12"/>
      <color rgb="FF000000"/>
      <name val="Calibri"/>
      <family val="2"/>
      <scheme val="minor"/>
    </font>
    <font>
      <sz val="10"/>
      <color rgb="FF000000"/>
      <name val="Calibri"/>
      <family val="2"/>
      <scheme val="minor"/>
    </font>
    <font>
      <b/>
      <sz val="10"/>
      <color rgb="FF00000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AEAAAA"/>
        <bgColor rgb="FF000000"/>
      </patternFill>
    </fill>
    <fill>
      <patternFill patternType="solid">
        <fgColor rgb="FFFF0000"/>
        <bgColor indexed="64"/>
      </patternFill>
    </fill>
    <fill>
      <patternFill patternType="solid">
        <fgColor theme="5"/>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rgb="FF002060"/>
        <bgColor indexed="64"/>
      </patternFill>
    </fill>
    <fill>
      <patternFill patternType="solid">
        <fgColor rgb="FF7030A0"/>
        <bgColor indexed="64"/>
      </patternFill>
    </fill>
    <fill>
      <patternFill patternType="solid">
        <fgColor rgb="FFB37ED5"/>
        <bgColor indexed="64"/>
      </patternFill>
    </fill>
    <fill>
      <patternFill patternType="solid">
        <fgColor rgb="FFFF3BFF"/>
        <bgColor indexed="64"/>
      </patternFill>
    </fill>
    <fill>
      <patternFill patternType="solid">
        <fgColor rgb="FFFF00BA"/>
        <bgColor indexed="64"/>
      </patternFill>
    </fill>
    <fill>
      <patternFill patternType="solid">
        <fgColor theme="0"/>
        <bgColor indexed="64"/>
      </patternFill>
    </fill>
  </fills>
  <borders count="57">
    <border>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medium">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80">
    <xf numFmtId="0" fontId="0" fillId="0" borderId="0" xfId="0"/>
    <xf numFmtId="14" fontId="0" fillId="0" borderId="0" xfId="0" applyNumberFormat="1"/>
    <xf numFmtId="14" fontId="2" fillId="0" borderId="0" xfId="0" applyNumberFormat="1" applyFont="1"/>
    <xf numFmtId="14" fontId="2" fillId="0" borderId="4" xfId="0" applyNumberFormat="1" applyFont="1" applyBorder="1" applyAlignment="1">
      <alignment horizontal="center"/>
    </xf>
    <xf numFmtId="14" fontId="0" fillId="0" borderId="4" xfId="0" applyNumberFormat="1" applyBorder="1" applyAlignment="1">
      <alignment horizontal="center"/>
    </xf>
    <xf numFmtId="0" fontId="0" fillId="0" borderId="4" xfId="0" applyBorder="1" applyAlignment="1">
      <alignment horizontal="center"/>
    </xf>
    <xf numFmtId="0" fontId="0" fillId="0" borderId="7" xfId="0" applyBorder="1" applyAlignment="1">
      <alignment horizontal="center"/>
    </xf>
    <xf numFmtId="14" fontId="2" fillId="0" borderId="0" xfId="0" applyNumberFormat="1" applyFont="1" applyBorder="1" applyAlignment="1">
      <alignment horizontal="center"/>
    </xf>
    <xf numFmtId="14" fontId="0" fillId="0" borderId="0" xfId="0" applyNumberFormat="1" applyBorder="1" applyAlignment="1">
      <alignment horizontal="center"/>
    </xf>
    <xf numFmtId="0" fontId="0" fillId="0" borderId="0" xfId="0" applyBorder="1" applyAlignment="1">
      <alignment horizontal="center"/>
    </xf>
    <xf numFmtId="14" fontId="0" fillId="0" borderId="9" xfId="0" applyNumberFormat="1" applyBorder="1" applyAlignment="1">
      <alignment horizontal="center"/>
    </xf>
    <xf numFmtId="0" fontId="0" fillId="0" borderId="0" xfId="0" applyFill="1" applyBorder="1" applyAlignment="1">
      <alignment horizontal="center"/>
    </xf>
    <xf numFmtId="0" fontId="0" fillId="0" borderId="7" xfId="0" applyFill="1" applyBorder="1" applyAlignment="1">
      <alignment horizontal="center"/>
    </xf>
    <xf numFmtId="0" fontId="0" fillId="0" borderId="4" xfId="0" applyFill="1" applyBorder="1" applyAlignment="1">
      <alignment horizontal="center"/>
    </xf>
    <xf numFmtId="0" fontId="0" fillId="0" borderId="6" xfId="0" applyBorder="1" applyAlignment="1">
      <alignment horizontal="center"/>
    </xf>
    <xf numFmtId="0" fontId="0" fillId="0" borderId="0" xfId="0" applyBorder="1"/>
    <xf numFmtId="0" fontId="0" fillId="0" borderId="11" xfId="0" applyBorder="1"/>
    <xf numFmtId="14" fontId="0" fillId="0" borderId="13" xfId="0" applyNumberFormat="1" applyBorder="1" applyAlignment="1">
      <alignment horizontal="center"/>
    </xf>
    <xf numFmtId="0" fontId="0" fillId="0" borderId="12" xfId="0" applyBorder="1" applyAlignment="1">
      <alignment horizontal="center"/>
    </xf>
    <xf numFmtId="0" fontId="0" fillId="0" borderId="14" xfId="0" applyBorder="1"/>
    <xf numFmtId="14" fontId="2" fillId="0" borderId="0" xfId="0" applyNumberFormat="1" applyFont="1" applyFill="1" applyBorder="1" applyAlignment="1">
      <alignment horizontal="center"/>
    </xf>
    <xf numFmtId="1" fontId="0" fillId="0" borderId="4" xfId="0" applyNumberFormat="1" applyBorder="1" applyAlignment="1">
      <alignment horizontal="center"/>
    </xf>
    <xf numFmtId="1" fontId="2" fillId="0" borderId="4" xfId="0" applyNumberFormat="1" applyFont="1" applyBorder="1" applyAlignment="1">
      <alignment horizontal="center"/>
    </xf>
    <xf numFmtId="1" fontId="0" fillId="0" borderId="0" xfId="0" applyNumberFormat="1" applyBorder="1" applyAlignment="1">
      <alignment horizontal="center"/>
    </xf>
    <xf numFmtId="1" fontId="2" fillId="0" borderId="0" xfId="0" applyNumberFormat="1" applyFont="1" applyBorder="1" applyAlignment="1">
      <alignment horizontal="center"/>
    </xf>
    <xf numFmtId="1" fontId="0" fillId="0" borderId="13" xfId="0" applyNumberFormat="1" applyBorder="1" applyAlignment="1">
      <alignment horizontal="center"/>
    </xf>
    <xf numFmtId="14" fontId="2" fillId="0" borderId="7" xfId="0" applyNumberFormat="1" applyFont="1" applyFill="1" applyBorder="1" applyAlignment="1">
      <alignment horizontal="center"/>
    </xf>
    <xf numFmtId="1" fontId="0" fillId="0" borderId="12" xfId="0" applyNumberFormat="1" applyBorder="1" applyAlignment="1">
      <alignment horizontal="center"/>
    </xf>
    <xf numFmtId="1" fontId="0" fillId="0" borderId="7" xfId="0" applyNumberFormat="1" applyFill="1" applyBorder="1" applyAlignment="1">
      <alignment horizontal="center"/>
    </xf>
    <xf numFmtId="14" fontId="2" fillId="0" borderId="12" xfId="0" applyNumberFormat="1" applyFont="1" applyBorder="1" applyAlignment="1">
      <alignment horizontal="center"/>
    </xf>
    <xf numFmtId="1" fontId="0" fillId="0" borderId="0" xfId="0" applyNumberFormat="1" applyFill="1" applyBorder="1" applyAlignment="1">
      <alignment horizontal="center"/>
    </xf>
    <xf numFmtId="0" fontId="0" fillId="0" borderId="15" xfId="0" applyBorder="1"/>
    <xf numFmtId="1" fontId="0" fillId="0" borderId="16" xfId="0" applyNumberFormat="1" applyFill="1" applyBorder="1" applyAlignment="1">
      <alignment horizontal="center"/>
    </xf>
    <xf numFmtId="0" fontId="0" fillId="0" borderId="1" xfId="0" applyBorder="1"/>
    <xf numFmtId="0" fontId="0" fillId="0" borderId="13" xfId="0" applyBorder="1" applyAlignment="1">
      <alignment horizontal="center"/>
    </xf>
    <xf numFmtId="0" fontId="2" fillId="0" borderId="4" xfId="0" applyFont="1" applyFill="1" applyBorder="1" applyAlignment="1">
      <alignment horizontal="center"/>
    </xf>
    <xf numFmtId="0" fontId="2" fillId="0" borderId="4" xfId="0" applyFont="1" applyBorder="1" applyAlignment="1">
      <alignment horizontal="center"/>
    </xf>
    <xf numFmtId="1" fontId="0" fillId="0" borderId="6" xfId="0" applyNumberFormat="1" applyBorder="1" applyAlignment="1">
      <alignment horizontal="center"/>
    </xf>
    <xf numFmtId="1" fontId="0" fillId="0" borderId="10" xfId="0" applyNumberFormat="1" applyBorder="1" applyAlignment="1">
      <alignment horizontal="center"/>
    </xf>
    <xf numFmtId="0" fontId="0" fillId="0" borderId="10" xfId="0" applyFill="1" applyBorder="1" applyAlignment="1">
      <alignment horizontal="center"/>
    </xf>
    <xf numFmtId="1" fontId="0" fillId="0" borderId="9" xfId="0" applyNumberFormat="1" applyBorder="1" applyAlignment="1">
      <alignment horizontal="center"/>
    </xf>
    <xf numFmtId="14" fontId="2" fillId="0" borderId="6" xfId="0" applyNumberFormat="1" applyFont="1" applyBorder="1" applyAlignment="1">
      <alignment horizontal="center"/>
    </xf>
    <xf numFmtId="0" fontId="0" fillId="0" borderId="1" xfId="0" applyFill="1" applyBorder="1"/>
    <xf numFmtId="0" fontId="0" fillId="0" borderId="18" xfId="0" applyBorder="1"/>
    <xf numFmtId="0" fontId="0" fillId="0" borderId="11" xfId="0" applyFill="1" applyBorder="1"/>
    <xf numFmtId="14" fontId="0" fillId="0" borderId="0" xfId="0" applyNumberFormat="1" applyFill="1" applyBorder="1" applyAlignment="1">
      <alignment horizontal="center"/>
    </xf>
    <xf numFmtId="0" fontId="0" fillId="0" borderId="0" xfId="0" applyFill="1"/>
    <xf numFmtId="0" fontId="2" fillId="0" borderId="7" xfId="0" applyFont="1" applyBorder="1" applyAlignment="1">
      <alignment horizontal="center"/>
    </xf>
    <xf numFmtId="0" fontId="0" fillId="0" borderId="16" xfId="0" applyBorder="1" applyAlignment="1">
      <alignment horizontal="center"/>
    </xf>
    <xf numFmtId="1" fontId="0" fillId="0" borderId="13" xfId="0" applyNumberFormat="1" applyFill="1" applyBorder="1" applyAlignment="1">
      <alignment horizontal="center"/>
    </xf>
    <xf numFmtId="1" fontId="0" fillId="0" borderId="4" xfId="0" applyNumberFormat="1" applyFill="1" applyBorder="1" applyAlignment="1">
      <alignment horizontal="center"/>
    </xf>
    <xf numFmtId="14" fontId="0" fillId="0" borderId="6" xfId="0" applyNumberFormat="1" applyBorder="1" applyAlignment="1">
      <alignment horizontal="center"/>
    </xf>
    <xf numFmtId="1" fontId="0" fillId="0" borderId="19" xfId="0" applyNumberFormat="1" applyFill="1" applyBorder="1" applyAlignment="1">
      <alignment horizontal="center"/>
    </xf>
    <xf numFmtId="1" fontId="0" fillId="0" borderId="9" xfId="0" applyNumberFormat="1" applyFill="1" applyBorder="1" applyAlignment="1">
      <alignment horizontal="center"/>
    </xf>
    <xf numFmtId="1" fontId="2" fillId="0" borderId="6" xfId="0" applyNumberFormat="1" applyFont="1" applyBorder="1" applyAlignment="1">
      <alignment horizontal="center"/>
    </xf>
    <xf numFmtId="1" fontId="2" fillId="0" borderId="9" xfId="0" applyNumberFormat="1" applyFont="1" applyBorder="1" applyAlignment="1">
      <alignment horizontal="center"/>
    </xf>
    <xf numFmtId="14" fontId="2" fillId="0" borderId="9" xfId="0" applyNumberFormat="1" applyFont="1" applyFill="1" applyBorder="1" applyAlignment="1">
      <alignment horizontal="center"/>
    </xf>
    <xf numFmtId="1" fontId="0" fillId="0" borderId="6" xfId="0" applyNumberFormat="1" applyFill="1" applyBorder="1" applyAlignment="1">
      <alignment horizontal="center"/>
    </xf>
    <xf numFmtId="14" fontId="2" fillId="0" borderId="19" xfId="0" applyNumberFormat="1" applyFont="1" applyFill="1" applyBorder="1" applyAlignment="1">
      <alignment horizontal="center"/>
    </xf>
    <xf numFmtId="1" fontId="0" fillId="0" borderId="7" xfId="0" applyNumberFormat="1" applyBorder="1" applyAlignment="1">
      <alignment horizontal="center"/>
    </xf>
    <xf numFmtId="0" fontId="0" fillId="0" borderId="10" xfId="0" applyBorder="1" applyAlignment="1">
      <alignment horizontal="center"/>
    </xf>
    <xf numFmtId="14" fontId="0" fillId="0" borderId="10" xfId="0" applyNumberFormat="1" applyBorder="1" applyAlignment="1">
      <alignment horizontal="center"/>
    </xf>
    <xf numFmtId="165" fontId="0" fillId="0" borderId="0" xfId="0" applyNumberFormat="1" applyBorder="1" applyAlignment="1">
      <alignment horizontal="center"/>
    </xf>
    <xf numFmtId="165" fontId="0" fillId="0" borderId="13" xfId="0" applyNumberFormat="1" applyBorder="1" applyAlignment="1">
      <alignment horizontal="center"/>
    </xf>
    <xf numFmtId="0" fontId="0" fillId="0" borderId="12" xfId="0" applyFill="1" applyBorder="1" applyAlignment="1">
      <alignment horizontal="center"/>
    </xf>
    <xf numFmtId="1" fontId="2" fillId="0" borderId="7" xfId="0" applyNumberFormat="1" applyFont="1" applyBorder="1" applyAlignment="1">
      <alignment horizontal="center"/>
    </xf>
    <xf numFmtId="0" fontId="0" fillId="5" borderId="22" xfId="0" applyFont="1" applyFill="1" applyBorder="1" applyAlignment="1">
      <alignment horizontal="center"/>
    </xf>
    <xf numFmtId="0" fontId="0" fillId="6" borderId="21" xfId="0" applyFont="1" applyFill="1" applyBorder="1" applyAlignment="1">
      <alignment horizontal="center"/>
    </xf>
    <xf numFmtId="0" fontId="0" fillId="6" borderId="21" xfId="0" applyFill="1" applyBorder="1" applyAlignment="1">
      <alignment horizontal="center"/>
    </xf>
    <xf numFmtId="0" fontId="0" fillId="6" borderId="22"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9" borderId="22" xfId="0" applyFill="1" applyBorder="1" applyAlignment="1">
      <alignment horizontal="center"/>
    </xf>
    <xf numFmtId="0" fontId="0" fillId="9" borderId="21" xfId="0" applyFill="1" applyBorder="1" applyAlignment="1">
      <alignment horizontal="center"/>
    </xf>
    <xf numFmtId="0" fontId="0" fillId="7" borderId="21" xfId="0" applyFill="1" applyBorder="1" applyAlignment="1">
      <alignment horizontal="center"/>
    </xf>
    <xf numFmtId="0" fontId="0" fillId="7" borderId="22" xfId="0" applyFill="1" applyBorder="1" applyAlignment="1">
      <alignment horizontal="center"/>
    </xf>
    <xf numFmtId="0" fontId="0" fillId="12" borderId="21" xfId="0" applyFill="1" applyBorder="1" applyAlignment="1">
      <alignment horizontal="center"/>
    </xf>
    <xf numFmtId="0" fontId="0" fillId="12" borderId="22" xfId="0" applyFill="1" applyBorder="1" applyAlignment="1">
      <alignment horizontal="center"/>
    </xf>
    <xf numFmtId="0" fontId="0" fillId="11" borderId="21" xfId="0" applyFill="1" applyBorder="1" applyAlignment="1">
      <alignment horizontal="center"/>
    </xf>
    <xf numFmtId="0" fontId="0" fillId="11" borderId="22" xfId="0" applyFill="1" applyBorder="1" applyAlignment="1">
      <alignment horizontal="center"/>
    </xf>
    <xf numFmtId="0" fontId="0" fillId="11" borderId="23" xfId="0" applyFill="1" applyBorder="1" applyAlignment="1">
      <alignment horizontal="center"/>
    </xf>
    <xf numFmtId="0" fontId="0" fillId="13" borderId="23" xfId="0" applyFill="1" applyBorder="1" applyAlignment="1">
      <alignment horizontal="center"/>
    </xf>
    <xf numFmtId="0" fontId="0" fillId="13" borderId="22" xfId="0" applyFill="1" applyBorder="1" applyAlignment="1">
      <alignment horizontal="center"/>
    </xf>
    <xf numFmtId="0" fontId="0" fillId="14" borderId="21" xfId="0" applyFill="1" applyBorder="1" applyAlignment="1">
      <alignment horizontal="center"/>
    </xf>
    <xf numFmtId="0" fontId="0" fillId="14" borderId="22" xfId="0" applyFill="1" applyBorder="1" applyAlignment="1">
      <alignment horizontal="center"/>
    </xf>
    <xf numFmtId="0" fontId="0" fillId="0" borderId="21" xfId="0" applyFill="1" applyBorder="1" applyAlignment="1">
      <alignment horizontal="center"/>
    </xf>
    <xf numFmtId="0" fontId="0" fillId="15" borderId="22" xfId="0" applyFill="1" applyBorder="1" applyAlignment="1">
      <alignment horizontal="center"/>
    </xf>
    <xf numFmtId="0" fontId="0" fillId="15" borderId="23" xfId="0" applyFill="1" applyBorder="1" applyAlignment="1">
      <alignment horizontal="center"/>
    </xf>
    <xf numFmtId="0" fontId="0" fillId="15" borderId="21" xfId="0" applyFill="1" applyBorder="1" applyAlignment="1">
      <alignment horizontal="center"/>
    </xf>
    <xf numFmtId="0" fontId="0" fillId="15" borderId="24" xfId="0" applyFill="1" applyBorder="1" applyAlignment="1">
      <alignment horizontal="center"/>
    </xf>
    <xf numFmtId="0" fontId="5" fillId="4" borderId="25" xfId="0" applyFont="1" applyFill="1" applyBorder="1" applyAlignment="1">
      <alignment horizontal="center"/>
    </xf>
    <xf numFmtId="0" fontId="5" fillId="4" borderId="26" xfId="0" applyFont="1" applyFill="1" applyBorder="1" applyAlignment="1">
      <alignment horizontal="center"/>
    </xf>
    <xf numFmtId="0" fontId="5" fillId="4" borderId="27" xfId="0" applyFont="1" applyFill="1" applyBorder="1" applyAlignment="1">
      <alignment horizontal="center"/>
    </xf>
    <xf numFmtId="0" fontId="5" fillId="4" borderId="28" xfId="0" applyFont="1" applyFill="1" applyBorder="1" applyAlignment="1">
      <alignment horizontal="center"/>
    </xf>
    <xf numFmtId="0" fontId="5" fillId="4" borderId="29" xfId="0" applyFont="1" applyFill="1" applyBorder="1" applyAlignment="1">
      <alignment horizontal="center"/>
    </xf>
    <xf numFmtId="0" fontId="2" fillId="5" borderId="20" xfId="0" applyFont="1" applyFill="1" applyBorder="1" applyAlignment="1">
      <alignment horizontal="center"/>
    </xf>
    <xf numFmtId="0" fontId="2" fillId="0" borderId="26" xfId="0" applyFont="1" applyFill="1" applyBorder="1" applyAlignment="1">
      <alignment horizontal="center"/>
    </xf>
    <xf numFmtId="0" fontId="2" fillId="0" borderId="27" xfId="0" applyFont="1" applyFill="1" applyBorder="1" applyAlignment="1">
      <alignment horizontal="center"/>
    </xf>
    <xf numFmtId="0" fontId="2" fillId="0" borderId="28" xfId="0" applyFont="1" applyFill="1" applyBorder="1" applyAlignment="1">
      <alignment horizontal="center"/>
    </xf>
    <xf numFmtId="0" fontId="0" fillId="0" borderId="26" xfId="0" applyFill="1" applyBorder="1" applyAlignment="1">
      <alignment horizontal="center"/>
    </xf>
    <xf numFmtId="0" fontId="2" fillId="0" borderId="29" xfId="0" applyFont="1" applyFill="1" applyBorder="1" applyAlignment="1">
      <alignment horizontal="center"/>
    </xf>
    <xf numFmtId="0" fontId="0" fillId="5" borderId="30" xfId="0" applyFont="1" applyFill="1" applyBorder="1" applyAlignment="1">
      <alignment horizontal="center"/>
    </xf>
    <xf numFmtId="1" fontId="0" fillId="0" borderId="16" xfId="0" applyNumberFormat="1" applyBorder="1" applyAlignment="1">
      <alignment horizontal="center"/>
    </xf>
    <xf numFmtId="14" fontId="2" fillId="0" borderId="13" xfId="0" applyNumberFormat="1" applyFont="1" applyBorder="1" applyAlignment="1">
      <alignment horizontal="center"/>
    </xf>
    <xf numFmtId="0" fontId="0" fillId="0" borderId="13" xfId="0" applyFill="1" applyBorder="1" applyAlignment="1">
      <alignment horizontal="center"/>
    </xf>
    <xf numFmtId="0" fontId="0" fillId="0" borderId="16" xfId="0" applyFill="1" applyBorder="1" applyAlignment="1">
      <alignment horizontal="center"/>
    </xf>
    <xf numFmtId="0" fontId="0" fillId="6" borderId="23" xfId="0" applyFill="1" applyBorder="1" applyAlignment="1">
      <alignment horizontal="center"/>
    </xf>
    <xf numFmtId="0" fontId="0" fillId="3" borderId="20" xfId="0" applyFill="1" applyBorder="1" applyAlignment="1">
      <alignment horizontal="center"/>
    </xf>
    <xf numFmtId="1" fontId="0" fillId="0" borderId="26" xfId="0" applyNumberFormat="1" applyBorder="1" applyAlignment="1">
      <alignment horizontal="center"/>
    </xf>
    <xf numFmtId="14" fontId="0" fillId="0" borderId="27" xfId="0" applyNumberFormat="1" applyBorder="1" applyAlignment="1">
      <alignment horizontal="center"/>
    </xf>
    <xf numFmtId="1" fontId="0" fillId="0" borderId="28" xfId="0" applyNumberFormat="1"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0" fontId="0" fillId="0" borderId="29" xfId="0" applyFill="1" applyBorder="1"/>
    <xf numFmtId="0" fontId="0" fillId="3" borderId="30" xfId="0" applyFill="1" applyBorder="1" applyAlignment="1">
      <alignment horizontal="center"/>
    </xf>
    <xf numFmtId="0" fontId="0" fillId="9" borderId="23" xfId="0" applyFill="1" applyBorder="1" applyAlignment="1">
      <alignment horizontal="center"/>
    </xf>
    <xf numFmtId="0" fontId="0" fillId="7" borderId="20" xfId="0" applyFill="1" applyBorder="1" applyAlignment="1">
      <alignment horizontal="center"/>
    </xf>
    <xf numFmtId="0" fontId="0" fillId="0" borderId="26" xfId="0" applyBorder="1" applyAlignment="1">
      <alignment horizontal="center"/>
    </xf>
    <xf numFmtId="0" fontId="0" fillId="0" borderId="29" xfId="0" applyBorder="1"/>
    <xf numFmtId="0" fontId="0" fillId="7" borderId="30" xfId="0" applyFill="1" applyBorder="1" applyAlignment="1">
      <alignment horizontal="center"/>
    </xf>
    <xf numFmtId="0" fontId="0" fillId="0" borderId="28" xfId="0" applyBorder="1" applyAlignment="1">
      <alignment horizontal="center"/>
    </xf>
    <xf numFmtId="0" fontId="0" fillId="12" borderId="23" xfId="0" applyFill="1" applyBorder="1" applyAlignment="1">
      <alignment horizontal="center"/>
    </xf>
    <xf numFmtId="0" fontId="0" fillId="13" borderId="31" xfId="0" applyFill="1" applyBorder="1" applyAlignment="1">
      <alignment horizontal="center"/>
    </xf>
    <xf numFmtId="0" fontId="0" fillId="11" borderId="20" xfId="0" applyFill="1" applyBorder="1" applyAlignment="1">
      <alignment horizontal="center"/>
    </xf>
    <xf numFmtId="0" fontId="0" fillId="11" borderId="30" xfId="0" applyFill="1" applyBorder="1" applyAlignment="1">
      <alignment horizontal="center"/>
    </xf>
    <xf numFmtId="1" fontId="2" fillId="0" borderId="16" xfId="0" applyNumberFormat="1" applyFont="1" applyBorder="1" applyAlignment="1">
      <alignment horizontal="center"/>
    </xf>
    <xf numFmtId="14" fontId="0" fillId="0" borderId="12" xfId="0" applyNumberFormat="1" applyBorder="1" applyAlignment="1">
      <alignment horizontal="center"/>
    </xf>
    <xf numFmtId="0" fontId="0" fillId="14" borderId="20" xfId="0" applyFill="1" applyBorder="1" applyAlignment="1">
      <alignment horizontal="center"/>
    </xf>
    <xf numFmtId="1" fontId="0" fillId="0" borderId="27" xfId="0" applyNumberFormat="1" applyBorder="1" applyAlignment="1">
      <alignment horizontal="center"/>
    </xf>
    <xf numFmtId="0" fontId="0" fillId="14" borderId="30" xfId="0" applyFill="1" applyBorder="1" applyAlignment="1">
      <alignment horizontal="center"/>
    </xf>
    <xf numFmtId="0" fontId="2" fillId="0" borderId="1" xfId="0" applyFont="1" applyBorder="1"/>
    <xf numFmtId="1" fontId="0" fillId="0" borderId="19" xfId="0" applyNumberFormat="1" applyBorder="1" applyAlignment="1">
      <alignment horizontal="center"/>
    </xf>
    <xf numFmtId="14" fontId="2" fillId="0" borderId="9" xfId="0" applyNumberFormat="1" applyFont="1" applyBorder="1" applyAlignment="1">
      <alignment horizontal="center"/>
    </xf>
    <xf numFmtId="0" fontId="0" fillId="0" borderId="9" xfId="0" applyBorder="1" applyAlignment="1">
      <alignment horizontal="center"/>
    </xf>
    <xf numFmtId="0" fontId="0" fillId="0" borderId="19" xfId="0" applyBorder="1" applyAlignment="1">
      <alignment horizontal="center"/>
    </xf>
    <xf numFmtId="0" fontId="0" fillId="0" borderId="32" xfId="0" applyBorder="1"/>
    <xf numFmtId="0" fontId="0" fillId="11" borderId="31" xfId="0" applyFill="1" applyBorder="1" applyAlignment="1">
      <alignment horizontal="center"/>
    </xf>
    <xf numFmtId="14" fontId="0" fillId="0" borderId="33" xfId="0" applyNumberFormat="1" applyBorder="1" applyAlignment="1">
      <alignment horizontal="center"/>
    </xf>
    <xf numFmtId="0" fontId="0" fillId="5" borderId="21" xfId="0" applyFont="1" applyFill="1" applyBorder="1" applyAlignment="1">
      <alignment horizontal="center"/>
    </xf>
    <xf numFmtId="0" fontId="0" fillId="0" borderId="6" xfId="0" applyFill="1" applyBorder="1" applyAlignment="1">
      <alignment horizontal="center"/>
    </xf>
    <xf numFmtId="0" fontId="0" fillId="0" borderId="19" xfId="0" applyFill="1" applyBorder="1" applyAlignment="1">
      <alignment horizontal="center"/>
    </xf>
    <xf numFmtId="0" fontId="0" fillId="0" borderId="32" xfId="0" applyFill="1" applyBorder="1"/>
    <xf numFmtId="1" fontId="0" fillId="0" borderId="33" xfId="0" applyNumberFormat="1" applyBorder="1" applyAlignment="1">
      <alignment horizontal="center"/>
    </xf>
    <xf numFmtId="0" fontId="0" fillId="5" borderId="20" xfId="0" applyFont="1" applyFill="1" applyBorder="1" applyAlignment="1">
      <alignment horizontal="center"/>
    </xf>
    <xf numFmtId="0" fontId="0" fillId="5" borderId="23" xfId="0" applyFont="1" applyFill="1" applyBorder="1" applyAlignment="1">
      <alignment horizontal="center"/>
    </xf>
    <xf numFmtId="0" fontId="0" fillId="6" borderId="24" xfId="0" applyFill="1" applyBorder="1" applyAlignment="1">
      <alignment horizontal="center"/>
    </xf>
    <xf numFmtId="0" fontId="0" fillId="6" borderId="20" xfId="0" applyFill="1" applyBorder="1" applyAlignment="1">
      <alignment horizontal="center"/>
    </xf>
    <xf numFmtId="0" fontId="0" fillId="6" borderId="30" xfId="0" applyFill="1" applyBorder="1" applyAlignment="1">
      <alignment horizontal="center"/>
    </xf>
    <xf numFmtId="0" fontId="0" fillId="0" borderId="9" xfId="0" applyFill="1" applyBorder="1" applyAlignment="1">
      <alignment horizontal="center"/>
    </xf>
    <xf numFmtId="1" fontId="0" fillId="0" borderId="5" xfId="0" applyNumberFormat="1" applyBorder="1" applyAlignment="1">
      <alignment horizontal="center"/>
    </xf>
    <xf numFmtId="0" fontId="0" fillId="3" borderId="31" xfId="0" applyFill="1" applyBorder="1" applyAlignment="1">
      <alignment horizontal="center"/>
    </xf>
    <xf numFmtId="0" fontId="0" fillId="3" borderId="23" xfId="0" applyFill="1" applyBorder="1" applyAlignment="1">
      <alignment horizontal="center"/>
    </xf>
    <xf numFmtId="0" fontId="0" fillId="3" borderId="20" xfId="0" applyFont="1" applyFill="1" applyBorder="1" applyAlignment="1">
      <alignment horizontal="center"/>
    </xf>
    <xf numFmtId="164" fontId="0" fillId="0" borderId="6" xfId="0" applyNumberFormat="1" applyBorder="1" applyAlignment="1">
      <alignment horizontal="center"/>
    </xf>
    <xf numFmtId="0" fontId="0" fillId="9" borderId="31" xfId="0" applyFill="1" applyBorder="1" applyAlignment="1">
      <alignment horizontal="center"/>
    </xf>
    <xf numFmtId="0" fontId="0" fillId="9" borderId="20" xfId="0" applyFill="1" applyBorder="1" applyAlignment="1">
      <alignment horizontal="center"/>
    </xf>
    <xf numFmtId="0" fontId="0" fillId="9" borderId="30" xfId="0" applyFill="1" applyBorder="1" applyAlignment="1">
      <alignment horizontal="center"/>
    </xf>
    <xf numFmtId="1" fontId="0" fillId="0" borderId="35" xfId="0" applyNumberFormat="1" applyBorder="1" applyAlignment="1">
      <alignment horizontal="center"/>
    </xf>
    <xf numFmtId="0" fontId="0" fillId="7" borderId="31" xfId="0" applyFill="1" applyBorder="1" applyAlignment="1">
      <alignment horizontal="center"/>
    </xf>
    <xf numFmtId="0" fontId="0" fillId="7" borderId="23" xfId="0" applyFill="1" applyBorder="1" applyAlignment="1">
      <alignment horizontal="center"/>
    </xf>
    <xf numFmtId="1" fontId="0" fillId="0" borderId="36" xfId="0" applyNumberFormat="1" applyBorder="1" applyAlignment="1">
      <alignment horizontal="center"/>
    </xf>
    <xf numFmtId="0" fontId="0" fillId="0" borderId="37" xfId="0" applyBorder="1" applyAlignment="1">
      <alignment horizontal="center"/>
    </xf>
    <xf numFmtId="1" fontId="0" fillId="0" borderId="38" xfId="0" applyNumberFormat="1" applyBorder="1" applyAlignment="1">
      <alignment horizontal="center"/>
    </xf>
    <xf numFmtId="0" fontId="0" fillId="0" borderId="39" xfId="0" applyBorder="1" applyAlignment="1">
      <alignment horizontal="center"/>
    </xf>
    <xf numFmtId="0" fontId="0" fillId="0" borderId="37" xfId="0" applyFill="1" applyBorder="1" applyAlignment="1">
      <alignment horizontal="center"/>
    </xf>
    <xf numFmtId="0" fontId="0" fillId="0" borderId="38" xfId="0" applyBorder="1" applyAlignment="1">
      <alignment horizontal="center"/>
    </xf>
    <xf numFmtId="0" fontId="0" fillId="0" borderId="40" xfId="0" applyBorder="1"/>
    <xf numFmtId="0" fontId="0" fillId="8" borderId="31" xfId="0" applyFill="1" applyBorder="1" applyAlignment="1">
      <alignment horizontal="center"/>
    </xf>
    <xf numFmtId="1" fontId="0" fillId="0" borderId="41" xfId="0" applyNumberFormat="1" applyBorder="1" applyAlignment="1">
      <alignment horizontal="center"/>
    </xf>
    <xf numFmtId="14" fontId="0" fillId="0" borderId="8" xfId="0" applyNumberFormat="1" applyBorder="1" applyAlignment="1">
      <alignment horizontal="center"/>
    </xf>
    <xf numFmtId="1" fontId="0" fillId="0" borderId="3" xfId="0" applyNumberFormat="1"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1" xfId="0" applyBorder="1" applyAlignment="1">
      <alignment horizontal="center"/>
    </xf>
    <xf numFmtId="0" fontId="0" fillId="0" borderId="42" xfId="0" applyBorder="1"/>
    <xf numFmtId="0" fontId="0" fillId="8" borderId="34" xfId="0" applyFill="1" applyBorder="1" applyAlignment="1">
      <alignment horizontal="center"/>
    </xf>
    <xf numFmtId="0" fontId="3" fillId="10" borderId="25" xfId="0" applyFont="1" applyFill="1" applyBorder="1" applyAlignment="1">
      <alignment horizontal="center"/>
    </xf>
    <xf numFmtId="0" fontId="3" fillId="10" borderId="24" xfId="0" applyFont="1" applyFill="1" applyBorder="1" applyAlignment="1">
      <alignment horizontal="center"/>
    </xf>
    <xf numFmtId="0" fontId="3" fillId="10" borderId="34" xfId="0" applyFont="1" applyFill="1" applyBorder="1" applyAlignment="1">
      <alignment horizontal="center"/>
    </xf>
    <xf numFmtId="1" fontId="0" fillId="0" borderId="2" xfId="0" applyNumberFormat="1" applyBorder="1" applyAlignment="1">
      <alignment horizontal="center"/>
    </xf>
    <xf numFmtId="1" fontId="0" fillId="0" borderId="17" xfId="0" applyNumberFormat="1" applyBorder="1" applyAlignment="1">
      <alignment horizontal="center"/>
    </xf>
    <xf numFmtId="14" fontId="0" fillId="0" borderId="39" xfId="0" applyNumberFormat="1" applyBorder="1" applyAlignment="1">
      <alignment horizontal="center"/>
    </xf>
    <xf numFmtId="1" fontId="0" fillId="0" borderId="37" xfId="0" applyNumberFormat="1" applyBorder="1" applyAlignment="1">
      <alignment horizontal="center"/>
    </xf>
    <xf numFmtId="0" fontId="0" fillId="12" borderId="31" xfId="0" applyFill="1" applyBorder="1" applyAlignment="1">
      <alignment horizontal="center"/>
    </xf>
    <xf numFmtId="0" fontId="0" fillId="12" borderId="20" xfId="0" applyFill="1" applyBorder="1" applyAlignment="1">
      <alignment horizontal="center"/>
    </xf>
    <xf numFmtId="0" fontId="0" fillId="12" borderId="30" xfId="0" applyFill="1" applyBorder="1" applyAlignment="1">
      <alignment horizontal="center"/>
    </xf>
    <xf numFmtId="0" fontId="0" fillId="11" borderId="25" xfId="0" applyFill="1" applyBorder="1" applyAlignment="1">
      <alignment horizontal="center"/>
    </xf>
    <xf numFmtId="0" fontId="0" fillId="14" borderId="31" xfId="0" applyFill="1" applyBorder="1" applyAlignment="1">
      <alignment horizontal="center"/>
    </xf>
    <xf numFmtId="0" fontId="0" fillId="14" borderId="23" xfId="0" applyFill="1" applyBorder="1" applyAlignment="1">
      <alignment horizontal="center"/>
    </xf>
    <xf numFmtId="165" fontId="0" fillId="0" borderId="9" xfId="0" applyNumberFormat="1" applyBorder="1" applyAlignment="1">
      <alignment horizontal="center"/>
    </xf>
    <xf numFmtId="0" fontId="0" fillId="0" borderId="31" xfId="0" applyFill="1" applyBorder="1" applyAlignment="1">
      <alignment horizontal="center"/>
    </xf>
    <xf numFmtId="0" fontId="0" fillId="15" borderId="20" xfId="0" applyFill="1" applyBorder="1" applyAlignment="1">
      <alignment horizontal="center"/>
    </xf>
    <xf numFmtId="0" fontId="0" fillId="15" borderId="30" xfId="0" applyFill="1" applyBorder="1" applyAlignment="1">
      <alignment horizontal="center"/>
    </xf>
    <xf numFmtId="0" fontId="0" fillId="15" borderId="25" xfId="0" applyFill="1" applyBorder="1" applyAlignment="1">
      <alignment horizontal="center"/>
    </xf>
    <xf numFmtId="0" fontId="0" fillId="0" borderId="0" xfId="0" applyFont="1" applyFill="1"/>
    <xf numFmtId="0" fontId="0" fillId="0" borderId="0" xfId="0" applyNumberFormat="1" applyBorder="1" applyAlignment="1">
      <alignment horizontal="center"/>
    </xf>
    <xf numFmtId="0" fontId="0" fillId="0" borderId="0" xfId="0" applyNumberFormat="1" applyFill="1" applyBorder="1" applyAlignment="1">
      <alignment horizontal="center"/>
    </xf>
    <xf numFmtId="0" fontId="0" fillId="0" borderId="9" xfId="0" applyNumberFormat="1" applyBorder="1" applyAlignment="1">
      <alignment horizontal="center"/>
    </xf>
    <xf numFmtId="1" fontId="2" fillId="0" borderId="19" xfId="0" applyNumberFormat="1" applyFont="1" applyBorder="1" applyAlignment="1">
      <alignment horizontal="center"/>
    </xf>
    <xf numFmtId="0" fontId="3" fillId="10" borderId="20" xfId="0" applyFont="1" applyFill="1" applyBorder="1" applyAlignment="1">
      <alignment horizontal="center"/>
    </xf>
    <xf numFmtId="0" fontId="3" fillId="10" borderId="22" xfId="0" applyFont="1" applyFill="1" applyBorder="1" applyAlignment="1">
      <alignment horizontal="center"/>
    </xf>
    <xf numFmtId="0" fontId="3" fillId="10" borderId="30" xfId="0" applyFont="1" applyFill="1" applyBorder="1" applyAlignment="1">
      <alignment horizontal="center"/>
    </xf>
    <xf numFmtId="0" fontId="1" fillId="2" borderId="43" xfId="0" applyFont="1" applyFill="1" applyBorder="1" applyAlignment="1">
      <alignment horizontal="center"/>
    </xf>
    <xf numFmtId="0" fontId="1" fillId="2" borderId="44" xfId="0" applyFont="1" applyFill="1" applyBorder="1" applyAlignment="1">
      <alignment horizontal="center"/>
    </xf>
    <xf numFmtId="0" fontId="1" fillId="2" borderId="45" xfId="0" applyFont="1" applyFill="1" applyBorder="1" applyAlignment="1">
      <alignment horizontal="center"/>
    </xf>
    <xf numFmtId="0" fontId="1" fillId="2" borderId="46" xfId="0" applyFont="1" applyFill="1" applyBorder="1" applyAlignment="1">
      <alignment horizontal="center"/>
    </xf>
    <xf numFmtId="0" fontId="0" fillId="8" borderId="21" xfId="0" applyFill="1" applyBorder="1" applyAlignment="1">
      <alignment horizontal="center"/>
    </xf>
    <xf numFmtId="0" fontId="0" fillId="8" borderId="23" xfId="0" applyFill="1" applyBorder="1" applyAlignment="1">
      <alignment horizontal="center"/>
    </xf>
    <xf numFmtId="0" fontId="0" fillId="13" borderId="21" xfId="0" applyFill="1" applyBorder="1" applyAlignment="1">
      <alignment horizontal="center"/>
    </xf>
    <xf numFmtId="0" fontId="2" fillId="0" borderId="1" xfId="0" applyFont="1" applyFill="1" applyBorder="1"/>
    <xf numFmtId="0" fontId="2" fillId="0" borderId="32" xfId="0" applyFont="1" applyFill="1" applyBorder="1"/>
    <xf numFmtId="0" fontId="0" fillId="0" borderId="19" xfId="0" quotePrefix="1" applyFill="1" applyBorder="1" applyAlignment="1">
      <alignment horizontal="center"/>
    </xf>
    <xf numFmtId="14" fontId="2" fillId="0" borderId="4" xfId="0" quotePrefix="1" applyNumberFormat="1" applyFont="1" applyBorder="1" applyAlignment="1">
      <alignment horizontal="center"/>
    </xf>
    <xf numFmtId="49" fontId="0" fillId="0" borderId="6" xfId="0" applyNumberFormat="1" applyBorder="1" applyAlignment="1">
      <alignment horizontal="center"/>
    </xf>
    <xf numFmtId="49" fontId="0" fillId="0" borderId="4" xfId="0" applyNumberFormat="1" applyBorder="1" applyAlignment="1">
      <alignment horizontal="center"/>
    </xf>
    <xf numFmtId="49" fontId="2" fillId="0" borderId="4" xfId="0" applyNumberFormat="1" applyFont="1" applyBorder="1" applyAlignment="1">
      <alignment horizontal="center"/>
    </xf>
    <xf numFmtId="49" fontId="0" fillId="0" borderId="0" xfId="0" applyNumberFormat="1" applyBorder="1" applyAlignment="1">
      <alignment horizontal="center"/>
    </xf>
    <xf numFmtId="49" fontId="0" fillId="0" borderId="13" xfId="0" applyNumberFormat="1" applyBorder="1" applyAlignment="1">
      <alignment horizontal="center"/>
    </xf>
    <xf numFmtId="49" fontId="0" fillId="0" borderId="4" xfId="0" quotePrefix="1" applyNumberFormat="1" applyBorder="1" applyAlignment="1">
      <alignment horizontal="center"/>
    </xf>
    <xf numFmtId="49" fontId="0" fillId="0" borderId="47" xfId="0" applyNumberFormat="1" applyBorder="1" applyAlignment="1">
      <alignment horizontal="center"/>
    </xf>
    <xf numFmtId="49" fontId="2" fillId="0" borderId="6" xfId="0" applyNumberFormat="1" applyFont="1" applyBorder="1" applyAlignment="1">
      <alignment horizontal="center"/>
    </xf>
    <xf numFmtId="49" fontId="2" fillId="0" borderId="47" xfId="0" applyNumberFormat="1" applyFont="1" applyBorder="1" applyAlignment="1">
      <alignment horizontal="center"/>
    </xf>
    <xf numFmtId="49" fontId="0" fillId="0" borderId="19" xfId="0" applyNumberFormat="1" applyBorder="1" applyAlignment="1">
      <alignment horizontal="center"/>
    </xf>
    <xf numFmtId="49" fontId="2" fillId="0" borderId="48" xfId="0" applyNumberFormat="1" applyFont="1" applyBorder="1" applyAlignment="1">
      <alignment horizontal="center"/>
    </xf>
    <xf numFmtId="1" fontId="2" fillId="0" borderId="47" xfId="0" applyNumberFormat="1" applyFont="1" applyBorder="1" applyAlignment="1">
      <alignment horizontal="center"/>
    </xf>
    <xf numFmtId="1" fontId="2" fillId="0" borderId="10" xfId="0" applyNumberFormat="1" applyFont="1" applyBorder="1" applyAlignment="1">
      <alignment horizontal="center"/>
    </xf>
    <xf numFmtId="49" fontId="2" fillId="0" borderId="28" xfId="0" applyNumberFormat="1" applyFont="1" applyFill="1" applyBorder="1" applyAlignment="1">
      <alignment horizontal="center"/>
    </xf>
    <xf numFmtId="49" fontId="0" fillId="0" borderId="7" xfId="0" applyNumberFormat="1" applyBorder="1" applyAlignment="1">
      <alignment horizontal="center"/>
    </xf>
    <xf numFmtId="49" fontId="2" fillId="0" borderId="28" xfId="0" applyNumberFormat="1" applyFont="1" applyBorder="1" applyAlignment="1">
      <alignment horizontal="center"/>
    </xf>
    <xf numFmtId="49" fontId="2" fillId="0" borderId="47" xfId="0" applyNumberFormat="1" applyFont="1" applyFill="1" applyBorder="1" applyAlignment="1">
      <alignment horizontal="center"/>
    </xf>
    <xf numFmtId="49" fontId="0" fillId="0" borderId="12" xfId="0" applyNumberFormat="1" applyBorder="1" applyAlignment="1">
      <alignment horizontal="center"/>
    </xf>
    <xf numFmtId="165" fontId="0" fillId="0" borderId="26" xfId="0" applyNumberFormat="1" applyFill="1" applyBorder="1" applyAlignment="1">
      <alignment horizontal="center"/>
    </xf>
    <xf numFmtId="165" fontId="0" fillId="0" borderId="0" xfId="0" applyNumberFormat="1" applyFill="1" applyBorder="1" applyAlignment="1">
      <alignment horizontal="center"/>
    </xf>
    <xf numFmtId="165" fontId="0" fillId="0" borderId="9" xfId="0" applyNumberFormat="1" applyFill="1" applyBorder="1" applyAlignment="1">
      <alignment horizontal="center"/>
    </xf>
    <xf numFmtId="49" fontId="0" fillId="0" borderId="26" xfId="0" applyNumberFormat="1" applyBorder="1" applyAlignment="1">
      <alignment horizontal="center"/>
    </xf>
    <xf numFmtId="49" fontId="2" fillId="0" borderId="7" xfId="0" applyNumberFormat="1" applyFont="1" applyBorder="1" applyAlignment="1">
      <alignment horizontal="center"/>
    </xf>
    <xf numFmtId="49" fontId="0" fillId="0" borderId="16" xfId="0" applyNumberFormat="1" applyBorder="1" applyAlignment="1">
      <alignment horizontal="center"/>
    </xf>
    <xf numFmtId="49" fontId="0" fillId="0" borderId="41" xfId="0" applyNumberFormat="1" applyBorder="1" applyAlignment="1">
      <alignment horizontal="center"/>
    </xf>
    <xf numFmtId="49" fontId="2" fillId="0" borderId="19" xfId="0" applyNumberFormat="1" applyFont="1" applyBorder="1" applyAlignment="1">
      <alignment horizontal="center"/>
    </xf>
    <xf numFmtId="1" fontId="0" fillId="0" borderId="50" xfId="0" applyNumberFormat="1" applyBorder="1" applyAlignment="1">
      <alignment horizontal="center"/>
    </xf>
    <xf numFmtId="1" fontId="0" fillId="0" borderId="49" xfId="0" applyNumberFormat="1" applyBorder="1" applyAlignment="1">
      <alignment horizontal="center"/>
    </xf>
    <xf numFmtId="0" fontId="0" fillId="0" borderId="49" xfId="0" applyBorder="1" applyAlignment="1">
      <alignment horizontal="center"/>
    </xf>
    <xf numFmtId="14" fontId="0" fillId="0" borderId="47" xfId="0" applyNumberFormat="1" applyBorder="1" applyAlignment="1">
      <alignment horizontal="center"/>
    </xf>
    <xf numFmtId="0" fontId="0" fillId="0" borderId="47" xfId="0" applyFill="1" applyBorder="1" applyAlignment="1">
      <alignment horizontal="center"/>
    </xf>
    <xf numFmtId="0" fontId="0" fillId="0" borderId="51" xfId="0" applyBorder="1"/>
    <xf numFmtId="49" fontId="0" fillId="0" borderId="37" xfId="0" applyNumberFormat="1" applyBorder="1" applyAlignment="1">
      <alignment horizontal="center"/>
    </xf>
    <xf numFmtId="49" fontId="2" fillId="0" borderId="16" xfId="0" applyNumberFormat="1" applyFont="1" applyBorder="1" applyAlignment="1">
      <alignment horizontal="center"/>
    </xf>
    <xf numFmtId="1" fontId="2" fillId="0" borderId="52" xfId="0" applyNumberFormat="1" applyFont="1" applyBorder="1" applyAlignment="1">
      <alignment horizontal="center"/>
    </xf>
    <xf numFmtId="0" fontId="0" fillId="0" borderId="20" xfId="0" applyFill="1" applyBorder="1" applyAlignment="1">
      <alignment horizontal="center"/>
    </xf>
    <xf numFmtId="165" fontId="0" fillId="0" borderId="27" xfId="0" applyNumberFormat="1" applyBorder="1" applyAlignment="1">
      <alignment horizontal="center"/>
    </xf>
    <xf numFmtId="1" fontId="0" fillId="0" borderId="10" xfId="0" applyNumberFormat="1" applyFill="1" applyBorder="1" applyAlignment="1">
      <alignment horizontal="center"/>
    </xf>
    <xf numFmtId="49" fontId="0" fillId="0" borderId="28" xfId="0" applyNumberFormat="1" applyBorder="1" applyAlignment="1">
      <alignment horizontal="center"/>
    </xf>
    <xf numFmtId="1" fontId="0" fillId="0" borderId="52" xfId="0" applyNumberFormat="1" applyBorder="1" applyAlignment="1">
      <alignment horizontal="center"/>
    </xf>
    <xf numFmtId="1" fontId="0" fillId="0" borderId="27" xfId="0" applyNumberFormat="1" applyFill="1" applyBorder="1" applyAlignment="1">
      <alignment horizontal="center"/>
    </xf>
    <xf numFmtId="1" fontId="0" fillId="0" borderId="28" xfId="0" applyNumberFormat="1" applyFill="1" applyBorder="1" applyAlignment="1">
      <alignment horizontal="center"/>
    </xf>
    <xf numFmtId="0" fontId="0" fillId="0" borderId="53" xfId="0" applyBorder="1"/>
    <xf numFmtId="1" fontId="0" fillId="0" borderId="54" xfId="0" applyNumberFormat="1" applyBorder="1" applyAlignment="1">
      <alignment horizontal="center"/>
    </xf>
    <xf numFmtId="1" fontId="0" fillId="0" borderId="55" xfId="0" applyNumberFormat="1" applyBorder="1" applyAlignment="1">
      <alignment horizontal="center"/>
    </xf>
    <xf numFmtId="1" fontId="0" fillId="0" borderId="12" xfId="0" applyNumberFormat="1" applyFill="1" applyBorder="1" applyAlignment="1">
      <alignment horizontal="center"/>
    </xf>
    <xf numFmtId="14" fontId="0" fillId="0" borderId="28" xfId="0" applyNumberFormat="1" applyBorder="1" applyAlignment="1">
      <alignment horizontal="center"/>
    </xf>
    <xf numFmtId="1" fontId="0" fillId="0" borderId="26" xfId="0" applyNumberFormat="1" applyFill="1" applyBorder="1" applyAlignment="1">
      <alignment horizontal="center"/>
    </xf>
    <xf numFmtId="14" fontId="2" fillId="0" borderId="26" xfId="0" applyNumberFormat="1" applyFont="1" applyFill="1" applyBorder="1" applyAlignment="1">
      <alignment horizontal="center"/>
    </xf>
    <xf numFmtId="0" fontId="0" fillId="0" borderId="53" xfId="0" applyFill="1" applyBorder="1"/>
    <xf numFmtId="14" fontId="2" fillId="0" borderId="16" xfId="0" applyNumberFormat="1" applyFont="1" applyFill="1" applyBorder="1" applyAlignment="1">
      <alignment horizontal="center"/>
    </xf>
    <xf numFmtId="14" fontId="2" fillId="0" borderId="27" xfId="0" applyNumberFormat="1" applyFont="1" applyFill="1" applyBorder="1" applyAlignment="1">
      <alignment horizontal="center"/>
    </xf>
    <xf numFmtId="14" fontId="2" fillId="0" borderId="13" xfId="0" applyNumberFormat="1" applyFont="1" applyFill="1" applyBorder="1" applyAlignment="1">
      <alignment horizontal="center"/>
    </xf>
    <xf numFmtId="14" fontId="0" fillId="0" borderId="55" xfId="0" applyNumberFormat="1" applyBorder="1" applyAlignment="1">
      <alignment horizontal="center"/>
    </xf>
    <xf numFmtId="14" fontId="2" fillId="0" borderId="28" xfId="0" applyNumberFormat="1" applyFont="1" applyBorder="1" applyAlignment="1">
      <alignment horizontal="center"/>
    </xf>
    <xf numFmtId="2" fontId="0" fillId="0" borderId="4" xfId="0" applyNumberFormat="1" applyBorder="1" applyAlignment="1">
      <alignment horizontal="center"/>
    </xf>
    <xf numFmtId="2" fontId="0" fillId="0" borderId="6" xfId="0" applyNumberFormat="1" applyBorder="1" applyAlignment="1">
      <alignment horizontal="center"/>
    </xf>
    <xf numFmtId="2" fontId="2" fillId="0" borderId="4" xfId="0" applyNumberFormat="1" applyFont="1" applyBorder="1" applyAlignment="1">
      <alignment horizontal="center"/>
    </xf>
    <xf numFmtId="2" fontId="2" fillId="0" borderId="6" xfId="0" applyNumberFormat="1" applyFont="1" applyBorder="1" applyAlignment="1">
      <alignment horizontal="center"/>
    </xf>
    <xf numFmtId="2" fontId="2" fillId="0" borderId="12" xfId="0" applyNumberFormat="1" applyFont="1" applyBorder="1" applyAlignment="1">
      <alignment horizontal="center"/>
    </xf>
    <xf numFmtId="0" fontId="1" fillId="2" borderId="34" xfId="0" applyFont="1" applyFill="1" applyBorder="1" applyAlignment="1">
      <alignment horizontal="center"/>
    </xf>
    <xf numFmtId="1" fontId="2" fillId="0" borderId="17" xfId="0" applyNumberFormat="1" applyFont="1" applyBorder="1" applyAlignment="1">
      <alignment horizontal="center"/>
    </xf>
    <xf numFmtId="2" fontId="2" fillId="0" borderId="37" xfId="0" applyNumberFormat="1" applyFont="1" applyBorder="1" applyAlignment="1">
      <alignment horizontal="center"/>
    </xf>
    <xf numFmtId="0" fontId="0" fillId="0" borderId="56" xfId="0" applyFill="1" applyBorder="1"/>
    <xf numFmtId="2" fontId="0" fillId="0" borderId="11" xfId="0" applyNumberFormat="1" applyBorder="1" applyAlignment="1">
      <alignment horizontal="left"/>
    </xf>
    <xf numFmtId="2" fontId="0" fillId="0" borderId="18" xfId="0" applyNumberFormat="1" applyBorder="1" applyAlignment="1">
      <alignment horizontal="left"/>
    </xf>
    <xf numFmtId="2" fontId="0" fillId="0" borderId="38" xfId="0" applyNumberFormat="1" applyBorder="1"/>
  </cellXfs>
  <cellStyles count="1">
    <cellStyle name="Normal" xfId="0" builtinId="0"/>
  </cellStyles>
  <dxfs count="23">
    <dxf>
      <fill>
        <patternFill patternType="solid">
          <fgColor rgb="FFFFFFFF"/>
          <bgColor rgb="FF000000"/>
        </patternFill>
      </fill>
    </dxf>
    <dxf>
      <fill>
        <patternFill patternType="solid">
          <fgColor rgb="FFFF00BA"/>
          <bgColor rgb="FF000000"/>
        </patternFill>
      </fill>
    </dxf>
    <dxf>
      <fill>
        <patternFill patternType="solid">
          <fgColor rgb="FFFF3BFF"/>
          <bgColor rgb="FF000000"/>
        </patternFill>
      </fill>
    </dxf>
    <dxf>
      <fill>
        <patternFill patternType="solid">
          <fgColor rgb="FF7030A0"/>
          <bgColor rgb="FF000000"/>
        </patternFill>
      </fill>
    </dxf>
    <dxf>
      <fill>
        <patternFill patternType="solid">
          <fgColor rgb="FFB37ED5"/>
          <bgColor rgb="FF000000"/>
        </patternFill>
      </fill>
    </dxf>
    <dxf>
      <fill>
        <patternFill patternType="solid">
          <fgColor rgb="FF002060"/>
          <bgColor rgb="FF000000"/>
        </patternFill>
      </fill>
    </dxf>
    <dxf>
      <fill>
        <patternFill patternType="solid">
          <fgColor rgb="FF00B0F0"/>
          <bgColor rgb="FF000000"/>
        </patternFill>
      </fill>
    </dxf>
    <dxf>
      <fill>
        <patternFill patternType="solid">
          <fgColor rgb="FF00B050"/>
          <bgColor rgb="FF000000"/>
        </patternFill>
      </fill>
    </dxf>
    <dxf>
      <fill>
        <patternFill patternType="solid">
          <fgColor rgb="FF92D050"/>
          <bgColor rgb="FF000000"/>
        </patternFill>
      </fill>
    </dxf>
    <dxf>
      <fill>
        <patternFill patternType="solid">
          <fgColor rgb="FFFFFF00"/>
          <bgColor rgb="FF000000"/>
        </patternFill>
      </fill>
    </dxf>
    <dxf>
      <fill>
        <patternFill patternType="solid">
          <fgColor rgb="FFED7D31"/>
          <bgColor rgb="FF000000"/>
        </patternFill>
      </fill>
    </dxf>
    <dxf>
      <fill>
        <patternFill patternType="solid">
          <fgColor rgb="FFFFFFFF"/>
          <bgColor rgb="FF000000"/>
        </patternFill>
      </fill>
    </dxf>
    <dxf>
      <fill>
        <patternFill patternType="solid">
          <fgColor rgb="FFFF00BA"/>
          <bgColor rgb="FF000000"/>
        </patternFill>
      </fill>
    </dxf>
    <dxf>
      <fill>
        <patternFill patternType="solid">
          <fgColor rgb="FFFF3BFF"/>
          <bgColor rgb="FF000000"/>
        </patternFill>
      </fill>
    </dxf>
    <dxf>
      <fill>
        <patternFill patternType="solid">
          <fgColor rgb="FF7030A0"/>
          <bgColor rgb="FF000000"/>
        </patternFill>
      </fill>
    </dxf>
    <dxf>
      <fill>
        <patternFill patternType="solid">
          <fgColor rgb="FFB37ED5"/>
          <bgColor rgb="FF000000"/>
        </patternFill>
      </fill>
    </dxf>
    <dxf>
      <fill>
        <patternFill patternType="solid">
          <fgColor rgb="FF002060"/>
          <bgColor rgb="FF000000"/>
        </patternFill>
      </fill>
    </dxf>
    <dxf>
      <fill>
        <patternFill patternType="solid">
          <fgColor rgb="FF00B0F0"/>
          <bgColor rgb="FF000000"/>
        </patternFill>
      </fill>
    </dxf>
    <dxf>
      <fill>
        <patternFill patternType="solid">
          <fgColor rgb="FF00B050"/>
          <bgColor rgb="FF000000"/>
        </patternFill>
      </fill>
    </dxf>
    <dxf>
      <fill>
        <patternFill patternType="solid">
          <fgColor rgb="FF92D050"/>
          <bgColor rgb="FF000000"/>
        </patternFill>
      </fill>
    </dxf>
    <dxf>
      <fill>
        <patternFill patternType="solid">
          <fgColor rgb="FFFFFF00"/>
          <bgColor rgb="FF000000"/>
        </patternFill>
      </fill>
    </dxf>
    <dxf>
      <fill>
        <patternFill patternType="solid">
          <fgColor rgb="FFED7D31"/>
          <bgColor rgb="FF000000"/>
        </patternFill>
      </fill>
    </dxf>
    <dxf>
      <fill>
        <patternFill patternType="solid">
          <fgColor rgb="FFFF0000"/>
          <bgColor rgb="FF000000"/>
        </patternFill>
      </fill>
    </dxf>
  </dxfs>
  <tableStyles count="0" defaultTableStyle="TableStyleMedium2" defaultPivotStyle="PivotStyleLight16"/>
  <colors>
    <mruColors>
      <color rgb="FFFF3BFF"/>
      <color rgb="FFFF00BA"/>
      <color rgb="FFB37ED5"/>
      <color rgb="FFB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2F6B-FC70-A645-8A22-1747811B55E1}">
  <dimension ref="B1:M96"/>
  <sheetViews>
    <sheetView topLeftCell="A54" workbookViewId="0">
      <selection activeCell="E74" sqref="E74"/>
    </sheetView>
  </sheetViews>
  <sheetFormatPr baseColWidth="10" defaultRowHeight="16" x14ac:dyDescent="0.2"/>
  <cols>
    <col min="2" max="2" width="19.33203125" customWidth="1"/>
    <col min="3" max="6" width="18.33203125" customWidth="1"/>
    <col min="7" max="7" width="21.1640625" customWidth="1"/>
    <col min="8" max="9" width="15.6640625" customWidth="1"/>
    <col min="10" max="10" width="80.83203125" customWidth="1"/>
  </cols>
  <sheetData>
    <row r="1" spans="2:13" ht="17" thickBot="1" x14ac:dyDescent="0.25">
      <c r="B1" s="202" t="s">
        <v>0</v>
      </c>
      <c r="C1" s="203" t="s">
        <v>120</v>
      </c>
      <c r="D1" s="203" t="s">
        <v>118</v>
      </c>
      <c r="E1" s="204" t="s">
        <v>119</v>
      </c>
      <c r="F1" s="203" t="s">
        <v>188</v>
      </c>
      <c r="G1" s="203" t="s">
        <v>1</v>
      </c>
      <c r="H1" s="204" t="s">
        <v>121</v>
      </c>
      <c r="I1" s="203" t="s">
        <v>142</v>
      </c>
      <c r="J1" s="205" t="s">
        <v>122</v>
      </c>
    </row>
    <row r="2" spans="2:13" x14ac:dyDescent="0.2">
      <c r="B2" s="143" t="s">
        <v>76</v>
      </c>
      <c r="C2" s="59" t="s">
        <v>123</v>
      </c>
      <c r="D2" s="21" t="s">
        <v>123</v>
      </c>
      <c r="E2" s="21" t="s">
        <v>123</v>
      </c>
      <c r="F2" s="21" t="s">
        <v>123</v>
      </c>
      <c r="G2" s="5" t="s">
        <v>113</v>
      </c>
      <c r="H2" s="30" t="s">
        <v>123</v>
      </c>
      <c r="I2" s="50" t="s">
        <v>123</v>
      </c>
      <c r="J2" s="16"/>
    </row>
    <row r="3" spans="2:13" x14ac:dyDescent="0.2">
      <c r="B3" s="66" t="s">
        <v>77</v>
      </c>
      <c r="C3" s="59" t="s">
        <v>123</v>
      </c>
      <c r="D3" s="21" t="s">
        <v>123</v>
      </c>
      <c r="E3" s="21" t="s">
        <v>123</v>
      </c>
      <c r="F3" s="21" t="s">
        <v>123</v>
      </c>
      <c r="G3" s="5" t="s">
        <v>113</v>
      </c>
      <c r="H3" s="30" t="s">
        <v>123</v>
      </c>
      <c r="I3" s="50" t="s">
        <v>123</v>
      </c>
      <c r="J3" s="16"/>
    </row>
    <row r="4" spans="2:13" x14ac:dyDescent="0.2">
      <c r="B4" s="66" t="s">
        <v>78</v>
      </c>
      <c r="C4" s="59" t="s">
        <v>123</v>
      </c>
      <c r="D4" s="21" t="s">
        <v>123</v>
      </c>
      <c r="E4" s="21" t="s">
        <v>123</v>
      </c>
      <c r="F4" s="21" t="s">
        <v>123</v>
      </c>
      <c r="G4" s="5" t="s">
        <v>113</v>
      </c>
      <c r="H4" s="30" t="s">
        <v>123</v>
      </c>
      <c r="I4" s="50" t="s">
        <v>123</v>
      </c>
      <c r="J4" s="16"/>
    </row>
    <row r="5" spans="2:13" x14ac:dyDescent="0.2">
      <c r="B5" s="66" t="s">
        <v>79</v>
      </c>
      <c r="C5" s="59" t="s">
        <v>123</v>
      </c>
      <c r="D5" s="21" t="s">
        <v>123</v>
      </c>
      <c r="E5" s="21" t="s">
        <v>123</v>
      </c>
      <c r="F5" s="21" t="s">
        <v>123</v>
      </c>
      <c r="G5" s="5" t="s">
        <v>113</v>
      </c>
      <c r="H5" s="30" t="s">
        <v>123</v>
      </c>
      <c r="I5" s="50" t="s">
        <v>123</v>
      </c>
      <c r="J5" s="16"/>
    </row>
    <row r="6" spans="2:13" x14ac:dyDescent="0.2">
      <c r="B6" s="66" t="s">
        <v>80</v>
      </c>
      <c r="C6" s="59" t="s">
        <v>123</v>
      </c>
      <c r="D6" s="21" t="s">
        <v>123</v>
      </c>
      <c r="E6" s="21" t="s">
        <v>123</v>
      </c>
      <c r="F6" s="21" t="s">
        <v>123</v>
      </c>
      <c r="G6" s="5" t="s">
        <v>113</v>
      </c>
      <c r="H6" s="28" t="s">
        <v>123</v>
      </c>
      <c r="I6" s="50" t="s">
        <v>123</v>
      </c>
      <c r="J6" s="16"/>
    </row>
    <row r="7" spans="2:13" x14ac:dyDescent="0.2">
      <c r="B7" s="66" t="s">
        <v>81</v>
      </c>
      <c r="C7" s="59" t="s">
        <v>123</v>
      </c>
      <c r="D7" s="21" t="s">
        <v>123</v>
      </c>
      <c r="E7" s="21" t="s">
        <v>123</v>
      </c>
      <c r="F7" s="21" t="s">
        <v>123</v>
      </c>
      <c r="G7" s="5" t="s">
        <v>113</v>
      </c>
      <c r="H7" s="28" t="s">
        <v>123</v>
      </c>
      <c r="I7" s="50" t="s">
        <v>123</v>
      </c>
      <c r="J7" s="16"/>
    </row>
    <row r="8" spans="2:13" x14ac:dyDescent="0.2">
      <c r="B8" s="66" t="s">
        <v>82</v>
      </c>
      <c r="C8" s="59" t="s">
        <v>123</v>
      </c>
      <c r="D8" s="21" t="s">
        <v>123</v>
      </c>
      <c r="E8" s="21" t="s">
        <v>123</v>
      </c>
      <c r="F8" s="21" t="s">
        <v>123</v>
      </c>
      <c r="G8" s="5" t="s">
        <v>113</v>
      </c>
      <c r="H8" s="28" t="s">
        <v>123</v>
      </c>
      <c r="I8" s="50" t="s">
        <v>123</v>
      </c>
      <c r="J8" s="16"/>
    </row>
    <row r="9" spans="2:13" x14ac:dyDescent="0.2">
      <c r="B9" s="66" t="s">
        <v>83</v>
      </c>
      <c r="C9" s="59" t="s">
        <v>123</v>
      </c>
      <c r="D9" s="21" t="s">
        <v>123</v>
      </c>
      <c r="E9" s="21" t="s">
        <v>123</v>
      </c>
      <c r="F9" s="21" t="s">
        <v>123</v>
      </c>
      <c r="G9" s="5" t="s">
        <v>113</v>
      </c>
      <c r="H9" s="28" t="s">
        <v>123</v>
      </c>
      <c r="I9" s="50" t="s">
        <v>123</v>
      </c>
      <c r="J9" s="16"/>
      <c r="M9" s="1"/>
    </row>
    <row r="10" spans="2:13" ht="17" thickBot="1" x14ac:dyDescent="0.25">
      <c r="B10" s="101" t="s">
        <v>3</v>
      </c>
      <c r="C10" s="131">
        <v>2017</v>
      </c>
      <c r="D10" s="51" t="s">
        <v>127</v>
      </c>
      <c r="E10" s="37">
        <v>6</v>
      </c>
      <c r="F10" s="213" t="s">
        <v>189</v>
      </c>
      <c r="G10" s="14">
        <v>0</v>
      </c>
      <c r="H10" s="52" t="s">
        <v>128</v>
      </c>
      <c r="I10" s="53" t="s">
        <v>144</v>
      </c>
      <c r="J10" s="43"/>
      <c r="M10" s="1"/>
    </row>
    <row r="11" spans="2:13" x14ac:dyDescent="0.2">
      <c r="B11" s="146" t="s">
        <v>84</v>
      </c>
      <c r="C11" s="59">
        <v>2017</v>
      </c>
      <c r="D11" s="4" t="s">
        <v>127</v>
      </c>
      <c r="E11" s="21">
        <v>5</v>
      </c>
      <c r="F11" s="214" t="s">
        <v>190</v>
      </c>
      <c r="G11" s="13">
        <f>600.368+41.103</f>
        <v>641.471</v>
      </c>
      <c r="H11" s="28" t="s">
        <v>128</v>
      </c>
      <c r="I11" s="30" t="s">
        <v>144</v>
      </c>
      <c r="J11" s="16"/>
      <c r="M11" s="1"/>
    </row>
    <row r="12" spans="2:13" x14ac:dyDescent="0.2">
      <c r="B12" s="69" t="s">
        <v>85</v>
      </c>
      <c r="C12" s="59" t="s">
        <v>123</v>
      </c>
      <c r="D12" s="21" t="s">
        <v>123</v>
      </c>
      <c r="E12" s="21" t="s">
        <v>123</v>
      </c>
      <c r="F12" s="214" t="s">
        <v>123</v>
      </c>
      <c r="G12" s="5" t="s">
        <v>113</v>
      </c>
      <c r="H12" s="28" t="s">
        <v>123</v>
      </c>
      <c r="I12" s="30" t="s">
        <v>123</v>
      </c>
      <c r="J12" s="16"/>
      <c r="M12" s="1"/>
    </row>
    <row r="13" spans="2:13" x14ac:dyDescent="0.2">
      <c r="B13" s="69" t="s">
        <v>4</v>
      </c>
      <c r="C13" s="65">
        <v>2017</v>
      </c>
      <c r="D13" s="4" t="s">
        <v>127</v>
      </c>
      <c r="E13" s="22">
        <v>5</v>
      </c>
      <c r="F13" s="214" t="s">
        <v>190</v>
      </c>
      <c r="G13" s="5">
        <v>0</v>
      </c>
      <c r="H13" s="28" t="s">
        <v>128</v>
      </c>
      <c r="I13" s="30" t="s">
        <v>144</v>
      </c>
      <c r="J13" s="16"/>
      <c r="M13" s="1"/>
    </row>
    <row r="14" spans="2:13" x14ac:dyDescent="0.2">
      <c r="B14" s="69" t="s">
        <v>86</v>
      </c>
      <c r="C14" s="59" t="s">
        <v>123</v>
      </c>
      <c r="D14" s="21" t="s">
        <v>123</v>
      </c>
      <c r="E14" s="21" t="s">
        <v>123</v>
      </c>
      <c r="F14" s="214" t="s">
        <v>123</v>
      </c>
      <c r="G14" s="5" t="s">
        <v>113</v>
      </c>
      <c r="H14" s="28" t="s">
        <v>123</v>
      </c>
      <c r="I14" s="30" t="s">
        <v>123</v>
      </c>
      <c r="J14" s="16"/>
      <c r="M14" s="1"/>
    </row>
    <row r="15" spans="2:13" x14ac:dyDescent="0.2">
      <c r="B15" s="69" t="s">
        <v>87</v>
      </c>
      <c r="C15" s="59" t="s">
        <v>123</v>
      </c>
      <c r="D15" s="21" t="s">
        <v>123</v>
      </c>
      <c r="E15" s="21" t="s">
        <v>123</v>
      </c>
      <c r="F15" s="214" t="s">
        <v>123</v>
      </c>
      <c r="G15" s="5" t="s">
        <v>113</v>
      </c>
      <c r="H15" s="28" t="s">
        <v>123</v>
      </c>
      <c r="I15" s="30" t="s">
        <v>123</v>
      </c>
      <c r="J15" s="16"/>
      <c r="M15" s="2"/>
    </row>
    <row r="16" spans="2:13" x14ac:dyDescent="0.2">
      <c r="B16" s="69" t="s">
        <v>88</v>
      </c>
      <c r="C16" s="59" t="s">
        <v>123</v>
      </c>
      <c r="D16" s="21" t="s">
        <v>123</v>
      </c>
      <c r="E16" s="21" t="s">
        <v>123</v>
      </c>
      <c r="F16" s="214" t="s">
        <v>123</v>
      </c>
      <c r="G16" s="5" t="s">
        <v>113</v>
      </c>
      <c r="H16" s="28" t="s">
        <v>123</v>
      </c>
      <c r="I16" s="30" t="s">
        <v>123</v>
      </c>
      <c r="J16" s="16"/>
      <c r="M16" s="2"/>
    </row>
    <row r="17" spans="2:10" x14ac:dyDescent="0.2">
      <c r="B17" s="69" t="s">
        <v>89</v>
      </c>
      <c r="C17" s="59" t="s">
        <v>123</v>
      </c>
      <c r="D17" s="21" t="s">
        <v>123</v>
      </c>
      <c r="E17" s="21" t="s">
        <v>123</v>
      </c>
      <c r="F17" s="214" t="s">
        <v>123</v>
      </c>
      <c r="G17" s="5" t="s">
        <v>113</v>
      </c>
      <c r="H17" s="28" t="s">
        <v>123</v>
      </c>
      <c r="I17" s="30" t="s">
        <v>123</v>
      </c>
      <c r="J17" s="16"/>
    </row>
    <row r="18" spans="2:10" x14ac:dyDescent="0.2">
      <c r="B18" s="69" t="s">
        <v>2</v>
      </c>
      <c r="C18" s="59">
        <v>2017</v>
      </c>
      <c r="D18" s="4" t="s">
        <v>127</v>
      </c>
      <c r="E18" s="21">
        <v>5</v>
      </c>
      <c r="F18" s="214" t="s">
        <v>190</v>
      </c>
      <c r="G18" s="5">
        <v>0</v>
      </c>
      <c r="H18" s="28" t="s">
        <v>128</v>
      </c>
      <c r="I18" s="30" t="s">
        <v>144</v>
      </c>
      <c r="J18" s="16"/>
    </row>
    <row r="19" spans="2:10" x14ac:dyDescent="0.2">
      <c r="B19" s="69" t="s">
        <v>90</v>
      </c>
      <c r="C19" s="59" t="s">
        <v>123</v>
      </c>
      <c r="D19" s="4" t="s">
        <v>123</v>
      </c>
      <c r="E19" s="4" t="s">
        <v>123</v>
      </c>
      <c r="F19" s="214" t="s">
        <v>123</v>
      </c>
      <c r="G19" s="5" t="s">
        <v>113</v>
      </c>
      <c r="H19" s="28" t="s">
        <v>123</v>
      </c>
      <c r="I19" s="30" t="s">
        <v>123</v>
      </c>
      <c r="J19" s="16"/>
    </row>
    <row r="20" spans="2:10" x14ac:dyDescent="0.2">
      <c r="B20" s="69" t="s">
        <v>91</v>
      </c>
      <c r="C20" s="59" t="s">
        <v>123</v>
      </c>
      <c r="D20" s="4" t="s">
        <v>123</v>
      </c>
      <c r="E20" s="4" t="s">
        <v>123</v>
      </c>
      <c r="F20" s="218" t="s">
        <v>123</v>
      </c>
      <c r="G20" s="5" t="s">
        <v>113</v>
      </c>
      <c r="H20" s="28" t="s">
        <v>123</v>
      </c>
      <c r="I20" s="30" t="s">
        <v>123</v>
      </c>
      <c r="J20" s="16"/>
    </row>
    <row r="21" spans="2:10" ht="17" thickBot="1" x14ac:dyDescent="0.25">
      <c r="B21" s="147" t="s">
        <v>92</v>
      </c>
      <c r="C21" s="131" t="s">
        <v>123</v>
      </c>
      <c r="D21" s="51" t="s">
        <v>123</v>
      </c>
      <c r="E21" s="51" t="s">
        <v>123</v>
      </c>
      <c r="F21" s="213" t="s">
        <v>123</v>
      </c>
      <c r="G21" s="14" t="s">
        <v>113</v>
      </c>
      <c r="H21" s="52" t="s">
        <v>123</v>
      </c>
      <c r="I21" s="53" t="s">
        <v>123</v>
      </c>
      <c r="J21" s="43"/>
    </row>
    <row r="22" spans="2:10" x14ac:dyDescent="0.2">
      <c r="B22" s="107" t="s">
        <v>44</v>
      </c>
      <c r="C22" s="59">
        <v>2017</v>
      </c>
      <c r="D22" s="4" t="s">
        <v>124</v>
      </c>
      <c r="E22" s="21">
        <v>26</v>
      </c>
      <c r="F22" s="214" t="s">
        <v>191</v>
      </c>
      <c r="G22" s="5" t="s">
        <v>66</v>
      </c>
      <c r="H22" s="28" t="s">
        <v>128</v>
      </c>
      <c r="I22" s="30" t="s">
        <v>144</v>
      </c>
      <c r="J22" s="16"/>
    </row>
    <row r="23" spans="2:10" x14ac:dyDescent="0.2">
      <c r="B23" s="71" t="s">
        <v>45</v>
      </c>
      <c r="C23" s="59">
        <v>2017</v>
      </c>
      <c r="D23" s="4" t="s">
        <v>124</v>
      </c>
      <c r="E23" s="21">
        <v>26</v>
      </c>
      <c r="F23" s="214" t="s">
        <v>191</v>
      </c>
      <c r="G23" s="5" t="s">
        <v>67</v>
      </c>
      <c r="H23" s="28" t="s">
        <v>128</v>
      </c>
      <c r="I23" s="30" t="s">
        <v>144</v>
      </c>
      <c r="J23" s="16"/>
    </row>
    <row r="24" spans="2:10" x14ac:dyDescent="0.2">
      <c r="B24" s="71" t="s">
        <v>46</v>
      </c>
      <c r="C24" s="59">
        <v>2017</v>
      </c>
      <c r="D24" s="4" t="s">
        <v>124</v>
      </c>
      <c r="E24" s="21">
        <v>26</v>
      </c>
      <c r="F24" s="214" t="s">
        <v>191</v>
      </c>
      <c r="G24" s="5" t="s">
        <v>68</v>
      </c>
      <c r="H24" s="28" t="s">
        <v>128</v>
      </c>
      <c r="I24" s="30" t="s">
        <v>144</v>
      </c>
      <c r="J24" s="16"/>
    </row>
    <row r="25" spans="2:10" x14ac:dyDescent="0.2">
      <c r="B25" s="71" t="s">
        <v>48</v>
      </c>
      <c r="C25" s="59">
        <v>2017</v>
      </c>
      <c r="D25" s="4" t="s">
        <v>124</v>
      </c>
      <c r="E25" s="21">
        <v>26</v>
      </c>
      <c r="F25" s="214" t="s">
        <v>191</v>
      </c>
      <c r="G25" s="5" t="s">
        <v>69</v>
      </c>
      <c r="H25" s="28" t="s">
        <v>128</v>
      </c>
      <c r="I25" s="30" t="s">
        <v>144</v>
      </c>
      <c r="J25" s="16"/>
    </row>
    <row r="26" spans="2:10" x14ac:dyDescent="0.2">
      <c r="B26" s="71" t="s">
        <v>47</v>
      </c>
      <c r="C26" s="59">
        <v>2017</v>
      </c>
      <c r="D26" s="4" t="s">
        <v>124</v>
      </c>
      <c r="E26" s="21">
        <v>26</v>
      </c>
      <c r="F26" s="214" t="s">
        <v>191</v>
      </c>
      <c r="G26" s="5" t="s">
        <v>70</v>
      </c>
      <c r="H26" s="28" t="s">
        <v>128</v>
      </c>
      <c r="I26" s="30" t="s">
        <v>144</v>
      </c>
      <c r="J26" s="16"/>
    </row>
    <row r="27" spans="2:10" x14ac:dyDescent="0.2">
      <c r="B27" s="71" t="s">
        <v>49</v>
      </c>
      <c r="C27" s="59">
        <v>2017</v>
      </c>
      <c r="D27" s="4" t="s">
        <v>124</v>
      </c>
      <c r="E27" s="23">
        <v>26</v>
      </c>
      <c r="F27" s="214" t="s">
        <v>191</v>
      </c>
      <c r="G27" s="5" t="s">
        <v>71</v>
      </c>
      <c r="H27" s="28" t="s">
        <v>128</v>
      </c>
      <c r="I27" s="30" t="s">
        <v>144</v>
      </c>
      <c r="J27" s="16"/>
    </row>
    <row r="28" spans="2:10" x14ac:dyDescent="0.2">
      <c r="B28" s="71" t="s">
        <v>50</v>
      </c>
      <c r="C28" s="59" t="s">
        <v>123</v>
      </c>
      <c r="D28" s="21" t="s">
        <v>123</v>
      </c>
      <c r="E28" s="23" t="s">
        <v>123</v>
      </c>
      <c r="F28" s="214" t="s">
        <v>123</v>
      </c>
      <c r="G28" s="5" t="s">
        <v>113</v>
      </c>
      <c r="H28" s="28" t="s">
        <v>123</v>
      </c>
      <c r="I28" s="30" t="s">
        <v>123</v>
      </c>
      <c r="J28" s="16"/>
    </row>
    <row r="29" spans="2:10" x14ac:dyDescent="0.2">
      <c r="B29" s="71" t="s">
        <v>51</v>
      </c>
      <c r="C29" s="59" t="s">
        <v>123</v>
      </c>
      <c r="D29" s="21" t="s">
        <v>123</v>
      </c>
      <c r="E29" s="23" t="s">
        <v>123</v>
      </c>
      <c r="F29" s="214" t="s">
        <v>123</v>
      </c>
      <c r="G29" s="5" t="s">
        <v>113</v>
      </c>
      <c r="H29" s="28" t="s">
        <v>123</v>
      </c>
      <c r="I29" s="30" t="s">
        <v>123</v>
      </c>
      <c r="J29" s="16"/>
    </row>
    <row r="30" spans="2:10" x14ac:dyDescent="0.2">
      <c r="B30" s="71" t="s">
        <v>52</v>
      </c>
      <c r="C30" s="59" t="s">
        <v>123</v>
      </c>
      <c r="D30" s="21" t="s">
        <v>123</v>
      </c>
      <c r="E30" s="23" t="s">
        <v>123</v>
      </c>
      <c r="F30" s="214" t="s">
        <v>123</v>
      </c>
      <c r="G30" s="5" t="s">
        <v>113</v>
      </c>
      <c r="H30" s="28" t="s">
        <v>123</v>
      </c>
      <c r="I30" s="30" t="s">
        <v>123</v>
      </c>
      <c r="J30" s="16"/>
    </row>
    <row r="31" spans="2:10" x14ac:dyDescent="0.2">
      <c r="B31" s="71" t="s">
        <v>53</v>
      </c>
      <c r="C31" s="59">
        <v>2017</v>
      </c>
      <c r="D31" s="4" t="s">
        <v>124</v>
      </c>
      <c r="E31" s="23">
        <v>26</v>
      </c>
      <c r="F31" s="214" t="s">
        <v>191</v>
      </c>
      <c r="G31" s="5">
        <v>0</v>
      </c>
      <c r="H31" s="28" t="s">
        <v>128</v>
      </c>
      <c r="I31" s="30" t="s">
        <v>144</v>
      </c>
      <c r="J31" s="16"/>
    </row>
    <row r="32" spans="2:10" x14ac:dyDescent="0.2">
      <c r="B32" s="71" t="s">
        <v>54</v>
      </c>
      <c r="C32" s="59">
        <v>2017</v>
      </c>
      <c r="D32" s="3" t="s">
        <v>124</v>
      </c>
      <c r="E32" s="38">
        <v>26</v>
      </c>
      <c r="F32" s="214" t="s">
        <v>191</v>
      </c>
      <c r="G32" s="5" t="s">
        <v>72</v>
      </c>
      <c r="H32" s="28" t="s">
        <v>128</v>
      </c>
      <c r="I32" s="30" t="s">
        <v>144</v>
      </c>
      <c r="J32" s="16"/>
    </row>
    <row r="33" spans="2:10" x14ac:dyDescent="0.2">
      <c r="B33" s="71" t="s">
        <v>55</v>
      </c>
      <c r="C33" s="59">
        <v>2017</v>
      </c>
      <c r="D33" s="3" t="s">
        <v>124</v>
      </c>
      <c r="E33" s="38">
        <v>26</v>
      </c>
      <c r="F33" s="214" t="s">
        <v>191</v>
      </c>
      <c r="G33" s="5" t="s">
        <v>73</v>
      </c>
      <c r="H33" s="28" t="s">
        <v>128</v>
      </c>
      <c r="I33" s="30" t="s">
        <v>144</v>
      </c>
      <c r="J33" s="16"/>
    </row>
    <row r="34" spans="2:10" x14ac:dyDescent="0.2">
      <c r="B34" s="71" t="s">
        <v>56</v>
      </c>
      <c r="C34" s="59" t="s">
        <v>123</v>
      </c>
      <c r="D34" s="21" t="s">
        <v>123</v>
      </c>
      <c r="E34" s="21" t="s">
        <v>123</v>
      </c>
      <c r="F34" s="214" t="s">
        <v>123</v>
      </c>
      <c r="G34" s="5" t="s">
        <v>113</v>
      </c>
      <c r="H34" s="28" t="s">
        <v>123</v>
      </c>
      <c r="I34" s="30" t="s">
        <v>123</v>
      </c>
      <c r="J34" s="16"/>
    </row>
    <row r="35" spans="2:10" x14ac:dyDescent="0.2">
      <c r="B35" s="71" t="s">
        <v>57</v>
      </c>
      <c r="C35" s="59" t="s">
        <v>123</v>
      </c>
      <c r="D35" s="21" t="s">
        <v>123</v>
      </c>
      <c r="E35" s="21" t="s">
        <v>123</v>
      </c>
      <c r="F35" s="214" t="s">
        <v>123</v>
      </c>
      <c r="G35" s="5" t="s">
        <v>113</v>
      </c>
      <c r="H35" s="28" t="s">
        <v>123</v>
      </c>
      <c r="I35" s="30" t="s">
        <v>123</v>
      </c>
      <c r="J35" s="16"/>
    </row>
    <row r="36" spans="2:10" x14ac:dyDescent="0.2">
      <c r="B36" s="71" t="s">
        <v>58</v>
      </c>
      <c r="C36" s="59" t="s">
        <v>123</v>
      </c>
      <c r="D36" s="21" t="s">
        <v>123</v>
      </c>
      <c r="E36" s="21" t="s">
        <v>123</v>
      </c>
      <c r="F36" s="214" t="s">
        <v>123</v>
      </c>
      <c r="G36" s="5" t="s">
        <v>113</v>
      </c>
      <c r="H36" s="28" t="s">
        <v>123</v>
      </c>
      <c r="I36" s="30" t="s">
        <v>123</v>
      </c>
      <c r="J36" s="16"/>
    </row>
    <row r="37" spans="2:10" x14ac:dyDescent="0.2">
      <c r="B37" s="71" t="s">
        <v>59</v>
      </c>
      <c r="C37" s="59" t="s">
        <v>123</v>
      </c>
      <c r="D37" s="21" t="s">
        <v>123</v>
      </c>
      <c r="E37" s="21" t="s">
        <v>123</v>
      </c>
      <c r="F37" s="214" t="s">
        <v>123</v>
      </c>
      <c r="G37" s="5" t="s">
        <v>113</v>
      </c>
      <c r="H37" s="28" t="s">
        <v>123</v>
      </c>
      <c r="I37" s="30" t="s">
        <v>123</v>
      </c>
      <c r="J37" s="16"/>
    </row>
    <row r="38" spans="2:10" x14ac:dyDescent="0.2">
      <c r="B38" s="71" t="s">
        <v>60</v>
      </c>
      <c r="C38" s="59" t="s">
        <v>123</v>
      </c>
      <c r="D38" s="21" t="s">
        <v>123</v>
      </c>
      <c r="E38" s="21" t="s">
        <v>123</v>
      </c>
      <c r="F38" s="214" t="s">
        <v>123</v>
      </c>
      <c r="G38" s="5" t="s">
        <v>113</v>
      </c>
      <c r="H38" s="28" t="s">
        <v>123</v>
      </c>
      <c r="I38" s="30" t="s">
        <v>123</v>
      </c>
      <c r="J38" s="16"/>
    </row>
    <row r="39" spans="2:10" x14ac:dyDescent="0.2">
      <c r="B39" s="71" t="s">
        <v>61</v>
      </c>
      <c r="C39" s="59" t="s">
        <v>123</v>
      </c>
      <c r="D39" s="21" t="s">
        <v>123</v>
      </c>
      <c r="E39" s="21" t="s">
        <v>123</v>
      </c>
      <c r="F39" s="214" t="s">
        <v>123</v>
      </c>
      <c r="G39" s="5" t="s">
        <v>113</v>
      </c>
      <c r="H39" s="28" t="s">
        <v>123</v>
      </c>
      <c r="I39" s="30" t="s">
        <v>123</v>
      </c>
      <c r="J39" s="16"/>
    </row>
    <row r="40" spans="2:10" x14ac:dyDescent="0.2">
      <c r="B40" s="71" t="s">
        <v>62</v>
      </c>
      <c r="C40" s="59" t="s">
        <v>123</v>
      </c>
      <c r="D40" s="21" t="s">
        <v>123</v>
      </c>
      <c r="E40" s="21" t="s">
        <v>123</v>
      </c>
      <c r="F40" s="214" t="s">
        <v>123</v>
      </c>
      <c r="G40" s="5" t="s">
        <v>113</v>
      </c>
      <c r="H40" s="28" t="s">
        <v>123</v>
      </c>
      <c r="I40" s="30" t="s">
        <v>123</v>
      </c>
      <c r="J40" s="16"/>
    </row>
    <row r="41" spans="2:10" x14ac:dyDescent="0.2">
      <c r="B41" s="71" t="s">
        <v>63</v>
      </c>
      <c r="C41" s="59" t="s">
        <v>123</v>
      </c>
      <c r="D41" s="21" t="s">
        <v>123</v>
      </c>
      <c r="E41" s="23" t="s">
        <v>123</v>
      </c>
      <c r="F41" s="214" t="s">
        <v>123</v>
      </c>
      <c r="G41" s="5" t="s">
        <v>113</v>
      </c>
      <c r="H41" s="28" t="s">
        <v>123</v>
      </c>
      <c r="I41" s="30" t="s">
        <v>123</v>
      </c>
      <c r="J41" s="16"/>
    </row>
    <row r="42" spans="2:10" x14ac:dyDescent="0.2">
      <c r="B42" s="71" t="s">
        <v>64</v>
      </c>
      <c r="C42" s="65">
        <v>2017</v>
      </c>
      <c r="D42" s="3" t="s">
        <v>124</v>
      </c>
      <c r="E42" s="24">
        <v>26</v>
      </c>
      <c r="F42" s="215" t="s">
        <v>191</v>
      </c>
      <c r="G42" s="5" t="s">
        <v>74</v>
      </c>
      <c r="H42" s="28" t="s">
        <v>128</v>
      </c>
      <c r="I42" s="30" t="s">
        <v>144</v>
      </c>
      <c r="J42" s="16"/>
    </row>
    <row r="43" spans="2:10" ht="17" thickBot="1" x14ac:dyDescent="0.25">
      <c r="B43" s="114" t="s">
        <v>65</v>
      </c>
      <c r="C43" s="198" t="s">
        <v>123</v>
      </c>
      <c r="D43" s="54" t="s">
        <v>123</v>
      </c>
      <c r="E43" s="55" t="s">
        <v>123</v>
      </c>
      <c r="F43" s="220" t="s">
        <v>123</v>
      </c>
      <c r="G43" s="14" t="s">
        <v>113</v>
      </c>
      <c r="H43" s="52" t="s">
        <v>123</v>
      </c>
      <c r="I43" s="53" t="s">
        <v>123</v>
      </c>
      <c r="J43" s="43"/>
    </row>
    <row r="44" spans="2:10" x14ac:dyDescent="0.2">
      <c r="B44" s="73" t="s">
        <v>35</v>
      </c>
      <c r="C44" s="59" t="s">
        <v>123</v>
      </c>
      <c r="D44" s="21" t="s">
        <v>123</v>
      </c>
      <c r="E44" s="23" t="s">
        <v>123</v>
      </c>
      <c r="F44" s="219" t="s">
        <v>123</v>
      </c>
      <c r="G44" s="5" t="s">
        <v>113</v>
      </c>
      <c r="H44" s="26" t="s">
        <v>123</v>
      </c>
      <c r="I44" s="30" t="s">
        <v>123</v>
      </c>
      <c r="J44" s="16"/>
    </row>
    <row r="45" spans="2:10" x14ac:dyDescent="0.2">
      <c r="B45" s="72" t="s">
        <v>36</v>
      </c>
      <c r="C45" s="59" t="s">
        <v>123</v>
      </c>
      <c r="D45" s="21" t="s">
        <v>123</v>
      </c>
      <c r="E45" s="23" t="s">
        <v>123</v>
      </c>
      <c r="F45" s="214" t="s">
        <v>123</v>
      </c>
      <c r="G45" s="5" t="s">
        <v>113</v>
      </c>
      <c r="H45" s="26" t="s">
        <v>123</v>
      </c>
      <c r="I45" s="30" t="s">
        <v>123</v>
      </c>
      <c r="J45" s="16"/>
    </row>
    <row r="46" spans="2:10" x14ac:dyDescent="0.2">
      <c r="B46" s="72" t="s">
        <v>37</v>
      </c>
      <c r="C46" s="59" t="s">
        <v>123</v>
      </c>
      <c r="D46" s="21" t="s">
        <v>123</v>
      </c>
      <c r="E46" s="23" t="s">
        <v>123</v>
      </c>
      <c r="F46" s="214" t="s">
        <v>123</v>
      </c>
      <c r="G46" s="5" t="s">
        <v>113</v>
      </c>
      <c r="H46" s="28" t="s">
        <v>123</v>
      </c>
      <c r="I46" s="30" t="s">
        <v>123</v>
      </c>
      <c r="J46" s="16"/>
    </row>
    <row r="47" spans="2:10" x14ac:dyDescent="0.2">
      <c r="B47" s="72" t="s">
        <v>38</v>
      </c>
      <c r="C47" s="59" t="s">
        <v>123</v>
      </c>
      <c r="D47" s="21" t="s">
        <v>123</v>
      </c>
      <c r="E47" s="38" t="s">
        <v>123</v>
      </c>
      <c r="F47" s="214" t="s">
        <v>123</v>
      </c>
      <c r="G47" s="5" t="s">
        <v>113</v>
      </c>
      <c r="H47" s="28" t="s">
        <v>123</v>
      </c>
      <c r="I47" s="30" t="s">
        <v>123</v>
      </c>
      <c r="J47" s="16"/>
    </row>
    <row r="48" spans="2:10" x14ac:dyDescent="0.2">
      <c r="B48" s="72" t="s">
        <v>39</v>
      </c>
      <c r="C48" s="59" t="s">
        <v>123</v>
      </c>
      <c r="D48" s="21" t="s">
        <v>123</v>
      </c>
      <c r="E48" s="38" t="s">
        <v>123</v>
      </c>
      <c r="F48" s="214" t="s">
        <v>123</v>
      </c>
      <c r="G48" s="5" t="s">
        <v>113</v>
      </c>
      <c r="H48" s="28" t="s">
        <v>123</v>
      </c>
      <c r="I48" s="30" t="s">
        <v>123</v>
      </c>
      <c r="J48" s="16"/>
    </row>
    <row r="49" spans="2:10" x14ac:dyDescent="0.2">
      <c r="B49" s="72" t="s">
        <v>40</v>
      </c>
      <c r="C49" s="59" t="s">
        <v>123</v>
      </c>
      <c r="D49" s="21" t="s">
        <v>123</v>
      </c>
      <c r="E49" s="38" t="s">
        <v>123</v>
      </c>
      <c r="F49" s="214" t="s">
        <v>123</v>
      </c>
      <c r="G49" s="5" t="s">
        <v>113</v>
      </c>
      <c r="H49" s="28" t="s">
        <v>123</v>
      </c>
      <c r="I49" s="30" t="s">
        <v>123</v>
      </c>
      <c r="J49" s="16"/>
    </row>
    <row r="50" spans="2:10" x14ac:dyDescent="0.2">
      <c r="B50" s="72" t="s">
        <v>41</v>
      </c>
      <c r="C50" s="59" t="s">
        <v>123</v>
      </c>
      <c r="D50" s="21" t="s">
        <v>123</v>
      </c>
      <c r="E50" s="23" t="s">
        <v>123</v>
      </c>
      <c r="F50" s="214" t="s">
        <v>123</v>
      </c>
      <c r="G50" s="5" t="s">
        <v>113</v>
      </c>
      <c r="H50" s="28" t="s">
        <v>123</v>
      </c>
      <c r="I50" s="30" t="s">
        <v>123</v>
      </c>
      <c r="J50" s="16"/>
    </row>
    <row r="51" spans="2:10" x14ac:dyDescent="0.2">
      <c r="B51" s="72" t="s">
        <v>42</v>
      </c>
      <c r="C51" s="59" t="s">
        <v>123</v>
      </c>
      <c r="D51" s="21" t="s">
        <v>123</v>
      </c>
      <c r="E51" s="23" t="s">
        <v>123</v>
      </c>
      <c r="F51" s="214" t="s">
        <v>123</v>
      </c>
      <c r="G51" s="5" t="s">
        <v>113</v>
      </c>
      <c r="H51" s="28" t="s">
        <v>123</v>
      </c>
      <c r="I51" s="30" t="s">
        <v>123</v>
      </c>
      <c r="J51" s="16"/>
    </row>
    <row r="52" spans="2:10" ht="17" thickBot="1" x14ac:dyDescent="0.25">
      <c r="B52" s="115" t="s">
        <v>43</v>
      </c>
      <c r="C52" s="131" t="s">
        <v>123</v>
      </c>
      <c r="D52" s="37" t="s">
        <v>123</v>
      </c>
      <c r="E52" s="40" t="s">
        <v>123</v>
      </c>
      <c r="F52" s="213" t="s">
        <v>123</v>
      </c>
      <c r="G52" s="14" t="s">
        <v>113</v>
      </c>
      <c r="H52" s="52" t="s">
        <v>123</v>
      </c>
      <c r="I52" s="53" t="s">
        <v>123</v>
      </c>
      <c r="J52" s="43"/>
    </row>
    <row r="53" spans="2:10" x14ac:dyDescent="0.2">
      <c r="B53" s="116" t="s">
        <v>17</v>
      </c>
      <c r="C53" s="59" t="s">
        <v>123</v>
      </c>
      <c r="D53" s="4" t="s">
        <v>123</v>
      </c>
      <c r="E53" s="4" t="s">
        <v>123</v>
      </c>
      <c r="F53" s="214" t="s">
        <v>123</v>
      </c>
      <c r="G53" s="5" t="s">
        <v>113</v>
      </c>
      <c r="H53" s="26" t="s">
        <v>123</v>
      </c>
      <c r="I53" s="30" t="s">
        <v>123</v>
      </c>
      <c r="J53" s="16"/>
    </row>
    <row r="54" spans="2:10" x14ac:dyDescent="0.2">
      <c r="B54" s="75" t="s">
        <v>18</v>
      </c>
      <c r="C54" s="59" t="s">
        <v>123</v>
      </c>
      <c r="D54" s="4" t="s">
        <v>123</v>
      </c>
      <c r="E54" s="4" t="s">
        <v>123</v>
      </c>
      <c r="F54" s="214" t="s">
        <v>123</v>
      </c>
      <c r="G54" s="5" t="s">
        <v>113</v>
      </c>
      <c r="H54" s="26" t="s">
        <v>123</v>
      </c>
      <c r="I54" s="30" t="s">
        <v>123</v>
      </c>
      <c r="J54" s="16"/>
    </row>
    <row r="55" spans="2:10" x14ac:dyDescent="0.2">
      <c r="B55" s="75" t="s">
        <v>19</v>
      </c>
      <c r="C55" s="59" t="s">
        <v>123</v>
      </c>
      <c r="D55" s="4" t="s">
        <v>123</v>
      </c>
      <c r="E55" s="4" t="s">
        <v>123</v>
      </c>
      <c r="F55" s="214" t="s">
        <v>123</v>
      </c>
      <c r="G55" s="5" t="s">
        <v>113</v>
      </c>
      <c r="H55" s="20" t="s">
        <v>123</v>
      </c>
      <c r="I55" s="50" t="s">
        <v>123</v>
      </c>
      <c r="J55" s="16"/>
    </row>
    <row r="56" spans="2:10" x14ac:dyDescent="0.2">
      <c r="B56" s="75" t="s">
        <v>20</v>
      </c>
      <c r="C56" s="59" t="s">
        <v>123</v>
      </c>
      <c r="D56" s="4" t="s">
        <v>123</v>
      </c>
      <c r="E56" s="4" t="s">
        <v>123</v>
      </c>
      <c r="F56" s="214" t="s">
        <v>123</v>
      </c>
      <c r="G56" s="5" t="s">
        <v>113</v>
      </c>
      <c r="H56" s="20" t="s">
        <v>123</v>
      </c>
      <c r="I56" s="50" t="s">
        <v>123</v>
      </c>
      <c r="J56" s="16"/>
    </row>
    <row r="57" spans="2:10" x14ac:dyDescent="0.2">
      <c r="B57" s="75" t="s">
        <v>21</v>
      </c>
      <c r="C57" s="59" t="s">
        <v>123</v>
      </c>
      <c r="D57" s="4" t="s">
        <v>123</v>
      </c>
      <c r="E57" s="4" t="s">
        <v>123</v>
      </c>
      <c r="F57" s="214" t="s">
        <v>123</v>
      </c>
      <c r="G57" s="5" t="s">
        <v>113</v>
      </c>
      <c r="H57" s="20" t="s">
        <v>123</v>
      </c>
      <c r="I57" s="50" t="s">
        <v>123</v>
      </c>
      <c r="J57" s="16"/>
    </row>
    <row r="58" spans="2:10" x14ac:dyDescent="0.2">
      <c r="B58" s="75" t="s">
        <v>22</v>
      </c>
      <c r="C58" s="59" t="s">
        <v>123</v>
      </c>
      <c r="D58" s="4" t="s">
        <v>123</v>
      </c>
      <c r="E58" s="4" t="s">
        <v>123</v>
      </c>
      <c r="F58" s="214" t="s">
        <v>123</v>
      </c>
      <c r="G58" s="5" t="s">
        <v>113</v>
      </c>
      <c r="H58" s="20" t="s">
        <v>123</v>
      </c>
      <c r="I58" s="50" t="s">
        <v>123</v>
      </c>
      <c r="J58" s="16"/>
    </row>
    <row r="59" spans="2:10" x14ac:dyDescent="0.2">
      <c r="B59" s="75" t="s">
        <v>23</v>
      </c>
      <c r="C59" s="59" t="s">
        <v>123</v>
      </c>
      <c r="D59" s="4" t="s">
        <v>123</v>
      </c>
      <c r="E59" s="4" t="s">
        <v>123</v>
      </c>
      <c r="F59" s="214" t="s">
        <v>123</v>
      </c>
      <c r="G59" s="5" t="s">
        <v>113</v>
      </c>
      <c r="H59" s="20" t="s">
        <v>123</v>
      </c>
      <c r="I59" s="50" t="s">
        <v>123</v>
      </c>
      <c r="J59" s="16"/>
    </row>
    <row r="60" spans="2:10" x14ac:dyDescent="0.2">
      <c r="B60" s="75" t="s">
        <v>24</v>
      </c>
      <c r="C60" s="59" t="s">
        <v>123</v>
      </c>
      <c r="D60" s="4" t="s">
        <v>123</v>
      </c>
      <c r="E60" s="4" t="s">
        <v>123</v>
      </c>
      <c r="F60" s="214" t="s">
        <v>123</v>
      </c>
      <c r="G60" s="5" t="s">
        <v>113</v>
      </c>
      <c r="H60" s="20" t="s">
        <v>123</v>
      </c>
      <c r="I60" s="50" t="s">
        <v>123</v>
      </c>
      <c r="J60" s="16"/>
    </row>
    <row r="61" spans="2:10" x14ac:dyDescent="0.2">
      <c r="B61" s="75" t="s">
        <v>25</v>
      </c>
      <c r="C61" s="59" t="s">
        <v>123</v>
      </c>
      <c r="D61" s="4" t="s">
        <v>123</v>
      </c>
      <c r="E61" s="8" t="s">
        <v>123</v>
      </c>
      <c r="F61" s="214" t="s">
        <v>123</v>
      </c>
      <c r="G61" s="5" t="s">
        <v>113</v>
      </c>
      <c r="H61" s="20" t="s">
        <v>123</v>
      </c>
      <c r="I61" s="50" t="s">
        <v>123</v>
      </c>
      <c r="J61" s="16"/>
    </row>
    <row r="62" spans="2:10" x14ac:dyDescent="0.2">
      <c r="B62" s="75" t="s">
        <v>26</v>
      </c>
      <c r="C62" s="59" t="s">
        <v>123</v>
      </c>
      <c r="D62" s="4" t="s">
        <v>123</v>
      </c>
      <c r="E62" s="4" t="s">
        <v>123</v>
      </c>
      <c r="F62" s="214" t="s">
        <v>123</v>
      </c>
      <c r="G62" s="5" t="s">
        <v>113</v>
      </c>
      <c r="H62" s="20" t="s">
        <v>123</v>
      </c>
      <c r="I62" s="50" t="s">
        <v>123</v>
      </c>
      <c r="J62" s="16"/>
    </row>
    <row r="63" spans="2:10" x14ac:dyDescent="0.2">
      <c r="B63" s="75" t="s">
        <v>27</v>
      </c>
      <c r="C63" s="59" t="s">
        <v>123</v>
      </c>
      <c r="D63" s="4" t="s">
        <v>123</v>
      </c>
      <c r="E63" s="8" t="s">
        <v>123</v>
      </c>
      <c r="F63" s="214" t="s">
        <v>123</v>
      </c>
      <c r="G63" s="5" t="s">
        <v>113</v>
      </c>
      <c r="H63" s="20" t="s">
        <v>123</v>
      </c>
      <c r="I63" s="50" t="s">
        <v>123</v>
      </c>
      <c r="J63" s="16"/>
    </row>
    <row r="64" spans="2:10" x14ac:dyDescent="0.2">
      <c r="B64" s="75" t="s">
        <v>28</v>
      </c>
      <c r="C64" s="59" t="s">
        <v>123</v>
      </c>
      <c r="D64" s="4" t="s">
        <v>123</v>
      </c>
      <c r="E64" s="8" t="s">
        <v>123</v>
      </c>
      <c r="F64" s="214" t="s">
        <v>123</v>
      </c>
      <c r="G64" s="5" t="s">
        <v>113</v>
      </c>
      <c r="H64" s="20" t="s">
        <v>123</v>
      </c>
      <c r="I64" s="50" t="s">
        <v>123</v>
      </c>
      <c r="J64" s="16"/>
    </row>
    <row r="65" spans="2:10" ht="17" thickBot="1" x14ac:dyDescent="0.25">
      <c r="B65" s="119" t="s">
        <v>29</v>
      </c>
      <c r="C65" s="131" t="s">
        <v>123</v>
      </c>
      <c r="D65" s="51" t="s">
        <v>123</v>
      </c>
      <c r="E65" s="51" t="s">
        <v>123</v>
      </c>
      <c r="F65" s="214" t="s">
        <v>123</v>
      </c>
      <c r="G65" s="14" t="s">
        <v>113</v>
      </c>
      <c r="H65" s="56" t="s">
        <v>123</v>
      </c>
      <c r="I65" s="57" t="s">
        <v>123</v>
      </c>
      <c r="J65" s="43"/>
    </row>
    <row r="66" spans="2:10" x14ac:dyDescent="0.2">
      <c r="B66" s="206" t="s">
        <v>30</v>
      </c>
      <c r="C66" s="59">
        <v>2017</v>
      </c>
      <c r="D66" s="4" t="s">
        <v>127</v>
      </c>
      <c r="E66" s="21">
        <v>5</v>
      </c>
      <c r="F66" s="219" t="s">
        <v>190</v>
      </c>
      <c r="G66" s="5" t="s">
        <v>112</v>
      </c>
      <c r="H66" s="20" t="s">
        <v>123</v>
      </c>
      <c r="I66" s="50" t="s">
        <v>143</v>
      </c>
      <c r="J66" s="16" t="s">
        <v>129</v>
      </c>
    </row>
    <row r="67" spans="2:10" ht="17" thickBot="1" x14ac:dyDescent="0.25">
      <c r="B67" s="207" t="s">
        <v>31</v>
      </c>
      <c r="C67" s="131">
        <v>2017</v>
      </c>
      <c r="D67" s="51" t="s">
        <v>127</v>
      </c>
      <c r="E67" s="37">
        <v>5</v>
      </c>
      <c r="F67" s="213" t="s">
        <v>190</v>
      </c>
      <c r="G67" s="14" t="s">
        <v>112</v>
      </c>
      <c r="H67" s="56" t="s">
        <v>123</v>
      </c>
      <c r="I67" s="57" t="s">
        <v>143</v>
      </c>
      <c r="J67" s="43" t="s">
        <v>129</v>
      </c>
    </row>
    <row r="68" spans="2:10" x14ac:dyDescent="0.2">
      <c r="B68" s="199" t="s">
        <v>32</v>
      </c>
      <c r="C68" s="59">
        <v>2017</v>
      </c>
      <c r="D68" s="4" t="s">
        <v>127</v>
      </c>
      <c r="E68" s="21">
        <v>6</v>
      </c>
      <c r="F68" s="214" t="s">
        <v>189</v>
      </c>
      <c r="G68" s="5" t="s">
        <v>112</v>
      </c>
      <c r="H68" s="20" t="s">
        <v>123</v>
      </c>
      <c r="I68" s="50" t="s">
        <v>143</v>
      </c>
      <c r="J68" s="16" t="s">
        <v>129</v>
      </c>
    </row>
    <row r="69" spans="2:10" x14ac:dyDescent="0.2">
      <c r="B69" s="200" t="s">
        <v>33</v>
      </c>
      <c r="C69" s="59">
        <v>2017</v>
      </c>
      <c r="D69" s="4" t="s">
        <v>127</v>
      </c>
      <c r="E69" s="21">
        <v>6</v>
      </c>
      <c r="F69" s="214" t="s">
        <v>189</v>
      </c>
      <c r="G69" s="5" t="s">
        <v>112</v>
      </c>
      <c r="H69" s="20" t="s">
        <v>123</v>
      </c>
      <c r="I69" s="50" t="s">
        <v>143</v>
      </c>
      <c r="J69" s="16" t="s">
        <v>129</v>
      </c>
    </row>
    <row r="70" spans="2:10" ht="17" thickBot="1" x14ac:dyDescent="0.25">
      <c r="B70" s="201" t="s">
        <v>34</v>
      </c>
      <c r="C70" s="131">
        <v>2017</v>
      </c>
      <c r="D70" s="51" t="s">
        <v>127</v>
      </c>
      <c r="E70" s="37">
        <v>6</v>
      </c>
      <c r="F70" s="214" t="s">
        <v>189</v>
      </c>
      <c r="G70" s="14" t="s">
        <v>112</v>
      </c>
      <c r="H70" s="56" t="s">
        <v>123</v>
      </c>
      <c r="I70" s="57" t="s">
        <v>143</v>
      </c>
      <c r="J70" s="43" t="s">
        <v>129</v>
      </c>
    </row>
    <row r="71" spans="2:10" x14ac:dyDescent="0.2">
      <c r="B71" s="76" t="s">
        <v>13</v>
      </c>
      <c r="C71" s="59" t="s">
        <v>123</v>
      </c>
      <c r="D71" s="4" t="s">
        <v>123</v>
      </c>
      <c r="E71" s="4" t="s">
        <v>123</v>
      </c>
      <c r="F71" s="219" t="s">
        <v>123</v>
      </c>
      <c r="G71" s="5" t="s">
        <v>113</v>
      </c>
      <c r="H71" s="26" t="s">
        <v>123</v>
      </c>
      <c r="I71" s="30" t="s">
        <v>123</v>
      </c>
      <c r="J71" s="16"/>
    </row>
    <row r="72" spans="2:10" x14ac:dyDescent="0.2">
      <c r="B72" s="77" t="s">
        <v>14</v>
      </c>
      <c r="C72" s="59" t="s">
        <v>123</v>
      </c>
      <c r="D72" s="4" t="s">
        <v>123</v>
      </c>
      <c r="E72" s="4" t="s">
        <v>123</v>
      </c>
      <c r="F72" s="214" t="s">
        <v>123</v>
      </c>
      <c r="G72" s="5" t="s">
        <v>113</v>
      </c>
      <c r="H72" s="26" t="s">
        <v>123</v>
      </c>
      <c r="I72" s="30" t="s">
        <v>123</v>
      </c>
      <c r="J72" s="16"/>
    </row>
    <row r="73" spans="2:10" x14ac:dyDescent="0.2">
      <c r="B73" s="77" t="s">
        <v>15</v>
      </c>
      <c r="C73" s="59" t="s">
        <v>123</v>
      </c>
      <c r="D73" s="4" t="s">
        <v>123</v>
      </c>
      <c r="E73" s="8" t="s">
        <v>123</v>
      </c>
      <c r="F73" s="214" t="s">
        <v>123</v>
      </c>
      <c r="G73" s="5" t="s">
        <v>113</v>
      </c>
      <c r="H73" s="26" t="s">
        <v>123</v>
      </c>
      <c r="I73" s="30" t="s">
        <v>123</v>
      </c>
      <c r="J73" s="16"/>
    </row>
    <row r="74" spans="2:10" ht="17" thickBot="1" x14ac:dyDescent="0.25">
      <c r="B74" s="121" t="s">
        <v>16</v>
      </c>
      <c r="C74" s="131" t="s">
        <v>123</v>
      </c>
      <c r="D74" s="51" t="s">
        <v>123</v>
      </c>
      <c r="E74" s="10" t="s">
        <v>123</v>
      </c>
      <c r="F74" s="213" t="s">
        <v>123</v>
      </c>
      <c r="G74" s="14" t="s">
        <v>113</v>
      </c>
      <c r="H74" s="58" t="s">
        <v>123</v>
      </c>
      <c r="I74" s="53" t="s">
        <v>123</v>
      </c>
      <c r="J74" s="43"/>
    </row>
    <row r="75" spans="2:10" x14ac:dyDescent="0.2">
      <c r="B75" s="123" t="s">
        <v>12</v>
      </c>
      <c r="C75" s="65" t="s">
        <v>123</v>
      </c>
      <c r="D75" s="3" t="s">
        <v>123</v>
      </c>
      <c r="E75" s="22" t="s">
        <v>123</v>
      </c>
      <c r="F75" s="214" t="s">
        <v>123</v>
      </c>
      <c r="G75" s="5" t="s">
        <v>113</v>
      </c>
      <c r="H75" s="26" t="s">
        <v>123</v>
      </c>
      <c r="I75" s="30" t="s">
        <v>123</v>
      </c>
      <c r="J75" s="16"/>
    </row>
    <row r="76" spans="2:10" x14ac:dyDescent="0.2">
      <c r="B76" s="79" t="s">
        <v>11</v>
      </c>
      <c r="C76" s="65" t="s">
        <v>123</v>
      </c>
      <c r="D76" s="3" t="s">
        <v>123</v>
      </c>
      <c r="E76" s="24" t="s">
        <v>123</v>
      </c>
      <c r="F76" s="214" t="s">
        <v>123</v>
      </c>
      <c r="G76" s="5" t="s">
        <v>113</v>
      </c>
      <c r="H76" s="26" t="s">
        <v>123</v>
      </c>
      <c r="I76" s="30" t="s">
        <v>123</v>
      </c>
      <c r="J76" s="16"/>
    </row>
    <row r="77" spans="2:10" x14ac:dyDescent="0.2">
      <c r="B77" s="79" t="s">
        <v>10</v>
      </c>
      <c r="C77" s="59">
        <v>2017</v>
      </c>
      <c r="D77" s="4" t="s">
        <v>124</v>
      </c>
      <c r="E77" s="21">
        <v>25</v>
      </c>
      <c r="F77" s="214" t="s">
        <v>192</v>
      </c>
      <c r="G77" s="5">
        <v>0</v>
      </c>
      <c r="H77" s="26" t="s">
        <v>128</v>
      </c>
      <c r="I77" s="20" t="s">
        <v>144</v>
      </c>
      <c r="J77" s="16"/>
    </row>
    <row r="78" spans="2:10" x14ac:dyDescent="0.2">
      <c r="B78" s="79" t="s">
        <v>9</v>
      </c>
      <c r="C78" s="59" t="s">
        <v>123</v>
      </c>
      <c r="D78" s="4" t="s">
        <v>123</v>
      </c>
      <c r="E78" s="4" t="s">
        <v>123</v>
      </c>
      <c r="F78" s="214" t="s">
        <v>123</v>
      </c>
      <c r="G78" s="5" t="s">
        <v>113</v>
      </c>
      <c r="H78" s="26" t="s">
        <v>123</v>
      </c>
      <c r="I78" s="20" t="s">
        <v>123</v>
      </c>
      <c r="J78" s="16"/>
    </row>
    <row r="79" spans="2:10" x14ac:dyDescent="0.2">
      <c r="B79" s="79" t="s">
        <v>8</v>
      </c>
      <c r="C79" s="59" t="s">
        <v>123</v>
      </c>
      <c r="D79" s="4" t="s">
        <v>123</v>
      </c>
      <c r="E79" s="4" t="s">
        <v>123</v>
      </c>
      <c r="F79" s="214" t="s">
        <v>123</v>
      </c>
      <c r="G79" s="5" t="s">
        <v>113</v>
      </c>
      <c r="H79" s="26" t="s">
        <v>123</v>
      </c>
      <c r="I79" s="20" t="s">
        <v>123</v>
      </c>
      <c r="J79" s="16"/>
    </row>
    <row r="80" spans="2:10" x14ac:dyDescent="0.2">
      <c r="B80" s="79" t="s">
        <v>7</v>
      </c>
      <c r="C80" s="59" t="s">
        <v>123</v>
      </c>
      <c r="D80" s="4" t="s">
        <v>123</v>
      </c>
      <c r="E80" s="4" t="s">
        <v>123</v>
      </c>
      <c r="F80" s="214" t="s">
        <v>123</v>
      </c>
      <c r="G80" s="5" t="s">
        <v>113</v>
      </c>
      <c r="H80" s="26" t="s">
        <v>123</v>
      </c>
      <c r="I80" s="20" t="s">
        <v>123</v>
      </c>
      <c r="J80" s="16"/>
    </row>
    <row r="81" spans="2:10" x14ac:dyDescent="0.2">
      <c r="B81" s="79" t="s">
        <v>6</v>
      </c>
      <c r="C81" s="59" t="s">
        <v>123</v>
      </c>
      <c r="D81" s="4" t="s">
        <v>123</v>
      </c>
      <c r="E81" s="8" t="s">
        <v>123</v>
      </c>
      <c r="F81" s="214" t="s">
        <v>123</v>
      </c>
      <c r="G81" s="5" t="s">
        <v>113</v>
      </c>
      <c r="H81" s="26" t="s">
        <v>123</v>
      </c>
      <c r="I81" s="20" t="s">
        <v>123</v>
      </c>
      <c r="J81" s="16"/>
    </row>
    <row r="82" spans="2:10" ht="17" thickBot="1" x14ac:dyDescent="0.25">
      <c r="B82" s="124" t="s">
        <v>5</v>
      </c>
      <c r="C82" s="131" t="s">
        <v>123</v>
      </c>
      <c r="D82" s="51" t="s">
        <v>123</v>
      </c>
      <c r="E82" s="51" t="s">
        <v>123</v>
      </c>
      <c r="F82" s="214" t="s">
        <v>123</v>
      </c>
      <c r="G82" s="14" t="s">
        <v>113</v>
      </c>
      <c r="H82" s="58" t="s">
        <v>123</v>
      </c>
      <c r="I82" s="56" t="s">
        <v>123</v>
      </c>
      <c r="J82" s="43"/>
    </row>
    <row r="83" spans="2:10" x14ac:dyDescent="0.2">
      <c r="B83" s="208" t="s">
        <v>75</v>
      </c>
      <c r="C83" s="65">
        <v>2017</v>
      </c>
      <c r="D83" s="22" t="s">
        <v>124</v>
      </c>
      <c r="E83" s="224">
        <v>26</v>
      </c>
      <c r="F83" s="223" t="s">
        <v>191</v>
      </c>
      <c r="G83" s="13" t="s">
        <v>112</v>
      </c>
      <c r="H83" s="28" t="s">
        <v>123</v>
      </c>
      <c r="I83" s="20" t="s">
        <v>146</v>
      </c>
      <c r="J83" s="44" t="s">
        <v>137</v>
      </c>
    </row>
    <row r="84" spans="2:10" ht="17" thickBot="1" x14ac:dyDescent="0.25">
      <c r="B84" s="81" t="s">
        <v>75</v>
      </c>
      <c r="C84" s="131">
        <v>2017</v>
      </c>
      <c r="D84" s="51" t="s">
        <v>127</v>
      </c>
      <c r="E84" s="37">
        <v>6</v>
      </c>
      <c r="F84" s="222" t="s">
        <v>189</v>
      </c>
      <c r="G84" s="14">
        <f>593.844+56.951</f>
        <v>650.79500000000007</v>
      </c>
      <c r="H84" s="52" t="s">
        <v>128</v>
      </c>
      <c r="I84" s="53" t="s">
        <v>144</v>
      </c>
      <c r="J84" s="43"/>
    </row>
    <row r="85" spans="2:10" x14ac:dyDescent="0.2">
      <c r="B85" s="127" t="s">
        <v>103</v>
      </c>
      <c r="C85" s="59">
        <v>2017</v>
      </c>
      <c r="D85" s="3" t="s">
        <v>127</v>
      </c>
      <c r="E85" s="21">
        <v>5</v>
      </c>
      <c r="F85" s="216" t="s">
        <v>190</v>
      </c>
      <c r="G85" s="5" t="s">
        <v>109</v>
      </c>
      <c r="H85" s="28" t="s">
        <v>128</v>
      </c>
      <c r="I85" s="30" t="s">
        <v>143</v>
      </c>
      <c r="J85" s="16"/>
    </row>
    <row r="86" spans="2:10" x14ac:dyDescent="0.2">
      <c r="B86" s="84" t="s">
        <v>104</v>
      </c>
      <c r="C86" s="59">
        <v>2017</v>
      </c>
      <c r="D86" s="3" t="s">
        <v>127</v>
      </c>
      <c r="E86" s="21">
        <v>5</v>
      </c>
      <c r="F86" s="216" t="s">
        <v>190</v>
      </c>
      <c r="G86" s="5" t="s">
        <v>110</v>
      </c>
      <c r="H86" s="28" t="s">
        <v>128</v>
      </c>
      <c r="I86" s="30" t="s">
        <v>143</v>
      </c>
      <c r="J86" s="16"/>
    </row>
    <row r="87" spans="2:10" x14ac:dyDescent="0.2">
      <c r="B87" s="84" t="s">
        <v>105</v>
      </c>
      <c r="C87" s="59">
        <v>2017</v>
      </c>
      <c r="D87" s="3" t="s">
        <v>127</v>
      </c>
      <c r="E87" s="21">
        <v>5</v>
      </c>
      <c r="F87" s="216" t="s">
        <v>190</v>
      </c>
      <c r="G87" s="13">
        <f>506.917+2.912+0.399</f>
        <v>510.22799999999995</v>
      </c>
      <c r="H87" s="28" t="s">
        <v>128</v>
      </c>
      <c r="I87" s="30" t="s">
        <v>143</v>
      </c>
      <c r="J87" s="16"/>
    </row>
    <row r="88" spans="2:10" x14ac:dyDescent="0.2">
      <c r="B88" s="84" t="s">
        <v>106</v>
      </c>
      <c r="C88" s="59">
        <v>2017</v>
      </c>
      <c r="D88" s="3" t="s">
        <v>127</v>
      </c>
      <c r="E88" s="21">
        <v>5</v>
      </c>
      <c r="F88" s="216" t="s">
        <v>190</v>
      </c>
      <c r="G88" s="13">
        <f>959.197+3.097</f>
        <v>962.29399999999998</v>
      </c>
      <c r="H88" s="28" t="s">
        <v>128</v>
      </c>
      <c r="I88" s="30" t="s">
        <v>143</v>
      </c>
      <c r="J88" s="16"/>
    </row>
    <row r="89" spans="2:10" x14ac:dyDescent="0.2">
      <c r="B89" s="84" t="s">
        <v>107</v>
      </c>
      <c r="C89" s="59">
        <v>2017</v>
      </c>
      <c r="D89" s="3" t="s">
        <v>127</v>
      </c>
      <c r="E89" s="21">
        <v>5</v>
      </c>
      <c r="F89" s="216" t="s">
        <v>190</v>
      </c>
      <c r="G89" s="5">
        <v>0</v>
      </c>
      <c r="H89" s="28" t="s">
        <v>128</v>
      </c>
      <c r="I89" s="30" t="s">
        <v>143</v>
      </c>
      <c r="J89" s="16"/>
    </row>
    <row r="90" spans="2:10" ht="17" thickBot="1" x14ac:dyDescent="0.25">
      <c r="B90" s="129" t="s">
        <v>108</v>
      </c>
      <c r="C90" s="131">
        <v>2017</v>
      </c>
      <c r="D90" s="41" t="s">
        <v>127</v>
      </c>
      <c r="E90" s="37">
        <v>5</v>
      </c>
      <c r="F90" s="222" t="s">
        <v>190</v>
      </c>
      <c r="G90" s="14" t="s">
        <v>111</v>
      </c>
      <c r="H90" s="52" t="s">
        <v>128</v>
      </c>
      <c r="I90" s="53" t="s">
        <v>143</v>
      </c>
      <c r="J90" s="43"/>
    </row>
    <row r="91" spans="2:10" x14ac:dyDescent="0.2">
      <c r="B91" s="88" t="s">
        <v>93</v>
      </c>
      <c r="C91" s="59">
        <v>2017</v>
      </c>
      <c r="D91" s="3" t="s">
        <v>127</v>
      </c>
      <c r="E91" s="21">
        <v>5</v>
      </c>
      <c r="F91" s="216" t="s">
        <v>190</v>
      </c>
      <c r="G91" s="5" t="s">
        <v>99</v>
      </c>
      <c r="H91" s="28" t="s">
        <v>128</v>
      </c>
      <c r="I91" s="30" t="s">
        <v>143</v>
      </c>
      <c r="J91" s="16"/>
    </row>
    <row r="92" spans="2:10" x14ac:dyDescent="0.2">
      <c r="B92" s="86" t="s">
        <v>94</v>
      </c>
      <c r="C92" s="59">
        <v>2017</v>
      </c>
      <c r="D92" s="3" t="s">
        <v>127</v>
      </c>
      <c r="E92" s="21">
        <v>5</v>
      </c>
      <c r="F92" s="216" t="s">
        <v>190</v>
      </c>
      <c r="G92" s="5" t="s">
        <v>100</v>
      </c>
      <c r="H92" s="28" t="s">
        <v>128</v>
      </c>
      <c r="I92" s="30" t="s">
        <v>143</v>
      </c>
      <c r="J92" s="16"/>
    </row>
    <row r="93" spans="2:10" x14ac:dyDescent="0.2">
      <c r="B93" s="86" t="s">
        <v>95</v>
      </c>
      <c r="C93" s="59">
        <v>2017</v>
      </c>
      <c r="D93" s="3" t="s">
        <v>127</v>
      </c>
      <c r="E93" s="21">
        <v>5</v>
      </c>
      <c r="F93" s="216" t="s">
        <v>190</v>
      </c>
      <c r="G93" s="5" t="s">
        <v>101</v>
      </c>
      <c r="H93" s="28" t="s">
        <v>128</v>
      </c>
      <c r="I93" s="30" t="s">
        <v>143</v>
      </c>
      <c r="J93" s="16"/>
    </row>
    <row r="94" spans="2:10" x14ac:dyDescent="0.2">
      <c r="B94" s="86" t="s">
        <v>96</v>
      </c>
      <c r="C94" s="59">
        <v>2017</v>
      </c>
      <c r="D94" s="3" t="s">
        <v>127</v>
      </c>
      <c r="E94" s="21">
        <v>5</v>
      </c>
      <c r="F94" s="216" t="s">
        <v>190</v>
      </c>
      <c r="G94" s="5" t="s">
        <v>102</v>
      </c>
      <c r="H94" s="28" t="s">
        <v>128</v>
      </c>
      <c r="I94" s="30" t="s">
        <v>143</v>
      </c>
      <c r="J94" s="16"/>
    </row>
    <row r="95" spans="2:10" x14ac:dyDescent="0.2">
      <c r="B95" s="86" t="s">
        <v>97</v>
      </c>
      <c r="C95" s="59">
        <v>2017</v>
      </c>
      <c r="D95" s="3" t="s">
        <v>127</v>
      </c>
      <c r="E95" s="21">
        <v>5</v>
      </c>
      <c r="F95" s="216" t="s">
        <v>190</v>
      </c>
      <c r="G95" s="5">
        <f>185.692+143.118</f>
        <v>328.81</v>
      </c>
      <c r="H95" s="28" t="s">
        <v>128</v>
      </c>
      <c r="I95" s="30" t="s">
        <v>143</v>
      </c>
      <c r="J95" s="16"/>
    </row>
    <row r="96" spans="2:10" ht="17" thickBot="1" x14ac:dyDescent="0.25">
      <c r="B96" s="192" t="s">
        <v>98</v>
      </c>
      <c r="C96" s="102">
        <v>2017</v>
      </c>
      <c r="D96" s="29" t="s">
        <v>127</v>
      </c>
      <c r="E96" s="27">
        <v>5</v>
      </c>
      <c r="F96" s="217" t="s">
        <v>190</v>
      </c>
      <c r="G96" s="18" t="s">
        <v>112</v>
      </c>
      <c r="H96" s="32" t="s">
        <v>123</v>
      </c>
      <c r="I96" s="49" t="s">
        <v>143</v>
      </c>
      <c r="J96" s="19" t="s">
        <v>129</v>
      </c>
    </row>
  </sheetData>
  <sortState xmlns:xlrd2="http://schemas.microsoft.com/office/spreadsheetml/2017/richdata2" ref="B2:J96">
    <sortCondition sortBy="cellColor" ref="B2:B96" dxfId="22"/>
    <sortCondition sortBy="cellColor" ref="B2:B96" dxfId="21"/>
    <sortCondition sortBy="cellColor" ref="B2:B96" dxfId="20"/>
    <sortCondition sortBy="cellColor" ref="B2:B96" dxfId="19"/>
    <sortCondition sortBy="cellColor" ref="B2:B96" dxfId="18"/>
    <sortCondition sortBy="cellColor" ref="B2:B96" dxfId="17"/>
    <sortCondition sortBy="cellColor" ref="B2:B96" dxfId="16"/>
    <sortCondition sortBy="cellColor" ref="B2:B96" dxfId="15"/>
    <sortCondition sortBy="cellColor" ref="B2:B96" dxfId="14"/>
    <sortCondition sortBy="cellColor" ref="B2:B96" dxfId="13"/>
    <sortCondition sortBy="cellColor" ref="B2:B96" dxfId="12"/>
    <sortCondition sortBy="cellColor" ref="B2:B96" dxfId="11"/>
  </sortSt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25E4-EB62-4F46-92F3-DE5FCE0F40D0}">
  <dimension ref="A1:J271"/>
  <sheetViews>
    <sheetView tabSelected="1" zoomScale="94" workbookViewId="0">
      <selection activeCell="G3" sqref="G3"/>
    </sheetView>
  </sheetViews>
  <sheetFormatPr baseColWidth="10" defaultRowHeight="16" x14ac:dyDescent="0.2"/>
  <cols>
    <col min="2" max="2" width="17.33203125" customWidth="1"/>
    <col min="3" max="6" width="19" customWidth="1"/>
    <col min="7" max="7" width="20.83203125" customWidth="1"/>
    <col min="8" max="9" width="18.5" customWidth="1"/>
    <col min="10" max="10" width="106" customWidth="1"/>
  </cols>
  <sheetData>
    <row r="1" spans="1:10" ht="17" thickBot="1" x14ac:dyDescent="0.25">
      <c r="B1" s="15"/>
      <c r="C1" s="15"/>
      <c r="D1" s="15"/>
      <c r="E1" s="15"/>
      <c r="F1" s="15"/>
      <c r="G1" s="15"/>
      <c r="H1" s="15"/>
      <c r="I1" s="15"/>
      <c r="J1" s="15"/>
    </row>
    <row r="2" spans="1:10" ht="17" thickBot="1" x14ac:dyDescent="0.25">
      <c r="B2" s="90" t="s">
        <v>0</v>
      </c>
      <c r="C2" s="91" t="s">
        <v>120</v>
      </c>
      <c r="D2" s="92" t="s">
        <v>118</v>
      </c>
      <c r="E2" s="93" t="s">
        <v>119</v>
      </c>
      <c r="F2" s="92" t="s">
        <v>188</v>
      </c>
      <c r="G2" s="92" t="s">
        <v>214</v>
      </c>
      <c r="H2" s="93" t="s">
        <v>121</v>
      </c>
      <c r="I2" s="91" t="s">
        <v>142</v>
      </c>
      <c r="J2" s="94" t="s">
        <v>122</v>
      </c>
    </row>
    <row r="3" spans="1:10" x14ac:dyDescent="0.2">
      <c r="B3" s="95" t="s">
        <v>76</v>
      </c>
      <c r="C3" s="96">
        <v>2018</v>
      </c>
      <c r="D3" s="97" t="s">
        <v>125</v>
      </c>
      <c r="E3" s="98">
        <v>22</v>
      </c>
      <c r="F3" s="226" t="s">
        <v>193</v>
      </c>
      <c r="G3" s="98">
        <f>7.42+2.741+1.74+12.744</f>
        <v>24.645</v>
      </c>
      <c r="H3" s="98" t="s">
        <v>128</v>
      </c>
      <c r="I3" s="99" t="s">
        <v>143</v>
      </c>
      <c r="J3" s="100"/>
    </row>
    <row r="4" spans="1:10" x14ac:dyDescent="0.2">
      <c r="A4" s="46"/>
      <c r="B4" s="66" t="s">
        <v>76</v>
      </c>
      <c r="C4" s="59">
        <v>2018</v>
      </c>
      <c r="D4" s="7" t="s">
        <v>126</v>
      </c>
      <c r="E4" s="21">
        <v>13</v>
      </c>
      <c r="F4" s="214" t="s">
        <v>194</v>
      </c>
      <c r="G4" s="5">
        <f>8.21+1.233+1.835+11.971</f>
        <v>23.249000000000002</v>
      </c>
      <c r="H4" s="13" t="s">
        <v>128</v>
      </c>
      <c r="I4" s="12" t="s">
        <v>143</v>
      </c>
      <c r="J4" s="33"/>
    </row>
    <row r="5" spans="1:10" ht="17" thickBot="1" x14ac:dyDescent="0.25">
      <c r="A5" s="46"/>
      <c r="B5" s="101" t="s">
        <v>76</v>
      </c>
      <c r="C5" s="131">
        <v>2018</v>
      </c>
      <c r="D5" s="132" t="s">
        <v>130</v>
      </c>
      <c r="E5" s="37">
        <v>11</v>
      </c>
      <c r="F5" s="214" t="s">
        <v>195</v>
      </c>
      <c r="G5" s="139">
        <f>3.617+1.974+0.401+6.398</f>
        <v>12.39</v>
      </c>
      <c r="H5" s="139" t="s">
        <v>128</v>
      </c>
      <c r="I5" s="140" t="s">
        <v>143</v>
      </c>
      <c r="J5" s="141" t="s">
        <v>210</v>
      </c>
    </row>
    <row r="6" spans="1:10" x14ac:dyDescent="0.2">
      <c r="A6" s="46"/>
      <c r="B6" s="143" t="s">
        <v>77</v>
      </c>
      <c r="C6" s="59">
        <v>2018</v>
      </c>
      <c r="D6" s="7" t="s">
        <v>125</v>
      </c>
      <c r="E6" s="35">
        <v>22</v>
      </c>
      <c r="F6" s="229" t="s">
        <v>193</v>
      </c>
      <c r="G6" s="13">
        <f>8.489+18.304</f>
        <v>26.792999999999999</v>
      </c>
      <c r="H6" s="13" t="s">
        <v>128</v>
      </c>
      <c r="I6" s="12" t="s">
        <v>143</v>
      </c>
      <c r="J6" s="42"/>
    </row>
    <row r="7" spans="1:10" x14ac:dyDescent="0.2">
      <c r="A7" s="46"/>
      <c r="B7" s="66" t="s">
        <v>77</v>
      </c>
      <c r="C7" s="59">
        <v>2018</v>
      </c>
      <c r="D7" s="7" t="s">
        <v>126</v>
      </c>
      <c r="E7" s="21">
        <v>13</v>
      </c>
      <c r="F7" s="214" t="s">
        <v>194</v>
      </c>
      <c r="G7" s="5">
        <f>7.562+19.045+0.266+0.301</f>
        <v>27.174000000000003</v>
      </c>
      <c r="H7" s="13" t="s">
        <v>128</v>
      </c>
      <c r="I7" s="12" t="s">
        <v>143</v>
      </c>
      <c r="J7" s="33"/>
    </row>
    <row r="8" spans="1:10" ht="17" thickBot="1" x14ac:dyDescent="0.25">
      <c r="A8" s="46"/>
      <c r="B8" s="101" t="s">
        <v>77</v>
      </c>
      <c r="C8" s="131">
        <v>2018</v>
      </c>
      <c r="D8" s="132" t="s">
        <v>130</v>
      </c>
      <c r="E8" s="37">
        <v>11</v>
      </c>
      <c r="F8" s="214" t="s">
        <v>195</v>
      </c>
      <c r="G8" s="139">
        <f>0.261+0.169+3.412+15.626+0.44</f>
        <v>19.908000000000001</v>
      </c>
      <c r="H8" s="139" t="s">
        <v>128</v>
      </c>
      <c r="I8" s="140" t="s">
        <v>143</v>
      </c>
      <c r="J8" s="141" t="s">
        <v>210</v>
      </c>
    </row>
    <row r="9" spans="1:10" x14ac:dyDescent="0.2">
      <c r="A9" s="46"/>
      <c r="B9" s="138" t="s">
        <v>78</v>
      </c>
      <c r="C9" s="59">
        <v>2018</v>
      </c>
      <c r="D9" s="20" t="s">
        <v>125</v>
      </c>
      <c r="E9" s="35">
        <v>22</v>
      </c>
      <c r="F9" s="229" t="s">
        <v>193</v>
      </c>
      <c r="G9" s="13">
        <f>14.472+4.348+1.879+2.975+1.394</f>
        <v>25.068000000000001</v>
      </c>
      <c r="H9" s="13" t="s">
        <v>128</v>
      </c>
      <c r="I9" s="12" t="s">
        <v>143</v>
      </c>
      <c r="J9" s="33"/>
    </row>
    <row r="10" spans="1:10" x14ac:dyDescent="0.2">
      <c r="A10" s="46"/>
      <c r="B10" s="66" t="s">
        <v>78</v>
      </c>
      <c r="C10" s="59">
        <v>2018</v>
      </c>
      <c r="D10" s="7" t="s">
        <v>126</v>
      </c>
      <c r="E10" s="21">
        <v>13</v>
      </c>
      <c r="F10" s="214" t="s">
        <v>194</v>
      </c>
      <c r="G10" s="5">
        <f>12.601+3.795+0.601+2.131+2.487+0.211+0.889</f>
        <v>22.715</v>
      </c>
      <c r="H10" s="13" t="s">
        <v>128</v>
      </c>
      <c r="I10" s="12" t="s">
        <v>143</v>
      </c>
      <c r="J10" s="33"/>
    </row>
    <row r="11" spans="1:10" ht="17" thickBot="1" x14ac:dyDescent="0.25">
      <c r="A11" s="46"/>
      <c r="B11" s="144" t="s">
        <v>78</v>
      </c>
      <c r="C11" s="131">
        <v>2018</v>
      </c>
      <c r="D11" s="132" t="s">
        <v>130</v>
      </c>
      <c r="E11" s="37">
        <v>11</v>
      </c>
      <c r="F11" s="214" t="s">
        <v>195</v>
      </c>
      <c r="G11" s="139">
        <f>6.621+1.14+0.37</f>
        <v>8.1310000000000002</v>
      </c>
      <c r="H11" s="139" t="s">
        <v>128</v>
      </c>
      <c r="I11" s="140" t="s">
        <v>143</v>
      </c>
      <c r="J11" s="141" t="s">
        <v>210</v>
      </c>
    </row>
    <row r="12" spans="1:10" x14ac:dyDescent="0.2">
      <c r="A12" s="46"/>
      <c r="B12" s="143" t="s">
        <v>79</v>
      </c>
      <c r="C12" s="59">
        <v>2018</v>
      </c>
      <c r="D12" s="20" t="s">
        <v>125</v>
      </c>
      <c r="E12" s="35">
        <v>22</v>
      </c>
      <c r="F12" s="229" t="s">
        <v>193</v>
      </c>
      <c r="G12" s="13">
        <f>0.946+1.024+4.546+2.355+3.542+2.376+1.898+6.946+0.419+0.361+0.65+0.763+5.775+0.872</f>
        <v>32.473000000000006</v>
      </c>
      <c r="H12" s="13" t="s">
        <v>128</v>
      </c>
      <c r="I12" s="12" t="s">
        <v>143</v>
      </c>
      <c r="J12" s="33"/>
    </row>
    <row r="13" spans="1:10" ht="17" thickBot="1" x14ac:dyDescent="0.25">
      <c r="A13" s="46"/>
      <c r="B13" s="101" t="s">
        <v>79</v>
      </c>
      <c r="C13" s="131">
        <v>2018</v>
      </c>
      <c r="D13" s="132" t="s">
        <v>126</v>
      </c>
      <c r="E13" s="37">
        <v>13</v>
      </c>
      <c r="F13" s="214" t="s">
        <v>194</v>
      </c>
      <c r="G13" s="14">
        <f>1.509+8.222+0.736+0.825+0.805+2.026+8.539+0.708+4.265+4.375+3.026+0.813+0.878</f>
        <v>36.727000000000004</v>
      </c>
      <c r="H13" s="139" t="s">
        <v>128</v>
      </c>
      <c r="I13" s="140" t="s">
        <v>143</v>
      </c>
      <c r="J13" s="135"/>
    </row>
    <row r="14" spans="1:10" x14ac:dyDescent="0.2">
      <c r="B14" s="138" t="s">
        <v>80</v>
      </c>
      <c r="C14" s="59">
        <v>2018</v>
      </c>
      <c r="D14" s="20" t="s">
        <v>125</v>
      </c>
      <c r="E14" s="35">
        <v>22</v>
      </c>
      <c r="F14" s="229" t="s">
        <v>193</v>
      </c>
      <c r="G14" s="13">
        <f>0.934+1.937+0.429</f>
        <v>3.3</v>
      </c>
      <c r="H14" s="13" t="s">
        <v>128</v>
      </c>
      <c r="I14" s="12" t="s">
        <v>143</v>
      </c>
      <c r="J14" s="33"/>
    </row>
    <row r="15" spans="1:10" ht="17" thickBot="1" x14ac:dyDescent="0.25">
      <c r="B15" s="144" t="s">
        <v>80</v>
      </c>
      <c r="C15" s="131">
        <v>2018</v>
      </c>
      <c r="D15" s="132" t="s">
        <v>126</v>
      </c>
      <c r="E15" s="37">
        <v>13</v>
      </c>
      <c r="F15" s="214" t="s">
        <v>194</v>
      </c>
      <c r="G15" s="14">
        <f>0.444+1.309</f>
        <v>1.7529999999999999</v>
      </c>
      <c r="H15" s="139" t="s">
        <v>128</v>
      </c>
      <c r="I15" s="140" t="s">
        <v>143</v>
      </c>
      <c r="J15" s="135"/>
    </row>
    <row r="16" spans="1:10" x14ac:dyDescent="0.2">
      <c r="B16" s="143" t="s">
        <v>81</v>
      </c>
      <c r="C16" s="59">
        <v>2018</v>
      </c>
      <c r="D16" s="20" t="s">
        <v>125</v>
      </c>
      <c r="E16" s="35">
        <v>22</v>
      </c>
      <c r="F16" s="229" t="s">
        <v>193</v>
      </c>
      <c r="G16" s="13">
        <f>1.404+13.342+4.553+6.923+7.815+9.669+0.736+1.693+0.533+12.457+4.824+12.634+20.321+0.389+8.141+7.293+18.202</f>
        <v>130.929</v>
      </c>
      <c r="H16" s="13" t="s">
        <v>128</v>
      </c>
      <c r="I16" s="12" t="s">
        <v>143</v>
      </c>
      <c r="J16" s="33"/>
    </row>
    <row r="17" spans="2:10" ht="17" thickBot="1" x14ac:dyDescent="0.25">
      <c r="B17" s="101" t="s">
        <v>81</v>
      </c>
      <c r="C17" s="131">
        <v>2018</v>
      </c>
      <c r="D17" s="132" t="s">
        <v>126</v>
      </c>
      <c r="E17" s="37">
        <v>13</v>
      </c>
      <c r="F17" s="214" t="s">
        <v>194</v>
      </c>
      <c r="G17" s="14">
        <f>17.74+4.499+13.047+52.007+27.959+25.395+10.219+1.3+3.003</f>
        <v>155.16900000000004</v>
      </c>
      <c r="H17" s="139" t="s">
        <v>128</v>
      </c>
      <c r="I17" s="140" t="s">
        <v>143</v>
      </c>
      <c r="J17" s="135"/>
    </row>
    <row r="18" spans="2:10" x14ac:dyDescent="0.2">
      <c r="B18" s="138" t="s">
        <v>82</v>
      </c>
      <c r="C18" s="59">
        <v>2018</v>
      </c>
      <c r="D18" s="20" t="s">
        <v>125</v>
      </c>
      <c r="E18" s="21">
        <v>22</v>
      </c>
      <c r="F18" s="229" t="s">
        <v>193</v>
      </c>
      <c r="G18" s="13">
        <f>9.383+3.301+62.913+2.636+51.535+9.231+14.912+17.819+5.111+15.155+56.196+6.123+9.839</f>
        <v>264.15399999999994</v>
      </c>
      <c r="H18" s="13" t="s">
        <v>128</v>
      </c>
      <c r="I18" s="12" t="s">
        <v>144</v>
      </c>
      <c r="J18" s="33"/>
    </row>
    <row r="19" spans="2:10" x14ac:dyDescent="0.2">
      <c r="B19" s="66" t="s">
        <v>82</v>
      </c>
      <c r="C19" s="59">
        <v>2018</v>
      </c>
      <c r="D19" s="7" t="s">
        <v>126</v>
      </c>
      <c r="E19" s="21">
        <v>13</v>
      </c>
      <c r="F19" s="214" t="s">
        <v>194</v>
      </c>
      <c r="G19" s="5">
        <f>13.34+74.399+93.951+0.659+61.81+82.844</f>
        <v>327.00299999999999</v>
      </c>
      <c r="H19" s="13" t="s">
        <v>128</v>
      </c>
      <c r="I19" s="12" t="s">
        <v>143</v>
      </c>
      <c r="J19" s="33"/>
    </row>
    <row r="20" spans="2:10" ht="17" thickBot="1" x14ac:dyDescent="0.25">
      <c r="B20" s="144" t="s">
        <v>82</v>
      </c>
      <c r="C20" s="131">
        <v>2018</v>
      </c>
      <c r="D20" s="132" t="s">
        <v>130</v>
      </c>
      <c r="E20" s="37">
        <v>11</v>
      </c>
      <c r="F20" s="214" t="s">
        <v>195</v>
      </c>
      <c r="G20" s="139" t="s">
        <v>112</v>
      </c>
      <c r="H20" s="139" t="s">
        <v>131</v>
      </c>
      <c r="I20" s="140" t="s">
        <v>144</v>
      </c>
      <c r="J20" s="135" t="s">
        <v>138</v>
      </c>
    </row>
    <row r="21" spans="2:10" x14ac:dyDescent="0.2">
      <c r="B21" s="143" t="s">
        <v>83</v>
      </c>
      <c r="C21" s="65">
        <v>2018</v>
      </c>
      <c r="D21" s="20" t="s">
        <v>125</v>
      </c>
      <c r="E21" s="22">
        <v>22</v>
      </c>
      <c r="F21" s="229" t="s">
        <v>193</v>
      </c>
      <c r="G21" s="35">
        <f>22.459+13.794+0.45+0.515+0.38+1.295+3.451+0.253+1.138+1.517+0.914+0.569+2.647+0.639+0.589+3.007+1.88+15.286+18.618+6.722+2.139+1.297+16.952+6.302</f>
        <v>122.81299999999999</v>
      </c>
      <c r="H21" s="36" t="s">
        <v>128</v>
      </c>
      <c r="I21" s="47" t="s">
        <v>145</v>
      </c>
      <c r="J21" s="33"/>
    </row>
    <row r="22" spans="2:10" x14ac:dyDescent="0.2">
      <c r="B22" s="66" t="s">
        <v>83</v>
      </c>
      <c r="C22" s="59">
        <v>2018</v>
      </c>
      <c r="D22" s="7" t="s">
        <v>126</v>
      </c>
      <c r="E22" s="21">
        <v>13</v>
      </c>
      <c r="F22" s="214" t="s">
        <v>194</v>
      </c>
      <c r="G22" s="5">
        <f>25.422+11.245+0.692+0.691+1.684+5.75+2.331+2.217+2.161+0.978+3.295+1.683+17.288+26.408+25.629+7.883+3.698</f>
        <v>139.05500000000004</v>
      </c>
      <c r="H22" s="13" t="s">
        <v>128</v>
      </c>
      <c r="I22" s="12" t="s">
        <v>143</v>
      </c>
      <c r="J22" s="33"/>
    </row>
    <row r="23" spans="2:10" ht="17" thickBot="1" x14ac:dyDescent="0.25">
      <c r="B23" s="101" t="s">
        <v>83</v>
      </c>
      <c r="C23" s="131">
        <v>2018</v>
      </c>
      <c r="D23" s="132" t="s">
        <v>130</v>
      </c>
      <c r="E23" s="142">
        <v>11</v>
      </c>
      <c r="F23" s="214" t="s">
        <v>195</v>
      </c>
      <c r="G23" s="139" t="s">
        <v>112</v>
      </c>
      <c r="H23" s="140" t="s">
        <v>131</v>
      </c>
      <c r="I23" s="140" t="s">
        <v>144</v>
      </c>
      <c r="J23" s="135" t="s">
        <v>138</v>
      </c>
    </row>
    <row r="24" spans="2:10" x14ac:dyDescent="0.2">
      <c r="B24" s="138" t="s">
        <v>3</v>
      </c>
      <c r="C24" s="59">
        <v>2018</v>
      </c>
      <c r="D24" s="7" t="s">
        <v>125</v>
      </c>
      <c r="E24" s="38">
        <v>22</v>
      </c>
      <c r="F24" s="229" t="s">
        <v>193</v>
      </c>
      <c r="G24" s="13">
        <v>0</v>
      </c>
      <c r="H24" s="12" t="s">
        <v>128</v>
      </c>
      <c r="I24" s="12" t="s">
        <v>143</v>
      </c>
      <c r="J24" s="33"/>
    </row>
    <row r="25" spans="2:10" ht="17" thickBot="1" x14ac:dyDescent="0.25">
      <c r="B25" s="101" t="s">
        <v>3</v>
      </c>
      <c r="C25" s="102">
        <v>2018</v>
      </c>
      <c r="D25" s="103" t="s">
        <v>126</v>
      </c>
      <c r="E25" s="27">
        <v>13</v>
      </c>
      <c r="F25" s="230" t="s">
        <v>194</v>
      </c>
      <c r="G25" s="104">
        <v>0</v>
      </c>
      <c r="H25" s="64" t="s">
        <v>128</v>
      </c>
      <c r="I25" s="105" t="s">
        <v>143</v>
      </c>
      <c r="J25" s="31"/>
    </row>
    <row r="26" spans="2:10" x14ac:dyDescent="0.2">
      <c r="B26" s="67" t="s">
        <v>84</v>
      </c>
      <c r="C26" s="59">
        <v>2018</v>
      </c>
      <c r="D26" s="7" t="s">
        <v>125</v>
      </c>
      <c r="E26" s="21">
        <v>16</v>
      </c>
      <c r="F26" s="234" t="s">
        <v>196</v>
      </c>
      <c r="G26" s="120">
        <v>400.38099999999997</v>
      </c>
      <c r="H26" s="12" t="s">
        <v>128</v>
      </c>
      <c r="I26" s="12" t="s">
        <v>143</v>
      </c>
      <c r="J26" s="33"/>
    </row>
    <row r="27" spans="2:10" x14ac:dyDescent="0.2">
      <c r="B27" s="67" t="s">
        <v>84</v>
      </c>
      <c r="C27" s="59">
        <v>2018</v>
      </c>
      <c r="D27" s="7" t="s">
        <v>126</v>
      </c>
      <c r="E27" s="21">
        <v>14</v>
      </c>
      <c r="F27" s="227" t="s">
        <v>197</v>
      </c>
      <c r="G27" s="5">
        <v>381.63799999999998</v>
      </c>
      <c r="H27" s="12" t="s">
        <v>128</v>
      </c>
      <c r="I27" s="12" t="s">
        <v>143</v>
      </c>
      <c r="J27" s="33"/>
    </row>
    <row r="28" spans="2:10" x14ac:dyDescent="0.2">
      <c r="B28" s="67" t="s">
        <v>84</v>
      </c>
      <c r="C28" s="59">
        <v>2018</v>
      </c>
      <c r="D28" s="7" t="s">
        <v>132</v>
      </c>
      <c r="E28" s="21">
        <v>16</v>
      </c>
      <c r="F28" s="227" t="s">
        <v>198</v>
      </c>
      <c r="G28" s="5">
        <v>367.73700000000002</v>
      </c>
      <c r="H28" s="12" t="s">
        <v>128</v>
      </c>
      <c r="I28" s="12" t="s">
        <v>143</v>
      </c>
      <c r="J28" s="33"/>
    </row>
    <row r="29" spans="2:10" ht="17" thickBot="1" x14ac:dyDescent="0.25">
      <c r="B29" s="145" t="s">
        <v>84</v>
      </c>
      <c r="C29" s="149">
        <v>2018</v>
      </c>
      <c r="D29" s="10" t="s">
        <v>130</v>
      </c>
      <c r="E29" s="37">
        <v>11</v>
      </c>
      <c r="F29" s="213" t="s">
        <v>195</v>
      </c>
      <c r="G29" s="14">
        <v>364.04199999999997</v>
      </c>
      <c r="H29" s="140" t="s">
        <v>128</v>
      </c>
      <c r="I29" s="140" t="s">
        <v>143</v>
      </c>
      <c r="J29" s="135"/>
    </row>
    <row r="30" spans="2:10" x14ac:dyDescent="0.2">
      <c r="B30" s="68" t="s">
        <v>85</v>
      </c>
      <c r="C30" s="59">
        <v>2018</v>
      </c>
      <c r="D30" s="20" t="s">
        <v>125</v>
      </c>
      <c r="E30" s="21">
        <v>22</v>
      </c>
      <c r="F30" s="227" t="s">
        <v>193</v>
      </c>
      <c r="G30" s="11">
        <f>0.31+0.266+0.311+0.559+0.447+0.868+0.358+0.591+0.489+0.651+1.778+1.666+2.068+0.411+2.61+0.345+1.152+1.785+28.001+1.868+0.395+40.842+0.438+1.01+3.053+860.753</f>
        <v>953.02500000000009</v>
      </c>
      <c r="H30" s="13" t="s">
        <v>128</v>
      </c>
      <c r="I30" s="12" t="s">
        <v>144</v>
      </c>
      <c r="J30" s="33"/>
    </row>
    <row r="31" spans="2:10" x14ac:dyDescent="0.2">
      <c r="B31" s="69" t="s">
        <v>85</v>
      </c>
      <c r="C31" s="59">
        <v>2018</v>
      </c>
      <c r="D31" s="20" t="s">
        <v>126</v>
      </c>
      <c r="E31" s="21">
        <v>14</v>
      </c>
      <c r="F31" s="227" t="s">
        <v>197</v>
      </c>
      <c r="G31" s="11">
        <f>3.235+0.261+0.89+2.596+0.25+0.372+1.042+0.631+0.848+0.34+30.929+1.203+1.408+1.34+832.837</f>
        <v>878.18200000000002</v>
      </c>
      <c r="H31" s="13" t="s">
        <v>128</v>
      </c>
      <c r="I31" s="12" t="s">
        <v>143</v>
      </c>
      <c r="J31" s="33"/>
    </row>
    <row r="32" spans="2:10" x14ac:dyDescent="0.2">
      <c r="B32" s="69" t="s">
        <v>85</v>
      </c>
      <c r="C32" s="59">
        <v>2018</v>
      </c>
      <c r="D32" s="20" t="s">
        <v>132</v>
      </c>
      <c r="E32" s="21">
        <v>16</v>
      </c>
      <c r="F32" s="227" t="s">
        <v>198</v>
      </c>
      <c r="G32" s="11">
        <f>0.403+1.944+792.947+9.217+0.809+4.743+16.041+1.168+2.704+14.752+0.276+0.977+0.75</f>
        <v>846.73099999999988</v>
      </c>
      <c r="H32" s="13" t="s">
        <v>128</v>
      </c>
      <c r="I32" s="12" t="s">
        <v>143</v>
      </c>
      <c r="J32" s="33"/>
    </row>
    <row r="33" spans="1:10" ht="17" thickBot="1" x14ac:dyDescent="0.25">
      <c r="B33" s="106" t="s">
        <v>85</v>
      </c>
      <c r="C33" s="149">
        <v>2018</v>
      </c>
      <c r="D33" s="10" t="s">
        <v>130</v>
      </c>
      <c r="E33" s="37">
        <v>11</v>
      </c>
      <c r="F33" s="213" t="s">
        <v>195</v>
      </c>
      <c r="G33" s="133">
        <f>26.208+4.136+1.119+1.155+14.08+0.905+1.132+1.936+786.309+0.919+0.698</f>
        <v>838.59699999999998</v>
      </c>
      <c r="H33" s="139" t="s">
        <v>128</v>
      </c>
      <c r="I33" s="140" t="s">
        <v>143</v>
      </c>
      <c r="J33" s="135"/>
    </row>
    <row r="34" spans="1:10" x14ac:dyDescent="0.2">
      <c r="B34" s="146" t="s">
        <v>4</v>
      </c>
      <c r="C34" s="59">
        <v>2018</v>
      </c>
      <c r="D34" s="8" t="s">
        <v>125</v>
      </c>
      <c r="E34" s="21">
        <v>22</v>
      </c>
      <c r="F34" s="227" t="s">
        <v>193</v>
      </c>
      <c r="G34" s="11">
        <v>0</v>
      </c>
      <c r="H34" s="13" t="s">
        <v>128</v>
      </c>
      <c r="I34" s="12" t="s">
        <v>144</v>
      </c>
      <c r="J34" s="42"/>
    </row>
    <row r="35" spans="1:10" x14ac:dyDescent="0.2">
      <c r="B35" s="69" t="s">
        <v>4</v>
      </c>
      <c r="C35" s="59">
        <v>2018</v>
      </c>
      <c r="D35" s="8" t="s">
        <v>126</v>
      </c>
      <c r="E35" s="21">
        <v>14</v>
      </c>
      <c r="F35" s="227" t="s">
        <v>197</v>
      </c>
      <c r="G35" s="11">
        <v>0</v>
      </c>
      <c r="H35" s="13" t="s">
        <v>128</v>
      </c>
      <c r="I35" s="12" t="s">
        <v>143</v>
      </c>
      <c r="J35" s="42"/>
    </row>
    <row r="36" spans="1:10" x14ac:dyDescent="0.2">
      <c r="B36" s="69" t="s">
        <v>4</v>
      </c>
      <c r="C36" s="59">
        <v>2018</v>
      </c>
      <c r="D36" s="8" t="s">
        <v>132</v>
      </c>
      <c r="E36" s="21">
        <v>16</v>
      </c>
      <c r="F36" s="227" t="s">
        <v>198</v>
      </c>
      <c r="G36" s="11">
        <v>0</v>
      </c>
      <c r="H36" s="13" t="s">
        <v>128</v>
      </c>
      <c r="I36" s="12" t="s">
        <v>144</v>
      </c>
      <c r="J36" s="42"/>
    </row>
    <row r="37" spans="1:10" ht="17" thickBot="1" x14ac:dyDescent="0.25">
      <c r="B37" s="147" t="s">
        <v>4</v>
      </c>
      <c r="C37" s="149">
        <v>2018</v>
      </c>
      <c r="D37" s="10" t="s">
        <v>130</v>
      </c>
      <c r="E37" s="37">
        <v>11</v>
      </c>
      <c r="F37" s="222" t="s">
        <v>195</v>
      </c>
      <c r="G37" s="133">
        <v>0</v>
      </c>
      <c r="H37" s="139" t="s">
        <v>128</v>
      </c>
      <c r="I37" s="140" t="s">
        <v>143</v>
      </c>
      <c r="J37" s="135"/>
    </row>
    <row r="38" spans="1:10" x14ac:dyDescent="0.2">
      <c r="B38" s="68" t="s">
        <v>86</v>
      </c>
      <c r="C38" s="59">
        <v>2018</v>
      </c>
      <c r="D38" s="45" t="s">
        <v>125</v>
      </c>
      <c r="E38" s="21">
        <v>22</v>
      </c>
      <c r="F38" s="227" t="s">
        <v>193</v>
      </c>
      <c r="G38" s="11">
        <f>2.244+307.385</f>
        <v>309.62900000000002</v>
      </c>
      <c r="H38" s="13" t="s">
        <v>128</v>
      </c>
      <c r="I38" s="12" t="s">
        <v>144</v>
      </c>
      <c r="J38" s="33"/>
    </row>
    <row r="39" spans="1:10" x14ac:dyDescent="0.2">
      <c r="B39" s="69" t="s">
        <v>86</v>
      </c>
      <c r="C39" s="59">
        <v>2018</v>
      </c>
      <c r="D39" s="11" t="s">
        <v>126</v>
      </c>
      <c r="E39" s="21">
        <v>14</v>
      </c>
      <c r="F39" s="235" t="s">
        <v>197</v>
      </c>
      <c r="G39" s="9">
        <f>1.779+246.683</f>
        <v>248.46199999999999</v>
      </c>
      <c r="H39" s="13" t="s">
        <v>128</v>
      </c>
      <c r="I39" s="12" t="s">
        <v>143</v>
      </c>
      <c r="J39" s="33"/>
    </row>
    <row r="40" spans="1:10" x14ac:dyDescent="0.2">
      <c r="B40" s="69" t="s">
        <v>86</v>
      </c>
      <c r="C40" s="59">
        <v>2018</v>
      </c>
      <c r="D40" s="11" t="s">
        <v>132</v>
      </c>
      <c r="E40" s="21">
        <v>16</v>
      </c>
      <c r="F40" s="235" t="s">
        <v>198</v>
      </c>
      <c r="G40" s="9">
        <f>0.536+2.04+252.366</f>
        <v>254.94200000000001</v>
      </c>
      <c r="H40" s="13" t="s">
        <v>128</v>
      </c>
      <c r="I40" s="12" t="s">
        <v>143</v>
      </c>
      <c r="J40" s="33"/>
    </row>
    <row r="41" spans="1:10" ht="17" thickBot="1" x14ac:dyDescent="0.25">
      <c r="B41" s="106" t="s">
        <v>86</v>
      </c>
      <c r="C41" s="149">
        <v>2018</v>
      </c>
      <c r="D41" s="148" t="s">
        <v>130</v>
      </c>
      <c r="E41" s="37">
        <v>11</v>
      </c>
      <c r="F41" s="238" t="s">
        <v>195</v>
      </c>
      <c r="G41" s="133">
        <f>1.297+244.667+0.286+3.694+2.877+0.453</f>
        <v>253.274</v>
      </c>
      <c r="H41" s="139" t="s">
        <v>128</v>
      </c>
      <c r="I41" s="140" t="s">
        <v>143</v>
      </c>
      <c r="J41" s="135"/>
    </row>
    <row r="42" spans="1:10" x14ac:dyDescent="0.2">
      <c r="A42" s="46"/>
      <c r="B42" s="146" t="s">
        <v>87</v>
      </c>
      <c r="C42" s="59">
        <v>2018</v>
      </c>
      <c r="D42" s="11" t="s">
        <v>125</v>
      </c>
      <c r="E42" s="21">
        <v>22</v>
      </c>
      <c r="F42" s="227" t="s">
        <v>193</v>
      </c>
      <c r="G42" s="11">
        <f>1106.601+1.543+1.719+1.181</f>
        <v>1111.0440000000001</v>
      </c>
      <c r="H42" s="13" t="s">
        <v>128</v>
      </c>
      <c r="I42" s="12" t="s">
        <v>144</v>
      </c>
      <c r="J42" s="42"/>
    </row>
    <row r="43" spans="1:10" x14ac:dyDescent="0.2">
      <c r="B43" s="69" t="s">
        <v>87</v>
      </c>
      <c r="C43" s="59">
        <v>2018</v>
      </c>
      <c r="D43" s="11" t="s">
        <v>126</v>
      </c>
      <c r="E43" s="21">
        <v>14</v>
      </c>
      <c r="F43" s="235" t="s">
        <v>197</v>
      </c>
      <c r="G43" s="11" t="s">
        <v>112</v>
      </c>
      <c r="H43" s="13" t="s">
        <v>131</v>
      </c>
      <c r="I43" s="12" t="s">
        <v>143</v>
      </c>
      <c r="J43" s="33" t="s">
        <v>140</v>
      </c>
    </row>
    <row r="44" spans="1:10" x14ac:dyDescent="0.2">
      <c r="A44" s="46"/>
      <c r="B44" s="69" t="s">
        <v>87</v>
      </c>
      <c r="C44" s="59">
        <v>2018</v>
      </c>
      <c r="D44" s="11" t="s">
        <v>132</v>
      </c>
      <c r="E44" s="21">
        <v>16</v>
      </c>
      <c r="F44" s="235" t="s">
        <v>198</v>
      </c>
      <c r="G44" s="11" t="s">
        <v>112</v>
      </c>
      <c r="H44" s="13" t="s">
        <v>128</v>
      </c>
      <c r="I44" s="12" t="s">
        <v>146</v>
      </c>
      <c r="J44" s="33" t="s">
        <v>139</v>
      </c>
    </row>
    <row r="45" spans="1:10" ht="17" thickBot="1" x14ac:dyDescent="0.25">
      <c r="A45" s="46"/>
      <c r="B45" s="147" t="s">
        <v>87</v>
      </c>
      <c r="C45" s="149">
        <v>2018</v>
      </c>
      <c r="D45" s="148" t="s">
        <v>130</v>
      </c>
      <c r="E45" s="37">
        <v>11</v>
      </c>
      <c r="F45" s="238" t="s">
        <v>195</v>
      </c>
      <c r="G45" s="133">
        <f>9.096+99.82+1.832+6.831+1.995+3.152+8.765+1.51+12.477+19.954+0.881+4.622+1.277+7.454+1.953+1.57+4.115+2.393+0.796+0.712+537.921+9.751+0.842+12.828+1.076</f>
        <v>753.62299999999993</v>
      </c>
      <c r="H45" s="139" t="s">
        <v>128</v>
      </c>
      <c r="I45" s="140" t="s">
        <v>143</v>
      </c>
      <c r="J45" s="135"/>
    </row>
    <row r="46" spans="1:10" x14ac:dyDescent="0.2">
      <c r="A46" s="46"/>
      <c r="B46" s="68" t="s">
        <v>88</v>
      </c>
      <c r="C46" s="59">
        <v>2018</v>
      </c>
      <c r="D46" s="11" t="s">
        <v>125</v>
      </c>
      <c r="E46" s="21">
        <v>22</v>
      </c>
      <c r="F46" s="227" t="s">
        <v>193</v>
      </c>
      <c r="G46" s="9">
        <f>6.291+0.397+1.694+1.944+1.178+1.585+5.15+2.706+2.666+16.811</f>
        <v>40.422000000000004</v>
      </c>
      <c r="H46" s="13" t="s">
        <v>128</v>
      </c>
      <c r="I46" s="12" t="s">
        <v>144</v>
      </c>
      <c r="J46" s="33"/>
    </row>
    <row r="47" spans="1:10" x14ac:dyDescent="0.2">
      <c r="A47" s="46"/>
      <c r="B47" s="69" t="s">
        <v>88</v>
      </c>
      <c r="C47" s="59">
        <v>2018</v>
      </c>
      <c r="D47" s="11" t="s">
        <v>126</v>
      </c>
      <c r="E47" s="21">
        <v>14</v>
      </c>
      <c r="F47" s="235" t="s">
        <v>197</v>
      </c>
      <c r="G47" s="9">
        <f>8.975+0.542+3.713+1.525+0.244+2.48+6.133+4.255+0.315+1.008+4.221+12.949</f>
        <v>46.36</v>
      </c>
      <c r="H47" s="13" t="s">
        <v>128</v>
      </c>
      <c r="I47" s="12" t="s">
        <v>143</v>
      </c>
      <c r="J47" s="33"/>
    </row>
    <row r="48" spans="1:10" x14ac:dyDescent="0.2">
      <c r="A48" s="46"/>
      <c r="B48" s="69" t="s">
        <v>88</v>
      </c>
      <c r="C48" s="59">
        <v>2018</v>
      </c>
      <c r="D48" s="11" t="s">
        <v>132</v>
      </c>
      <c r="E48" s="21">
        <v>16</v>
      </c>
      <c r="F48" s="235" t="s">
        <v>198</v>
      </c>
      <c r="G48" s="11">
        <f>9.425+3.307</f>
        <v>12.732000000000001</v>
      </c>
      <c r="H48" s="13" t="s">
        <v>128</v>
      </c>
      <c r="I48" s="12" t="s">
        <v>144</v>
      </c>
      <c r="J48" s="42"/>
    </row>
    <row r="49" spans="1:10" ht="17" thickBot="1" x14ac:dyDescent="0.25">
      <c r="A49" s="46"/>
      <c r="B49" s="106" t="s">
        <v>88</v>
      </c>
      <c r="C49" s="149">
        <v>2018</v>
      </c>
      <c r="D49" s="133" t="s">
        <v>130</v>
      </c>
      <c r="E49" s="37">
        <v>11</v>
      </c>
      <c r="F49" s="238" t="s">
        <v>195</v>
      </c>
      <c r="G49" s="133">
        <f>2.518+0.717+1.077+1.638+4.01+3.69+0.872+0.922+0.143+9.305</f>
        <v>24.891999999999999</v>
      </c>
      <c r="H49" s="139" t="s">
        <v>128</v>
      </c>
      <c r="I49" s="140" t="s">
        <v>143</v>
      </c>
      <c r="J49" s="135"/>
    </row>
    <row r="50" spans="1:10" x14ac:dyDescent="0.2">
      <c r="A50" s="46"/>
      <c r="B50" s="146" t="s">
        <v>89</v>
      </c>
      <c r="C50" s="59">
        <v>2018</v>
      </c>
      <c r="D50" s="9" t="s">
        <v>125</v>
      </c>
      <c r="E50" s="21">
        <v>22</v>
      </c>
      <c r="F50" s="227" t="s">
        <v>193</v>
      </c>
      <c r="G50" s="11" t="s">
        <v>147</v>
      </c>
      <c r="H50" s="13" t="s">
        <v>128</v>
      </c>
      <c r="I50" s="12" t="s">
        <v>144</v>
      </c>
      <c r="J50" s="42"/>
    </row>
    <row r="51" spans="1:10" x14ac:dyDescent="0.2">
      <c r="A51" s="46"/>
      <c r="B51" s="69" t="s">
        <v>89</v>
      </c>
      <c r="C51" s="59">
        <v>2018</v>
      </c>
      <c r="D51" s="11" t="s">
        <v>126</v>
      </c>
      <c r="E51" s="21">
        <v>14</v>
      </c>
      <c r="F51" s="235" t="s">
        <v>197</v>
      </c>
      <c r="G51" s="11" t="s">
        <v>112</v>
      </c>
      <c r="H51" s="13" t="s">
        <v>131</v>
      </c>
      <c r="I51" s="12" t="s">
        <v>143</v>
      </c>
      <c r="J51" s="33" t="s">
        <v>140</v>
      </c>
    </row>
    <row r="52" spans="1:10" x14ac:dyDescent="0.2">
      <c r="A52" s="46"/>
      <c r="B52" s="69" t="s">
        <v>89</v>
      </c>
      <c r="C52" s="59">
        <v>2018</v>
      </c>
      <c r="D52" s="9" t="s">
        <v>132</v>
      </c>
      <c r="E52" s="21">
        <v>16</v>
      </c>
      <c r="F52" s="235" t="s">
        <v>198</v>
      </c>
      <c r="G52" s="11" t="s">
        <v>112</v>
      </c>
      <c r="H52" s="13" t="s">
        <v>128</v>
      </c>
      <c r="I52" s="12" t="s">
        <v>146</v>
      </c>
      <c r="J52" s="33" t="s">
        <v>139</v>
      </c>
    </row>
    <row r="53" spans="1:10" ht="17" thickBot="1" x14ac:dyDescent="0.25">
      <c r="A53" s="46"/>
      <c r="B53" s="147" t="s">
        <v>89</v>
      </c>
      <c r="C53" s="149">
        <v>2018</v>
      </c>
      <c r="D53" s="148" t="s">
        <v>130</v>
      </c>
      <c r="E53" s="37">
        <v>11</v>
      </c>
      <c r="F53" s="238" t="s">
        <v>195</v>
      </c>
      <c r="G53" s="148">
        <f>7.666+147.685+4.254+4.791+3.914+13.184+29.584+0.252+1.882+9.955+4.965+4.036+0.177+4.271+0.705+5.54+343.949+0.28+0.956+0.562+1.275+0.469+0.387</f>
        <v>590.73899999999992</v>
      </c>
      <c r="H53" s="139" t="s">
        <v>128</v>
      </c>
      <c r="I53" s="140" t="s">
        <v>143</v>
      </c>
      <c r="J53" s="135"/>
    </row>
    <row r="54" spans="1:10" x14ac:dyDescent="0.2">
      <c r="A54" s="46"/>
      <c r="B54" s="68" t="s">
        <v>2</v>
      </c>
      <c r="C54" s="59">
        <v>2018</v>
      </c>
      <c r="D54" s="9" t="s">
        <v>125</v>
      </c>
      <c r="E54" s="21">
        <v>22</v>
      </c>
      <c r="F54" s="227" t="s">
        <v>193</v>
      </c>
      <c r="G54" s="11" t="s">
        <v>150</v>
      </c>
      <c r="H54" s="13" t="s">
        <v>128</v>
      </c>
      <c r="I54" s="12" t="s">
        <v>144</v>
      </c>
      <c r="J54" s="42"/>
    </row>
    <row r="55" spans="1:10" x14ac:dyDescent="0.2">
      <c r="A55" s="46"/>
      <c r="B55" s="69" t="s">
        <v>2</v>
      </c>
      <c r="C55" s="59">
        <v>2018</v>
      </c>
      <c r="D55" s="9" t="s">
        <v>126</v>
      </c>
      <c r="E55" s="21">
        <v>14</v>
      </c>
      <c r="F55" s="235" t="s">
        <v>197</v>
      </c>
      <c r="G55" s="11" t="s">
        <v>149</v>
      </c>
      <c r="H55" s="13" t="s">
        <v>128</v>
      </c>
      <c r="I55" s="12" t="s">
        <v>143</v>
      </c>
      <c r="J55" s="33"/>
    </row>
    <row r="56" spans="1:10" x14ac:dyDescent="0.2">
      <c r="A56" s="46"/>
      <c r="B56" s="69" t="s">
        <v>2</v>
      </c>
      <c r="C56" s="59">
        <v>2018</v>
      </c>
      <c r="D56" s="9" t="s">
        <v>124</v>
      </c>
      <c r="E56" s="21">
        <v>16</v>
      </c>
      <c r="F56" s="235" t="s">
        <v>198</v>
      </c>
      <c r="G56" s="11" t="s">
        <v>148</v>
      </c>
      <c r="H56" s="13" t="s">
        <v>128</v>
      </c>
      <c r="I56" s="12" t="s">
        <v>144</v>
      </c>
      <c r="J56" s="33"/>
    </row>
    <row r="57" spans="1:10" ht="17" thickBot="1" x14ac:dyDescent="0.25">
      <c r="A57" s="46"/>
      <c r="B57" s="106" t="s">
        <v>2</v>
      </c>
      <c r="C57" s="149">
        <v>2018</v>
      </c>
      <c r="D57" s="10" t="s">
        <v>130</v>
      </c>
      <c r="E57" s="37">
        <v>11</v>
      </c>
      <c r="F57" s="238" t="s">
        <v>195</v>
      </c>
      <c r="G57" s="133">
        <v>0</v>
      </c>
      <c r="H57" s="139" t="s">
        <v>128</v>
      </c>
      <c r="I57" s="140" t="s">
        <v>143</v>
      </c>
      <c r="J57" s="135"/>
    </row>
    <row r="58" spans="1:10" x14ac:dyDescent="0.2">
      <c r="A58" s="46"/>
      <c r="B58" s="146" t="s">
        <v>90</v>
      </c>
      <c r="C58" s="59">
        <v>2018</v>
      </c>
      <c r="D58" s="8" t="s">
        <v>125</v>
      </c>
      <c r="E58" s="21">
        <v>22</v>
      </c>
      <c r="F58" s="227" t="s">
        <v>193</v>
      </c>
      <c r="G58" s="11" t="s">
        <v>151</v>
      </c>
      <c r="H58" s="13" t="s">
        <v>128</v>
      </c>
      <c r="I58" s="12" t="s">
        <v>144</v>
      </c>
      <c r="J58" s="42"/>
    </row>
    <row r="59" spans="1:10" x14ac:dyDescent="0.2">
      <c r="A59" s="46"/>
      <c r="B59" s="69" t="s">
        <v>90</v>
      </c>
      <c r="C59" s="59">
        <v>2018</v>
      </c>
      <c r="D59" s="8" t="s">
        <v>126</v>
      </c>
      <c r="E59" s="21">
        <v>14</v>
      </c>
      <c r="F59" s="235" t="s">
        <v>197</v>
      </c>
      <c r="G59" s="9" t="s">
        <v>117</v>
      </c>
      <c r="H59" s="13" t="s">
        <v>128</v>
      </c>
      <c r="I59" s="12" t="s">
        <v>143</v>
      </c>
      <c r="J59" s="33"/>
    </row>
    <row r="60" spans="1:10" ht="17" thickBot="1" x14ac:dyDescent="0.25">
      <c r="A60" s="46"/>
      <c r="B60" s="147" t="s">
        <v>90</v>
      </c>
      <c r="C60" s="149">
        <v>2018</v>
      </c>
      <c r="D60" s="10" t="s">
        <v>130</v>
      </c>
      <c r="E60" s="37">
        <v>11</v>
      </c>
      <c r="F60" s="238" t="s">
        <v>195</v>
      </c>
      <c r="G60" s="148" t="s">
        <v>112</v>
      </c>
      <c r="H60" s="139" t="s">
        <v>133</v>
      </c>
      <c r="I60" s="140" t="s">
        <v>146</v>
      </c>
      <c r="J60" s="135" t="s">
        <v>134</v>
      </c>
    </row>
    <row r="61" spans="1:10" x14ac:dyDescent="0.2">
      <c r="A61" s="46"/>
      <c r="B61" s="68" t="s">
        <v>91</v>
      </c>
      <c r="C61" s="59">
        <v>2018</v>
      </c>
      <c r="D61" s="8" t="s">
        <v>125</v>
      </c>
      <c r="E61" s="21">
        <v>22</v>
      </c>
      <c r="F61" s="227" t="s">
        <v>193</v>
      </c>
      <c r="G61" s="11">
        <f>30.745+5.157+13.966+5.412</f>
        <v>55.28</v>
      </c>
      <c r="H61" s="13" t="s">
        <v>128</v>
      </c>
      <c r="I61" s="12" t="s">
        <v>144</v>
      </c>
      <c r="J61" s="42"/>
    </row>
    <row r="62" spans="1:10" x14ac:dyDescent="0.2">
      <c r="A62" s="46"/>
      <c r="B62" s="69" t="s">
        <v>91</v>
      </c>
      <c r="C62" s="59">
        <v>2018</v>
      </c>
      <c r="D62" s="8" t="s">
        <v>126</v>
      </c>
      <c r="E62" s="21">
        <v>14</v>
      </c>
      <c r="F62" s="235" t="s">
        <v>197</v>
      </c>
      <c r="G62" s="9">
        <f>20.406+5.623+13.265+2.854</f>
        <v>42.147999999999996</v>
      </c>
      <c r="H62" s="13" t="s">
        <v>128</v>
      </c>
      <c r="I62" s="12" t="s">
        <v>143</v>
      </c>
      <c r="J62" s="33"/>
    </row>
    <row r="63" spans="1:10" ht="17" thickBot="1" x14ac:dyDescent="0.25">
      <c r="A63" s="46"/>
      <c r="B63" s="106" t="s">
        <v>91</v>
      </c>
      <c r="C63" s="149">
        <v>2018</v>
      </c>
      <c r="D63" s="10" t="s">
        <v>130</v>
      </c>
      <c r="E63" s="37">
        <v>11</v>
      </c>
      <c r="F63" s="238" t="s">
        <v>195</v>
      </c>
      <c r="G63" s="148" t="s">
        <v>112</v>
      </c>
      <c r="H63" s="139" t="s">
        <v>133</v>
      </c>
      <c r="I63" s="140" t="s">
        <v>146</v>
      </c>
      <c r="J63" s="135" t="s">
        <v>134</v>
      </c>
    </row>
    <row r="64" spans="1:10" x14ac:dyDescent="0.2">
      <c r="A64" s="46"/>
      <c r="B64" s="146" t="s">
        <v>92</v>
      </c>
      <c r="C64" s="59">
        <v>2018</v>
      </c>
      <c r="D64" s="8" t="s">
        <v>125</v>
      </c>
      <c r="E64" s="21">
        <v>22</v>
      </c>
      <c r="F64" s="227" t="s">
        <v>193</v>
      </c>
      <c r="G64" s="11">
        <f>4.967+0.839+2.781+1.346+14.79+2.402</f>
        <v>27.125</v>
      </c>
      <c r="H64" s="13" t="s">
        <v>128</v>
      </c>
      <c r="I64" s="12" t="s">
        <v>144</v>
      </c>
      <c r="J64" s="33"/>
    </row>
    <row r="65" spans="1:10" ht="17" thickBot="1" x14ac:dyDescent="0.25">
      <c r="A65" s="46"/>
      <c r="B65" s="147" t="s">
        <v>92</v>
      </c>
      <c r="C65" s="59">
        <v>2018</v>
      </c>
      <c r="D65" s="8" t="s">
        <v>126</v>
      </c>
      <c r="E65" s="21">
        <v>14</v>
      </c>
      <c r="F65" s="235" t="s">
        <v>197</v>
      </c>
      <c r="G65" s="9">
        <f>3.282+0.622+19.652+5.461</f>
        <v>29.017000000000003</v>
      </c>
      <c r="H65" s="13" t="s">
        <v>128</v>
      </c>
      <c r="I65" s="12" t="s">
        <v>143</v>
      </c>
      <c r="J65" s="42"/>
    </row>
    <row r="66" spans="1:10" x14ac:dyDescent="0.2">
      <c r="A66" s="46"/>
      <c r="B66" s="107" t="s">
        <v>44</v>
      </c>
      <c r="C66" s="108">
        <v>2018</v>
      </c>
      <c r="D66" s="109" t="s">
        <v>125</v>
      </c>
      <c r="E66" s="110">
        <v>22</v>
      </c>
      <c r="F66" s="234" t="s">
        <v>193</v>
      </c>
      <c r="G66" s="111">
        <f>78.162+0.455+255.398+0.76+2.182+1.582+0.836+1.72+0.72</f>
        <v>341.81500000000005</v>
      </c>
      <c r="H66" s="112" t="s">
        <v>128</v>
      </c>
      <c r="I66" s="99" t="s">
        <v>143</v>
      </c>
      <c r="J66" s="113"/>
    </row>
    <row r="67" spans="1:10" x14ac:dyDescent="0.2">
      <c r="A67" s="46"/>
      <c r="B67" s="70" t="s">
        <v>44</v>
      </c>
      <c r="C67" s="59">
        <v>2018</v>
      </c>
      <c r="D67" s="8" t="s">
        <v>126</v>
      </c>
      <c r="E67" s="21">
        <v>14</v>
      </c>
      <c r="F67" s="227" t="s">
        <v>197</v>
      </c>
      <c r="G67" s="11">
        <f>61.489+54.786+3.376+18.6+108.167+1.565+0.955</f>
        <v>248.93800000000002</v>
      </c>
      <c r="H67" s="13" t="s">
        <v>128</v>
      </c>
      <c r="I67" s="12" t="s">
        <v>143</v>
      </c>
      <c r="J67" s="42"/>
    </row>
    <row r="68" spans="1:10" ht="17" thickBot="1" x14ac:dyDescent="0.25">
      <c r="A68" s="46"/>
      <c r="B68" s="150" t="s">
        <v>44</v>
      </c>
      <c r="C68" s="149">
        <v>2018</v>
      </c>
      <c r="D68" s="10" t="s">
        <v>130</v>
      </c>
      <c r="E68" s="37">
        <v>11</v>
      </c>
      <c r="F68" s="227" t="s">
        <v>195</v>
      </c>
      <c r="G68" s="148" t="s">
        <v>112</v>
      </c>
      <c r="H68" s="139" t="s">
        <v>128</v>
      </c>
      <c r="I68" s="140" t="s">
        <v>146</v>
      </c>
      <c r="J68" s="141" t="s">
        <v>139</v>
      </c>
    </row>
    <row r="69" spans="1:10" x14ac:dyDescent="0.2">
      <c r="A69" s="46"/>
      <c r="B69" s="107" t="s">
        <v>45</v>
      </c>
      <c r="C69" s="59">
        <v>2018</v>
      </c>
      <c r="D69" s="8" t="s">
        <v>125</v>
      </c>
      <c r="E69" s="21">
        <v>22</v>
      </c>
      <c r="F69" s="219" t="s">
        <v>193</v>
      </c>
      <c r="G69" s="9">
        <f>299.522+1.582+1.181+1.444+3.602+1.245</f>
        <v>308.57599999999996</v>
      </c>
      <c r="H69" s="13" t="s">
        <v>128</v>
      </c>
      <c r="I69" s="12" t="s">
        <v>143</v>
      </c>
      <c r="J69" s="42"/>
    </row>
    <row r="70" spans="1:10" x14ac:dyDescent="0.2">
      <c r="A70" s="46"/>
      <c r="B70" s="71" t="s">
        <v>45</v>
      </c>
      <c r="C70" s="59">
        <v>2018</v>
      </c>
      <c r="D70" s="8" t="s">
        <v>126</v>
      </c>
      <c r="E70" s="21">
        <v>14</v>
      </c>
      <c r="F70" s="227" t="s">
        <v>197</v>
      </c>
      <c r="G70" s="11">
        <f>2.22+254.155</f>
        <v>256.375</v>
      </c>
      <c r="H70" s="13" t="s">
        <v>128</v>
      </c>
      <c r="I70" s="12" t="s">
        <v>143</v>
      </c>
      <c r="J70" s="42"/>
    </row>
    <row r="71" spans="1:10" ht="17" thickBot="1" x14ac:dyDescent="0.25">
      <c r="A71" s="46"/>
      <c r="B71" s="114" t="s">
        <v>45</v>
      </c>
      <c r="C71" s="149">
        <v>2018</v>
      </c>
      <c r="D71" s="10" t="s">
        <v>130</v>
      </c>
      <c r="E71" s="37">
        <v>11</v>
      </c>
      <c r="F71" s="222" t="s">
        <v>195</v>
      </c>
      <c r="G71" s="148" t="s">
        <v>112</v>
      </c>
      <c r="H71" s="139" t="s">
        <v>128</v>
      </c>
      <c r="I71" s="140" t="s">
        <v>146</v>
      </c>
      <c r="J71" s="141" t="s">
        <v>139</v>
      </c>
    </row>
    <row r="72" spans="1:10" x14ac:dyDescent="0.2">
      <c r="A72" s="46"/>
      <c r="B72" s="70" t="s">
        <v>46</v>
      </c>
      <c r="C72" s="59">
        <v>2018</v>
      </c>
      <c r="D72" s="8" t="s">
        <v>125</v>
      </c>
      <c r="E72" s="21">
        <v>22</v>
      </c>
      <c r="F72" s="219" t="s">
        <v>193</v>
      </c>
      <c r="G72" s="9">
        <f>222.738+14.974+4.69+2.937+18.929+37.293</f>
        <v>301.56099999999998</v>
      </c>
      <c r="H72" s="13" t="s">
        <v>128</v>
      </c>
      <c r="I72" s="12" t="s">
        <v>143</v>
      </c>
      <c r="J72" s="42"/>
    </row>
    <row r="73" spans="1:10" x14ac:dyDescent="0.2">
      <c r="A73" s="46"/>
      <c r="B73" s="71" t="s">
        <v>46</v>
      </c>
      <c r="C73" s="59">
        <v>2018</v>
      </c>
      <c r="D73" s="8" t="s">
        <v>126</v>
      </c>
      <c r="E73" s="22">
        <v>14</v>
      </c>
      <c r="F73" s="227" t="s">
        <v>197</v>
      </c>
      <c r="G73" s="11">
        <f>189.11+2.317+4.448+2.577+15.303+14.661+7.647+4.276+0.582+7.407+0.911+0.509</f>
        <v>249.74800000000002</v>
      </c>
      <c r="H73" s="13" t="s">
        <v>128</v>
      </c>
      <c r="I73" s="12" t="s">
        <v>143</v>
      </c>
      <c r="J73" s="42"/>
    </row>
    <row r="74" spans="1:10" ht="17" thickBot="1" x14ac:dyDescent="0.25">
      <c r="A74" s="46"/>
      <c r="B74" s="151" t="s">
        <v>46</v>
      </c>
      <c r="C74" s="149">
        <v>2018</v>
      </c>
      <c r="D74" s="10" t="s">
        <v>130</v>
      </c>
      <c r="E74" s="37">
        <v>11</v>
      </c>
      <c r="F74" s="222" t="s">
        <v>195</v>
      </c>
      <c r="G74" s="148" t="s">
        <v>112</v>
      </c>
      <c r="H74" s="139" t="s">
        <v>131</v>
      </c>
      <c r="I74" s="140" t="s">
        <v>146</v>
      </c>
      <c r="J74" s="141" t="s">
        <v>141</v>
      </c>
    </row>
    <row r="75" spans="1:10" x14ac:dyDescent="0.2">
      <c r="A75" s="46"/>
      <c r="B75" s="107" t="s">
        <v>48</v>
      </c>
      <c r="C75" s="59">
        <v>2018</v>
      </c>
      <c r="D75" s="8" t="s">
        <v>125</v>
      </c>
      <c r="E75" s="21">
        <v>22</v>
      </c>
      <c r="F75" s="219" t="s">
        <v>193</v>
      </c>
      <c r="G75" s="11">
        <f>372.909+1.324+1.466+2.159+0.971+2.369</f>
        <v>381.19800000000004</v>
      </c>
      <c r="H75" s="13" t="s">
        <v>128</v>
      </c>
      <c r="I75" s="12" t="s">
        <v>143</v>
      </c>
      <c r="J75" s="42"/>
    </row>
    <row r="76" spans="1:10" ht="17" thickBot="1" x14ac:dyDescent="0.25">
      <c r="A76" s="46"/>
      <c r="B76" s="114" t="s">
        <v>48</v>
      </c>
      <c r="C76" s="149">
        <v>2018</v>
      </c>
      <c r="D76" s="10" t="s">
        <v>126</v>
      </c>
      <c r="E76" s="153">
        <v>13.5</v>
      </c>
      <c r="F76" s="222" t="s">
        <v>199</v>
      </c>
      <c r="G76" s="133">
        <f>0.327+0.466+0.581+2.029+0.507+0.694+2.89+286.16+1.265</f>
        <v>294.91899999999998</v>
      </c>
      <c r="H76" s="139" t="s">
        <v>128</v>
      </c>
      <c r="I76" s="140" t="s">
        <v>143</v>
      </c>
      <c r="J76" s="141" t="s">
        <v>152</v>
      </c>
    </row>
    <row r="77" spans="1:10" x14ac:dyDescent="0.2">
      <c r="A77" s="46"/>
      <c r="B77" s="70" t="s">
        <v>47</v>
      </c>
      <c r="C77" s="59">
        <v>2018</v>
      </c>
      <c r="D77" s="8" t="s">
        <v>125</v>
      </c>
      <c r="E77" s="21">
        <v>22</v>
      </c>
      <c r="F77" s="219" t="s">
        <v>193</v>
      </c>
      <c r="G77" s="11">
        <f>485.247+0.574+0.639+0.399+1.025+0.368+1.322+1.677+0.621+0.699</f>
        <v>492.57100000000003</v>
      </c>
      <c r="H77" s="13" t="s">
        <v>128</v>
      </c>
      <c r="I77" s="12" t="s">
        <v>143</v>
      </c>
      <c r="J77" s="42"/>
    </row>
    <row r="78" spans="1:10" ht="17" thickBot="1" x14ac:dyDescent="0.25">
      <c r="A78" s="46"/>
      <c r="B78" s="151" t="s">
        <v>47</v>
      </c>
      <c r="C78" s="149">
        <v>2018</v>
      </c>
      <c r="D78" s="10" t="s">
        <v>126</v>
      </c>
      <c r="E78" s="153">
        <v>13.5</v>
      </c>
      <c r="F78" s="222" t="s">
        <v>199</v>
      </c>
      <c r="G78" s="148">
        <f>392.146+16.336</f>
        <v>408.48200000000003</v>
      </c>
      <c r="H78" s="139" t="s">
        <v>128</v>
      </c>
      <c r="I78" s="140" t="s">
        <v>143</v>
      </c>
      <c r="J78" s="141"/>
    </row>
    <row r="79" spans="1:10" x14ac:dyDescent="0.2">
      <c r="A79" s="46"/>
      <c r="B79" s="107" t="s">
        <v>49</v>
      </c>
      <c r="C79" s="59">
        <v>2018</v>
      </c>
      <c r="D79" s="8" t="s">
        <v>125</v>
      </c>
      <c r="E79" s="21">
        <v>22</v>
      </c>
      <c r="F79" s="219" t="s">
        <v>193</v>
      </c>
      <c r="G79" s="11">
        <f>138.764+43.225+0.459+59.591+14.383+0.966</f>
        <v>257.38800000000003</v>
      </c>
      <c r="H79" s="13" t="s">
        <v>128</v>
      </c>
      <c r="I79" s="12" t="s">
        <v>143</v>
      </c>
      <c r="J79" s="42"/>
    </row>
    <row r="80" spans="1:10" ht="17" thickBot="1" x14ac:dyDescent="0.25">
      <c r="A80" s="46"/>
      <c r="B80" s="114" t="s">
        <v>49</v>
      </c>
      <c r="C80" s="149">
        <v>2018</v>
      </c>
      <c r="D80" s="10" t="s">
        <v>126</v>
      </c>
      <c r="E80" s="37">
        <v>14</v>
      </c>
      <c r="F80" s="222" t="s">
        <v>197</v>
      </c>
      <c r="G80" s="133" t="s">
        <v>114</v>
      </c>
      <c r="H80" s="139" t="s">
        <v>128</v>
      </c>
      <c r="I80" s="140" t="s">
        <v>143</v>
      </c>
      <c r="J80" s="135"/>
    </row>
    <row r="81" spans="1:10" x14ac:dyDescent="0.2">
      <c r="A81" s="46"/>
      <c r="B81" s="70" t="s">
        <v>50</v>
      </c>
      <c r="C81" s="59">
        <v>2018</v>
      </c>
      <c r="D81" s="8" t="s">
        <v>125</v>
      </c>
      <c r="E81" s="21">
        <v>22</v>
      </c>
      <c r="F81" s="219" t="s">
        <v>193</v>
      </c>
      <c r="G81" s="11">
        <f>51.062+1.458+11.742+3.687+1.969+1.017+5.137+4.711+2.509+2.023+3.392+22.644+48.13+2.903+1.849+5.493+1.687+3.928+10.894</f>
        <v>186.23499999999996</v>
      </c>
      <c r="H81" s="13" t="s">
        <v>128</v>
      </c>
      <c r="I81" s="12" t="s">
        <v>143</v>
      </c>
      <c r="J81" s="33"/>
    </row>
    <row r="82" spans="1:10" ht="17" thickBot="1" x14ac:dyDescent="0.25">
      <c r="A82" s="46"/>
      <c r="B82" s="151" t="s">
        <v>50</v>
      </c>
      <c r="C82" s="149">
        <v>2018</v>
      </c>
      <c r="D82" s="10" t="s">
        <v>126</v>
      </c>
      <c r="E82" s="37">
        <v>14</v>
      </c>
      <c r="F82" s="222" t="s">
        <v>197</v>
      </c>
      <c r="G82" s="133">
        <f>7.975+3.333+3.212+0.688+1.898+6.512+4.168+17.507+2.804+1.178+8.587+1.772+2.455+2.272+4.136+2.273+6.001</f>
        <v>76.771000000000001</v>
      </c>
      <c r="H82" s="139" t="s">
        <v>128</v>
      </c>
      <c r="I82" s="140" t="s">
        <v>143</v>
      </c>
      <c r="J82" s="135"/>
    </row>
    <row r="83" spans="1:10" x14ac:dyDescent="0.2">
      <c r="A83" s="46"/>
      <c r="B83" s="107" t="s">
        <v>51</v>
      </c>
      <c r="C83" s="59">
        <v>2018</v>
      </c>
      <c r="D83" s="8" t="s">
        <v>125</v>
      </c>
      <c r="E83" s="21">
        <v>22</v>
      </c>
      <c r="F83" s="219" t="s">
        <v>193</v>
      </c>
      <c r="G83" s="11">
        <f>11.984+9.3+1.891+125.916</f>
        <v>149.09100000000001</v>
      </c>
      <c r="H83" s="13" t="s">
        <v>128</v>
      </c>
      <c r="I83" s="12" t="s">
        <v>143</v>
      </c>
      <c r="J83" s="33"/>
    </row>
    <row r="84" spans="1:10" ht="17" thickBot="1" x14ac:dyDescent="0.25">
      <c r="A84" s="46"/>
      <c r="B84" s="114" t="s">
        <v>51</v>
      </c>
      <c r="C84" s="149">
        <v>2018</v>
      </c>
      <c r="D84" s="10" t="s">
        <v>126</v>
      </c>
      <c r="E84" s="37">
        <v>14</v>
      </c>
      <c r="F84" s="222" t="s">
        <v>197</v>
      </c>
      <c r="G84" s="133">
        <f>10.659+2.112+6.403+2.447+0.614+81.295+8.579</f>
        <v>112.10900000000001</v>
      </c>
      <c r="H84" s="139" t="s">
        <v>128</v>
      </c>
      <c r="I84" s="140" t="s">
        <v>143</v>
      </c>
      <c r="J84" s="135"/>
    </row>
    <row r="85" spans="1:10" x14ac:dyDescent="0.2">
      <c r="A85" s="46"/>
      <c r="B85" s="107" t="s">
        <v>52</v>
      </c>
      <c r="C85" s="59">
        <v>2018</v>
      </c>
      <c r="D85" s="8" t="s">
        <v>125</v>
      </c>
      <c r="E85" s="21">
        <v>22</v>
      </c>
      <c r="F85" s="219" t="s">
        <v>193</v>
      </c>
      <c r="G85" s="11">
        <f>14.344+5.063+1.953+1.579+3.704+1.541+6+5.48+0.674+3.493+1.754+178.574+3.824</f>
        <v>227.98300000000003</v>
      </c>
      <c r="H85" s="13" t="s">
        <v>128</v>
      </c>
      <c r="I85" s="12" t="s">
        <v>143</v>
      </c>
      <c r="J85" s="33"/>
    </row>
    <row r="86" spans="1:10" ht="17" thickBot="1" x14ac:dyDescent="0.25">
      <c r="A86" s="46"/>
      <c r="B86" s="114" t="s">
        <v>52</v>
      </c>
      <c r="C86" s="239">
        <v>2018</v>
      </c>
      <c r="D86" s="8" t="s">
        <v>126</v>
      </c>
      <c r="E86" s="38">
        <v>14</v>
      </c>
      <c r="F86" s="214" t="s">
        <v>197</v>
      </c>
      <c r="G86" s="9">
        <f>5.283+2.11+0.968+2.041+0.63+7.478+143.244+3.964</f>
        <v>165.71799999999999</v>
      </c>
      <c r="H86" s="13" t="s">
        <v>128</v>
      </c>
      <c r="I86" s="12" t="s">
        <v>143</v>
      </c>
      <c r="J86" s="33"/>
    </row>
    <row r="87" spans="1:10" x14ac:dyDescent="0.2">
      <c r="A87" s="46"/>
      <c r="B87" s="107" t="s">
        <v>53</v>
      </c>
      <c r="C87" s="240">
        <v>2018</v>
      </c>
      <c r="D87" s="242" t="s">
        <v>125</v>
      </c>
      <c r="E87" s="240">
        <v>22</v>
      </c>
      <c r="F87" s="219" t="s">
        <v>193</v>
      </c>
      <c r="G87" s="241">
        <v>0</v>
      </c>
      <c r="H87" s="243" t="s">
        <v>128</v>
      </c>
      <c r="I87" s="243" t="s">
        <v>143</v>
      </c>
      <c r="J87" s="244"/>
    </row>
    <row r="88" spans="1:10" x14ac:dyDescent="0.2">
      <c r="A88" s="46"/>
      <c r="B88" s="70" t="s">
        <v>53</v>
      </c>
      <c r="C88" s="59">
        <v>2018</v>
      </c>
      <c r="D88" s="8" t="s">
        <v>126</v>
      </c>
      <c r="E88" s="21">
        <v>14</v>
      </c>
      <c r="F88" s="214" t="s">
        <v>197</v>
      </c>
      <c r="G88" s="9">
        <v>0</v>
      </c>
      <c r="H88" s="13" t="s">
        <v>128</v>
      </c>
      <c r="I88" s="12" t="s">
        <v>143</v>
      </c>
      <c r="J88" s="33"/>
    </row>
    <row r="89" spans="1:10" ht="17" thickBot="1" x14ac:dyDescent="0.25">
      <c r="A89" s="46"/>
      <c r="B89" s="114" t="s">
        <v>53</v>
      </c>
      <c r="C89" s="131">
        <v>2018</v>
      </c>
      <c r="D89" s="10" t="s">
        <v>130</v>
      </c>
      <c r="E89" s="37">
        <v>11</v>
      </c>
      <c r="F89" s="222" t="s">
        <v>195</v>
      </c>
      <c r="G89" s="133">
        <v>0</v>
      </c>
      <c r="H89" s="139" t="s">
        <v>128</v>
      </c>
      <c r="I89" s="140" t="s">
        <v>146</v>
      </c>
      <c r="J89" s="135"/>
    </row>
    <row r="90" spans="1:10" x14ac:dyDescent="0.2">
      <c r="A90" s="46"/>
      <c r="B90" s="70" t="s">
        <v>54</v>
      </c>
      <c r="C90" s="59">
        <v>2018</v>
      </c>
      <c r="D90" s="8" t="s">
        <v>135</v>
      </c>
      <c r="E90" s="21">
        <v>22</v>
      </c>
      <c r="F90" s="219" t="s">
        <v>193</v>
      </c>
      <c r="G90" s="11">
        <f>0.897+27.263+0.225+0.38+208.781+2.556+0.45+15.8+48.456+1.972+1.67</f>
        <v>308.45</v>
      </c>
      <c r="H90" s="13" t="s">
        <v>128</v>
      </c>
      <c r="I90" s="12" t="s">
        <v>143</v>
      </c>
      <c r="J90" s="33"/>
    </row>
    <row r="91" spans="1:10" x14ac:dyDescent="0.2">
      <c r="A91" s="46"/>
      <c r="B91" s="71" t="s">
        <v>54</v>
      </c>
      <c r="C91" s="59">
        <v>2018</v>
      </c>
      <c r="D91" s="8" t="s">
        <v>126</v>
      </c>
      <c r="E91" s="21">
        <v>14</v>
      </c>
      <c r="F91" s="214" t="s">
        <v>197</v>
      </c>
      <c r="G91" s="9">
        <f>155.324+1.806+10.709+33.436+1.097+7.928+13.796</f>
        <v>224.09600000000003</v>
      </c>
      <c r="H91" s="13" t="s">
        <v>128</v>
      </c>
      <c r="I91" s="12" t="s">
        <v>143</v>
      </c>
      <c r="J91" s="33"/>
    </row>
    <row r="92" spans="1:10" ht="17" thickBot="1" x14ac:dyDescent="0.25">
      <c r="A92" s="46"/>
      <c r="B92" s="151" t="s">
        <v>54</v>
      </c>
      <c r="C92" s="149">
        <v>2018</v>
      </c>
      <c r="D92" s="10" t="s">
        <v>130</v>
      </c>
      <c r="E92" s="37">
        <v>11</v>
      </c>
      <c r="F92" s="222" t="s">
        <v>195</v>
      </c>
      <c r="G92" s="148" t="s">
        <v>112</v>
      </c>
      <c r="H92" s="139" t="s">
        <v>128</v>
      </c>
      <c r="I92" s="140" t="s">
        <v>146</v>
      </c>
      <c r="J92" s="135"/>
    </row>
    <row r="93" spans="1:10" x14ac:dyDescent="0.2">
      <c r="A93" s="46"/>
      <c r="B93" s="107" t="s">
        <v>55</v>
      </c>
      <c r="C93" s="59">
        <v>2018</v>
      </c>
      <c r="D93" s="8" t="s">
        <v>125</v>
      </c>
      <c r="E93" s="21">
        <v>22</v>
      </c>
      <c r="F93" s="219" t="s">
        <v>193</v>
      </c>
      <c r="G93" s="11">
        <v>0</v>
      </c>
      <c r="H93" s="13" t="s">
        <v>128</v>
      </c>
      <c r="I93" s="12" t="s">
        <v>143</v>
      </c>
      <c r="J93" s="33"/>
    </row>
    <row r="94" spans="1:10" x14ac:dyDescent="0.2">
      <c r="A94" s="46"/>
      <c r="B94" s="71" t="s">
        <v>55</v>
      </c>
      <c r="C94" s="59">
        <v>2018</v>
      </c>
      <c r="D94" s="8" t="s">
        <v>126</v>
      </c>
      <c r="E94" s="21">
        <v>14</v>
      </c>
      <c r="F94" s="214" t="s">
        <v>197</v>
      </c>
      <c r="G94" s="9">
        <v>0</v>
      </c>
      <c r="H94" s="13" t="s">
        <v>128</v>
      </c>
      <c r="I94" s="12" t="s">
        <v>143</v>
      </c>
      <c r="J94" s="33"/>
    </row>
    <row r="95" spans="1:10" ht="17" thickBot="1" x14ac:dyDescent="0.25">
      <c r="A95" s="46"/>
      <c r="B95" s="114" t="s">
        <v>55</v>
      </c>
      <c r="C95" s="149">
        <v>2018</v>
      </c>
      <c r="D95" s="10" t="s">
        <v>130</v>
      </c>
      <c r="E95" s="37">
        <v>11</v>
      </c>
      <c r="F95" s="222" t="s">
        <v>195</v>
      </c>
      <c r="G95" s="148" t="s">
        <v>112</v>
      </c>
      <c r="H95" s="139" t="s">
        <v>128</v>
      </c>
      <c r="I95" s="140" t="s">
        <v>146</v>
      </c>
      <c r="J95" s="135"/>
    </row>
    <row r="96" spans="1:10" x14ac:dyDescent="0.2">
      <c r="A96" s="46"/>
      <c r="B96" s="70" t="s">
        <v>56</v>
      </c>
      <c r="C96" s="59">
        <v>2018</v>
      </c>
      <c r="D96" s="8" t="s">
        <v>125</v>
      </c>
      <c r="E96" s="21">
        <v>22</v>
      </c>
      <c r="F96" s="219" t="s">
        <v>193</v>
      </c>
      <c r="G96" s="11">
        <f>9.142+2.969+5.02+0.934+3.578+562.472+67.672+22.179+25.409</f>
        <v>699.375</v>
      </c>
      <c r="H96" s="13" t="s">
        <v>128</v>
      </c>
      <c r="I96" s="12" t="s">
        <v>143</v>
      </c>
      <c r="J96" s="42"/>
    </row>
    <row r="97" spans="1:10" ht="17" thickBot="1" x14ac:dyDescent="0.25">
      <c r="A97" s="46"/>
      <c r="B97" s="151" t="s">
        <v>56</v>
      </c>
      <c r="C97" s="149">
        <v>2018</v>
      </c>
      <c r="D97" s="133" t="s">
        <v>126</v>
      </c>
      <c r="E97" s="37">
        <v>14</v>
      </c>
      <c r="F97" s="214" t="s">
        <v>197</v>
      </c>
      <c r="G97" s="133">
        <f>10.602+2.885+5.432+0.546+0.796+1.03+2.164+177.551+75.039+3.822+43.271</f>
        <v>323.13800000000003</v>
      </c>
      <c r="H97" s="139" t="s">
        <v>128</v>
      </c>
      <c r="I97" s="140" t="s">
        <v>143</v>
      </c>
      <c r="J97" s="141"/>
    </row>
    <row r="98" spans="1:10" x14ac:dyDescent="0.2">
      <c r="A98" s="46"/>
      <c r="B98" s="107" t="s">
        <v>57</v>
      </c>
      <c r="C98" s="59">
        <v>2018</v>
      </c>
      <c r="D98" s="9" t="s">
        <v>125</v>
      </c>
      <c r="E98" s="21">
        <v>22</v>
      </c>
      <c r="F98" s="219" t="s">
        <v>193</v>
      </c>
      <c r="G98" s="11">
        <f>1.191+957.997+81.957+3.173</f>
        <v>1044.318</v>
      </c>
      <c r="H98" s="13" t="s">
        <v>128</v>
      </c>
      <c r="I98" s="12" t="s">
        <v>143</v>
      </c>
      <c r="J98" s="42"/>
    </row>
    <row r="99" spans="1:10" ht="17" thickBot="1" x14ac:dyDescent="0.25">
      <c r="A99" s="46"/>
      <c r="B99" s="114" t="s">
        <v>57</v>
      </c>
      <c r="C99" s="149">
        <v>2018</v>
      </c>
      <c r="D99" s="133" t="s">
        <v>126</v>
      </c>
      <c r="E99" s="37">
        <v>14</v>
      </c>
      <c r="F99" s="214" t="s">
        <v>197</v>
      </c>
      <c r="G99" s="148">
        <f>9.916+16.472+1.56+1.483+7.374+44.197+3.441+521.247+1.955+66.603</f>
        <v>674.24799999999993</v>
      </c>
      <c r="H99" s="139" t="s">
        <v>128</v>
      </c>
      <c r="I99" s="140" t="s">
        <v>143</v>
      </c>
      <c r="J99" s="141"/>
    </row>
    <row r="100" spans="1:10" x14ac:dyDescent="0.2">
      <c r="A100" s="46"/>
      <c r="B100" s="70" t="s">
        <v>58</v>
      </c>
      <c r="C100" s="59">
        <v>2018</v>
      </c>
      <c r="D100" s="9" t="s">
        <v>125</v>
      </c>
      <c r="E100" s="21">
        <v>22</v>
      </c>
      <c r="F100" s="219" t="s">
        <v>193</v>
      </c>
      <c r="G100" s="11">
        <v>0</v>
      </c>
      <c r="H100" s="13" t="s">
        <v>128</v>
      </c>
      <c r="I100" s="12" t="s">
        <v>143</v>
      </c>
      <c r="J100" s="42"/>
    </row>
    <row r="101" spans="1:10" ht="17" thickBot="1" x14ac:dyDescent="0.25">
      <c r="A101" s="46"/>
      <c r="B101" s="151" t="s">
        <v>58</v>
      </c>
      <c r="C101" s="149">
        <v>2018</v>
      </c>
      <c r="D101" s="132" t="s">
        <v>126</v>
      </c>
      <c r="E101" s="37">
        <v>14</v>
      </c>
      <c r="F101" s="214" t="s">
        <v>197</v>
      </c>
      <c r="G101" s="133">
        <v>0</v>
      </c>
      <c r="H101" s="139" t="s">
        <v>128</v>
      </c>
      <c r="I101" s="140" t="s">
        <v>143</v>
      </c>
      <c r="J101" s="135"/>
    </row>
    <row r="102" spans="1:10" x14ac:dyDescent="0.2">
      <c r="A102" s="46"/>
      <c r="B102" s="107" t="s">
        <v>59</v>
      </c>
      <c r="C102" s="59">
        <v>2018</v>
      </c>
      <c r="D102" s="9" t="s">
        <v>125</v>
      </c>
      <c r="E102" s="21">
        <v>22</v>
      </c>
      <c r="F102" s="219" t="s">
        <v>193</v>
      </c>
      <c r="G102" s="11">
        <v>0</v>
      </c>
      <c r="H102" s="13" t="s">
        <v>128</v>
      </c>
      <c r="I102" s="12" t="s">
        <v>143</v>
      </c>
      <c r="J102" s="33"/>
    </row>
    <row r="103" spans="1:10" ht="17" thickBot="1" x14ac:dyDescent="0.25">
      <c r="A103" s="46"/>
      <c r="B103" s="114" t="s">
        <v>59</v>
      </c>
      <c r="C103" s="149">
        <v>2018</v>
      </c>
      <c r="D103" s="132" t="s">
        <v>126</v>
      </c>
      <c r="E103" s="37">
        <v>14</v>
      </c>
      <c r="F103" s="214" t="s">
        <v>197</v>
      </c>
      <c r="G103" s="133">
        <v>0</v>
      </c>
      <c r="H103" s="139" t="s">
        <v>128</v>
      </c>
      <c r="I103" s="140" t="s">
        <v>143</v>
      </c>
      <c r="J103" s="135"/>
    </row>
    <row r="104" spans="1:10" x14ac:dyDescent="0.2">
      <c r="A104" s="46"/>
      <c r="B104" s="70" t="s">
        <v>60</v>
      </c>
      <c r="C104" s="59">
        <v>2018</v>
      </c>
      <c r="D104" s="9" t="s">
        <v>125</v>
      </c>
      <c r="E104" s="21">
        <v>22</v>
      </c>
      <c r="F104" s="219" t="s">
        <v>193</v>
      </c>
      <c r="G104" s="11">
        <f>16.761+2.395+2.379+4.49+7.268</f>
        <v>33.292999999999999</v>
      </c>
      <c r="H104" s="13" t="s">
        <v>128</v>
      </c>
      <c r="I104" s="12" t="s">
        <v>143</v>
      </c>
      <c r="J104" s="33"/>
    </row>
    <row r="105" spans="1:10" ht="17" thickBot="1" x14ac:dyDescent="0.25">
      <c r="A105" s="46"/>
      <c r="B105" s="151" t="s">
        <v>60</v>
      </c>
      <c r="C105" s="149">
        <v>2018</v>
      </c>
      <c r="D105" s="132" t="s">
        <v>126</v>
      </c>
      <c r="E105" s="37">
        <v>14</v>
      </c>
      <c r="F105" s="214" t="s">
        <v>197</v>
      </c>
      <c r="G105" s="133">
        <f>11.233+2.031</f>
        <v>13.264000000000001</v>
      </c>
      <c r="H105" s="139" t="s">
        <v>128</v>
      </c>
      <c r="I105" s="140" t="s">
        <v>143</v>
      </c>
      <c r="J105" s="135"/>
    </row>
    <row r="106" spans="1:10" x14ac:dyDescent="0.2">
      <c r="A106" s="46"/>
      <c r="B106" s="107" t="s">
        <v>61</v>
      </c>
      <c r="C106" s="59">
        <v>2018</v>
      </c>
      <c r="D106" s="7" t="s">
        <v>125</v>
      </c>
      <c r="E106" s="21">
        <v>22</v>
      </c>
      <c r="F106" s="219" t="s">
        <v>193</v>
      </c>
      <c r="G106" s="11">
        <f>463.499+0.472+0.771+7.354+1.495+2.344</f>
        <v>475.935</v>
      </c>
      <c r="H106" s="13" t="s">
        <v>128</v>
      </c>
      <c r="I106" s="12" t="s">
        <v>143</v>
      </c>
      <c r="J106" s="33"/>
    </row>
    <row r="107" spans="1:10" x14ac:dyDescent="0.2">
      <c r="A107" s="46"/>
      <c r="B107" s="71" t="s">
        <v>61</v>
      </c>
      <c r="C107" s="59">
        <v>2018</v>
      </c>
      <c r="D107" s="7" t="s">
        <v>126</v>
      </c>
      <c r="E107" s="21">
        <v>14</v>
      </c>
      <c r="F107" s="214" t="s">
        <v>197</v>
      </c>
      <c r="G107" s="9">
        <f>375.5+1.562+1.898+5.17+3.504+3.18+2.165+3.388+4.116</f>
        <v>400.48300000000006</v>
      </c>
      <c r="H107" s="13" t="s">
        <v>128</v>
      </c>
      <c r="I107" s="12" t="s">
        <v>143</v>
      </c>
      <c r="J107" s="33"/>
    </row>
    <row r="108" spans="1:10" ht="17" thickBot="1" x14ac:dyDescent="0.25">
      <c r="A108" s="46"/>
      <c r="B108" s="114" t="s">
        <v>61</v>
      </c>
      <c r="C108" s="149">
        <v>2018</v>
      </c>
      <c r="D108" s="132" t="s">
        <v>130</v>
      </c>
      <c r="E108" s="37">
        <v>11</v>
      </c>
      <c r="F108" s="222" t="s">
        <v>195</v>
      </c>
      <c r="G108" s="148">
        <f>386.607+0.664+1.437+3.23+2.494+0.52+1.285+0.63+0.987+3.21+1.042+0.424+5.12</f>
        <v>407.65000000000003</v>
      </c>
      <c r="H108" s="139" t="s">
        <v>128</v>
      </c>
      <c r="I108" s="140" t="s">
        <v>143</v>
      </c>
      <c r="J108" s="135"/>
    </row>
    <row r="109" spans="1:10" x14ac:dyDescent="0.2">
      <c r="A109" s="46"/>
      <c r="B109" s="70" t="s">
        <v>62</v>
      </c>
      <c r="C109" s="59">
        <v>2018</v>
      </c>
      <c r="D109" s="7" t="s">
        <v>125</v>
      </c>
      <c r="E109" s="21">
        <v>22</v>
      </c>
      <c r="F109" s="219" t="s">
        <v>193</v>
      </c>
      <c r="G109" s="11">
        <f>7.599+7.135+6.294+488.133</f>
        <v>509.161</v>
      </c>
      <c r="H109" s="13" t="s">
        <v>128</v>
      </c>
      <c r="I109" s="12" t="s">
        <v>143</v>
      </c>
      <c r="J109" s="33"/>
    </row>
    <row r="110" spans="1:10" x14ac:dyDescent="0.2">
      <c r="A110" s="46"/>
      <c r="B110" s="71" t="s">
        <v>62</v>
      </c>
      <c r="C110" s="59">
        <v>2018</v>
      </c>
      <c r="D110" s="7" t="s">
        <v>126</v>
      </c>
      <c r="E110" s="21">
        <v>14</v>
      </c>
      <c r="F110" s="214" t="s">
        <v>197</v>
      </c>
      <c r="G110" s="9">
        <f>379.505+1.929+8.644+4.279+6.384</f>
        <v>400.74099999999999</v>
      </c>
      <c r="H110" s="13" t="s">
        <v>128</v>
      </c>
      <c r="I110" s="12" t="s">
        <v>143</v>
      </c>
      <c r="J110" s="33"/>
    </row>
    <row r="111" spans="1:10" ht="17" thickBot="1" x14ac:dyDescent="0.25">
      <c r="A111" s="46"/>
      <c r="B111" s="151" t="s">
        <v>62</v>
      </c>
      <c r="C111" s="149">
        <v>2018</v>
      </c>
      <c r="D111" s="132" t="s">
        <v>130</v>
      </c>
      <c r="E111" s="37">
        <v>11</v>
      </c>
      <c r="F111" s="222" t="s">
        <v>195</v>
      </c>
      <c r="G111" s="148">
        <f>3.568+3.966+1.628+0.928+0.481+4.399+386.374+2.548+0.374+3.517</f>
        <v>407.78300000000007</v>
      </c>
      <c r="H111" s="139" t="s">
        <v>128</v>
      </c>
      <c r="I111" s="140" t="s">
        <v>143</v>
      </c>
      <c r="J111" s="135"/>
    </row>
    <row r="112" spans="1:10" x14ac:dyDescent="0.2">
      <c r="A112" s="46"/>
      <c r="B112" s="107" t="s">
        <v>63</v>
      </c>
      <c r="C112" s="59">
        <v>2018</v>
      </c>
      <c r="D112" s="7" t="s">
        <v>125</v>
      </c>
      <c r="E112" s="21">
        <v>22</v>
      </c>
      <c r="F112" s="219" t="s">
        <v>193</v>
      </c>
      <c r="G112" s="11">
        <f>3.518+685.143+11.145+0.653</f>
        <v>700.45900000000006</v>
      </c>
      <c r="H112" s="13" t="s">
        <v>128</v>
      </c>
      <c r="I112" s="12" t="s">
        <v>143</v>
      </c>
      <c r="J112" s="33"/>
    </row>
    <row r="113" spans="1:10" ht="15" customHeight="1" x14ac:dyDescent="0.2">
      <c r="A113" s="46"/>
      <c r="B113" s="71" t="s">
        <v>63</v>
      </c>
      <c r="C113" s="59">
        <v>2018</v>
      </c>
      <c r="D113" s="7" t="s">
        <v>126</v>
      </c>
      <c r="E113" s="21">
        <v>14</v>
      </c>
      <c r="F113" s="215" t="s">
        <v>197</v>
      </c>
      <c r="G113" s="9" t="s">
        <v>115</v>
      </c>
      <c r="H113" s="13" t="s">
        <v>128</v>
      </c>
      <c r="I113" s="12" t="s">
        <v>143</v>
      </c>
      <c r="J113" s="33"/>
    </row>
    <row r="114" spans="1:10" ht="17" thickBot="1" x14ac:dyDescent="0.25">
      <c r="A114" s="46"/>
      <c r="B114" s="114" t="s">
        <v>63</v>
      </c>
      <c r="C114" s="149">
        <v>2018</v>
      </c>
      <c r="D114" s="132" t="s">
        <v>130</v>
      </c>
      <c r="E114" s="37">
        <v>11</v>
      </c>
      <c r="F114" s="222" t="s">
        <v>195</v>
      </c>
      <c r="G114" s="148">
        <f>568.559+3.085+0.286</f>
        <v>571.92999999999995</v>
      </c>
      <c r="H114" s="139" t="s">
        <v>131</v>
      </c>
      <c r="I114" s="140" t="s">
        <v>143</v>
      </c>
      <c r="J114" s="135" t="s">
        <v>136</v>
      </c>
    </row>
    <row r="115" spans="1:10" x14ac:dyDescent="0.2">
      <c r="A115" s="46"/>
      <c r="B115" s="70" t="s">
        <v>64</v>
      </c>
      <c r="C115" s="59">
        <v>2018</v>
      </c>
      <c r="D115" s="7" t="s">
        <v>125</v>
      </c>
      <c r="E115" s="21">
        <v>22</v>
      </c>
      <c r="F115" s="219" t="s">
        <v>193</v>
      </c>
      <c r="G115" s="11">
        <f>252.615+0.703+1.74+1.391</f>
        <v>256.44900000000001</v>
      </c>
      <c r="H115" s="13" t="s">
        <v>128</v>
      </c>
      <c r="I115" s="12" t="s">
        <v>143</v>
      </c>
      <c r="J115" s="33"/>
    </row>
    <row r="116" spans="1:10" x14ac:dyDescent="0.2">
      <c r="A116" s="46"/>
      <c r="B116" s="71" t="s">
        <v>64</v>
      </c>
      <c r="C116" s="59">
        <v>2018</v>
      </c>
      <c r="D116" s="7" t="s">
        <v>126</v>
      </c>
      <c r="E116" s="21">
        <v>14</v>
      </c>
      <c r="F116" s="215" t="s">
        <v>197</v>
      </c>
      <c r="G116" s="9" t="s">
        <v>116</v>
      </c>
      <c r="H116" s="13" t="s">
        <v>128</v>
      </c>
      <c r="I116" s="12" t="s">
        <v>143</v>
      </c>
      <c r="J116" s="33"/>
    </row>
    <row r="117" spans="1:10" ht="17" thickBot="1" x14ac:dyDescent="0.25">
      <c r="A117" s="46"/>
      <c r="B117" s="151" t="s">
        <v>64</v>
      </c>
      <c r="C117" s="149">
        <v>2018</v>
      </c>
      <c r="D117" s="132" t="s">
        <v>130</v>
      </c>
      <c r="E117" s="37">
        <v>11</v>
      </c>
      <c r="F117" s="222" t="s">
        <v>195</v>
      </c>
      <c r="G117" s="148" t="s">
        <v>153</v>
      </c>
      <c r="H117" s="139" t="s">
        <v>128</v>
      </c>
      <c r="I117" s="140" t="s">
        <v>143</v>
      </c>
      <c r="J117" s="135"/>
    </row>
    <row r="118" spans="1:10" x14ac:dyDescent="0.2">
      <c r="A118" s="46"/>
      <c r="B118" s="152" t="s">
        <v>65</v>
      </c>
      <c r="C118" s="59">
        <v>2018</v>
      </c>
      <c r="D118" s="7" t="s">
        <v>125</v>
      </c>
      <c r="E118" s="21">
        <v>22</v>
      </c>
      <c r="F118" s="219" t="s">
        <v>193</v>
      </c>
      <c r="G118" s="11">
        <f>10.417+22.586+27.688</f>
        <v>60.691000000000003</v>
      </c>
      <c r="H118" s="13" t="s">
        <v>128</v>
      </c>
      <c r="I118" s="12" t="s">
        <v>143</v>
      </c>
      <c r="J118" s="33"/>
    </row>
    <row r="119" spans="1:10" x14ac:dyDescent="0.2">
      <c r="A119" s="46"/>
      <c r="B119" s="71" t="s">
        <v>65</v>
      </c>
      <c r="C119" s="59">
        <v>2018</v>
      </c>
      <c r="D119" s="7" t="s">
        <v>126</v>
      </c>
      <c r="E119" s="21">
        <v>14</v>
      </c>
      <c r="F119" s="227" t="s">
        <v>197</v>
      </c>
      <c r="G119" s="9">
        <f>7.584+12.244+3.574+22.554</f>
        <v>45.956000000000003</v>
      </c>
      <c r="H119" s="13" t="s">
        <v>128</v>
      </c>
      <c r="I119" s="12" t="s">
        <v>143</v>
      </c>
      <c r="J119" s="33"/>
    </row>
    <row r="120" spans="1:10" ht="17" thickBot="1" x14ac:dyDescent="0.25">
      <c r="A120" s="46"/>
      <c r="B120" s="114" t="s">
        <v>65</v>
      </c>
      <c r="C120" s="25">
        <v>2018</v>
      </c>
      <c r="D120" s="29" t="s">
        <v>130</v>
      </c>
      <c r="E120" s="27">
        <v>11</v>
      </c>
      <c r="F120" s="236" t="s">
        <v>195</v>
      </c>
      <c r="G120" s="105">
        <f>5.743+20.938+24.269</f>
        <v>50.949999999999996</v>
      </c>
      <c r="H120" s="64" t="s">
        <v>128</v>
      </c>
      <c r="I120" s="105" t="s">
        <v>144</v>
      </c>
      <c r="J120" s="31" t="s">
        <v>154</v>
      </c>
    </row>
    <row r="121" spans="1:10" x14ac:dyDescent="0.2">
      <c r="A121" s="46"/>
      <c r="B121" s="73" t="s">
        <v>35</v>
      </c>
      <c r="C121" s="23">
        <v>2018</v>
      </c>
      <c r="D121" s="3" t="s">
        <v>125</v>
      </c>
      <c r="E121" s="21">
        <v>22</v>
      </c>
      <c r="F121" s="227" t="s">
        <v>193</v>
      </c>
      <c r="G121" s="12">
        <f>5.671+0.36+2.261+1.263+1.865+1.64+9.48+0.629</f>
        <v>23.169000000000004</v>
      </c>
      <c r="H121" s="13" t="s">
        <v>128</v>
      </c>
      <c r="I121" s="12" t="s">
        <v>143</v>
      </c>
      <c r="J121" s="42"/>
    </row>
    <row r="122" spans="1:10" x14ac:dyDescent="0.2">
      <c r="A122" s="46"/>
      <c r="B122" s="73" t="s">
        <v>35</v>
      </c>
      <c r="C122" s="23">
        <v>2018</v>
      </c>
      <c r="D122" s="3" t="s">
        <v>126</v>
      </c>
      <c r="E122" s="21">
        <v>14</v>
      </c>
      <c r="F122" s="227" t="s">
        <v>197</v>
      </c>
      <c r="G122" s="12">
        <f>15.021+12.569+5.04</f>
        <v>32.630000000000003</v>
      </c>
      <c r="H122" s="13" t="s">
        <v>128</v>
      </c>
      <c r="I122" s="12" t="s">
        <v>143</v>
      </c>
      <c r="J122" s="33"/>
    </row>
    <row r="123" spans="1:10" ht="17" thickBot="1" x14ac:dyDescent="0.25">
      <c r="A123" s="46"/>
      <c r="B123" s="154" t="s">
        <v>35</v>
      </c>
      <c r="C123" s="157">
        <v>2018</v>
      </c>
      <c r="D123" s="14" t="s">
        <v>130</v>
      </c>
      <c r="E123" s="37">
        <v>11</v>
      </c>
      <c r="F123" s="222" t="s">
        <v>195</v>
      </c>
      <c r="G123" s="134">
        <f>3.517+1.04+1.349+7.229+2.88+0.387+0.766+0.573+0.417</f>
        <v>18.158000000000001</v>
      </c>
      <c r="H123" s="139" t="s">
        <v>128</v>
      </c>
      <c r="I123" s="134" t="s">
        <v>143</v>
      </c>
      <c r="J123" s="135"/>
    </row>
    <row r="124" spans="1:10" x14ac:dyDescent="0.2">
      <c r="A124" s="46"/>
      <c r="B124" s="155" t="s">
        <v>36</v>
      </c>
      <c r="C124" s="23">
        <v>2018</v>
      </c>
      <c r="D124" s="3" t="s">
        <v>125</v>
      </c>
      <c r="E124" s="21">
        <v>22</v>
      </c>
      <c r="F124" s="227" t="s">
        <v>193</v>
      </c>
      <c r="G124" s="9">
        <f>6.432+0.951</f>
        <v>7.383</v>
      </c>
      <c r="H124" s="13" t="s">
        <v>128</v>
      </c>
      <c r="I124" s="12" t="s">
        <v>143</v>
      </c>
      <c r="J124" s="42" t="s">
        <v>200</v>
      </c>
    </row>
    <row r="125" spans="1:10" x14ac:dyDescent="0.2">
      <c r="A125" s="46"/>
      <c r="B125" s="72" t="s">
        <v>36</v>
      </c>
      <c r="C125" s="23">
        <v>2018</v>
      </c>
      <c r="D125" s="3" t="s">
        <v>126</v>
      </c>
      <c r="E125" s="21">
        <v>14</v>
      </c>
      <c r="F125" s="227" t="s">
        <v>197</v>
      </c>
      <c r="G125" s="9">
        <v>9.4090000000000007</v>
      </c>
      <c r="H125" s="13" t="s">
        <v>128</v>
      </c>
      <c r="I125" s="6" t="s">
        <v>143</v>
      </c>
      <c r="J125" s="33"/>
    </row>
    <row r="126" spans="1:10" ht="17" thickBot="1" x14ac:dyDescent="0.25">
      <c r="A126" s="46"/>
      <c r="B126" s="156" t="s">
        <v>36</v>
      </c>
      <c r="C126" s="157">
        <v>2018</v>
      </c>
      <c r="D126" s="14" t="s">
        <v>130</v>
      </c>
      <c r="E126" s="131">
        <v>11</v>
      </c>
      <c r="F126" s="222" t="s">
        <v>195</v>
      </c>
      <c r="G126" s="133">
        <f>3.44+0.345</f>
        <v>3.7850000000000001</v>
      </c>
      <c r="H126" s="139" t="s">
        <v>128</v>
      </c>
      <c r="I126" s="134" t="s">
        <v>143</v>
      </c>
      <c r="J126" s="135"/>
    </row>
    <row r="127" spans="1:10" x14ac:dyDescent="0.2">
      <c r="A127" s="46"/>
      <c r="B127" s="73" t="s">
        <v>37</v>
      </c>
      <c r="C127" s="23">
        <v>2018</v>
      </c>
      <c r="D127" s="3" t="s">
        <v>125</v>
      </c>
      <c r="E127" s="59">
        <v>22</v>
      </c>
      <c r="F127" s="235" t="s">
        <v>193</v>
      </c>
      <c r="G127" s="9">
        <f>198.348+0.172+0.839+19.837</f>
        <v>219.196</v>
      </c>
      <c r="H127" s="13" t="s">
        <v>128</v>
      </c>
      <c r="I127" s="12" t="s">
        <v>143</v>
      </c>
      <c r="J127" s="42"/>
    </row>
    <row r="128" spans="1:10" x14ac:dyDescent="0.2">
      <c r="A128" s="46"/>
      <c r="B128" s="72" t="s">
        <v>37</v>
      </c>
      <c r="C128" s="23">
        <v>2018</v>
      </c>
      <c r="D128" s="3" t="s">
        <v>126</v>
      </c>
      <c r="E128" s="59">
        <v>14</v>
      </c>
      <c r="F128" s="235" t="s">
        <v>197</v>
      </c>
      <c r="G128" s="9">
        <f>185.328</f>
        <v>185.328</v>
      </c>
      <c r="H128" s="13" t="s">
        <v>128</v>
      </c>
      <c r="I128" s="6" t="s">
        <v>143</v>
      </c>
      <c r="J128" s="33"/>
    </row>
    <row r="129" spans="1:10" ht="17" thickBot="1" x14ac:dyDescent="0.25">
      <c r="A129" s="46"/>
      <c r="B129" s="115" t="s">
        <v>37</v>
      </c>
      <c r="C129" s="157">
        <v>2018</v>
      </c>
      <c r="D129" s="14" t="s">
        <v>130</v>
      </c>
      <c r="E129" s="131">
        <v>11</v>
      </c>
      <c r="F129" s="238" t="s">
        <v>195</v>
      </c>
      <c r="G129" s="133">
        <f>102.849+1.148+0.578+0.355+11.732+7.024+2.801</f>
        <v>126.48700000000001</v>
      </c>
      <c r="H129" s="139" t="s">
        <v>128</v>
      </c>
      <c r="I129" s="134" t="s">
        <v>143</v>
      </c>
      <c r="J129" s="135"/>
    </row>
    <row r="130" spans="1:10" x14ac:dyDescent="0.2">
      <c r="A130" s="46"/>
      <c r="B130" s="155" t="s">
        <v>38</v>
      </c>
      <c r="C130" s="23">
        <v>2018</v>
      </c>
      <c r="D130" s="3" t="s">
        <v>125</v>
      </c>
      <c r="E130" s="59">
        <v>22</v>
      </c>
      <c r="F130" s="235" t="s">
        <v>193</v>
      </c>
      <c r="G130" s="9" t="s">
        <v>159</v>
      </c>
      <c r="H130" s="13" t="s">
        <v>128</v>
      </c>
      <c r="I130" s="12" t="s">
        <v>143</v>
      </c>
      <c r="J130" s="42"/>
    </row>
    <row r="131" spans="1:10" x14ac:dyDescent="0.2">
      <c r="A131" s="46"/>
      <c r="B131" s="72" t="s">
        <v>38</v>
      </c>
      <c r="C131" s="23">
        <v>2018</v>
      </c>
      <c r="D131" s="3" t="s">
        <v>126</v>
      </c>
      <c r="E131" s="59">
        <v>14</v>
      </c>
      <c r="F131" s="235" t="s">
        <v>197</v>
      </c>
      <c r="G131" s="9">
        <f>50.142+0.786+7.539+0.722+0.395+18.851+0.764+70.729+3.886</f>
        <v>153.81399999999999</v>
      </c>
      <c r="H131" s="13" t="s">
        <v>128</v>
      </c>
      <c r="I131" s="6" t="s">
        <v>143</v>
      </c>
      <c r="J131" s="33"/>
    </row>
    <row r="132" spans="1:10" ht="17" thickBot="1" x14ac:dyDescent="0.25">
      <c r="A132" s="46"/>
      <c r="B132" s="156" t="s">
        <v>38</v>
      </c>
      <c r="C132" s="157">
        <v>2018</v>
      </c>
      <c r="D132" s="14" t="s">
        <v>130</v>
      </c>
      <c r="E132" s="131">
        <v>11</v>
      </c>
      <c r="F132" s="238" t="s">
        <v>195</v>
      </c>
      <c r="G132" s="133">
        <f>29.501+0.698+1.955+0.85+40.624+1.038+2.74+4.428+4.248+1.311+17.319+5.136+6.141+0.319+0.185+3.691+3.877+1.095</f>
        <v>125.15600000000001</v>
      </c>
      <c r="H132" s="139" t="s">
        <v>128</v>
      </c>
      <c r="I132" s="134" t="s">
        <v>143</v>
      </c>
      <c r="J132" s="135"/>
    </row>
    <row r="133" spans="1:10" x14ac:dyDescent="0.2">
      <c r="A133" s="46"/>
      <c r="B133" s="73" t="s">
        <v>39</v>
      </c>
      <c r="C133" s="23">
        <v>2018</v>
      </c>
      <c r="D133" s="3" t="s">
        <v>125</v>
      </c>
      <c r="E133" s="59">
        <v>22</v>
      </c>
      <c r="F133" s="235" t="s">
        <v>193</v>
      </c>
      <c r="G133" s="9">
        <f>26.352+135.582+10.253</f>
        <v>172.18700000000001</v>
      </c>
      <c r="H133" s="13" t="s">
        <v>128</v>
      </c>
      <c r="I133" s="12" t="s">
        <v>143</v>
      </c>
      <c r="J133" s="42"/>
    </row>
    <row r="134" spans="1:10" x14ac:dyDescent="0.2">
      <c r="A134" s="46"/>
      <c r="B134" s="72" t="s">
        <v>39</v>
      </c>
      <c r="C134" s="23">
        <v>2018</v>
      </c>
      <c r="D134" s="3" t="s">
        <v>126</v>
      </c>
      <c r="E134" s="59">
        <v>14</v>
      </c>
      <c r="F134" s="235" t="s">
        <v>197</v>
      </c>
      <c r="G134" s="9">
        <f>144.273</f>
        <v>144.273</v>
      </c>
      <c r="H134" s="13" t="s">
        <v>128</v>
      </c>
      <c r="I134" s="6" t="s">
        <v>143</v>
      </c>
      <c r="J134" s="33"/>
    </row>
    <row r="135" spans="1:10" ht="17" thickBot="1" x14ac:dyDescent="0.25">
      <c r="A135" s="46"/>
      <c r="B135" s="115" t="s">
        <v>39</v>
      </c>
      <c r="C135" s="157">
        <v>2018</v>
      </c>
      <c r="D135" s="14" t="s">
        <v>130</v>
      </c>
      <c r="E135" s="131">
        <v>11</v>
      </c>
      <c r="F135" s="238" t="s">
        <v>195</v>
      </c>
      <c r="G135" s="133">
        <f>1.132+0.687+128.565</f>
        <v>130.38399999999999</v>
      </c>
      <c r="H135" s="139" t="s">
        <v>128</v>
      </c>
      <c r="I135" s="134" t="s">
        <v>143</v>
      </c>
      <c r="J135" s="135"/>
    </row>
    <row r="136" spans="1:10" x14ac:dyDescent="0.2">
      <c r="A136" s="46"/>
      <c r="B136" s="155" t="s">
        <v>40</v>
      </c>
      <c r="C136" s="23">
        <v>2018</v>
      </c>
      <c r="D136" s="3" t="s">
        <v>125</v>
      </c>
      <c r="E136" s="59">
        <v>22</v>
      </c>
      <c r="F136" s="235" t="s">
        <v>193</v>
      </c>
      <c r="G136" s="9" t="s">
        <v>158</v>
      </c>
      <c r="H136" s="13" t="s">
        <v>128</v>
      </c>
      <c r="I136" s="12" t="s">
        <v>143</v>
      </c>
      <c r="J136" s="42"/>
    </row>
    <row r="137" spans="1:10" x14ac:dyDescent="0.2">
      <c r="A137" s="46"/>
      <c r="B137" s="72" t="s">
        <v>40</v>
      </c>
      <c r="C137" s="23">
        <v>2018</v>
      </c>
      <c r="D137" s="3" t="s">
        <v>126</v>
      </c>
      <c r="E137" s="59">
        <v>14</v>
      </c>
      <c r="F137" s="235" t="s">
        <v>197</v>
      </c>
      <c r="G137" s="9">
        <f>4.69+1.549+0.321+0.413+0.098</f>
        <v>7.0710000000000006</v>
      </c>
      <c r="H137" s="13" t="s">
        <v>128</v>
      </c>
      <c r="I137" s="6" t="s">
        <v>143</v>
      </c>
      <c r="J137" s="33"/>
    </row>
    <row r="138" spans="1:10" ht="17" thickBot="1" x14ac:dyDescent="0.25">
      <c r="A138" s="46"/>
      <c r="B138" s="156" t="s">
        <v>40</v>
      </c>
      <c r="C138" s="157">
        <v>2018</v>
      </c>
      <c r="D138" s="14" t="s">
        <v>130</v>
      </c>
      <c r="E138" s="131">
        <v>11</v>
      </c>
      <c r="F138" s="238" t="s">
        <v>195</v>
      </c>
      <c r="G138" s="133">
        <f>2.958+1.923+0.166</f>
        <v>5.0470000000000006</v>
      </c>
      <c r="H138" s="139" t="s">
        <v>128</v>
      </c>
      <c r="I138" s="134" t="s">
        <v>143</v>
      </c>
      <c r="J138" s="135"/>
    </row>
    <row r="139" spans="1:10" x14ac:dyDescent="0.2">
      <c r="A139" s="46"/>
      <c r="B139" s="73" t="s">
        <v>41</v>
      </c>
      <c r="C139" s="23">
        <v>2018</v>
      </c>
      <c r="D139" s="3" t="s">
        <v>125</v>
      </c>
      <c r="E139" s="59">
        <v>22</v>
      </c>
      <c r="F139" s="235" t="s">
        <v>193</v>
      </c>
      <c r="G139" s="9">
        <v>0</v>
      </c>
      <c r="H139" s="13" t="s">
        <v>128</v>
      </c>
      <c r="I139" s="12" t="s">
        <v>143</v>
      </c>
      <c r="J139" s="42"/>
    </row>
    <row r="140" spans="1:10" x14ac:dyDescent="0.2">
      <c r="A140" s="46"/>
      <c r="B140" s="72" t="s">
        <v>41</v>
      </c>
      <c r="C140" s="23">
        <v>2018</v>
      </c>
      <c r="D140" s="3" t="s">
        <v>126</v>
      </c>
      <c r="E140" s="59">
        <v>14</v>
      </c>
      <c r="F140" s="235" t="s">
        <v>197</v>
      </c>
      <c r="G140" s="195">
        <v>0</v>
      </c>
      <c r="H140" s="13" t="s">
        <v>128</v>
      </c>
      <c r="I140" s="6" t="s">
        <v>143</v>
      </c>
      <c r="J140" s="33"/>
    </row>
    <row r="141" spans="1:10" ht="17" thickBot="1" x14ac:dyDescent="0.25">
      <c r="A141" s="46"/>
      <c r="B141" s="115" t="s">
        <v>41</v>
      </c>
      <c r="C141" s="157">
        <v>2018</v>
      </c>
      <c r="D141" s="14" t="s">
        <v>130</v>
      </c>
      <c r="E141" s="131">
        <v>11</v>
      </c>
      <c r="F141" s="238" t="s">
        <v>195</v>
      </c>
      <c r="G141" s="133">
        <v>0</v>
      </c>
      <c r="H141" s="14" t="s">
        <v>128</v>
      </c>
      <c r="I141" s="134" t="s">
        <v>143</v>
      </c>
      <c r="J141" s="135"/>
    </row>
    <row r="142" spans="1:10" x14ac:dyDescent="0.2">
      <c r="A142" s="46"/>
      <c r="B142" s="155" t="s">
        <v>42</v>
      </c>
      <c r="C142" s="23">
        <v>2018</v>
      </c>
      <c r="D142" s="3" t="s">
        <v>125</v>
      </c>
      <c r="E142" s="59" t="s">
        <v>177</v>
      </c>
      <c r="F142" s="227" t="s">
        <v>201</v>
      </c>
      <c r="G142" s="9" t="s">
        <v>112</v>
      </c>
      <c r="H142" s="13" t="s">
        <v>128</v>
      </c>
      <c r="I142" s="6" t="s">
        <v>146</v>
      </c>
      <c r="J142" s="33" t="s">
        <v>175</v>
      </c>
    </row>
    <row r="143" spans="1:10" x14ac:dyDescent="0.2">
      <c r="A143" s="46"/>
      <c r="B143" s="72" t="s">
        <v>42</v>
      </c>
      <c r="C143" s="23">
        <v>2018</v>
      </c>
      <c r="D143" s="3" t="s">
        <v>126</v>
      </c>
      <c r="E143" s="59">
        <v>14</v>
      </c>
      <c r="F143" s="235" t="s">
        <v>197</v>
      </c>
      <c r="G143" s="9">
        <f>0.862+315.257</f>
        <v>316.11900000000003</v>
      </c>
      <c r="H143" s="5" t="s">
        <v>128</v>
      </c>
      <c r="I143" s="6" t="s">
        <v>155</v>
      </c>
      <c r="J143" s="33" t="s">
        <v>156</v>
      </c>
    </row>
    <row r="144" spans="1:10" ht="17" thickBot="1" x14ac:dyDescent="0.25">
      <c r="A144" s="46"/>
      <c r="B144" s="156" t="s">
        <v>42</v>
      </c>
      <c r="C144" s="157">
        <v>2018</v>
      </c>
      <c r="D144" s="14" t="s">
        <v>130</v>
      </c>
      <c r="E144" s="131">
        <v>11</v>
      </c>
      <c r="F144" s="238" t="s">
        <v>195</v>
      </c>
      <c r="G144" s="133">
        <f>0.501+36.175+0.831+0.404+0.611+3.205+3.869+0.172+0.481+149.589+0.178+0.144+0.217</f>
        <v>196.37700000000001</v>
      </c>
      <c r="H144" s="14" t="s">
        <v>128</v>
      </c>
      <c r="I144" s="134" t="s">
        <v>143</v>
      </c>
      <c r="J144" s="135"/>
    </row>
    <row r="145" spans="1:10" x14ac:dyDescent="0.2">
      <c r="A145" s="46"/>
      <c r="B145" s="73" t="s">
        <v>43</v>
      </c>
      <c r="C145" s="23">
        <v>2018</v>
      </c>
      <c r="D145" s="3" t="s">
        <v>125</v>
      </c>
      <c r="E145" s="59" t="s">
        <v>177</v>
      </c>
      <c r="F145" s="227" t="s">
        <v>201</v>
      </c>
      <c r="G145" s="9" t="s">
        <v>112</v>
      </c>
      <c r="H145" s="13" t="s">
        <v>128</v>
      </c>
      <c r="I145" s="6" t="s">
        <v>146</v>
      </c>
      <c r="J145" s="33" t="s">
        <v>175</v>
      </c>
    </row>
    <row r="146" spans="1:10" x14ac:dyDescent="0.2">
      <c r="A146" s="46"/>
      <c r="B146" s="72" t="s">
        <v>43</v>
      </c>
      <c r="C146" s="23">
        <v>2018</v>
      </c>
      <c r="D146" s="3" t="s">
        <v>126</v>
      </c>
      <c r="E146" s="59">
        <v>14</v>
      </c>
      <c r="F146" s="235" t="s">
        <v>197</v>
      </c>
      <c r="G146" s="9" t="s">
        <v>157</v>
      </c>
      <c r="H146" s="5" t="s">
        <v>128</v>
      </c>
      <c r="I146" s="6" t="s">
        <v>155</v>
      </c>
      <c r="J146" s="33" t="s">
        <v>156</v>
      </c>
    </row>
    <row r="147" spans="1:10" ht="17" thickBot="1" x14ac:dyDescent="0.25">
      <c r="A147" s="46"/>
      <c r="B147" s="115" t="s">
        <v>43</v>
      </c>
      <c r="C147" s="23">
        <v>2018</v>
      </c>
      <c r="D147" s="5" t="s">
        <v>130</v>
      </c>
      <c r="E147" s="59">
        <v>11</v>
      </c>
      <c r="F147" s="238" t="s">
        <v>195</v>
      </c>
      <c r="G147" s="9">
        <f>7.736+6.461+76.424+0.527+0.612+0.159+13.32+1.228+0.073+0.49+102.071+2.257+0.189+15.141</f>
        <v>226.68799999999999</v>
      </c>
      <c r="H147" s="13" t="s">
        <v>128</v>
      </c>
      <c r="I147" s="12" t="s">
        <v>143</v>
      </c>
      <c r="J147" s="33"/>
    </row>
    <row r="148" spans="1:10" x14ac:dyDescent="0.2">
      <c r="A148" s="46"/>
      <c r="B148" s="116" t="s">
        <v>17</v>
      </c>
      <c r="C148" s="108">
        <v>2018</v>
      </c>
      <c r="D148" s="117" t="s">
        <v>125</v>
      </c>
      <c r="E148" s="108">
        <v>21</v>
      </c>
      <c r="F148" s="234" t="s">
        <v>202</v>
      </c>
      <c r="G148" s="111" t="s">
        <v>112</v>
      </c>
      <c r="H148" s="112" t="s">
        <v>131</v>
      </c>
      <c r="I148" s="99" t="s">
        <v>146</v>
      </c>
      <c r="J148" s="118" t="s">
        <v>165</v>
      </c>
    </row>
    <row r="149" spans="1:10" x14ac:dyDescent="0.2">
      <c r="A149" s="46"/>
      <c r="B149" s="74" t="s">
        <v>17</v>
      </c>
      <c r="C149" s="23">
        <v>2018</v>
      </c>
      <c r="D149" s="5" t="s">
        <v>126</v>
      </c>
      <c r="E149" s="59">
        <v>16</v>
      </c>
      <c r="F149" s="227" t="s">
        <v>203</v>
      </c>
      <c r="G149" s="9" t="s">
        <v>112</v>
      </c>
      <c r="H149" s="13" t="s">
        <v>128</v>
      </c>
      <c r="I149" s="6" t="s">
        <v>146</v>
      </c>
      <c r="J149" s="33" t="s">
        <v>162</v>
      </c>
    </row>
    <row r="150" spans="1:10" ht="17" thickBot="1" x14ac:dyDescent="0.25">
      <c r="A150" s="46"/>
      <c r="B150" s="158" t="s">
        <v>17</v>
      </c>
      <c r="C150" s="157">
        <v>2018</v>
      </c>
      <c r="D150" s="14" t="s">
        <v>130</v>
      </c>
      <c r="E150" s="131">
        <v>12</v>
      </c>
      <c r="F150" s="227" t="s">
        <v>204</v>
      </c>
      <c r="G150" s="133" t="s">
        <v>112</v>
      </c>
      <c r="H150" s="14" t="s">
        <v>131</v>
      </c>
      <c r="I150" s="134" t="s">
        <v>146</v>
      </c>
      <c r="J150" s="135" t="s">
        <v>165</v>
      </c>
    </row>
    <row r="151" spans="1:10" x14ac:dyDescent="0.2">
      <c r="A151" s="46"/>
      <c r="B151" s="116" t="s">
        <v>18</v>
      </c>
      <c r="C151" s="23">
        <v>2018</v>
      </c>
      <c r="D151" s="5" t="s">
        <v>125</v>
      </c>
      <c r="E151" s="23">
        <v>21</v>
      </c>
      <c r="F151" s="219" t="s">
        <v>202</v>
      </c>
      <c r="G151" s="9" t="s">
        <v>112</v>
      </c>
      <c r="H151" s="13" t="s">
        <v>131</v>
      </c>
      <c r="I151" s="6" t="s">
        <v>146</v>
      </c>
      <c r="J151" s="33" t="s">
        <v>165</v>
      </c>
    </row>
    <row r="152" spans="1:10" x14ac:dyDescent="0.2">
      <c r="A152" s="46" t="s">
        <v>200</v>
      </c>
      <c r="B152" s="75" t="s">
        <v>18</v>
      </c>
      <c r="C152" s="23">
        <v>2018</v>
      </c>
      <c r="D152" s="5" t="s">
        <v>126</v>
      </c>
      <c r="E152" s="59">
        <v>16</v>
      </c>
      <c r="F152" s="227" t="s">
        <v>203</v>
      </c>
      <c r="G152" s="9" t="s">
        <v>112</v>
      </c>
      <c r="H152" s="13" t="s">
        <v>128</v>
      </c>
      <c r="I152" s="6" t="s">
        <v>146</v>
      </c>
      <c r="J152" s="33" t="s">
        <v>162</v>
      </c>
    </row>
    <row r="153" spans="1:10" ht="17" thickBot="1" x14ac:dyDescent="0.25">
      <c r="A153" s="46"/>
      <c r="B153" s="119" t="s">
        <v>18</v>
      </c>
      <c r="C153" s="157">
        <v>2018</v>
      </c>
      <c r="D153" s="14" t="s">
        <v>130</v>
      </c>
      <c r="E153" s="131">
        <v>12</v>
      </c>
      <c r="F153" s="222" t="s">
        <v>204</v>
      </c>
      <c r="G153" s="133" t="s">
        <v>112</v>
      </c>
      <c r="H153" s="14" t="s">
        <v>131</v>
      </c>
      <c r="I153" s="134" t="s">
        <v>146</v>
      </c>
      <c r="J153" s="135" t="s">
        <v>165</v>
      </c>
    </row>
    <row r="154" spans="1:10" x14ac:dyDescent="0.2">
      <c r="A154" s="46"/>
      <c r="B154" s="74" t="s">
        <v>19</v>
      </c>
      <c r="C154" s="23">
        <v>2018</v>
      </c>
      <c r="D154" s="5" t="s">
        <v>125</v>
      </c>
      <c r="E154" s="59">
        <v>21</v>
      </c>
      <c r="F154" s="219" t="s">
        <v>202</v>
      </c>
      <c r="G154" s="9" t="s">
        <v>112</v>
      </c>
      <c r="H154" s="5" t="s">
        <v>131</v>
      </c>
      <c r="I154" s="6" t="s">
        <v>146</v>
      </c>
      <c r="J154" s="33" t="s">
        <v>163</v>
      </c>
    </row>
    <row r="155" spans="1:10" x14ac:dyDescent="0.2">
      <c r="A155" s="46"/>
      <c r="B155" s="75" t="s">
        <v>19</v>
      </c>
      <c r="C155" s="23">
        <v>2018</v>
      </c>
      <c r="D155" s="5" t="s">
        <v>126</v>
      </c>
      <c r="E155" s="59">
        <v>16</v>
      </c>
      <c r="F155" s="227" t="s">
        <v>203</v>
      </c>
      <c r="G155" s="9" t="s">
        <v>112</v>
      </c>
      <c r="H155" s="13" t="s">
        <v>128</v>
      </c>
      <c r="I155" s="6" t="s">
        <v>146</v>
      </c>
      <c r="J155" s="33" t="s">
        <v>162</v>
      </c>
    </row>
    <row r="156" spans="1:10" ht="17" thickBot="1" x14ac:dyDescent="0.25">
      <c r="B156" s="159" t="s">
        <v>19</v>
      </c>
      <c r="C156" s="157">
        <v>2018</v>
      </c>
      <c r="D156" s="14" t="s">
        <v>130</v>
      </c>
      <c r="E156" s="131">
        <v>12</v>
      </c>
      <c r="F156" s="222" t="s">
        <v>204</v>
      </c>
      <c r="G156" s="133" t="s">
        <v>112</v>
      </c>
      <c r="H156" s="14" t="s">
        <v>131</v>
      </c>
      <c r="I156" s="134" t="s">
        <v>146</v>
      </c>
      <c r="J156" s="135" t="s">
        <v>163</v>
      </c>
    </row>
    <row r="157" spans="1:10" x14ac:dyDescent="0.2">
      <c r="B157" s="116" t="s">
        <v>20</v>
      </c>
      <c r="C157" s="23">
        <v>2018</v>
      </c>
      <c r="D157" s="5" t="s">
        <v>125</v>
      </c>
      <c r="E157" s="59">
        <v>21</v>
      </c>
      <c r="F157" s="219" t="s">
        <v>202</v>
      </c>
      <c r="G157" s="9" t="s">
        <v>112</v>
      </c>
      <c r="H157" s="5" t="s">
        <v>131</v>
      </c>
      <c r="I157" s="6" t="s">
        <v>146</v>
      </c>
      <c r="J157" s="33" t="s">
        <v>163</v>
      </c>
    </row>
    <row r="158" spans="1:10" x14ac:dyDescent="0.2">
      <c r="B158" s="75" t="s">
        <v>20</v>
      </c>
      <c r="C158" s="23">
        <v>2018</v>
      </c>
      <c r="D158" s="5" t="s">
        <v>126</v>
      </c>
      <c r="E158" s="59">
        <v>16</v>
      </c>
      <c r="F158" s="227" t="s">
        <v>203</v>
      </c>
      <c r="G158" s="9" t="s">
        <v>112</v>
      </c>
      <c r="H158" s="13" t="s">
        <v>128</v>
      </c>
      <c r="I158" s="6" t="s">
        <v>146</v>
      </c>
      <c r="J158" s="33" t="s">
        <v>162</v>
      </c>
    </row>
    <row r="159" spans="1:10" ht="17" thickBot="1" x14ac:dyDescent="0.25">
      <c r="B159" s="119" t="s">
        <v>20</v>
      </c>
      <c r="C159" s="157">
        <v>2018</v>
      </c>
      <c r="D159" s="14" t="s">
        <v>130</v>
      </c>
      <c r="E159" s="131">
        <v>12</v>
      </c>
      <c r="F159" s="222" t="s">
        <v>204</v>
      </c>
      <c r="G159" s="133" t="s">
        <v>112</v>
      </c>
      <c r="H159" s="14" t="s">
        <v>131</v>
      </c>
      <c r="I159" s="134" t="s">
        <v>146</v>
      </c>
      <c r="J159" s="135" t="s">
        <v>163</v>
      </c>
    </row>
    <row r="160" spans="1:10" x14ac:dyDescent="0.2">
      <c r="B160" s="74" t="s">
        <v>21</v>
      </c>
      <c r="C160" s="23">
        <v>2018</v>
      </c>
      <c r="D160" s="5" t="s">
        <v>125</v>
      </c>
      <c r="E160" s="59">
        <v>21</v>
      </c>
      <c r="F160" s="219" t="s">
        <v>202</v>
      </c>
      <c r="G160" s="9" t="s">
        <v>112</v>
      </c>
      <c r="H160" s="13" t="s">
        <v>131</v>
      </c>
      <c r="I160" s="6" t="s">
        <v>146</v>
      </c>
      <c r="J160" s="33" t="s">
        <v>163</v>
      </c>
    </row>
    <row r="161" spans="1:10" x14ac:dyDescent="0.2">
      <c r="B161" s="75" t="s">
        <v>21</v>
      </c>
      <c r="C161" s="23">
        <v>2018</v>
      </c>
      <c r="D161" s="5" t="s">
        <v>126</v>
      </c>
      <c r="E161" s="59">
        <v>16</v>
      </c>
      <c r="F161" s="227" t="s">
        <v>203</v>
      </c>
      <c r="G161" s="9" t="s">
        <v>112</v>
      </c>
      <c r="H161" s="13" t="s">
        <v>128</v>
      </c>
      <c r="I161" s="6" t="s">
        <v>146</v>
      </c>
      <c r="J161" s="33" t="s">
        <v>162</v>
      </c>
    </row>
    <row r="162" spans="1:10" ht="17" thickBot="1" x14ac:dyDescent="0.25">
      <c r="B162" s="159" t="s">
        <v>21</v>
      </c>
      <c r="C162" s="157">
        <v>2018</v>
      </c>
      <c r="D162" s="14" t="s">
        <v>130</v>
      </c>
      <c r="E162" s="131">
        <v>12</v>
      </c>
      <c r="F162" s="222" t="s">
        <v>204</v>
      </c>
      <c r="G162" s="133" t="s">
        <v>112</v>
      </c>
      <c r="H162" s="14" t="s">
        <v>131</v>
      </c>
      <c r="I162" s="134" t="s">
        <v>146</v>
      </c>
      <c r="J162" s="135" t="s">
        <v>163</v>
      </c>
    </row>
    <row r="163" spans="1:10" x14ac:dyDescent="0.2">
      <c r="B163" s="116" t="s">
        <v>22</v>
      </c>
      <c r="C163" s="23">
        <v>2018</v>
      </c>
      <c r="D163" s="5" t="s">
        <v>125</v>
      </c>
      <c r="E163" s="59">
        <v>21</v>
      </c>
      <c r="F163" s="219" t="s">
        <v>202</v>
      </c>
      <c r="G163" s="9" t="s">
        <v>112</v>
      </c>
      <c r="H163" s="13" t="s">
        <v>131</v>
      </c>
      <c r="I163" s="6" t="s">
        <v>146</v>
      </c>
      <c r="J163" s="130" t="s">
        <v>163</v>
      </c>
    </row>
    <row r="164" spans="1:10" ht="17" thickBot="1" x14ac:dyDescent="0.25">
      <c r="B164" s="119" t="s">
        <v>22</v>
      </c>
      <c r="C164" s="157">
        <v>2018</v>
      </c>
      <c r="D164" s="14" t="s">
        <v>126</v>
      </c>
      <c r="E164" s="131">
        <v>16</v>
      </c>
      <c r="F164" s="227" t="s">
        <v>203</v>
      </c>
      <c r="G164" s="133" t="s">
        <v>112</v>
      </c>
      <c r="H164" s="139" t="s">
        <v>128</v>
      </c>
      <c r="I164" s="134" t="s">
        <v>146</v>
      </c>
      <c r="J164" s="135" t="s">
        <v>162</v>
      </c>
    </row>
    <row r="165" spans="1:10" x14ac:dyDescent="0.2">
      <c r="B165" s="74" t="s">
        <v>23</v>
      </c>
      <c r="C165" s="23">
        <v>2018</v>
      </c>
      <c r="D165" s="5" t="s">
        <v>125</v>
      </c>
      <c r="E165" s="59">
        <v>21</v>
      </c>
      <c r="F165" s="219" t="s">
        <v>202</v>
      </c>
      <c r="G165" s="9" t="s">
        <v>112</v>
      </c>
      <c r="H165" s="13" t="s">
        <v>131</v>
      </c>
      <c r="I165" s="6" t="s">
        <v>146</v>
      </c>
      <c r="J165" s="33" t="s">
        <v>164</v>
      </c>
    </row>
    <row r="166" spans="1:10" ht="17" thickBot="1" x14ac:dyDescent="0.25">
      <c r="B166" s="159" t="s">
        <v>23</v>
      </c>
      <c r="C166" s="157">
        <v>2018</v>
      </c>
      <c r="D166" s="14" t="s">
        <v>126</v>
      </c>
      <c r="E166" s="131">
        <v>16</v>
      </c>
      <c r="F166" s="227" t="s">
        <v>203</v>
      </c>
      <c r="G166" s="133" t="s">
        <v>112</v>
      </c>
      <c r="H166" s="139" t="s">
        <v>128</v>
      </c>
      <c r="I166" s="134" t="s">
        <v>146</v>
      </c>
      <c r="J166" s="135" t="s">
        <v>162</v>
      </c>
    </row>
    <row r="167" spans="1:10" x14ac:dyDescent="0.2">
      <c r="B167" s="116" t="s">
        <v>24</v>
      </c>
      <c r="C167" s="23">
        <v>2018</v>
      </c>
      <c r="D167" s="5" t="s">
        <v>125</v>
      </c>
      <c r="E167" s="59">
        <v>21</v>
      </c>
      <c r="F167" s="219" t="s">
        <v>202</v>
      </c>
      <c r="G167" s="9" t="s">
        <v>112</v>
      </c>
      <c r="H167" s="13" t="s">
        <v>131</v>
      </c>
      <c r="I167" s="6" t="s">
        <v>146</v>
      </c>
      <c r="J167" s="130" t="s">
        <v>164</v>
      </c>
    </row>
    <row r="168" spans="1:10" x14ac:dyDescent="0.2">
      <c r="B168" s="75" t="s">
        <v>24</v>
      </c>
      <c r="C168" s="23">
        <v>2018</v>
      </c>
      <c r="D168" s="5" t="s">
        <v>126</v>
      </c>
      <c r="E168" s="59">
        <v>16</v>
      </c>
      <c r="F168" s="227" t="s">
        <v>203</v>
      </c>
      <c r="G168" s="9" t="s">
        <v>112</v>
      </c>
      <c r="H168" s="13" t="s">
        <v>128</v>
      </c>
      <c r="I168" s="6" t="s">
        <v>146</v>
      </c>
      <c r="J168" s="33" t="s">
        <v>162</v>
      </c>
    </row>
    <row r="169" spans="1:10" ht="17" thickBot="1" x14ac:dyDescent="0.25">
      <c r="B169" s="119" t="s">
        <v>24</v>
      </c>
      <c r="C169" s="157">
        <v>2018</v>
      </c>
      <c r="D169" s="14" t="s">
        <v>130</v>
      </c>
      <c r="E169" s="131">
        <v>12</v>
      </c>
      <c r="F169" s="222" t="s">
        <v>204</v>
      </c>
      <c r="G169" s="133" t="s">
        <v>112</v>
      </c>
      <c r="H169" s="14" t="s">
        <v>131</v>
      </c>
      <c r="I169" s="134" t="s">
        <v>146</v>
      </c>
      <c r="J169" s="135" t="s">
        <v>164</v>
      </c>
    </row>
    <row r="170" spans="1:10" x14ac:dyDescent="0.2">
      <c r="B170" s="74" t="s">
        <v>25</v>
      </c>
      <c r="C170" s="23">
        <v>2018</v>
      </c>
      <c r="D170" s="5" t="s">
        <v>125</v>
      </c>
      <c r="E170" s="59">
        <v>21</v>
      </c>
      <c r="F170" s="219" t="s">
        <v>202</v>
      </c>
      <c r="G170" s="9" t="s">
        <v>112</v>
      </c>
      <c r="H170" s="13" t="s">
        <v>131</v>
      </c>
      <c r="I170" s="6" t="s">
        <v>146</v>
      </c>
      <c r="J170" s="130" t="s">
        <v>164</v>
      </c>
    </row>
    <row r="171" spans="1:10" x14ac:dyDescent="0.2">
      <c r="B171" s="75" t="s">
        <v>25</v>
      </c>
      <c r="C171" s="23">
        <v>2018</v>
      </c>
      <c r="D171" s="5" t="s">
        <v>126</v>
      </c>
      <c r="E171" s="59">
        <v>16</v>
      </c>
      <c r="F171" s="227" t="s">
        <v>203</v>
      </c>
      <c r="G171" s="9" t="s">
        <v>112</v>
      </c>
      <c r="H171" s="13" t="s">
        <v>128</v>
      </c>
      <c r="I171" s="6" t="s">
        <v>146</v>
      </c>
      <c r="J171" s="33" t="s">
        <v>162</v>
      </c>
    </row>
    <row r="172" spans="1:10" ht="17" thickBot="1" x14ac:dyDescent="0.25">
      <c r="B172" s="159" t="s">
        <v>25</v>
      </c>
      <c r="C172" s="157">
        <v>2018</v>
      </c>
      <c r="D172" s="14" t="s">
        <v>130</v>
      </c>
      <c r="E172" s="131">
        <v>12</v>
      </c>
      <c r="F172" s="222" t="s">
        <v>204</v>
      </c>
      <c r="G172" s="133" t="s">
        <v>112</v>
      </c>
      <c r="H172" s="14" t="s">
        <v>131</v>
      </c>
      <c r="I172" s="134" t="s">
        <v>146</v>
      </c>
      <c r="J172" s="135" t="s">
        <v>164</v>
      </c>
    </row>
    <row r="173" spans="1:10" x14ac:dyDescent="0.2">
      <c r="B173" s="116" t="s">
        <v>26</v>
      </c>
      <c r="C173" s="23">
        <v>2018</v>
      </c>
      <c r="D173" s="5" t="s">
        <v>125</v>
      </c>
      <c r="E173" s="59">
        <v>21</v>
      </c>
      <c r="F173" s="219" t="s">
        <v>202</v>
      </c>
      <c r="G173" s="9" t="s">
        <v>112</v>
      </c>
      <c r="H173" s="13" t="s">
        <v>131</v>
      </c>
      <c r="I173" s="6" t="s">
        <v>146</v>
      </c>
      <c r="J173" s="130" t="s">
        <v>164</v>
      </c>
    </row>
    <row r="174" spans="1:10" x14ac:dyDescent="0.2">
      <c r="B174" s="75" t="s">
        <v>26</v>
      </c>
      <c r="C174" s="23">
        <v>2018</v>
      </c>
      <c r="D174" s="5" t="s">
        <v>126</v>
      </c>
      <c r="E174" s="59">
        <v>16</v>
      </c>
      <c r="F174" s="227" t="s">
        <v>203</v>
      </c>
      <c r="G174" s="9" t="s">
        <v>112</v>
      </c>
      <c r="H174" s="13" t="s">
        <v>128</v>
      </c>
      <c r="I174" s="6" t="s">
        <v>146</v>
      </c>
      <c r="J174" s="33" t="s">
        <v>162</v>
      </c>
    </row>
    <row r="175" spans="1:10" ht="17" thickBot="1" x14ac:dyDescent="0.25">
      <c r="B175" s="119" t="s">
        <v>26</v>
      </c>
      <c r="C175" s="157">
        <v>2018</v>
      </c>
      <c r="D175" s="14" t="s">
        <v>130</v>
      </c>
      <c r="E175" s="131">
        <v>12</v>
      </c>
      <c r="F175" s="222" t="s">
        <v>204</v>
      </c>
      <c r="G175" s="133" t="s">
        <v>112</v>
      </c>
      <c r="H175" s="14" t="s">
        <v>131</v>
      </c>
      <c r="I175" s="134" t="s">
        <v>146</v>
      </c>
      <c r="J175" s="135" t="s">
        <v>164</v>
      </c>
    </row>
    <row r="176" spans="1:10" ht="17" thickBot="1" x14ac:dyDescent="0.25">
      <c r="A176" t="s">
        <v>200</v>
      </c>
      <c r="B176" s="158" t="s">
        <v>27</v>
      </c>
      <c r="C176" s="160">
        <v>2018</v>
      </c>
      <c r="D176" s="161" t="s">
        <v>126</v>
      </c>
      <c r="E176" s="162">
        <v>16</v>
      </c>
      <c r="F176" s="227" t="s">
        <v>203</v>
      </c>
      <c r="G176" s="163" t="s">
        <v>112</v>
      </c>
      <c r="H176" s="164" t="s">
        <v>128</v>
      </c>
      <c r="I176" s="165" t="s">
        <v>146</v>
      </c>
      <c r="J176" s="166" t="s">
        <v>162</v>
      </c>
    </row>
    <row r="177" spans="1:10" x14ac:dyDescent="0.2">
      <c r="B177" s="116" t="s">
        <v>28</v>
      </c>
      <c r="C177" s="23">
        <v>2018</v>
      </c>
      <c r="D177" s="5" t="s">
        <v>125</v>
      </c>
      <c r="E177" s="59">
        <v>21</v>
      </c>
      <c r="F177" s="219" t="s">
        <v>202</v>
      </c>
      <c r="G177" s="9" t="s">
        <v>112</v>
      </c>
      <c r="H177" s="13" t="s">
        <v>128</v>
      </c>
      <c r="I177" s="6" t="s">
        <v>146</v>
      </c>
      <c r="J177" s="33" t="s">
        <v>162</v>
      </c>
    </row>
    <row r="178" spans="1:10" ht="17" thickBot="1" x14ac:dyDescent="0.25">
      <c r="B178" s="119" t="s">
        <v>28</v>
      </c>
      <c r="C178" s="157">
        <v>2018</v>
      </c>
      <c r="D178" s="14" t="s">
        <v>126</v>
      </c>
      <c r="E178" s="131">
        <v>16</v>
      </c>
      <c r="F178" s="227" t="s">
        <v>203</v>
      </c>
      <c r="G178" s="133" t="s">
        <v>112</v>
      </c>
      <c r="H178" s="139" t="s">
        <v>128</v>
      </c>
      <c r="I178" s="134" t="s">
        <v>146</v>
      </c>
      <c r="J178" s="135" t="s">
        <v>162</v>
      </c>
    </row>
    <row r="179" spans="1:10" x14ac:dyDescent="0.2">
      <c r="B179" s="74" t="s">
        <v>29</v>
      </c>
      <c r="C179" s="23">
        <v>2018</v>
      </c>
      <c r="D179" s="5" t="s">
        <v>125</v>
      </c>
      <c r="E179" s="59">
        <v>21</v>
      </c>
      <c r="F179" s="219" t="s">
        <v>202</v>
      </c>
      <c r="G179" s="9" t="s">
        <v>112</v>
      </c>
      <c r="H179" s="13" t="s">
        <v>128</v>
      </c>
      <c r="I179" s="6" t="s">
        <v>146</v>
      </c>
      <c r="J179" s="33" t="s">
        <v>162</v>
      </c>
    </row>
    <row r="180" spans="1:10" ht="17" thickBot="1" x14ac:dyDescent="0.25">
      <c r="B180" s="119" t="s">
        <v>29</v>
      </c>
      <c r="C180" s="102">
        <v>2018</v>
      </c>
      <c r="D180" s="48" t="s">
        <v>126</v>
      </c>
      <c r="E180" s="102">
        <v>16</v>
      </c>
      <c r="F180" s="227" t="s">
        <v>203</v>
      </c>
      <c r="G180" s="34" t="s">
        <v>112</v>
      </c>
      <c r="H180" s="64" t="s">
        <v>128</v>
      </c>
      <c r="I180" s="48" t="s">
        <v>146</v>
      </c>
      <c r="J180" s="31" t="s">
        <v>162</v>
      </c>
    </row>
    <row r="181" spans="1:10" ht="17" thickBot="1" x14ac:dyDescent="0.25">
      <c r="B181" s="175" t="s">
        <v>30</v>
      </c>
      <c r="C181" s="168">
        <v>2018</v>
      </c>
      <c r="D181" s="169" t="s">
        <v>126</v>
      </c>
      <c r="E181" s="170">
        <v>14</v>
      </c>
      <c r="F181" s="237" t="s">
        <v>197</v>
      </c>
      <c r="G181" s="171" t="s">
        <v>112</v>
      </c>
      <c r="H181" s="172" t="s">
        <v>123</v>
      </c>
      <c r="I181" s="173" t="s">
        <v>143</v>
      </c>
      <c r="J181" s="174" t="s">
        <v>129</v>
      </c>
    </row>
    <row r="182" spans="1:10" ht="17" thickBot="1" x14ac:dyDescent="0.25">
      <c r="B182" s="167" t="s">
        <v>31</v>
      </c>
      <c r="C182" s="59">
        <v>2018</v>
      </c>
      <c r="D182" s="8" t="s">
        <v>126</v>
      </c>
      <c r="E182" s="21">
        <v>14</v>
      </c>
      <c r="F182" s="227" t="s">
        <v>197</v>
      </c>
      <c r="G182" s="9" t="s">
        <v>112</v>
      </c>
      <c r="H182" s="5" t="s">
        <v>123</v>
      </c>
      <c r="I182" s="6" t="s">
        <v>143</v>
      </c>
      <c r="J182" s="33" t="s">
        <v>129</v>
      </c>
    </row>
    <row r="183" spans="1:10" ht="17" thickBot="1" x14ac:dyDescent="0.25">
      <c r="B183" s="176" t="s">
        <v>32</v>
      </c>
      <c r="C183" s="179">
        <v>2018</v>
      </c>
      <c r="D183" s="169" t="s">
        <v>126</v>
      </c>
      <c r="E183" s="170">
        <v>16</v>
      </c>
      <c r="F183" s="237" t="s">
        <v>203</v>
      </c>
      <c r="G183" s="171" t="s">
        <v>112</v>
      </c>
      <c r="H183" s="172" t="s">
        <v>123</v>
      </c>
      <c r="I183" s="173" t="s">
        <v>144</v>
      </c>
      <c r="J183" s="174" t="s">
        <v>129</v>
      </c>
    </row>
    <row r="184" spans="1:10" ht="17" thickBot="1" x14ac:dyDescent="0.25">
      <c r="B184" s="178" t="s">
        <v>33</v>
      </c>
      <c r="C184" s="180">
        <v>2018</v>
      </c>
      <c r="D184" s="181" t="s">
        <v>126</v>
      </c>
      <c r="E184" s="182">
        <v>16</v>
      </c>
      <c r="F184" s="245" t="s">
        <v>203</v>
      </c>
      <c r="G184" s="163" t="s">
        <v>112</v>
      </c>
      <c r="H184" s="161" t="s">
        <v>123</v>
      </c>
      <c r="I184" s="165" t="s">
        <v>144</v>
      </c>
      <c r="J184" s="166" t="s">
        <v>129</v>
      </c>
    </row>
    <row r="185" spans="1:10" ht="17" thickBot="1" x14ac:dyDescent="0.25">
      <c r="A185" s="46"/>
      <c r="B185" s="177" t="s">
        <v>34</v>
      </c>
      <c r="C185" s="102">
        <v>2018</v>
      </c>
      <c r="D185" s="17" t="s">
        <v>126</v>
      </c>
      <c r="E185" s="27">
        <v>16</v>
      </c>
      <c r="F185" s="246" t="s">
        <v>203</v>
      </c>
      <c r="G185" s="34" t="s">
        <v>112</v>
      </c>
      <c r="H185" s="18" t="s">
        <v>123</v>
      </c>
      <c r="I185" s="48" t="s">
        <v>144</v>
      </c>
      <c r="J185" s="31" t="s">
        <v>129</v>
      </c>
    </row>
    <row r="186" spans="1:10" x14ac:dyDescent="0.2">
      <c r="A186" s="46"/>
      <c r="B186" s="76" t="s">
        <v>13</v>
      </c>
      <c r="C186" s="59">
        <v>2018</v>
      </c>
      <c r="D186" s="8" t="s">
        <v>125</v>
      </c>
      <c r="E186" s="21">
        <v>21</v>
      </c>
      <c r="F186" s="227" t="s">
        <v>202</v>
      </c>
      <c r="G186" s="9" t="s">
        <v>112</v>
      </c>
      <c r="H186" s="5" t="s">
        <v>128</v>
      </c>
      <c r="I186" s="6" t="s">
        <v>146</v>
      </c>
      <c r="J186" s="33" t="s">
        <v>162</v>
      </c>
    </row>
    <row r="187" spans="1:10" x14ac:dyDescent="0.2">
      <c r="A187" s="46"/>
      <c r="B187" s="76" t="s">
        <v>13</v>
      </c>
      <c r="C187" s="59">
        <v>2018</v>
      </c>
      <c r="D187" s="8" t="s">
        <v>126</v>
      </c>
      <c r="E187" s="21">
        <v>16</v>
      </c>
      <c r="F187" s="227" t="s">
        <v>203</v>
      </c>
      <c r="G187" s="9" t="s">
        <v>112</v>
      </c>
      <c r="H187" s="5" t="s">
        <v>128</v>
      </c>
      <c r="I187" s="6" t="s">
        <v>146</v>
      </c>
      <c r="J187" s="33" t="s">
        <v>162</v>
      </c>
    </row>
    <row r="188" spans="1:10" ht="17" thickBot="1" x14ac:dyDescent="0.25">
      <c r="A188" s="46"/>
      <c r="B188" s="183" t="s">
        <v>13</v>
      </c>
      <c r="C188" s="149">
        <v>2018</v>
      </c>
      <c r="D188" s="133" t="s">
        <v>130</v>
      </c>
      <c r="E188" s="37">
        <v>12</v>
      </c>
      <c r="F188" s="222" t="s">
        <v>204</v>
      </c>
      <c r="G188" s="133">
        <f>0.745+3.743+0.675+1.022+1.396+2.866+3.183+10.496+3.181+3.985</f>
        <v>31.291999999999998</v>
      </c>
      <c r="H188" s="14" t="s">
        <v>128</v>
      </c>
      <c r="I188" s="134" t="s">
        <v>143</v>
      </c>
      <c r="J188" s="135"/>
    </row>
    <row r="189" spans="1:10" x14ac:dyDescent="0.2">
      <c r="A189" s="46"/>
      <c r="B189" s="184" t="s">
        <v>14</v>
      </c>
      <c r="C189" s="59">
        <v>2018</v>
      </c>
      <c r="D189" s="8" t="s">
        <v>125</v>
      </c>
      <c r="E189" s="21">
        <v>21</v>
      </c>
      <c r="F189" s="227" t="s">
        <v>202</v>
      </c>
      <c r="G189" s="9" t="s">
        <v>112</v>
      </c>
      <c r="H189" s="5" t="s">
        <v>128</v>
      </c>
      <c r="I189" s="6" t="s">
        <v>146</v>
      </c>
      <c r="J189" s="33" t="s">
        <v>162</v>
      </c>
    </row>
    <row r="190" spans="1:10" x14ac:dyDescent="0.2">
      <c r="A190" s="46" t="s">
        <v>200</v>
      </c>
      <c r="B190" s="77" t="s">
        <v>14</v>
      </c>
      <c r="C190" s="59">
        <v>2018</v>
      </c>
      <c r="D190" s="8" t="s">
        <v>126</v>
      </c>
      <c r="E190" s="21">
        <v>16</v>
      </c>
      <c r="F190" s="227" t="s">
        <v>203</v>
      </c>
      <c r="G190" s="9" t="s">
        <v>112</v>
      </c>
      <c r="H190" s="5" t="s">
        <v>128</v>
      </c>
      <c r="I190" s="6" t="s">
        <v>146</v>
      </c>
      <c r="J190" s="33" t="s">
        <v>162</v>
      </c>
    </row>
    <row r="191" spans="1:10" ht="17" thickBot="1" x14ac:dyDescent="0.25">
      <c r="A191" s="46"/>
      <c r="B191" s="185" t="s">
        <v>14</v>
      </c>
      <c r="C191" s="149">
        <v>2018</v>
      </c>
      <c r="D191" s="133" t="s">
        <v>130</v>
      </c>
      <c r="E191" s="37">
        <v>12</v>
      </c>
      <c r="F191" s="222" t="s">
        <v>204</v>
      </c>
      <c r="G191" s="133">
        <f>32.878+0.743+3.592+4.977+4.359+1.618+1.379+1.381+0.786</f>
        <v>51.713000000000001</v>
      </c>
      <c r="H191" s="14" t="s">
        <v>128</v>
      </c>
      <c r="I191" s="134" t="s">
        <v>143</v>
      </c>
      <c r="J191" s="135"/>
    </row>
    <row r="192" spans="1:10" x14ac:dyDescent="0.2">
      <c r="A192" s="46"/>
      <c r="B192" s="76" t="s">
        <v>15</v>
      </c>
      <c r="C192" s="59">
        <v>2018</v>
      </c>
      <c r="D192" s="8" t="s">
        <v>125</v>
      </c>
      <c r="E192" s="21">
        <v>21</v>
      </c>
      <c r="F192" s="227" t="s">
        <v>202</v>
      </c>
      <c r="G192" s="9" t="s">
        <v>112</v>
      </c>
      <c r="H192" s="5" t="s">
        <v>128</v>
      </c>
      <c r="I192" s="6" t="s">
        <v>146</v>
      </c>
      <c r="J192" s="33" t="s">
        <v>162</v>
      </c>
    </row>
    <row r="193" spans="1:10" x14ac:dyDescent="0.2">
      <c r="A193" s="46"/>
      <c r="B193" s="77" t="s">
        <v>15</v>
      </c>
      <c r="C193" s="59">
        <v>2018</v>
      </c>
      <c r="D193" s="8" t="s">
        <v>126</v>
      </c>
      <c r="E193" s="21">
        <v>16</v>
      </c>
      <c r="F193" s="227" t="s">
        <v>203</v>
      </c>
      <c r="G193" s="9">
        <f>0.95+145.1+4.25+4.165+3.55+1.201</f>
        <v>159.21599999999998</v>
      </c>
      <c r="H193" s="5" t="s">
        <v>128</v>
      </c>
      <c r="I193" s="6" t="s">
        <v>144</v>
      </c>
      <c r="J193" s="33"/>
    </row>
    <row r="194" spans="1:10" ht="17" thickBot="1" x14ac:dyDescent="0.25">
      <c r="A194" s="46"/>
      <c r="B194" s="121" t="s">
        <v>15</v>
      </c>
      <c r="C194" s="149">
        <v>2018</v>
      </c>
      <c r="D194" s="133" t="s">
        <v>130</v>
      </c>
      <c r="E194" s="37">
        <v>12</v>
      </c>
      <c r="F194" s="222" t="s">
        <v>204</v>
      </c>
      <c r="G194" s="133">
        <f>1.525+4.883+1.234+170.634+0.78+2.893+0.325+0.478+0.344</f>
        <v>183.09599999999998</v>
      </c>
      <c r="H194" s="14" t="s">
        <v>128</v>
      </c>
      <c r="I194" s="134" t="s">
        <v>143</v>
      </c>
      <c r="J194" s="135"/>
    </row>
    <row r="195" spans="1:10" x14ac:dyDescent="0.2">
      <c r="A195" s="46"/>
      <c r="B195" s="184" t="s">
        <v>16</v>
      </c>
      <c r="C195" s="59">
        <v>2018</v>
      </c>
      <c r="D195" s="8" t="s">
        <v>125</v>
      </c>
      <c r="E195" s="21">
        <v>21</v>
      </c>
      <c r="F195" s="227" t="s">
        <v>202</v>
      </c>
      <c r="G195" s="9" t="s">
        <v>112</v>
      </c>
      <c r="H195" s="5" t="s">
        <v>128</v>
      </c>
      <c r="I195" s="6" t="s">
        <v>146</v>
      </c>
      <c r="J195" s="33" t="s">
        <v>162</v>
      </c>
    </row>
    <row r="196" spans="1:10" x14ac:dyDescent="0.2">
      <c r="A196" s="46"/>
      <c r="B196" s="77" t="s">
        <v>16</v>
      </c>
      <c r="C196" s="59">
        <v>2018</v>
      </c>
      <c r="D196" s="8" t="s">
        <v>126</v>
      </c>
      <c r="E196" s="21">
        <v>16</v>
      </c>
      <c r="F196" s="227" t="s">
        <v>203</v>
      </c>
      <c r="G196" s="9">
        <f>109.606+3.021+1.151+1.019+1.197+6.409+2.526+3.812+1.716+1.742</f>
        <v>132.19900000000001</v>
      </c>
      <c r="H196" s="5" t="s">
        <v>128</v>
      </c>
      <c r="I196" s="6" t="s">
        <v>144</v>
      </c>
      <c r="J196" s="33"/>
    </row>
    <row r="197" spans="1:10" ht="17" thickBot="1" x14ac:dyDescent="0.25">
      <c r="A197" s="46"/>
      <c r="B197" s="185" t="s">
        <v>16</v>
      </c>
      <c r="C197" s="59">
        <v>2018</v>
      </c>
      <c r="D197" s="5" t="s">
        <v>130</v>
      </c>
      <c r="E197" s="21">
        <v>12</v>
      </c>
      <c r="F197" s="222" t="s">
        <v>204</v>
      </c>
      <c r="G197" s="9">
        <f>6.071+0.67+3.528+3.392+0.472+0.889+0.604+0.234+0.868+29.746+8.088+23.563+3.138+26.565+0.262+0.414+0.278</f>
        <v>108.78200000000001</v>
      </c>
      <c r="H197" s="5" t="s">
        <v>128</v>
      </c>
      <c r="I197" s="6" t="s">
        <v>143</v>
      </c>
      <c r="J197" s="33"/>
    </row>
    <row r="198" spans="1:10" x14ac:dyDescent="0.2">
      <c r="A198" s="46"/>
      <c r="B198" s="123" t="s">
        <v>12</v>
      </c>
      <c r="C198" s="108">
        <v>2018</v>
      </c>
      <c r="D198" s="111" t="s">
        <v>125</v>
      </c>
      <c r="E198" s="110">
        <v>21</v>
      </c>
      <c r="F198" s="234" t="s">
        <v>202</v>
      </c>
      <c r="G198" s="111" t="s">
        <v>112</v>
      </c>
      <c r="H198" s="120" t="s">
        <v>128</v>
      </c>
      <c r="I198" s="117" t="s">
        <v>146</v>
      </c>
      <c r="J198" s="118" t="s">
        <v>162</v>
      </c>
    </row>
    <row r="199" spans="1:10" x14ac:dyDescent="0.2">
      <c r="A199" s="46"/>
      <c r="B199" s="78" t="s">
        <v>12</v>
      </c>
      <c r="C199" s="59">
        <v>2018</v>
      </c>
      <c r="D199" s="9" t="s">
        <v>126</v>
      </c>
      <c r="E199" s="21">
        <v>16</v>
      </c>
      <c r="F199" s="227" t="s">
        <v>203</v>
      </c>
      <c r="G199" s="9">
        <f>82.112+24.936</f>
        <v>107.048</v>
      </c>
      <c r="H199" s="5" t="s">
        <v>128</v>
      </c>
      <c r="I199" s="6" t="s">
        <v>144</v>
      </c>
      <c r="J199" s="33"/>
    </row>
    <row r="200" spans="1:10" ht="17" thickBot="1" x14ac:dyDescent="0.25">
      <c r="A200" s="46"/>
      <c r="B200" s="136" t="s">
        <v>12</v>
      </c>
      <c r="C200" s="131">
        <v>2018</v>
      </c>
      <c r="D200" s="132" t="s">
        <v>130</v>
      </c>
      <c r="E200" s="54">
        <v>12</v>
      </c>
      <c r="F200" s="235" t="s">
        <v>204</v>
      </c>
      <c r="G200" s="133">
        <f>2.812+30.661+33.817+14.384+1.709+4.934+0.468+0.217</f>
        <v>89.001999999999995</v>
      </c>
      <c r="H200" s="14" t="s">
        <v>128</v>
      </c>
      <c r="I200" s="134" t="s">
        <v>171</v>
      </c>
      <c r="J200" s="135" t="s">
        <v>173</v>
      </c>
    </row>
    <row r="201" spans="1:10" x14ac:dyDescent="0.2">
      <c r="A201" s="46"/>
      <c r="B201" s="123" t="s">
        <v>11</v>
      </c>
      <c r="C201" s="59">
        <v>2018</v>
      </c>
      <c r="D201" s="9" t="s">
        <v>125</v>
      </c>
      <c r="E201" s="21">
        <v>21</v>
      </c>
      <c r="F201" s="219" t="s">
        <v>202</v>
      </c>
      <c r="G201" s="9" t="s">
        <v>112</v>
      </c>
      <c r="H201" s="5" t="s">
        <v>128</v>
      </c>
      <c r="I201" s="6" t="s">
        <v>146</v>
      </c>
      <c r="J201" s="130" t="s">
        <v>162</v>
      </c>
    </row>
    <row r="202" spans="1:10" x14ac:dyDescent="0.2">
      <c r="A202" s="46" t="s">
        <v>200</v>
      </c>
      <c r="B202" s="79" t="s">
        <v>11</v>
      </c>
      <c r="C202" s="59">
        <v>2018</v>
      </c>
      <c r="D202" s="9" t="s">
        <v>126</v>
      </c>
      <c r="E202" s="21">
        <v>16</v>
      </c>
      <c r="F202" s="227" t="s">
        <v>203</v>
      </c>
      <c r="G202" s="9" t="s">
        <v>168</v>
      </c>
      <c r="H202" s="5" t="s">
        <v>128</v>
      </c>
      <c r="I202" s="6" t="s">
        <v>144</v>
      </c>
      <c r="J202" s="33"/>
    </row>
    <row r="203" spans="1:10" ht="17" thickBot="1" x14ac:dyDescent="0.25">
      <c r="A203" s="46" t="s">
        <v>200</v>
      </c>
      <c r="B203" s="124" t="s">
        <v>11</v>
      </c>
      <c r="C203" s="131">
        <v>2018</v>
      </c>
      <c r="D203" s="132" t="s">
        <v>130</v>
      </c>
      <c r="E203" s="54">
        <v>12</v>
      </c>
      <c r="F203" s="238" t="s">
        <v>204</v>
      </c>
      <c r="G203" s="133">
        <f>5.494+19.597+0.738+9.179+8.806+18.716</f>
        <v>62.53</v>
      </c>
      <c r="H203" s="14" t="s">
        <v>128</v>
      </c>
      <c r="I203" s="134" t="s">
        <v>171</v>
      </c>
      <c r="J203" s="135" t="s">
        <v>172</v>
      </c>
    </row>
    <row r="204" spans="1:10" x14ac:dyDescent="0.2">
      <c r="A204" s="46"/>
      <c r="B204" s="78" t="s">
        <v>10</v>
      </c>
      <c r="C204" s="59">
        <v>2018</v>
      </c>
      <c r="D204" s="9" t="s">
        <v>125</v>
      </c>
      <c r="E204" s="21">
        <v>21</v>
      </c>
      <c r="F204" s="219" t="s">
        <v>202</v>
      </c>
      <c r="G204" s="9" t="s">
        <v>112</v>
      </c>
      <c r="H204" s="5" t="s">
        <v>128</v>
      </c>
      <c r="I204" s="6" t="s">
        <v>146</v>
      </c>
      <c r="J204" s="130" t="s">
        <v>162</v>
      </c>
    </row>
    <row r="205" spans="1:10" x14ac:dyDescent="0.2">
      <c r="A205" s="46"/>
      <c r="B205" s="79" t="s">
        <v>10</v>
      </c>
      <c r="C205" s="59">
        <v>2018</v>
      </c>
      <c r="D205" s="9" t="s">
        <v>126</v>
      </c>
      <c r="E205" s="21">
        <v>16</v>
      </c>
      <c r="F205" s="227" t="s">
        <v>203</v>
      </c>
      <c r="G205" s="9" t="s">
        <v>112</v>
      </c>
      <c r="H205" s="5" t="s">
        <v>128</v>
      </c>
      <c r="I205" s="6" t="s">
        <v>146</v>
      </c>
      <c r="J205" s="209" t="s">
        <v>162</v>
      </c>
    </row>
    <row r="206" spans="1:10" ht="17" thickBot="1" x14ac:dyDescent="0.25">
      <c r="A206" s="46"/>
      <c r="B206" s="80" t="s">
        <v>10</v>
      </c>
      <c r="C206" s="131">
        <v>2018</v>
      </c>
      <c r="D206" s="10" t="s">
        <v>130</v>
      </c>
      <c r="E206" s="54">
        <v>12</v>
      </c>
      <c r="F206" s="238" t="s">
        <v>204</v>
      </c>
      <c r="G206" s="134">
        <v>0</v>
      </c>
      <c r="H206" s="14" t="s">
        <v>128</v>
      </c>
      <c r="I206" s="134" t="s">
        <v>144</v>
      </c>
      <c r="J206" s="135"/>
    </row>
    <row r="207" spans="1:10" x14ac:dyDescent="0.2">
      <c r="A207" s="46"/>
      <c r="B207" s="123" t="s">
        <v>9</v>
      </c>
      <c r="C207" s="59">
        <v>2018</v>
      </c>
      <c r="D207" s="9" t="s">
        <v>125</v>
      </c>
      <c r="E207" s="21">
        <v>21</v>
      </c>
      <c r="F207" s="221" t="s">
        <v>202</v>
      </c>
      <c r="G207" s="9" t="s">
        <v>112</v>
      </c>
      <c r="H207" s="5" t="s">
        <v>128</v>
      </c>
      <c r="I207" s="6" t="s">
        <v>146</v>
      </c>
      <c r="J207" s="130" t="s">
        <v>162</v>
      </c>
    </row>
    <row r="208" spans="1:10" x14ac:dyDescent="0.2">
      <c r="A208" s="46"/>
      <c r="B208" s="79" t="s">
        <v>9</v>
      </c>
      <c r="C208" s="59">
        <v>2018</v>
      </c>
      <c r="D208" s="9" t="s">
        <v>126</v>
      </c>
      <c r="E208" s="21">
        <v>16</v>
      </c>
      <c r="F208" s="235" t="s">
        <v>203</v>
      </c>
      <c r="G208" s="9" t="s">
        <v>112</v>
      </c>
      <c r="H208" s="5" t="s">
        <v>128</v>
      </c>
      <c r="I208" s="6" t="s">
        <v>146</v>
      </c>
      <c r="J208" s="209" t="s">
        <v>162</v>
      </c>
    </row>
    <row r="209" spans="1:10" ht="17" thickBot="1" x14ac:dyDescent="0.25">
      <c r="A209" s="46"/>
      <c r="B209" s="124" t="s">
        <v>9</v>
      </c>
      <c r="C209" s="131">
        <v>2018</v>
      </c>
      <c r="D209" s="10" t="s">
        <v>130</v>
      </c>
      <c r="E209" s="54">
        <v>12</v>
      </c>
      <c r="F209" s="238" t="s">
        <v>204</v>
      </c>
      <c r="G209" s="134">
        <f>1.971+9.894+0.792</f>
        <v>12.657</v>
      </c>
      <c r="H209" s="14" t="s">
        <v>128</v>
      </c>
      <c r="I209" s="134" t="s">
        <v>171</v>
      </c>
      <c r="J209" s="135" t="s">
        <v>172</v>
      </c>
    </row>
    <row r="210" spans="1:10" x14ac:dyDescent="0.2">
      <c r="B210" s="78" t="s">
        <v>8</v>
      </c>
      <c r="C210" s="59">
        <v>2018</v>
      </c>
      <c r="D210" s="8" t="s">
        <v>125</v>
      </c>
      <c r="E210" s="22">
        <v>21</v>
      </c>
      <c r="F210" s="221" t="s">
        <v>202</v>
      </c>
      <c r="G210" s="9" t="s">
        <v>112</v>
      </c>
      <c r="H210" s="5" t="s">
        <v>160</v>
      </c>
      <c r="I210" s="6" t="s">
        <v>146</v>
      </c>
      <c r="J210" s="33" t="s">
        <v>166</v>
      </c>
    </row>
    <row r="211" spans="1:10" x14ac:dyDescent="0.2">
      <c r="A211" t="s">
        <v>200</v>
      </c>
      <c r="B211" s="79" t="s">
        <v>8</v>
      </c>
      <c r="C211" s="59">
        <v>2018</v>
      </c>
      <c r="D211" s="9" t="s">
        <v>126</v>
      </c>
      <c r="E211" s="21">
        <v>16</v>
      </c>
      <c r="F211" s="235" t="s">
        <v>203</v>
      </c>
      <c r="G211" s="9" t="s">
        <v>112</v>
      </c>
      <c r="H211" s="5" t="s">
        <v>128</v>
      </c>
      <c r="I211" s="6" t="s">
        <v>146</v>
      </c>
      <c r="J211" s="209" t="s">
        <v>162</v>
      </c>
    </row>
    <row r="212" spans="1:10" ht="17" thickBot="1" x14ac:dyDescent="0.25">
      <c r="B212" s="80" t="s">
        <v>8</v>
      </c>
      <c r="C212" s="131">
        <v>2018</v>
      </c>
      <c r="D212" s="51" t="s">
        <v>130</v>
      </c>
      <c r="E212" s="54">
        <v>12</v>
      </c>
      <c r="F212" s="238" t="s">
        <v>204</v>
      </c>
      <c r="G212" s="134" t="s">
        <v>112</v>
      </c>
      <c r="H212" s="14" t="s">
        <v>160</v>
      </c>
      <c r="I212" s="134" t="s">
        <v>143</v>
      </c>
      <c r="J212" s="135" t="s">
        <v>169</v>
      </c>
    </row>
    <row r="213" spans="1:10" x14ac:dyDescent="0.2">
      <c r="B213" s="123" t="s">
        <v>7</v>
      </c>
      <c r="C213" s="59">
        <v>2018</v>
      </c>
      <c r="D213" s="8" t="s">
        <v>125</v>
      </c>
      <c r="E213" s="22">
        <v>21</v>
      </c>
      <c r="F213" s="221" t="s">
        <v>202</v>
      </c>
      <c r="G213" s="9" t="s">
        <v>112</v>
      </c>
      <c r="H213" s="5" t="s">
        <v>160</v>
      </c>
      <c r="I213" s="6" t="s">
        <v>146</v>
      </c>
      <c r="J213" s="33" t="s">
        <v>167</v>
      </c>
    </row>
    <row r="214" spans="1:10" ht="17" thickBot="1" x14ac:dyDescent="0.25">
      <c r="B214" s="124" t="s">
        <v>7</v>
      </c>
      <c r="C214" s="131">
        <v>2018</v>
      </c>
      <c r="D214" s="133" t="s">
        <v>126</v>
      </c>
      <c r="E214" s="37">
        <v>16</v>
      </c>
      <c r="F214" s="235" t="s">
        <v>203</v>
      </c>
      <c r="G214" s="133" t="s">
        <v>112</v>
      </c>
      <c r="H214" s="14" t="s">
        <v>128</v>
      </c>
      <c r="I214" s="134" t="s">
        <v>146</v>
      </c>
      <c r="J214" s="210" t="s">
        <v>162</v>
      </c>
    </row>
    <row r="215" spans="1:10" x14ac:dyDescent="0.2">
      <c r="B215" s="78" t="s">
        <v>6</v>
      </c>
      <c r="C215" s="59">
        <v>2018</v>
      </c>
      <c r="D215" s="9" t="s">
        <v>126</v>
      </c>
      <c r="E215" s="21">
        <v>16</v>
      </c>
      <c r="F215" s="221" t="s">
        <v>203</v>
      </c>
      <c r="G215" s="9" t="s">
        <v>112</v>
      </c>
      <c r="H215" s="5" t="s">
        <v>128</v>
      </c>
      <c r="I215" s="6" t="s">
        <v>146</v>
      </c>
      <c r="J215" s="209" t="s">
        <v>162</v>
      </c>
    </row>
    <row r="216" spans="1:10" ht="17" thickBot="1" x14ac:dyDescent="0.25">
      <c r="B216" s="80" t="s">
        <v>6</v>
      </c>
      <c r="C216" s="131">
        <v>2018</v>
      </c>
      <c r="D216" s="137" t="s">
        <v>130</v>
      </c>
      <c r="E216" s="37">
        <v>12</v>
      </c>
      <c r="F216" s="238" t="s">
        <v>204</v>
      </c>
      <c r="G216" s="134" t="s">
        <v>112</v>
      </c>
      <c r="H216" s="14" t="s">
        <v>160</v>
      </c>
      <c r="I216" s="134" t="s">
        <v>143</v>
      </c>
      <c r="J216" s="135" t="s">
        <v>170</v>
      </c>
    </row>
    <row r="217" spans="1:10" x14ac:dyDescent="0.2">
      <c r="B217" s="186" t="s">
        <v>5</v>
      </c>
      <c r="C217" s="59">
        <v>2018</v>
      </c>
      <c r="D217" s="8" t="s">
        <v>125</v>
      </c>
      <c r="E217" s="21">
        <v>21</v>
      </c>
      <c r="F217" s="221" t="s">
        <v>202</v>
      </c>
      <c r="G217" s="9" t="s">
        <v>112</v>
      </c>
      <c r="H217" s="5" t="s">
        <v>128</v>
      </c>
      <c r="I217" s="6" t="s">
        <v>146</v>
      </c>
      <c r="J217" s="130" t="s">
        <v>162</v>
      </c>
    </row>
    <row r="218" spans="1:10" x14ac:dyDescent="0.2">
      <c r="A218" s="46"/>
      <c r="B218" s="80" t="s">
        <v>5</v>
      </c>
      <c r="C218" s="59">
        <v>2018</v>
      </c>
      <c r="D218" s="9" t="s">
        <v>126</v>
      </c>
      <c r="E218" s="21">
        <v>16</v>
      </c>
      <c r="F218" s="227" t="s">
        <v>203</v>
      </c>
      <c r="G218" s="9" t="s">
        <v>112</v>
      </c>
      <c r="H218" s="5" t="s">
        <v>128</v>
      </c>
      <c r="I218" s="6" t="s">
        <v>146</v>
      </c>
      <c r="J218" s="130" t="s">
        <v>162</v>
      </c>
    </row>
    <row r="219" spans="1:10" x14ac:dyDescent="0.2">
      <c r="A219" s="46"/>
      <c r="B219" s="80" t="s">
        <v>5</v>
      </c>
      <c r="C219" s="65">
        <v>2018</v>
      </c>
      <c r="D219" s="61" t="s">
        <v>132</v>
      </c>
      <c r="E219" s="38">
        <v>16</v>
      </c>
      <c r="F219" s="214" t="s">
        <v>198</v>
      </c>
      <c r="G219" s="6" t="s">
        <v>112</v>
      </c>
      <c r="H219" s="5" t="s">
        <v>128</v>
      </c>
      <c r="I219" s="6" t="s">
        <v>146</v>
      </c>
      <c r="J219" s="130" t="s">
        <v>162</v>
      </c>
    </row>
    <row r="220" spans="1:10" ht="17" thickBot="1" x14ac:dyDescent="0.25">
      <c r="A220" s="46"/>
      <c r="B220" s="124" t="s">
        <v>5</v>
      </c>
      <c r="C220" s="125">
        <v>2018</v>
      </c>
      <c r="D220" s="126" t="s">
        <v>130</v>
      </c>
      <c r="E220" s="25">
        <v>12</v>
      </c>
      <c r="F220" s="230" t="s">
        <v>204</v>
      </c>
      <c r="G220" s="48" t="s">
        <v>112</v>
      </c>
      <c r="H220" s="18" t="s">
        <v>123</v>
      </c>
      <c r="I220" s="48" t="s">
        <v>143</v>
      </c>
      <c r="J220" s="31" t="s">
        <v>129</v>
      </c>
    </row>
    <row r="221" spans="1:10" x14ac:dyDescent="0.2">
      <c r="A221" s="194"/>
      <c r="B221" s="122" t="s">
        <v>75</v>
      </c>
      <c r="C221" s="23">
        <v>2018</v>
      </c>
      <c r="D221" s="4" t="s">
        <v>125</v>
      </c>
      <c r="E221" s="23">
        <v>22</v>
      </c>
      <c r="F221" s="214" t="s">
        <v>193</v>
      </c>
      <c r="G221" s="12">
        <f>1.802+24.832+5.311+9.44+29.138+30.624+19.528+2.165+1.069+0.482+3.198+7.374+11.556+4.783+4.105+1.562+5.652+5.389+0.738+1.768+0.58+0.191+1.047</f>
        <v>172.334</v>
      </c>
      <c r="H221" s="60" t="s">
        <v>128</v>
      </c>
      <c r="I221" s="5" t="s">
        <v>143</v>
      </c>
      <c r="J221" s="33"/>
    </row>
    <row r="222" spans="1:10" x14ac:dyDescent="0.2">
      <c r="A222" s="46"/>
      <c r="B222" s="82" t="s">
        <v>75</v>
      </c>
      <c r="C222" s="23">
        <v>2018</v>
      </c>
      <c r="D222" s="3" t="s">
        <v>126</v>
      </c>
      <c r="E222" s="23">
        <v>13</v>
      </c>
      <c r="F222" s="214" t="s">
        <v>205</v>
      </c>
      <c r="G222" s="6">
        <f>1.331+24.429+5.761+1.081+76.274+20.941+2.626+1.723+4.698+8.555+108.767</f>
        <v>256.18600000000004</v>
      </c>
      <c r="H222" s="39" t="s">
        <v>128</v>
      </c>
      <c r="I222" s="13" t="s">
        <v>143</v>
      </c>
      <c r="J222" s="33"/>
    </row>
    <row r="223" spans="1:10" ht="17" thickBot="1" x14ac:dyDescent="0.25">
      <c r="A223" s="46"/>
      <c r="B223" s="81" t="s">
        <v>75</v>
      </c>
      <c r="C223" s="23">
        <v>2018</v>
      </c>
      <c r="D223" s="3" t="s">
        <v>130</v>
      </c>
      <c r="E223" s="23">
        <v>11</v>
      </c>
      <c r="F223" s="214" t="s">
        <v>206</v>
      </c>
      <c r="G223" s="12">
        <f>20.953+1.525+32.213+4.488+0.706+1.338+1.731+4.844+13.362+16.375+0.89+15.038+0.845+4.477+2.988+17.378+0.963</f>
        <v>140.114</v>
      </c>
      <c r="H223" s="39" t="s">
        <v>128</v>
      </c>
      <c r="I223" s="13" t="s">
        <v>143</v>
      </c>
      <c r="J223" s="33"/>
    </row>
    <row r="224" spans="1:10" x14ac:dyDescent="0.2">
      <c r="A224" s="46"/>
      <c r="B224" s="127" t="s">
        <v>103</v>
      </c>
      <c r="C224" s="128">
        <v>2018</v>
      </c>
      <c r="D224" s="110" t="s">
        <v>125</v>
      </c>
      <c r="E224" s="247">
        <v>16</v>
      </c>
      <c r="F224" s="228" t="s">
        <v>196</v>
      </c>
      <c r="G224" s="231">
        <f>53.675+25.934+0.518+20.079+31.455+34.179+0.41+1.881+0.487</f>
        <v>168.61799999999999</v>
      </c>
      <c r="H224" s="112" t="s">
        <v>128</v>
      </c>
      <c r="I224" s="99" t="s">
        <v>143</v>
      </c>
      <c r="J224" s="118"/>
    </row>
    <row r="225" spans="1:10" x14ac:dyDescent="0.2">
      <c r="A225" s="46"/>
      <c r="B225" s="83" t="s">
        <v>103</v>
      </c>
      <c r="C225" s="23">
        <v>2018</v>
      </c>
      <c r="D225" s="21" t="s">
        <v>126</v>
      </c>
      <c r="E225" s="22">
        <v>14</v>
      </c>
      <c r="F225" s="215" t="s">
        <v>197</v>
      </c>
      <c r="G225" s="232">
        <f>0.534+33.068+2.034+5.477+10.409+11.224+40.54+1.463+3.756</f>
        <v>108.505</v>
      </c>
      <c r="H225" s="13" t="s">
        <v>128</v>
      </c>
      <c r="I225" s="12" t="s">
        <v>143</v>
      </c>
      <c r="J225" s="33"/>
    </row>
    <row r="226" spans="1:10" x14ac:dyDescent="0.2">
      <c r="A226" s="46"/>
      <c r="B226" s="83" t="s">
        <v>103</v>
      </c>
      <c r="C226" s="23">
        <v>2018</v>
      </c>
      <c r="D226" s="21" t="s">
        <v>132</v>
      </c>
      <c r="E226" s="22">
        <v>16</v>
      </c>
      <c r="F226" s="215" t="s">
        <v>198</v>
      </c>
      <c r="G226" s="232" t="s">
        <v>112</v>
      </c>
      <c r="H226" s="13" t="s">
        <v>128</v>
      </c>
      <c r="I226" s="12" t="s">
        <v>146</v>
      </c>
      <c r="J226" s="33" t="s">
        <v>175</v>
      </c>
    </row>
    <row r="227" spans="1:10" ht="17" thickBot="1" x14ac:dyDescent="0.25">
      <c r="A227" s="46"/>
      <c r="B227" s="187" t="s">
        <v>103</v>
      </c>
      <c r="C227" s="157">
        <v>2018</v>
      </c>
      <c r="D227" s="37" t="s">
        <v>161</v>
      </c>
      <c r="E227" s="37">
        <v>12</v>
      </c>
      <c r="F227" s="214" t="s">
        <v>204</v>
      </c>
      <c r="G227" s="189" t="s">
        <v>112</v>
      </c>
      <c r="H227" s="139" t="s">
        <v>128</v>
      </c>
      <c r="I227" s="134" t="s">
        <v>146</v>
      </c>
      <c r="J227" s="135" t="s">
        <v>174</v>
      </c>
    </row>
    <row r="228" spans="1:10" x14ac:dyDescent="0.2">
      <c r="A228" s="46" t="s">
        <v>200</v>
      </c>
      <c r="B228" s="127" t="s">
        <v>104</v>
      </c>
      <c r="C228" s="23">
        <v>2018</v>
      </c>
      <c r="D228" s="21" t="s">
        <v>125</v>
      </c>
      <c r="E228" s="22">
        <v>16</v>
      </c>
      <c r="F228" s="221" t="s">
        <v>196</v>
      </c>
      <c r="G228" s="62">
        <f>39.197+19.708+0.683+50.165</f>
        <v>109.753</v>
      </c>
      <c r="H228" s="13" t="s">
        <v>128</v>
      </c>
      <c r="I228" s="6" t="s">
        <v>143</v>
      </c>
      <c r="J228" s="33"/>
    </row>
    <row r="229" spans="1:10" x14ac:dyDescent="0.2">
      <c r="A229" s="46"/>
      <c r="B229" s="84" t="s">
        <v>104</v>
      </c>
      <c r="C229" s="23">
        <v>2018</v>
      </c>
      <c r="D229" s="21" t="s">
        <v>126</v>
      </c>
      <c r="E229" s="22">
        <v>14</v>
      </c>
      <c r="F229" s="215" t="s">
        <v>197</v>
      </c>
      <c r="G229" s="62">
        <f>38.684+17.408+40.916</f>
        <v>97.007999999999996</v>
      </c>
      <c r="H229" s="13" t="s">
        <v>128</v>
      </c>
      <c r="I229" s="6" t="s">
        <v>143</v>
      </c>
      <c r="J229" s="33"/>
    </row>
    <row r="230" spans="1:10" x14ac:dyDescent="0.2">
      <c r="A230" s="46"/>
      <c r="B230" s="84" t="s">
        <v>104</v>
      </c>
      <c r="C230" s="23">
        <v>2018</v>
      </c>
      <c r="D230" s="21" t="s">
        <v>132</v>
      </c>
      <c r="E230" s="22">
        <v>16</v>
      </c>
      <c r="F230" s="215" t="s">
        <v>198</v>
      </c>
      <c r="G230" s="232" t="s">
        <v>112</v>
      </c>
      <c r="H230" s="13" t="s">
        <v>128</v>
      </c>
      <c r="I230" s="12" t="s">
        <v>146</v>
      </c>
      <c r="J230" s="33" t="s">
        <v>175</v>
      </c>
    </row>
    <row r="231" spans="1:10" ht="17" thickBot="1" x14ac:dyDescent="0.25">
      <c r="B231" s="129" t="s">
        <v>104</v>
      </c>
      <c r="C231" s="157">
        <v>2018</v>
      </c>
      <c r="D231" s="37" t="s">
        <v>161</v>
      </c>
      <c r="E231" s="37">
        <v>12</v>
      </c>
      <c r="F231" s="213" t="s">
        <v>204</v>
      </c>
      <c r="G231" s="189" t="s">
        <v>112</v>
      </c>
      <c r="H231" s="139" t="s">
        <v>128</v>
      </c>
      <c r="I231" s="134" t="s">
        <v>146</v>
      </c>
      <c r="J231" s="135" t="s">
        <v>174</v>
      </c>
    </row>
    <row r="232" spans="1:10" x14ac:dyDescent="0.2">
      <c r="A232" s="46"/>
      <c r="B232" s="83" t="s">
        <v>105</v>
      </c>
      <c r="C232" s="23">
        <v>2018</v>
      </c>
      <c r="D232" s="21" t="s">
        <v>125</v>
      </c>
      <c r="E232" s="22">
        <v>16</v>
      </c>
      <c r="F232" s="221" t="s">
        <v>196</v>
      </c>
      <c r="G232" s="62">
        <f>14.476+91.889+4.433+0.475+16.878+0.385+5.45+3.548+2.586+0.908+1.643+23.521</f>
        <v>166.19200000000001</v>
      </c>
      <c r="H232" s="13" t="s">
        <v>128</v>
      </c>
      <c r="I232" s="6" t="s">
        <v>143</v>
      </c>
      <c r="J232" s="33"/>
    </row>
    <row r="233" spans="1:10" x14ac:dyDescent="0.2">
      <c r="A233" s="46"/>
      <c r="B233" s="84" t="s">
        <v>105</v>
      </c>
      <c r="C233" s="23">
        <v>2018</v>
      </c>
      <c r="D233" s="21" t="s">
        <v>126</v>
      </c>
      <c r="E233" s="22">
        <v>14</v>
      </c>
      <c r="F233" s="215" t="s">
        <v>197</v>
      </c>
      <c r="G233" s="62">
        <f>6.859+1.599+2.976+1.336+9.923+7.396+65.104+0.164+0.271+1.151+0.309+5.899+7.086+4.19+2.627</f>
        <v>116.88999999999999</v>
      </c>
      <c r="H233" s="13" t="s">
        <v>128</v>
      </c>
      <c r="I233" s="6" t="s">
        <v>143</v>
      </c>
      <c r="J233" s="33"/>
    </row>
    <row r="234" spans="1:10" x14ac:dyDescent="0.2">
      <c r="B234" s="84" t="s">
        <v>105</v>
      </c>
      <c r="C234" s="23">
        <v>2018</v>
      </c>
      <c r="D234" s="21" t="s">
        <v>132</v>
      </c>
      <c r="E234" s="22">
        <v>16</v>
      </c>
      <c r="F234" s="215" t="s">
        <v>198</v>
      </c>
      <c r="G234" s="232" t="s">
        <v>112</v>
      </c>
      <c r="H234" s="13" t="s">
        <v>128</v>
      </c>
      <c r="I234" s="6" t="s">
        <v>146</v>
      </c>
      <c r="J234" s="42" t="s">
        <v>178</v>
      </c>
    </row>
    <row r="235" spans="1:10" ht="17" thickBot="1" x14ac:dyDescent="0.25">
      <c r="A235" s="46"/>
      <c r="B235" s="188" t="s">
        <v>105</v>
      </c>
      <c r="C235" s="157">
        <v>2018</v>
      </c>
      <c r="D235" s="37" t="s">
        <v>161</v>
      </c>
      <c r="E235" s="37">
        <v>12</v>
      </c>
      <c r="F235" s="213" t="s">
        <v>204</v>
      </c>
      <c r="G235" s="233">
        <f>8.94+55.624+14.537+5.411+2.789+2.819+5.88+2.172+7.548+22.261</f>
        <v>127.98100000000001</v>
      </c>
      <c r="H235" s="139" t="s">
        <v>128</v>
      </c>
      <c r="I235" s="134" t="s">
        <v>143</v>
      </c>
      <c r="J235" s="135"/>
    </row>
    <row r="236" spans="1:10" x14ac:dyDescent="0.2">
      <c r="A236" s="46"/>
      <c r="B236" s="127" t="s">
        <v>106</v>
      </c>
      <c r="C236" s="23">
        <v>2018</v>
      </c>
      <c r="D236" s="21" t="s">
        <v>125</v>
      </c>
      <c r="E236" s="22">
        <v>16</v>
      </c>
      <c r="F236" s="221" t="s">
        <v>196</v>
      </c>
      <c r="G236" s="232">
        <f>96.955+8.43+2.666+39.231+207.076+0.747+0.57+5.16+22.699+1.06+1.493+1.187+0.875+1.635</f>
        <v>389.78399999999999</v>
      </c>
      <c r="H236" s="13" t="s">
        <v>128</v>
      </c>
      <c r="I236" s="6" t="s">
        <v>143</v>
      </c>
      <c r="J236" s="33"/>
    </row>
    <row r="237" spans="1:10" x14ac:dyDescent="0.2">
      <c r="A237" s="46"/>
      <c r="B237" s="84" t="s">
        <v>106</v>
      </c>
      <c r="C237" s="23">
        <v>2018</v>
      </c>
      <c r="D237" s="21" t="s">
        <v>126</v>
      </c>
      <c r="E237" s="22">
        <v>14</v>
      </c>
      <c r="F237" s="215" t="s">
        <v>197</v>
      </c>
      <c r="G237" s="232">
        <f>8.982+34.633+7.181+16.022+27.183+23.706+6.188+29.19+4.69+32.568+39.97+2.399+1.689+0.85+65.359+5.34+0.852+0.655+4.348</f>
        <v>311.80499999999995</v>
      </c>
      <c r="H237" s="13" t="s">
        <v>128</v>
      </c>
      <c r="I237" s="6" t="s">
        <v>171</v>
      </c>
      <c r="J237" s="33" t="s">
        <v>156</v>
      </c>
    </row>
    <row r="238" spans="1:10" x14ac:dyDescent="0.2">
      <c r="A238" s="46"/>
      <c r="B238" s="84" t="s">
        <v>106</v>
      </c>
      <c r="C238" s="23">
        <v>2018</v>
      </c>
      <c r="D238" s="21" t="s">
        <v>132</v>
      </c>
      <c r="E238" s="22">
        <v>16</v>
      </c>
      <c r="F238" s="215" t="s">
        <v>198</v>
      </c>
      <c r="G238" s="232" t="s">
        <v>112</v>
      </c>
      <c r="H238" s="13" t="s">
        <v>128</v>
      </c>
      <c r="I238" s="6" t="s">
        <v>146</v>
      </c>
      <c r="J238" s="42" t="s">
        <v>178</v>
      </c>
    </row>
    <row r="239" spans="1:10" ht="17" thickBot="1" x14ac:dyDescent="0.25">
      <c r="A239" s="46"/>
      <c r="B239" s="129" t="s">
        <v>106</v>
      </c>
      <c r="C239" s="157">
        <v>2018</v>
      </c>
      <c r="D239" s="37" t="s">
        <v>161</v>
      </c>
      <c r="E239" s="37">
        <v>12</v>
      </c>
      <c r="F239" s="213" t="s">
        <v>204</v>
      </c>
      <c r="G239" s="233">
        <f>1.254+1.069+0.368+28.791+4.483+12.206+69.27+47.59+11.204+5.046+67.893+0.687+6.583+1.107+3.313+0.528+6.544+32.429+2.602+1.083+3.694+2.224</f>
        <v>309.96800000000002</v>
      </c>
      <c r="H239" s="139" t="s">
        <v>128</v>
      </c>
      <c r="I239" s="134" t="s">
        <v>143</v>
      </c>
      <c r="J239" s="135"/>
    </row>
    <row r="240" spans="1:10" x14ac:dyDescent="0.2">
      <c r="A240" s="46"/>
      <c r="B240" s="83" t="s">
        <v>107</v>
      </c>
      <c r="C240" s="23">
        <v>2018</v>
      </c>
      <c r="D240" s="21" t="s">
        <v>125</v>
      </c>
      <c r="E240" s="22">
        <v>16</v>
      </c>
      <c r="F240" s="221" t="s">
        <v>196</v>
      </c>
      <c r="G240" s="196">
        <v>4.1760000000000002</v>
      </c>
      <c r="H240" s="13" t="s">
        <v>128</v>
      </c>
      <c r="I240" s="6" t="s">
        <v>143</v>
      </c>
      <c r="J240" s="33"/>
    </row>
    <row r="241" spans="1:10" x14ac:dyDescent="0.2">
      <c r="A241" s="46"/>
      <c r="B241" s="84" t="s">
        <v>107</v>
      </c>
      <c r="C241" s="23">
        <v>2018</v>
      </c>
      <c r="D241" s="21" t="s">
        <v>126</v>
      </c>
      <c r="E241" s="22">
        <v>14</v>
      </c>
      <c r="F241" s="215" t="s">
        <v>197</v>
      </c>
      <c r="G241" s="196">
        <v>5.57</v>
      </c>
      <c r="H241" s="13" t="s">
        <v>128</v>
      </c>
      <c r="I241" s="6" t="s">
        <v>143</v>
      </c>
      <c r="J241" s="33"/>
    </row>
    <row r="242" spans="1:10" x14ac:dyDescent="0.2">
      <c r="A242" s="46"/>
      <c r="B242" s="84" t="s">
        <v>107</v>
      </c>
      <c r="C242" s="23">
        <v>2018</v>
      </c>
      <c r="D242" s="21" t="s">
        <v>132</v>
      </c>
      <c r="E242" s="22">
        <v>16</v>
      </c>
      <c r="F242" s="215" t="s">
        <v>198</v>
      </c>
      <c r="G242" s="196">
        <v>4.5049999999999999</v>
      </c>
      <c r="H242" s="13" t="s">
        <v>128</v>
      </c>
      <c r="I242" s="6" t="s">
        <v>144</v>
      </c>
      <c r="J242" s="33"/>
    </row>
    <row r="243" spans="1:10" ht="17" thickBot="1" x14ac:dyDescent="0.25">
      <c r="A243" s="46"/>
      <c r="B243" s="188" t="s">
        <v>107</v>
      </c>
      <c r="C243" s="157">
        <v>2018</v>
      </c>
      <c r="D243" s="37" t="s">
        <v>161</v>
      </c>
      <c r="E243" s="37">
        <v>12</v>
      </c>
      <c r="F243" s="213" t="s">
        <v>204</v>
      </c>
      <c r="G243" s="197">
        <v>4.7519999999999998</v>
      </c>
      <c r="H243" s="139" t="s">
        <v>128</v>
      </c>
      <c r="I243" s="134" t="s">
        <v>143</v>
      </c>
      <c r="J243" s="135"/>
    </row>
    <row r="244" spans="1:10" x14ac:dyDescent="0.2">
      <c r="A244" s="46"/>
      <c r="B244" s="127" t="s">
        <v>108</v>
      </c>
      <c r="C244" s="23">
        <v>2018</v>
      </c>
      <c r="D244" s="21" t="s">
        <v>125</v>
      </c>
      <c r="E244" s="22">
        <v>16</v>
      </c>
      <c r="F244" s="221" t="s">
        <v>196</v>
      </c>
      <c r="G244" s="62">
        <f>6.464+286.193+0.452+2.253+0.936+1.992+0.634+10.864+0.819</f>
        <v>310.60699999999997</v>
      </c>
      <c r="H244" s="13" t="s">
        <v>128</v>
      </c>
      <c r="I244" s="6" t="s">
        <v>143</v>
      </c>
      <c r="J244" s="33"/>
    </row>
    <row r="245" spans="1:10" x14ac:dyDescent="0.2">
      <c r="A245" s="46"/>
      <c r="B245" s="84" t="s">
        <v>108</v>
      </c>
      <c r="C245" s="23">
        <v>2018</v>
      </c>
      <c r="D245" s="21" t="s">
        <v>126</v>
      </c>
      <c r="E245" s="22">
        <v>14</v>
      </c>
      <c r="F245" s="215" t="s">
        <v>197</v>
      </c>
      <c r="G245" s="62">
        <f>3.755+0.48+0.538+0.692+0.105+0.155+1.722+0.71+43.075+0.885+0.47+0.247+1.025+1.366+60.787+32.745+48.391+0.364</f>
        <v>197.512</v>
      </c>
      <c r="H245" s="13" t="s">
        <v>128</v>
      </c>
      <c r="I245" s="6" t="s">
        <v>143</v>
      </c>
      <c r="J245" s="33"/>
    </row>
    <row r="246" spans="1:10" x14ac:dyDescent="0.2">
      <c r="A246" s="46"/>
      <c r="B246" s="84" t="s">
        <v>108</v>
      </c>
      <c r="C246" s="23">
        <v>2018</v>
      </c>
      <c r="D246" s="21" t="s">
        <v>132</v>
      </c>
      <c r="E246" s="22">
        <v>16</v>
      </c>
      <c r="F246" s="215" t="s">
        <v>198</v>
      </c>
      <c r="G246" s="62">
        <f>1.512+4.483+0.683+7.979+32.442+14.007+0.893+0.641+0.456+1.926+42.975+0.509+0.948+14.646+34.544+2.239+0.599</f>
        <v>161.482</v>
      </c>
      <c r="H246" s="13" t="s">
        <v>128</v>
      </c>
      <c r="I246" s="6" t="s">
        <v>144</v>
      </c>
      <c r="J246" s="33"/>
    </row>
    <row r="247" spans="1:10" ht="17" thickBot="1" x14ac:dyDescent="0.25">
      <c r="A247" s="46"/>
      <c r="B247" s="129" t="s">
        <v>108</v>
      </c>
      <c r="C247" s="25">
        <v>2018</v>
      </c>
      <c r="D247" s="27" t="s">
        <v>161</v>
      </c>
      <c r="E247" s="27">
        <v>12</v>
      </c>
      <c r="F247" s="230" t="s">
        <v>204</v>
      </c>
      <c r="G247" s="63">
        <f>1.323+1.836+39.715+1.19+14.261+0.67+0.632+27+3.184+1.379+4.246+0.449+0.216+11.317+8.729+0.758+16.314+22.462+1.161+0.376+0.772+0.429+3.678+0.363+2.818+3.962</f>
        <v>169.23999999999998</v>
      </c>
      <c r="H247" s="64" t="s">
        <v>128</v>
      </c>
      <c r="I247" s="48" t="s">
        <v>143</v>
      </c>
      <c r="J247" s="31"/>
    </row>
    <row r="248" spans="1:10" x14ac:dyDescent="0.2">
      <c r="A248" s="46"/>
      <c r="B248" s="248" t="s">
        <v>93</v>
      </c>
      <c r="C248" s="128">
        <v>2018</v>
      </c>
      <c r="D248" s="110" t="s">
        <v>125</v>
      </c>
      <c r="E248" s="110">
        <v>16</v>
      </c>
      <c r="F248" s="234" t="s">
        <v>196</v>
      </c>
      <c r="G248" s="249">
        <f>416.3+1.241</f>
        <v>417.541</v>
      </c>
      <c r="H248" s="112" t="s">
        <v>128</v>
      </c>
      <c r="I248" s="117" t="s">
        <v>143</v>
      </c>
      <c r="J248" s="118"/>
    </row>
    <row r="249" spans="1:10" x14ac:dyDescent="0.2">
      <c r="A249" s="46"/>
      <c r="B249" s="85" t="s">
        <v>93</v>
      </c>
      <c r="C249" s="23">
        <v>2018</v>
      </c>
      <c r="D249" s="21" t="s">
        <v>126</v>
      </c>
      <c r="E249" s="21">
        <v>14</v>
      </c>
      <c r="F249" s="227" t="s">
        <v>197</v>
      </c>
      <c r="G249" s="62">
        <f>381.6+0.601+0.302</f>
        <v>382.50300000000004</v>
      </c>
      <c r="H249" s="13" t="s">
        <v>128</v>
      </c>
      <c r="I249" s="6" t="s">
        <v>143</v>
      </c>
      <c r="J249" s="33"/>
    </row>
    <row r="250" spans="1:10" x14ac:dyDescent="0.2">
      <c r="A250" s="46"/>
      <c r="B250" s="85" t="s">
        <v>93</v>
      </c>
      <c r="C250" s="23">
        <v>2018</v>
      </c>
      <c r="D250" s="21" t="s">
        <v>132</v>
      </c>
      <c r="E250" s="21">
        <v>16</v>
      </c>
      <c r="F250" s="227" t="s">
        <v>198</v>
      </c>
      <c r="G250" s="62" t="s">
        <v>112</v>
      </c>
      <c r="H250" s="13" t="s">
        <v>128</v>
      </c>
      <c r="I250" s="6" t="s">
        <v>146</v>
      </c>
      <c r="J250" s="33" t="s">
        <v>175</v>
      </c>
    </row>
    <row r="251" spans="1:10" ht="17" thickBot="1" x14ac:dyDescent="0.25">
      <c r="A251" s="46"/>
      <c r="B251" s="190" t="s">
        <v>93</v>
      </c>
      <c r="C251" s="157">
        <v>2018</v>
      </c>
      <c r="D251" s="37" t="s">
        <v>161</v>
      </c>
      <c r="E251" s="37">
        <v>12</v>
      </c>
      <c r="F251" s="222" t="s">
        <v>204</v>
      </c>
      <c r="G251" s="189">
        <f>344.648</f>
        <v>344.64800000000002</v>
      </c>
      <c r="H251" s="139" t="s">
        <v>128</v>
      </c>
      <c r="I251" s="140" t="s">
        <v>143</v>
      </c>
      <c r="J251" s="135"/>
    </row>
    <row r="252" spans="1:10" x14ac:dyDescent="0.2">
      <c r="A252" s="46"/>
      <c r="B252" s="191" t="s">
        <v>94</v>
      </c>
      <c r="C252" s="23">
        <v>2018</v>
      </c>
      <c r="D252" s="21" t="s">
        <v>125</v>
      </c>
      <c r="E252" s="21">
        <v>16</v>
      </c>
      <c r="F252" s="227" t="s">
        <v>196</v>
      </c>
      <c r="G252" s="62">
        <f>134.907+10.916+0.399+9.052+0.936</f>
        <v>156.21</v>
      </c>
      <c r="H252" s="13" t="s">
        <v>128</v>
      </c>
      <c r="I252" s="12" t="s">
        <v>143</v>
      </c>
      <c r="J252" s="33" t="s">
        <v>176</v>
      </c>
    </row>
    <row r="253" spans="1:10" x14ac:dyDescent="0.2">
      <c r="A253" s="46" t="s">
        <v>200</v>
      </c>
      <c r="B253" s="86" t="s">
        <v>94</v>
      </c>
      <c r="C253" s="23">
        <v>2018</v>
      </c>
      <c r="D253" s="21" t="s">
        <v>126</v>
      </c>
      <c r="E253" s="21">
        <v>14</v>
      </c>
      <c r="F253" s="227" t="s">
        <v>197</v>
      </c>
      <c r="G253" s="62">
        <f>123.31+3.401+2.085+1.105+4.014+0.421</f>
        <v>134.33599999999998</v>
      </c>
      <c r="H253" s="13" t="s">
        <v>128</v>
      </c>
      <c r="I253" s="12" t="s">
        <v>143</v>
      </c>
      <c r="J253" s="33" t="s">
        <v>176</v>
      </c>
    </row>
    <row r="254" spans="1:10" x14ac:dyDescent="0.2">
      <c r="A254" s="46"/>
      <c r="B254" s="86" t="s">
        <v>94</v>
      </c>
      <c r="C254" s="23">
        <v>2018</v>
      </c>
      <c r="D254" s="21" t="s">
        <v>132</v>
      </c>
      <c r="E254" s="21">
        <v>16</v>
      </c>
      <c r="F254" s="227" t="s">
        <v>198</v>
      </c>
      <c r="G254" s="62" t="s">
        <v>112</v>
      </c>
      <c r="H254" s="13" t="s">
        <v>128</v>
      </c>
      <c r="I254" s="12" t="s">
        <v>146</v>
      </c>
      <c r="J254" s="33" t="s">
        <v>175</v>
      </c>
    </row>
    <row r="255" spans="1:10" ht="17" thickBot="1" x14ac:dyDescent="0.25">
      <c r="A255" s="46"/>
      <c r="B255" s="192" t="s">
        <v>94</v>
      </c>
      <c r="C255" s="157">
        <v>2018</v>
      </c>
      <c r="D255" s="37" t="s">
        <v>161</v>
      </c>
      <c r="E255" s="37">
        <v>12</v>
      </c>
      <c r="F255" s="222" t="s">
        <v>204</v>
      </c>
      <c r="G255" s="189">
        <f>109.654+2.842+1.535+2.58</f>
        <v>116.61099999999999</v>
      </c>
      <c r="H255" s="139" t="s">
        <v>128</v>
      </c>
      <c r="I255" s="211" t="s">
        <v>143</v>
      </c>
      <c r="J255" s="135"/>
    </row>
    <row r="256" spans="1:10" x14ac:dyDescent="0.2">
      <c r="A256" s="46"/>
      <c r="B256" s="88" t="s">
        <v>95</v>
      </c>
      <c r="C256" s="23">
        <v>2018</v>
      </c>
      <c r="D256" s="21" t="s">
        <v>125</v>
      </c>
      <c r="E256" s="21">
        <v>16</v>
      </c>
      <c r="F256" s="227" t="s">
        <v>196</v>
      </c>
      <c r="G256" s="62">
        <f>477.983+1.756+0.269+0.314</f>
        <v>480.322</v>
      </c>
      <c r="H256" s="13" t="s">
        <v>128</v>
      </c>
      <c r="I256" s="12" t="s">
        <v>143</v>
      </c>
      <c r="J256" s="33"/>
    </row>
    <row r="257" spans="1:10" x14ac:dyDescent="0.2">
      <c r="A257" s="46"/>
      <c r="B257" s="86" t="s">
        <v>95</v>
      </c>
      <c r="C257" s="23">
        <v>2018</v>
      </c>
      <c r="D257" s="21" t="s">
        <v>126</v>
      </c>
      <c r="E257" s="21">
        <v>14</v>
      </c>
      <c r="F257" s="227" t="s">
        <v>197</v>
      </c>
      <c r="G257" s="62">
        <f>436.643+0.229+1.707+0.419+0.53</f>
        <v>439.52799999999991</v>
      </c>
      <c r="H257" s="13" t="s">
        <v>128</v>
      </c>
      <c r="I257" s="12" t="s">
        <v>143</v>
      </c>
      <c r="J257" s="33"/>
    </row>
    <row r="258" spans="1:10" x14ac:dyDescent="0.2">
      <c r="A258" s="46"/>
      <c r="B258" s="86" t="s">
        <v>95</v>
      </c>
      <c r="C258" s="23">
        <v>2018</v>
      </c>
      <c r="D258" s="21" t="s">
        <v>132</v>
      </c>
      <c r="E258" s="21">
        <v>16</v>
      </c>
      <c r="F258" s="227" t="s">
        <v>198</v>
      </c>
      <c r="G258" s="62">
        <f>246.646+126.887+2.215</f>
        <v>375.74799999999999</v>
      </c>
      <c r="H258" s="13" t="s">
        <v>128</v>
      </c>
      <c r="I258" s="12" t="s">
        <v>144</v>
      </c>
      <c r="J258" s="33"/>
    </row>
    <row r="259" spans="1:10" ht="17" thickBot="1" x14ac:dyDescent="0.25">
      <c r="A259" s="46"/>
      <c r="B259" s="87" t="s">
        <v>95</v>
      </c>
      <c r="C259" s="157">
        <v>2018</v>
      </c>
      <c r="D259" s="37" t="s">
        <v>161</v>
      </c>
      <c r="E259" s="37">
        <v>12</v>
      </c>
      <c r="F259" s="222" t="s">
        <v>204</v>
      </c>
      <c r="G259" s="189">
        <f>155.199+24.33+2.507+0.837+11.079+2.51+4.527+126.717</f>
        <v>327.70599999999996</v>
      </c>
      <c r="H259" s="139" t="s">
        <v>128</v>
      </c>
      <c r="I259" s="140" t="s">
        <v>143</v>
      </c>
      <c r="J259" s="135"/>
    </row>
    <row r="260" spans="1:10" x14ac:dyDescent="0.2">
      <c r="A260" s="46"/>
      <c r="B260" s="191" t="s">
        <v>96</v>
      </c>
      <c r="C260" s="23">
        <v>2018</v>
      </c>
      <c r="D260" s="21" t="s">
        <v>125</v>
      </c>
      <c r="E260" s="21">
        <v>16</v>
      </c>
      <c r="F260" s="227" t="s">
        <v>196</v>
      </c>
      <c r="G260" s="62">
        <v>283.952</v>
      </c>
      <c r="H260" s="13" t="s">
        <v>128</v>
      </c>
      <c r="I260" s="12" t="s">
        <v>143</v>
      </c>
      <c r="J260" s="33"/>
    </row>
    <row r="261" spans="1:10" x14ac:dyDescent="0.2">
      <c r="A261" s="46"/>
      <c r="B261" s="86" t="s">
        <v>96</v>
      </c>
      <c r="C261" s="23">
        <v>2018</v>
      </c>
      <c r="D261" s="21" t="s">
        <v>126</v>
      </c>
      <c r="E261" s="21">
        <v>14</v>
      </c>
      <c r="F261" s="227" t="s">
        <v>197</v>
      </c>
      <c r="G261" s="62">
        <f>136.15+81.713+32.734+0.408</f>
        <v>251.005</v>
      </c>
      <c r="H261" s="13" t="s">
        <v>128</v>
      </c>
      <c r="I261" s="12" t="s">
        <v>143</v>
      </c>
      <c r="J261" s="33"/>
    </row>
    <row r="262" spans="1:10" x14ac:dyDescent="0.2">
      <c r="A262" s="46"/>
      <c r="B262" s="86" t="s">
        <v>96</v>
      </c>
      <c r="C262" s="23">
        <v>2018</v>
      </c>
      <c r="D262" s="21" t="s">
        <v>132</v>
      </c>
      <c r="E262" s="21">
        <v>16</v>
      </c>
      <c r="F262" s="227" t="s">
        <v>198</v>
      </c>
      <c r="G262" s="62">
        <f>8.515+36.566+33.52+21.98+46.444+29.535+0.942</f>
        <v>177.50200000000001</v>
      </c>
      <c r="H262" s="13" t="s">
        <v>128</v>
      </c>
      <c r="I262" s="12" t="s">
        <v>144</v>
      </c>
      <c r="J262" s="33"/>
    </row>
    <row r="263" spans="1:10" ht="17" thickBot="1" x14ac:dyDescent="0.25">
      <c r="A263" s="46"/>
      <c r="B263" s="192" t="s">
        <v>96</v>
      </c>
      <c r="C263" s="157">
        <v>2018</v>
      </c>
      <c r="D263" s="37" t="s">
        <v>161</v>
      </c>
      <c r="E263" s="37">
        <v>12</v>
      </c>
      <c r="F263" s="222" t="s">
        <v>204</v>
      </c>
      <c r="G263" s="189">
        <f>45.226+30.146+19.963+50.625+4.573+26.391</f>
        <v>176.92400000000001</v>
      </c>
      <c r="H263" s="139" t="s">
        <v>128</v>
      </c>
      <c r="I263" s="140" t="s">
        <v>143</v>
      </c>
      <c r="J263" s="135"/>
    </row>
    <row r="264" spans="1:10" x14ac:dyDescent="0.2">
      <c r="A264" s="46"/>
      <c r="B264" s="88" t="s">
        <v>97</v>
      </c>
      <c r="C264" s="23">
        <v>2018</v>
      </c>
      <c r="D264" s="21" t="s">
        <v>125</v>
      </c>
      <c r="E264" s="21">
        <v>16</v>
      </c>
      <c r="F264" s="227" t="s">
        <v>196</v>
      </c>
      <c r="G264" s="62">
        <f>12.728+13.491+0.684+6.767+9.439+2.169+0.63+3.873+76.495+0.141+37.406+8.47</f>
        <v>172.29300000000001</v>
      </c>
      <c r="H264" s="13" t="s">
        <v>128</v>
      </c>
      <c r="I264" s="12" t="s">
        <v>144</v>
      </c>
      <c r="J264" s="33"/>
    </row>
    <row r="265" spans="1:10" x14ac:dyDescent="0.2">
      <c r="A265" s="46"/>
      <c r="B265" s="86" t="s">
        <v>97</v>
      </c>
      <c r="C265" s="23">
        <v>2018</v>
      </c>
      <c r="D265" s="21" t="s">
        <v>126</v>
      </c>
      <c r="E265" s="21">
        <v>14</v>
      </c>
      <c r="F265" s="227" t="s">
        <v>197</v>
      </c>
      <c r="G265" s="62">
        <f>15.807+10.809+4.075+1.911+77.29+2.88+6.477+24.885+4.407+1.772+16.382+0.812</f>
        <v>167.50700000000001</v>
      </c>
      <c r="H265" s="13" t="s">
        <v>128</v>
      </c>
      <c r="I265" s="12" t="s">
        <v>143</v>
      </c>
      <c r="J265" s="33"/>
    </row>
    <row r="266" spans="1:10" x14ac:dyDescent="0.2">
      <c r="A266" s="46"/>
      <c r="B266" s="86" t="s">
        <v>97</v>
      </c>
      <c r="C266" s="23">
        <v>2018</v>
      </c>
      <c r="D266" s="21" t="s">
        <v>132</v>
      </c>
      <c r="E266" s="21">
        <v>16</v>
      </c>
      <c r="F266" s="227" t="s">
        <v>198</v>
      </c>
      <c r="G266" s="62" t="s">
        <v>112</v>
      </c>
      <c r="H266" s="13" t="s">
        <v>128</v>
      </c>
      <c r="I266" s="12" t="s">
        <v>146</v>
      </c>
      <c r="J266" s="33" t="s">
        <v>175</v>
      </c>
    </row>
    <row r="267" spans="1:10" ht="17" thickBot="1" x14ac:dyDescent="0.25">
      <c r="A267" s="46"/>
      <c r="B267" s="87" t="s">
        <v>97</v>
      </c>
      <c r="C267" s="157">
        <v>2018</v>
      </c>
      <c r="D267" s="37" t="s">
        <v>161</v>
      </c>
      <c r="E267" s="37">
        <v>12</v>
      </c>
      <c r="F267" s="222" t="s">
        <v>204</v>
      </c>
      <c r="G267" s="189">
        <f>0.9+5.337+2.696+1.914+13.156+1.098+2.89+1.553+28.696+2.004+8.28+1.063+6.067</f>
        <v>75.653999999999996</v>
      </c>
      <c r="H267" s="139" t="s">
        <v>128</v>
      </c>
      <c r="I267" s="134" t="s">
        <v>144</v>
      </c>
      <c r="J267" s="135" t="s">
        <v>179</v>
      </c>
    </row>
    <row r="268" spans="1:10" x14ac:dyDescent="0.2">
      <c r="A268" s="46"/>
      <c r="B268" s="193" t="s">
        <v>98</v>
      </c>
      <c r="C268" s="23">
        <v>2018</v>
      </c>
      <c r="D268" s="21" t="s">
        <v>125</v>
      </c>
      <c r="E268" s="21">
        <v>16</v>
      </c>
      <c r="F268" s="227" t="s">
        <v>196</v>
      </c>
      <c r="G268" s="62" t="s">
        <v>112</v>
      </c>
      <c r="H268" s="13" t="s">
        <v>128</v>
      </c>
      <c r="I268" s="6" t="s">
        <v>143</v>
      </c>
      <c r="J268" s="33" t="s">
        <v>129</v>
      </c>
    </row>
    <row r="269" spans="1:10" x14ac:dyDescent="0.2">
      <c r="A269" s="46"/>
      <c r="B269" s="86" t="s">
        <v>98</v>
      </c>
      <c r="C269" s="23">
        <v>2018</v>
      </c>
      <c r="D269" s="21" t="s">
        <v>126</v>
      </c>
      <c r="E269" s="21">
        <v>14</v>
      </c>
      <c r="F269" s="227" t="s">
        <v>197</v>
      </c>
      <c r="G269" s="62" t="s">
        <v>112</v>
      </c>
      <c r="H269" s="13" t="s">
        <v>128</v>
      </c>
      <c r="I269" s="6" t="s">
        <v>143</v>
      </c>
      <c r="J269" s="33" t="s">
        <v>129</v>
      </c>
    </row>
    <row r="270" spans="1:10" x14ac:dyDescent="0.2">
      <c r="B270" s="88" t="s">
        <v>98</v>
      </c>
      <c r="C270" s="23">
        <v>2018</v>
      </c>
      <c r="D270" s="21" t="s">
        <v>132</v>
      </c>
      <c r="E270" s="21">
        <v>16</v>
      </c>
      <c r="F270" s="227" t="s">
        <v>198</v>
      </c>
      <c r="G270" s="62" t="s">
        <v>112</v>
      </c>
      <c r="H270" s="13" t="s">
        <v>128</v>
      </c>
      <c r="I270" s="6" t="s">
        <v>146</v>
      </c>
      <c r="J270" s="33" t="s">
        <v>129</v>
      </c>
    </row>
    <row r="271" spans="1:10" ht="17" thickBot="1" x14ac:dyDescent="0.25">
      <c r="B271" s="89" t="s">
        <v>98</v>
      </c>
      <c r="C271" s="25">
        <v>2018</v>
      </c>
      <c r="D271" s="27" t="s">
        <v>161</v>
      </c>
      <c r="E271" s="27">
        <v>12</v>
      </c>
      <c r="F271" s="236" t="s">
        <v>204</v>
      </c>
      <c r="G271" s="63" t="s">
        <v>112</v>
      </c>
      <c r="H271" s="64" t="s">
        <v>128</v>
      </c>
      <c r="I271" s="48" t="s">
        <v>143</v>
      </c>
      <c r="J271" s="31" t="s">
        <v>129</v>
      </c>
    </row>
  </sheetData>
  <sortState xmlns:xlrd2="http://schemas.microsoft.com/office/spreadsheetml/2017/richdata2" ref="B123:J271">
    <sortCondition sortBy="cellColor" ref="B123:B271" dxfId="10"/>
    <sortCondition sortBy="cellColor" ref="B123:B271" dxfId="9"/>
    <sortCondition sortBy="cellColor" ref="B123:B271" dxfId="8"/>
    <sortCondition sortBy="cellColor" ref="B123:B271" dxfId="7"/>
    <sortCondition sortBy="cellColor" ref="B123:B271" dxfId="6"/>
    <sortCondition sortBy="cellColor" ref="B123:B271" dxfId="5"/>
    <sortCondition sortBy="cellColor" ref="B123:B271" dxfId="4"/>
    <sortCondition sortBy="cellColor" ref="B123:B271" dxfId="3"/>
    <sortCondition sortBy="cellColor" ref="B123:B271" dxfId="2"/>
    <sortCondition sortBy="cellColor" ref="B123:B271" dxfId="1"/>
    <sortCondition sortBy="cellColor" ref="B123:B271" dxfId="0"/>
  </sortStat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F206-F8F0-A841-92EB-51FF93D0227D}">
  <dimension ref="A1:J96"/>
  <sheetViews>
    <sheetView topLeftCell="A62" workbookViewId="0">
      <selection activeCell="J60" sqref="J60:J65"/>
    </sheetView>
  </sheetViews>
  <sheetFormatPr baseColWidth="10" defaultRowHeight="16" x14ac:dyDescent="0.2"/>
  <cols>
    <col min="2" max="2" width="17.6640625" customWidth="1"/>
    <col min="3" max="3" width="16.1640625" customWidth="1"/>
    <col min="4" max="6" width="15.5" customWidth="1"/>
    <col min="7" max="7" width="23.83203125" customWidth="1"/>
    <col min="8" max="8" width="18.83203125" customWidth="1"/>
    <col min="9" max="9" width="18.1640625" customWidth="1"/>
    <col min="10" max="10" width="87" customWidth="1"/>
  </cols>
  <sheetData>
    <row r="1" spans="1:10" ht="17" thickBot="1" x14ac:dyDescent="0.25"/>
    <row r="2" spans="1:10" ht="17" thickBot="1" x14ac:dyDescent="0.25">
      <c r="B2" s="202" t="s">
        <v>0</v>
      </c>
      <c r="C2" s="203" t="s">
        <v>120</v>
      </c>
      <c r="D2" s="203" t="s">
        <v>118</v>
      </c>
      <c r="E2" s="204" t="s">
        <v>119</v>
      </c>
      <c r="F2" s="204" t="s">
        <v>188</v>
      </c>
      <c r="G2" s="203" t="s">
        <v>1</v>
      </c>
      <c r="H2" s="204" t="s">
        <v>121</v>
      </c>
      <c r="I2" s="203" t="s">
        <v>142</v>
      </c>
      <c r="J2" s="205" t="s">
        <v>122</v>
      </c>
    </row>
    <row r="3" spans="1:10" x14ac:dyDescent="0.2">
      <c r="B3" s="143" t="s">
        <v>76</v>
      </c>
      <c r="C3" s="108">
        <v>2019</v>
      </c>
      <c r="D3" s="110" t="s">
        <v>125</v>
      </c>
      <c r="E3" s="252">
        <v>23</v>
      </c>
      <c r="F3" s="251" t="s">
        <v>207</v>
      </c>
      <c r="G3" s="120" t="s">
        <v>112</v>
      </c>
      <c r="H3" s="253" t="s">
        <v>128</v>
      </c>
      <c r="I3" s="254" t="s">
        <v>146</v>
      </c>
      <c r="J3" s="255" t="s">
        <v>182</v>
      </c>
    </row>
    <row r="4" spans="1:10" x14ac:dyDescent="0.2">
      <c r="B4" s="66" t="s">
        <v>77</v>
      </c>
      <c r="C4" s="59">
        <v>2019</v>
      </c>
      <c r="D4" s="21" t="s">
        <v>125</v>
      </c>
      <c r="E4" s="38">
        <v>23</v>
      </c>
      <c r="F4" s="214" t="s">
        <v>207</v>
      </c>
      <c r="G4" s="6" t="s">
        <v>112</v>
      </c>
      <c r="H4" s="30" t="s">
        <v>128</v>
      </c>
      <c r="I4" s="50" t="s">
        <v>146</v>
      </c>
      <c r="J4" s="16" t="s">
        <v>182</v>
      </c>
    </row>
    <row r="5" spans="1:10" x14ac:dyDescent="0.2">
      <c r="B5" s="66" t="s">
        <v>78</v>
      </c>
      <c r="C5" s="59">
        <v>2019</v>
      </c>
      <c r="D5" s="21" t="s">
        <v>125</v>
      </c>
      <c r="E5" s="23">
        <v>23</v>
      </c>
      <c r="F5" s="214" t="s">
        <v>207</v>
      </c>
      <c r="G5" s="5" t="s">
        <v>112</v>
      </c>
      <c r="H5" s="30" t="s">
        <v>128</v>
      </c>
      <c r="I5" s="50" t="s">
        <v>146</v>
      </c>
      <c r="J5" s="16" t="s">
        <v>182</v>
      </c>
    </row>
    <row r="6" spans="1:10" x14ac:dyDescent="0.2">
      <c r="B6" s="66" t="s">
        <v>79</v>
      </c>
      <c r="C6" s="59">
        <v>2019</v>
      </c>
      <c r="D6" s="21" t="s">
        <v>125</v>
      </c>
      <c r="E6" s="38">
        <v>23</v>
      </c>
      <c r="F6" s="214" t="s">
        <v>207</v>
      </c>
      <c r="G6" s="5" t="s">
        <v>112</v>
      </c>
      <c r="H6" s="30" t="s">
        <v>128</v>
      </c>
      <c r="I6" s="50" t="s">
        <v>146</v>
      </c>
      <c r="J6" s="16" t="s">
        <v>182</v>
      </c>
    </row>
    <row r="7" spans="1:10" x14ac:dyDescent="0.2">
      <c r="B7" s="66" t="s">
        <v>80</v>
      </c>
      <c r="C7" s="59">
        <v>2019</v>
      </c>
      <c r="D7" s="21" t="s">
        <v>125</v>
      </c>
      <c r="E7" s="38">
        <v>23</v>
      </c>
      <c r="F7" s="214" t="s">
        <v>207</v>
      </c>
      <c r="G7" s="5" t="s">
        <v>112</v>
      </c>
      <c r="H7" s="28" t="s">
        <v>128</v>
      </c>
      <c r="I7" s="50" t="s">
        <v>146</v>
      </c>
      <c r="J7" s="16" t="s">
        <v>182</v>
      </c>
    </row>
    <row r="8" spans="1:10" x14ac:dyDescent="0.2">
      <c r="B8" s="66" t="s">
        <v>81</v>
      </c>
      <c r="C8" s="59">
        <v>2019</v>
      </c>
      <c r="D8" s="21" t="s">
        <v>125</v>
      </c>
      <c r="E8" s="38">
        <v>23</v>
      </c>
      <c r="F8" s="214" t="s">
        <v>207</v>
      </c>
      <c r="G8" s="5" t="s">
        <v>112</v>
      </c>
      <c r="H8" s="28" t="s">
        <v>128</v>
      </c>
      <c r="I8" s="50" t="s">
        <v>146</v>
      </c>
      <c r="J8" s="16" t="s">
        <v>182</v>
      </c>
    </row>
    <row r="9" spans="1:10" x14ac:dyDescent="0.2">
      <c r="A9" s="46"/>
      <c r="B9" s="66" t="s">
        <v>82</v>
      </c>
      <c r="C9" s="59">
        <v>2019</v>
      </c>
      <c r="D9" s="21" t="s">
        <v>125</v>
      </c>
      <c r="E9" s="38">
        <v>23</v>
      </c>
      <c r="F9" s="214" t="s">
        <v>207</v>
      </c>
      <c r="G9" s="5" t="s">
        <v>112</v>
      </c>
      <c r="H9" s="28" t="s">
        <v>131</v>
      </c>
      <c r="I9" s="50" t="s">
        <v>146</v>
      </c>
      <c r="J9" s="16" t="s">
        <v>182</v>
      </c>
    </row>
    <row r="10" spans="1:10" x14ac:dyDescent="0.2">
      <c r="A10" s="46"/>
      <c r="B10" s="66" t="s">
        <v>83</v>
      </c>
      <c r="C10" s="59">
        <v>2019</v>
      </c>
      <c r="D10" s="21" t="s">
        <v>125</v>
      </c>
      <c r="E10" s="38">
        <v>23</v>
      </c>
      <c r="F10" s="214" t="s">
        <v>207</v>
      </c>
      <c r="G10" s="5" t="s">
        <v>112</v>
      </c>
      <c r="H10" s="28" t="s">
        <v>160</v>
      </c>
      <c r="I10" s="50" t="s">
        <v>146</v>
      </c>
      <c r="J10" s="16" t="s">
        <v>182</v>
      </c>
    </row>
    <row r="11" spans="1:10" ht="17" thickBot="1" x14ac:dyDescent="0.25">
      <c r="A11" s="46"/>
      <c r="B11" s="101" t="s">
        <v>3</v>
      </c>
      <c r="C11" s="256">
        <v>2019</v>
      </c>
      <c r="D11" s="126" t="s">
        <v>125</v>
      </c>
      <c r="E11" s="257">
        <v>23</v>
      </c>
      <c r="F11" s="230" t="s">
        <v>207</v>
      </c>
      <c r="G11" s="18" t="s">
        <v>112</v>
      </c>
      <c r="H11" s="32" t="s">
        <v>128</v>
      </c>
      <c r="I11" s="258" t="s">
        <v>146</v>
      </c>
      <c r="J11" s="19" t="s">
        <v>182</v>
      </c>
    </row>
    <row r="12" spans="1:10" x14ac:dyDescent="0.2">
      <c r="A12" s="46"/>
      <c r="B12" s="68" t="s">
        <v>84</v>
      </c>
      <c r="C12" s="59">
        <v>2019</v>
      </c>
      <c r="D12" s="4" t="s">
        <v>125</v>
      </c>
      <c r="E12" s="38">
        <v>23</v>
      </c>
      <c r="F12" s="214" t="s">
        <v>207</v>
      </c>
      <c r="G12" s="13">
        <f>145.636+99.715+1.424+2.486+2.925+9.466+13.992+5.26</f>
        <v>280.904</v>
      </c>
      <c r="H12" s="28" t="s">
        <v>128</v>
      </c>
      <c r="I12" s="30" t="s">
        <v>144</v>
      </c>
      <c r="J12" s="16"/>
    </row>
    <row r="13" spans="1:10" x14ac:dyDescent="0.2">
      <c r="A13" s="46"/>
      <c r="B13" s="69" t="s">
        <v>85</v>
      </c>
      <c r="C13" s="59">
        <v>2019</v>
      </c>
      <c r="D13" s="21" t="s">
        <v>125</v>
      </c>
      <c r="E13" s="38">
        <v>22</v>
      </c>
      <c r="F13" s="214" t="s">
        <v>208</v>
      </c>
      <c r="G13" s="13">
        <f>730.591+3.639</f>
        <v>734.23</v>
      </c>
      <c r="H13" s="28" t="s">
        <v>128</v>
      </c>
      <c r="I13" s="30" t="s">
        <v>144</v>
      </c>
      <c r="J13" s="44"/>
    </row>
    <row r="14" spans="1:10" x14ac:dyDescent="0.2">
      <c r="A14" s="46"/>
      <c r="B14" s="69" t="s">
        <v>4</v>
      </c>
      <c r="C14" s="59">
        <v>2019</v>
      </c>
      <c r="D14" s="4" t="s">
        <v>125</v>
      </c>
      <c r="E14" s="225">
        <v>22</v>
      </c>
      <c r="F14" s="214" t="s">
        <v>208</v>
      </c>
      <c r="G14" s="13">
        <v>0</v>
      </c>
      <c r="H14" s="28" t="s">
        <v>128</v>
      </c>
      <c r="I14" s="30" t="s">
        <v>144</v>
      </c>
      <c r="J14" s="16"/>
    </row>
    <row r="15" spans="1:10" x14ac:dyDescent="0.2">
      <c r="A15" s="46"/>
      <c r="B15" s="69" t="s">
        <v>86</v>
      </c>
      <c r="C15" s="59">
        <v>2019</v>
      </c>
      <c r="D15" s="21" t="s">
        <v>125</v>
      </c>
      <c r="E15" s="38">
        <v>22</v>
      </c>
      <c r="F15" s="214" t="s">
        <v>208</v>
      </c>
      <c r="G15" s="13" t="s">
        <v>112</v>
      </c>
      <c r="H15" s="28" t="s">
        <v>160</v>
      </c>
      <c r="I15" s="30" t="s">
        <v>144</v>
      </c>
      <c r="J15" s="44" t="s">
        <v>186</v>
      </c>
    </row>
    <row r="16" spans="1:10" x14ac:dyDescent="0.2">
      <c r="A16" s="46"/>
      <c r="B16" s="69" t="s">
        <v>87</v>
      </c>
      <c r="C16" s="59">
        <v>2019</v>
      </c>
      <c r="D16" s="21" t="s">
        <v>123</v>
      </c>
      <c r="E16" s="38" t="s">
        <v>123</v>
      </c>
      <c r="F16" s="214" t="s">
        <v>123</v>
      </c>
      <c r="G16" s="5" t="s">
        <v>180</v>
      </c>
      <c r="H16" s="28" t="s">
        <v>123</v>
      </c>
      <c r="I16" s="30" t="s">
        <v>123</v>
      </c>
      <c r="J16" s="16"/>
    </row>
    <row r="17" spans="1:10" x14ac:dyDescent="0.2">
      <c r="A17" s="46"/>
      <c r="B17" s="69" t="s">
        <v>88</v>
      </c>
      <c r="C17" s="59">
        <v>2019</v>
      </c>
      <c r="D17" s="21" t="s">
        <v>125</v>
      </c>
      <c r="E17" s="38">
        <v>23</v>
      </c>
      <c r="F17" s="214" t="s">
        <v>207</v>
      </c>
      <c r="G17" s="13" t="s">
        <v>112</v>
      </c>
      <c r="H17" s="28" t="s">
        <v>128</v>
      </c>
      <c r="I17" s="30" t="s">
        <v>146</v>
      </c>
      <c r="J17" s="44" t="s">
        <v>187</v>
      </c>
    </row>
    <row r="18" spans="1:10" x14ac:dyDescent="0.2">
      <c r="A18" s="46"/>
      <c r="B18" s="69" t="s">
        <v>89</v>
      </c>
      <c r="C18" s="59">
        <v>2019</v>
      </c>
      <c r="D18" s="21" t="s">
        <v>123</v>
      </c>
      <c r="E18" s="38" t="s">
        <v>123</v>
      </c>
      <c r="F18" s="214" t="s">
        <v>123</v>
      </c>
      <c r="G18" s="5" t="s">
        <v>180</v>
      </c>
      <c r="H18" s="28" t="s">
        <v>123</v>
      </c>
      <c r="I18" s="30" t="s">
        <v>123</v>
      </c>
      <c r="J18" s="16"/>
    </row>
    <row r="19" spans="1:10" x14ac:dyDescent="0.2">
      <c r="A19" s="46"/>
      <c r="B19" s="69" t="s">
        <v>2</v>
      </c>
      <c r="C19" s="59">
        <v>2019</v>
      </c>
      <c r="D19" s="4" t="s">
        <v>125</v>
      </c>
      <c r="E19" s="38">
        <v>23</v>
      </c>
      <c r="F19" s="214" t="s">
        <v>207</v>
      </c>
      <c r="G19" s="13">
        <v>0</v>
      </c>
      <c r="H19" s="28" t="s">
        <v>128</v>
      </c>
      <c r="I19" s="30" t="s">
        <v>144</v>
      </c>
      <c r="J19" s="16"/>
    </row>
    <row r="20" spans="1:10" x14ac:dyDescent="0.2">
      <c r="A20" s="46"/>
      <c r="B20" s="69" t="s">
        <v>90</v>
      </c>
      <c r="C20" s="59">
        <v>2019</v>
      </c>
      <c r="D20" s="21" t="s">
        <v>123</v>
      </c>
      <c r="E20" s="38" t="s">
        <v>123</v>
      </c>
      <c r="F20" s="214" t="s">
        <v>123</v>
      </c>
      <c r="G20" s="5" t="s">
        <v>180</v>
      </c>
      <c r="H20" s="28" t="s">
        <v>123</v>
      </c>
      <c r="I20" s="30" t="s">
        <v>123</v>
      </c>
      <c r="J20" s="16"/>
    </row>
    <row r="21" spans="1:10" x14ac:dyDescent="0.2">
      <c r="A21" s="46"/>
      <c r="B21" s="69" t="s">
        <v>91</v>
      </c>
      <c r="C21" s="59">
        <v>2019</v>
      </c>
      <c r="D21" s="21" t="s">
        <v>123</v>
      </c>
      <c r="E21" s="38" t="s">
        <v>123</v>
      </c>
      <c r="F21" s="214" t="s">
        <v>123</v>
      </c>
      <c r="G21" s="5" t="s">
        <v>180</v>
      </c>
      <c r="H21" s="28" t="s">
        <v>123</v>
      </c>
      <c r="I21" s="30" t="s">
        <v>123</v>
      </c>
      <c r="J21" s="16"/>
    </row>
    <row r="22" spans="1:10" ht="17" thickBot="1" x14ac:dyDescent="0.25">
      <c r="A22" s="46"/>
      <c r="B22" s="106" t="s">
        <v>92</v>
      </c>
      <c r="C22" s="239">
        <v>2019</v>
      </c>
      <c r="D22" s="21" t="s">
        <v>123</v>
      </c>
      <c r="E22" s="38" t="s">
        <v>123</v>
      </c>
      <c r="F22" s="214" t="s">
        <v>123</v>
      </c>
      <c r="G22" s="5" t="s">
        <v>180</v>
      </c>
      <c r="H22" s="28" t="s">
        <v>123</v>
      </c>
      <c r="I22" s="28" t="s">
        <v>123</v>
      </c>
      <c r="J22" s="16"/>
    </row>
    <row r="23" spans="1:10" x14ac:dyDescent="0.2">
      <c r="A23" s="46"/>
      <c r="B23" s="107" t="s">
        <v>44</v>
      </c>
      <c r="C23" s="108">
        <v>2019</v>
      </c>
      <c r="D23" s="259" t="s">
        <v>123</v>
      </c>
      <c r="E23" s="252" t="s">
        <v>123</v>
      </c>
      <c r="F23" s="251" t="s">
        <v>123</v>
      </c>
      <c r="G23" s="120" t="s">
        <v>113</v>
      </c>
      <c r="H23" s="260" t="s">
        <v>123</v>
      </c>
      <c r="I23" s="253" t="s">
        <v>123</v>
      </c>
      <c r="J23" s="255"/>
    </row>
    <row r="24" spans="1:10" x14ac:dyDescent="0.2">
      <c r="A24" s="46"/>
      <c r="B24" s="71" t="s">
        <v>45</v>
      </c>
      <c r="C24" s="59">
        <v>2019</v>
      </c>
      <c r="D24" s="4" t="s">
        <v>123</v>
      </c>
      <c r="E24" s="38" t="s">
        <v>123</v>
      </c>
      <c r="F24" s="214" t="s">
        <v>123</v>
      </c>
      <c r="G24" s="5" t="s">
        <v>113</v>
      </c>
      <c r="H24" s="28" t="s">
        <v>123</v>
      </c>
      <c r="I24" s="30" t="s">
        <v>123</v>
      </c>
      <c r="J24" s="16"/>
    </row>
    <row r="25" spans="1:10" x14ac:dyDescent="0.2">
      <c r="A25" s="46"/>
      <c r="B25" s="71" t="s">
        <v>46</v>
      </c>
      <c r="C25" s="59">
        <v>2019</v>
      </c>
      <c r="D25" s="4" t="s">
        <v>123</v>
      </c>
      <c r="E25" s="38" t="s">
        <v>123</v>
      </c>
      <c r="F25" s="214" t="s">
        <v>123</v>
      </c>
      <c r="G25" s="5" t="s">
        <v>113</v>
      </c>
      <c r="H25" s="28" t="s">
        <v>123</v>
      </c>
      <c r="I25" s="30" t="s">
        <v>123</v>
      </c>
      <c r="J25" s="16"/>
    </row>
    <row r="26" spans="1:10" x14ac:dyDescent="0.2">
      <c r="A26" s="46"/>
      <c r="B26" s="71" t="s">
        <v>48</v>
      </c>
      <c r="C26" s="59">
        <v>2019</v>
      </c>
      <c r="D26" s="4" t="s">
        <v>123</v>
      </c>
      <c r="E26" s="38" t="s">
        <v>123</v>
      </c>
      <c r="F26" s="214" t="s">
        <v>123</v>
      </c>
      <c r="G26" s="5" t="s">
        <v>113</v>
      </c>
      <c r="H26" s="28" t="s">
        <v>123</v>
      </c>
      <c r="I26" s="30" t="s">
        <v>123</v>
      </c>
      <c r="J26" s="16"/>
    </row>
    <row r="27" spans="1:10" x14ac:dyDescent="0.2">
      <c r="A27" s="46"/>
      <c r="B27" s="71" t="s">
        <v>47</v>
      </c>
      <c r="C27" s="59">
        <v>2019</v>
      </c>
      <c r="D27" s="4" t="s">
        <v>123</v>
      </c>
      <c r="E27" s="38" t="s">
        <v>123</v>
      </c>
      <c r="F27" s="214" t="s">
        <v>123</v>
      </c>
      <c r="G27" s="5" t="s">
        <v>113</v>
      </c>
      <c r="H27" s="28" t="s">
        <v>123</v>
      </c>
      <c r="I27" s="30" t="s">
        <v>123</v>
      </c>
      <c r="J27" s="16"/>
    </row>
    <row r="28" spans="1:10" x14ac:dyDescent="0.2">
      <c r="A28" s="46"/>
      <c r="B28" s="71" t="s">
        <v>49</v>
      </c>
      <c r="C28" s="59">
        <v>2019</v>
      </c>
      <c r="D28" s="4" t="s">
        <v>123</v>
      </c>
      <c r="E28" s="38" t="s">
        <v>123</v>
      </c>
      <c r="F28" s="214" t="s">
        <v>123</v>
      </c>
      <c r="G28" s="5" t="s">
        <v>113</v>
      </c>
      <c r="H28" s="28" t="s">
        <v>123</v>
      </c>
      <c r="I28" s="30" t="s">
        <v>123</v>
      </c>
      <c r="J28" s="16"/>
    </row>
    <row r="29" spans="1:10" x14ac:dyDescent="0.2">
      <c r="A29" s="46"/>
      <c r="B29" s="71" t="s">
        <v>50</v>
      </c>
      <c r="C29" s="59">
        <v>2019</v>
      </c>
      <c r="D29" s="4" t="s">
        <v>123</v>
      </c>
      <c r="E29" s="38" t="s">
        <v>123</v>
      </c>
      <c r="F29" s="214" t="s">
        <v>123</v>
      </c>
      <c r="G29" s="5" t="s">
        <v>113</v>
      </c>
      <c r="H29" s="28" t="s">
        <v>123</v>
      </c>
      <c r="I29" s="30" t="s">
        <v>123</v>
      </c>
      <c r="J29" s="16"/>
    </row>
    <row r="30" spans="1:10" x14ac:dyDescent="0.2">
      <c r="A30" s="46"/>
      <c r="B30" s="71" t="s">
        <v>51</v>
      </c>
      <c r="C30" s="59">
        <v>2019</v>
      </c>
      <c r="D30" s="4" t="s">
        <v>123</v>
      </c>
      <c r="E30" s="38" t="s">
        <v>123</v>
      </c>
      <c r="F30" s="214" t="s">
        <v>123</v>
      </c>
      <c r="G30" s="5" t="s">
        <v>113</v>
      </c>
      <c r="H30" s="28" t="s">
        <v>123</v>
      </c>
      <c r="I30" s="30" t="s">
        <v>123</v>
      </c>
      <c r="J30" s="16"/>
    </row>
    <row r="31" spans="1:10" x14ac:dyDescent="0.2">
      <c r="A31" s="46"/>
      <c r="B31" s="71" t="s">
        <v>52</v>
      </c>
      <c r="C31" s="59">
        <v>2019</v>
      </c>
      <c r="D31" s="4" t="s">
        <v>123</v>
      </c>
      <c r="E31" s="38" t="s">
        <v>123</v>
      </c>
      <c r="F31" s="214" t="s">
        <v>123</v>
      </c>
      <c r="G31" s="5" t="s">
        <v>113</v>
      </c>
      <c r="H31" s="28" t="s">
        <v>123</v>
      </c>
      <c r="I31" s="30" t="s">
        <v>123</v>
      </c>
      <c r="J31" s="16"/>
    </row>
    <row r="32" spans="1:10" x14ac:dyDescent="0.2">
      <c r="A32" s="46"/>
      <c r="B32" s="71" t="s">
        <v>53</v>
      </c>
      <c r="C32" s="59">
        <v>2019</v>
      </c>
      <c r="D32" s="4" t="s">
        <v>123</v>
      </c>
      <c r="E32" s="38" t="s">
        <v>123</v>
      </c>
      <c r="F32" s="214" t="s">
        <v>123</v>
      </c>
      <c r="G32" s="5" t="s">
        <v>113</v>
      </c>
      <c r="H32" s="28" t="s">
        <v>123</v>
      </c>
      <c r="I32" s="30" t="s">
        <v>123</v>
      </c>
      <c r="J32" s="16"/>
    </row>
    <row r="33" spans="1:10" x14ac:dyDescent="0.2">
      <c r="A33" s="46"/>
      <c r="B33" s="71" t="s">
        <v>54</v>
      </c>
      <c r="C33" s="59">
        <v>2019</v>
      </c>
      <c r="D33" s="4" t="s">
        <v>123</v>
      </c>
      <c r="E33" s="38" t="s">
        <v>123</v>
      </c>
      <c r="F33" s="214" t="s">
        <v>123</v>
      </c>
      <c r="G33" s="5" t="s">
        <v>113</v>
      </c>
      <c r="H33" s="28" t="s">
        <v>123</v>
      </c>
      <c r="I33" s="30" t="s">
        <v>123</v>
      </c>
      <c r="J33" s="16"/>
    </row>
    <row r="34" spans="1:10" x14ac:dyDescent="0.2">
      <c r="A34" s="46"/>
      <c r="B34" s="71" t="s">
        <v>55</v>
      </c>
      <c r="C34" s="59">
        <v>2019</v>
      </c>
      <c r="D34" s="4" t="s">
        <v>123</v>
      </c>
      <c r="E34" s="38" t="s">
        <v>123</v>
      </c>
      <c r="F34" s="214" t="s">
        <v>123</v>
      </c>
      <c r="G34" s="5" t="s">
        <v>113</v>
      </c>
      <c r="H34" s="28" t="s">
        <v>123</v>
      </c>
      <c r="I34" s="30" t="s">
        <v>123</v>
      </c>
      <c r="J34" s="16"/>
    </row>
    <row r="35" spans="1:10" x14ac:dyDescent="0.2">
      <c r="A35" s="46"/>
      <c r="B35" s="71" t="s">
        <v>56</v>
      </c>
      <c r="C35" s="59">
        <v>2019</v>
      </c>
      <c r="D35" s="4" t="s">
        <v>123</v>
      </c>
      <c r="E35" s="38" t="s">
        <v>123</v>
      </c>
      <c r="F35" s="214" t="s">
        <v>123</v>
      </c>
      <c r="G35" s="5" t="s">
        <v>113</v>
      </c>
      <c r="H35" s="28" t="s">
        <v>123</v>
      </c>
      <c r="I35" s="30" t="s">
        <v>123</v>
      </c>
      <c r="J35" s="16"/>
    </row>
    <row r="36" spans="1:10" x14ac:dyDescent="0.2">
      <c r="A36" s="46"/>
      <c r="B36" s="71" t="s">
        <v>57</v>
      </c>
      <c r="C36" s="59">
        <v>2019</v>
      </c>
      <c r="D36" s="4" t="s">
        <v>123</v>
      </c>
      <c r="E36" s="38" t="s">
        <v>123</v>
      </c>
      <c r="F36" s="214" t="s">
        <v>123</v>
      </c>
      <c r="G36" s="5" t="s">
        <v>113</v>
      </c>
      <c r="H36" s="28" t="s">
        <v>123</v>
      </c>
      <c r="I36" s="30" t="s">
        <v>123</v>
      </c>
      <c r="J36" s="16"/>
    </row>
    <row r="37" spans="1:10" x14ac:dyDescent="0.2">
      <c r="A37" s="46"/>
      <c r="B37" s="71" t="s">
        <v>58</v>
      </c>
      <c r="C37" s="59">
        <v>2019</v>
      </c>
      <c r="D37" s="4" t="s">
        <v>123</v>
      </c>
      <c r="E37" s="38" t="s">
        <v>123</v>
      </c>
      <c r="F37" s="214" t="s">
        <v>123</v>
      </c>
      <c r="G37" s="5" t="s">
        <v>113</v>
      </c>
      <c r="H37" s="28" t="s">
        <v>123</v>
      </c>
      <c r="I37" s="30" t="s">
        <v>123</v>
      </c>
      <c r="J37" s="16"/>
    </row>
    <row r="38" spans="1:10" x14ac:dyDescent="0.2">
      <c r="A38" s="46"/>
      <c r="B38" s="71" t="s">
        <v>59</v>
      </c>
      <c r="C38" s="59">
        <v>2019</v>
      </c>
      <c r="D38" s="4" t="s">
        <v>123</v>
      </c>
      <c r="E38" s="38" t="s">
        <v>123</v>
      </c>
      <c r="F38" s="214" t="s">
        <v>123</v>
      </c>
      <c r="G38" s="5" t="s">
        <v>113</v>
      </c>
      <c r="H38" s="28" t="s">
        <v>123</v>
      </c>
      <c r="I38" s="30" t="s">
        <v>123</v>
      </c>
      <c r="J38" s="16"/>
    </row>
    <row r="39" spans="1:10" x14ac:dyDescent="0.2">
      <c r="A39" s="46"/>
      <c r="B39" s="71" t="s">
        <v>60</v>
      </c>
      <c r="C39" s="59">
        <v>2019</v>
      </c>
      <c r="D39" s="4" t="s">
        <v>123</v>
      </c>
      <c r="E39" s="38" t="s">
        <v>123</v>
      </c>
      <c r="F39" s="214" t="s">
        <v>123</v>
      </c>
      <c r="G39" s="5" t="s">
        <v>113</v>
      </c>
      <c r="H39" s="28" t="s">
        <v>123</v>
      </c>
      <c r="I39" s="30" t="s">
        <v>123</v>
      </c>
      <c r="J39" s="16"/>
    </row>
    <row r="40" spans="1:10" x14ac:dyDescent="0.2">
      <c r="A40" s="46"/>
      <c r="B40" s="71" t="s">
        <v>61</v>
      </c>
      <c r="C40" s="59">
        <v>2019</v>
      </c>
      <c r="D40" s="4" t="s">
        <v>123</v>
      </c>
      <c r="E40" s="38" t="s">
        <v>123</v>
      </c>
      <c r="F40" s="214" t="s">
        <v>123</v>
      </c>
      <c r="G40" s="5" t="s">
        <v>113</v>
      </c>
      <c r="H40" s="28" t="s">
        <v>123</v>
      </c>
      <c r="I40" s="30" t="s">
        <v>123</v>
      </c>
      <c r="J40" s="16"/>
    </row>
    <row r="41" spans="1:10" x14ac:dyDescent="0.2">
      <c r="A41" s="46"/>
      <c r="B41" s="71" t="s">
        <v>62</v>
      </c>
      <c r="C41" s="59">
        <v>2019</v>
      </c>
      <c r="D41" s="4" t="s">
        <v>123</v>
      </c>
      <c r="E41" s="38" t="s">
        <v>123</v>
      </c>
      <c r="F41" s="214" t="s">
        <v>123</v>
      </c>
      <c r="G41" s="5" t="s">
        <v>113</v>
      </c>
      <c r="H41" s="28" t="s">
        <v>123</v>
      </c>
      <c r="I41" s="30" t="s">
        <v>123</v>
      </c>
      <c r="J41" s="16"/>
    </row>
    <row r="42" spans="1:10" x14ac:dyDescent="0.2">
      <c r="A42" s="46"/>
      <c r="B42" s="71" t="s">
        <v>63</v>
      </c>
      <c r="C42" s="59">
        <v>2019</v>
      </c>
      <c r="D42" s="4" t="s">
        <v>123</v>
      </c>
      <c r="E42" s="38" t="s">
        <v>123</v>
      </c>
      <c r="F42" s="214" t="s">
        <v>123</v>
      </c>
      <c r="G42" s="5" t="s">
        <v>113</v>
      </c>
      <c r="H42" s="28" t="s">
        <v>123</v>
      </c>
      <c r="I42" s="30" t="s">
        <v>123</v>
      </c>
      <c r="J42" s="16"/>
    </row>
    <row r="43" spans="1:10" x14ac:dyDescent="0.2">
      <c r="A43" s="46"/>
      <c r="B43" s="71" t="s">
        <v>64</v>
      </c>
      <c r="C43" s="59">
        <v>2019</v>
      </c>
      <c r="D43" s="4" t="s">
        <v>123</v>
      </c>
      <c r="E43" s="38" t="s">
        <v>123</v>
      </c>
      <c r="F43" s="214" t="s">
        <v>123</v>
      </c>
      <c r="G43" s="5" t="s">
        <v>113</v>
      </c>
      <c r="H43" s="28" t="s">
        <v>123</v>
      </c>
      <c r="I43" s="30" t="s">
        <v>123</v>
      </c>
      <c r="J43" s="16"/>
    </row>
    <row r="44" spans="1:10" ht="17" thickBot="1" x14ac:dyDescent="0.25">
      <c r="A44" s="46"/>
      <c r="B44" s="114" t="s">
        <v>65</v>
      </c>
      <c r="C44" s="256">
        <v>2019</v>
      </c>
      <c r="D44" s="126" t="s">
        <v>123</v>
      </c>
      <c r="E44" s="257" t="s">
        <v>123</v>
      </c>
      <c r="F44" s="230" t="s">
        <v>123</v>
      </c>
      <c r="G44" s="18" t="s">
        <v>113</v>
      </c>
      <c r="H44" s="32" t="s">
        <v>123</v>
      </c>
      <c r="I44" s="32" t="s">
        <v>123</v>
      </c>
      <c r="J44" s="19"/>
    </row>
    <row r="45" spans="1:10" x14ac:dyDescent="0.2">
      <c r="A45" s="46"/>
      <c r="B45" s="73" t="s">
        <v>35</v>
      </c>
      <c r="C45" s="59">
        <v>2019</v>
      </c>
      <c r="D45" s="21" t="s">
        <v>123</v>
      </c>
      <c r="E45" s="23" t="s">
        <v>123</v>
      </c>
      <c r="F45" s="214" t="s">
        <v>123</v>
      </c>
      <c r="G45" s="5" t="s">
        <v>113</v>
      </c>
      <c r="H45" s="26" t="s">
        <v>123</v>
      </c>
      <c r="I45" s="30" t="s">
        <v>123</v>
      </c>
      <c r="J45" s="16"/>
    </row>
    <row r="46" spans="1:10" x14ac:dyDescent="0.2">
      <c r="A46" s="46"/>
      <c r="B46" s="72" t="s">
        <v>36</v>
      </c>
      <c r="C46" s="59">
        <v>2019</v>
      </c>
      <c r="D46" s="21" t="s">
        <v>123</v>
      </c>
      <c r="E46" s="23" t="s">
        <v>123</v>
      </c>
      <c r="F46" s="214" t="s">
        <v>123</v>
      </c>
      <c r="G46" s="5" t="s">
        <v>113</v>
      </c>
      <c r="H46" s="26" t="s">
        <v>123</v>
      </c>
      <c r="I46" s="30" t="s">
        <v>123</v>
      </c>
      <c r="J46" s="16"/>
    </row>
    <row r="47" spans="1:10" x14ac:dyDescent="0.2">
      <c r="A47" s="46"/>
      <c r="B47" s="72" t="s">
        <v>37</v>
      </c>
      <c r="C47" s="59">
        <v>2019</v>
      </c>
      <c r="D47" s="21" t="s">
        <v>123</v>
      </c>
      <c r="E47" s="23" t="s">
        <v>123</v>
      </c>
      <c r="F47" s="214" t="s">
        <v>123</v>
      </c>
      <c r="G47" s="5" t="s">
        <v>113</v>
      </c>
      <c r="H47" s="26" t="s">
        <v>123</v>
      </c>
      <c r="I47" s="30" t="s">
        <v>123</v>
      </c>
      <c r="J47" s="16"/>
    </row>
    <row r="48" spans="1:10" x14ac:dyDescent="0.2">
      <c r="A48" s="46"/>
      <c r="B48" s="72" t="s">
        <v>38</v>
      </c>
      <c r="C48" s="59">
        <v>2019</v>
      </c>
      <c r="D48" s="21" t="s">
        <v>123</v>
      </c>
      <c r="E48" s="23" t="s">
        <v>123</v>
      </c>
      <c r="F48" s="214" t="s">
        <v>123</v>
      </c>
      <c r="G48" s="5" t="s">
        <v>113</v>
      </c>
      <c r="H48" s="26" t="s">
        <v>123</v>
      </c>
      <c r="I48" s="30" t="s">
        <v>123</v>
      </c>
      <c r="J48" s="16"/>
    </row>
    <row r="49" spans="1:10" x14ac:dyDescent="0.2">
      <c r="A49" s="46"/>
      <c r="B49" s="72" t="s">
        <v>39</v>
      </c>
      <c r="C49" s="59">
        <v>2019</v>
      </c>
      <c r="D49" s="21" t="s">
        <v>123</v>
      </c>
      <c r="E49" s="23" t="s">
        <v>123</v>
      </c>
      <c r="F49" s="214" t="s">
        <v>123</v>
      </c>
      <c r="G49" s="5" t="s">
        <v>113</v>
      </c>
      <c r="H49" s="26" t="s">
        <v>123</v>
      </c>
      <c r="I49" s="30" t="s">
        <v>123</v>
      </c>
      <c r="J49" s="16"/>
    </row>
    <row r="50" spans="1:10" x14ac:dyDescent="0.2">
      <c r="A50" s="46"/>
      <c r="B50" s="72" t="s">
        <v>40</v>
      </c>
      <c r="C50" s="59">
        <v>2019</v>
      </c>
      <c r="D50" s="21" t="s">
        <v>123</v>
      </c>
      <c r="E50" s="23" t="s">
        <v>123</v>
      </c>
      <c r="F50" s="214" t="s">
        <v>123</v>
      </c>
      <c r="G50" s="5" t="s">
        <v>113</v>
      </c>
      <c r="H50" s="26" t="s">
        <v>123</v>
      </c>
      <c r="I50" s="30" t="s">
        <v>123</v>
      </c>
      <c r="J50" s="16"/>
    </row>
    <row r="51" spans="1:10" x14ac:dyDescent="0.2">
      <c r="A51" s="46"/>
      <c r="B51" s="72" t="s">
        <v>41</v>
      </c>
      <c r="C51" s="59">
        <v>2019</v>
      </c>
      <c r="D51" s="21" t="s">
        <v>123</v>
      </c>
      <c r="E51" s="23" t="s">
        <v>123</v>
      </c>
      <c r="F51" s="214" t="s">
        <v>123</v>
      </c>
      <c r="G51" s="5" t="s">
        <v>113</v>
      </c>
      <c r="H51" s="26" t="s">
        <v>123</v>
      </c>
      <c r="I51" s="30" t="s">
        <v>123</v>
      </c>
      <c r="J51" s="16"/>
    </row>
    <row r="52" spans="1:10" x14ac:dyDescent="0.2">
      <c r="A52" s="46"/>
      <c r="B52" s="72" t="s">
        <v>42</v>
      </c>
      <c r="C52" s="59">
        <v>2019</v>
      </c>
      <c r="D52" s="21" t="s">
        <v>123</v>
      </c>
      <c r="E52" s="23" t="s">
        <v>123</v>
      </c>
      <c r="F52" s="214" t="s">
        <v>123</v>
      </c>
      <c r="G52" s="5" t="s">
        <v>113</v>
      </c>
      <c r="H52" s="26" t="s">
        <v>123</v>
      </c>
      <c r="I52" s="30" t="s">
        <v>123</v>
      </c>
      <c r="J52" s="16"/>
    </row>
    <row r="53" spans="1:10" ht="17" thickBot="1" x14ac:dyDescent="0.25">
      <c r="A53" s="46"/>
      <c r="B53" s="115" t="s">
        <v>43</v>
      </c>
      <c r="C53" s="239">
        <v>2019</v>
      </c>
      <c r="D53" s="21" t="s">
        <v>123</v>
      </c>
      <c r="E53" s="23" t="s">
        <v>123</v>
      </c>
      <c r="F53" s="214" t="s">
        <v>123</v>
      </c>
      <c r="G53" s="5" t="s">
        <v>113</v>
      </c>
      <c r="H53" s="26" t="s">
        <v>123</v>
      </c>
      <c r="I53" s="30" t="s">
        <v>123</v>
      </c>
      <c r="J53" s="16"/>
    </row>
    <row r="54" spans="1:10" x14ac:dyDescent="0.2">
      <c r="A54" s="46"/>
      <c r="B54" s="116" t="s">
        <v>17</v>
      </c>
      <c r="C54" s="108">
        <v>2019</v>
      </c>
      <c r="D54" s="259" t="s">
        <v>125</v>
      </c>
      <c r="E54" s="252">
        <v>22</v>
      </c>
      <c r="F54" s="251" t="s">
        <v>208</v>
      </c>
      <c r="G54" s="112">
        <f>0.42+23.661+18.103+2.126+8.815</f>
        <v>53.125</v>
      </c>
      <c r="H54" s="261" t="s">
        <v>128</v>
      </c>
      <c r="I54" s="253" t="s">
        <v>144</v>
      </c>
      <c r="J54" s="262"/>
    </row>
    <row r="55" spans="1:10" x14ac:dyDescent="0.2">
      <c r="A55" s="46"/>
      <c r="B55" s="75" t="s">
        <v>18</v>
      </c>
      <c r="C55" s="59">
        <v>2019</v>
      </c>
      <c r="D55" s="4" t="s">
        <v>125</v>
      </c>
      <c r="E55" s="38">
        <v>22</v>
      </c>
      <c r="F55" s="214" t="s">
        <v>208</v>
      </c>
      <c r="G55" s="13">
        <f>0.984+2.611+3.392</f>
        <v>6.9870000000000001</v>
      </c>
      <c r="H55" s="26" t="s">
        <v>128</v>
      </c>
      <c r="I55" s="30" t="s">
        <v>144</v>
      </c>
      <c r="J55" s="16"/>
    </row>
    <row r="56" spans="1:10" x14ac:dyDescent="0.2">
      <c r="A56" s="46"/>
      <c r="B56" s="75" t="s">
        <v>19</v>
      </c>
      <c r="C56" s="59">
        <v>2019</v>
      </c>
      <c r="D56" s="4" t="s">
        <v>125</v>
      </c>
      <c r="E56" s="38">
        <v>22</v>
      </c>
      <c r="F56" s="214" t="s">
        <v>208</v>
      </c>
      <c r="G56" s="13">
        <f>269.159</f>
        <v>269.15899999999999</v>
      </c>
      <c r="H56" s="20" t="s">
        <v>160</v>
      </c>
      <c r="I56" s="50" t="s">
        <v>144</v>
      </c>
      <c r="J56" s="16"/>
    </row>
    <row r="57" spans="1:10" x14ac:dyDescent="0.2">
      <c r="A57" s="46"/>
      <c r="B57" s="75" t="s">
        <v>20</v>
      </c>
      <c r="C57" s="59">
        <v>2019</v>
      </c>
      <c r="D57" s="4" t="s">
        <v>125</v>
      </c>
      <c r="E57" s="38">
        <v>22</v>
      </c>
      <c r="F57" s="214" t="s">
        <v>208</v>
      </c>
      <c r="G57" s="13">
        <f>20.77+1.789+9.358+92.754+2.047</f>
        <v>126.718</v>
      </c>
      <c r="H57" s="20" t="s">
        <v>160</v>
      </c>
      <c r="I57" s="50" t="s">
        <v>144</v>
      </c>
      <c r="J57" s="16"/>
    </row>
    <row r="58" spans="1:10" x14ac:dyDescent="0.2">
      <c r="A58" s="46"/>
      <c r="B58" s="75" t="s">
        <v>21</v>
      </c>
      <c r="C58" s="59">
        <v>2019</v>
      </c>
      <c r="D58" s="4" t="s">
        <v>125</v>
      </c>
      <c r="E58" s="38">
        <v>22</v>
      </c>
      <c r="F58" s="214" t="s">
        <v>208</v>
      </c>
      <c r="G58" s="13">
        <f>1.768+1.157+1.274+29.365+5.542+5.758+4.184+3.353+1.791+2.859+13.466+0.434+0.244</f>
        <v>71.194999999999993</v>
      </c>
      <c r="H58" s="20" t="s">
        <v>128</v>
      </c>
      <c r="I58" s="50" t="s">
        <v>144</v>
      </c>
      <c r="J58" s="16"/>
    </row>
    <row r="59" spans="1:10" x14ac:dyDescent="0.2">
      <c r="A59" s="46"/>
      <c r="B59" s="75" t="s">
        <v>22</v>
      </c>
      <c r="C59" s="59">
        <v>2019</v>
      </c>
      <c r="D59" s="4" t="s">
        <v>125</v>
      </c>
      <c r="E59" s="250">
        <v>22</v>
      </c>
      <c r="F59" s="214" t="s">
        <v>208</v>
      </c>
      <c r="G59" s="13">
        <v>403.274</v>
      </c>
      <c r="H59" s="20" t="s">
        <v>160</v>
      </c>
      <c r="I59" s="50" t="s">
        <v>144</v>
      </c>
      <c r="J59" s="16"/>
    </row>
    <row r="60" spans="1:10" x14ac:dyDescent="0.2">
      <c r="A60" s="46"/>
      <c r="B60" s="75" t="s">
        <v>23</v>
      </c>
      <c r="C60" s="59">
        <v>2019</v>
      </c>
      <c r="D60" s="4" t="s">
        <v>125</v>
      </c>
      <c r="E60" s="38">
        <v>22</v>
      </c>
      <c r="F60" s="214" t="s">
        <v>208</v>
      </c>
      <c r="G60" s="13" t="s">
        <v>112</v>
      </c>
      <c r="H60" s="20" t="s">
        <v>160</v>
      </c>
      <c r="I60" s="50" t="s">
        <v>143</v>
      </c>
      <c r="J60" s="16" t="s">
        <v>184</v>
      </c>
    </row>
    <row r="61" spans="1:10" x14ac:dyDescent="0.2">
      <c r="B61" s="75" t="s">
        <v>24</v>
      </c>
      <c r="C61" s="59">
        <v>2019</v>
      </c>
      <c r="D61" s="4" t="s">
        <v>125</v>
      </c>
      <c r="E61" s="38">
        <v>22</v>
      </c>
      <c r="F61" s="214" t="s">
        <v>208</v>
      </c>
      <c r="G61" s="13" t="s">
        <v>112</v>
      </c>
      <c r="H61" s="20" t="s">
        <v>160</v>
      </c>
      <c r="I61" s="50" t="s">
        <v>143</v>
      </c>
      <c r="J61" s="16" t="s">
        <v>184</v>
      </c>
    </row>
    <row r="62" spans="1:10" x14ac:dyDescent="0.2">
      <c r="B62" s="75" t="s">
        <v>25</v>
      </c>
      <c r="C62" s="59">
        <v>2019</v>
      </c>
      <c r="D62" s="21" t="s">
        <v>123</v>
      </c>
      <c r="E62" s="23" t="s">
        <v>123</v>
      </c>
      <c r="F62" s="214" t="s">
        <v>123</v>
      </c>
      <c r="G62" s="5" t="s">
        <v>113</v>
      </c>
      <c r="H62" s="26" t="s">
        <v>123</v>
      </c>
      <c r="I62" s="30" t="s">
        <v>123</v>
      </c>
      <c r="J62" s="16"/>
    </row>
    <row r="63" spans="1:10" x14ac:dyDescent="0.2">
      <c r="B63" s="75" t="s">
        <v>26</v>
      </c>
      <c r="C63" s="59">
        <v>2019</v>
      </c>
      <c r="D63" s="21" t="s">
        <v>123</v>
      </c>
      <c r="E63" s="23" t="s">
        <v>123</v>
      </c>
      <c r="F63" s="214" t="s">
        <v>123</v>
      </c>
      <c r="G63" s="5" t="s">
        <v>113</v>
      </c>
      <c r="H63" s="26" t="s">
        <v>123</v>
      </c>
      <c r="I63" s="30" t="s">
        <v>123</v>
      </c>
      <c r="J63" s="16"/>
    </row>
    <row r="64" spans="1:10" x14ac:dyDescent="0.2">
      <c r="B64" s="75" t="s">
        <v>27</v>
      </c>
      <c r="C64" s="59">
        <v>2019</v>
      </c>
      <c r="D64" s="21" t="s">
        <v>123</v>
      </c>
      <c r="E64" s="23" t="s">
        <v>123</v>
      </c>
      <c r="F64" s="214" t="s">
        <v>123</v>
      </c>
      <c r="G64" s="5" t="s">
        <v>113</v>
      </c>
      <c r="H64" s="26" t="s">
        <v>123</v>
      </c>
      <c r="I64" s="30" t="s">
        <v>123</v>
      </c>
      <c r="J64" s="16"/>
    </row>
    <row r="65" spans="2:10" x14ac:dyDescent="0.2">
      <c r="B65" s="75" t="s">
        <v>28</v>
      </c>
      <c r="C65" s="59">
        <v>2019</v>
      </c>
      <c r="D65" s="4" t="s">
        <v>125</v>
      </c>
      <c r="E65" s="23">
        <v>22</v>
      </c>
      <c r="F65" s="214" t="s">
        <v>208</v>
      </c>
      <c r="G65" s="13" t="s">
        <v>112</v>
      </c>
      <c r="H65" s="20" t="s">
        <v>160</v>
      </c>
      <c r="I65" s="50" t="s">
        <v>144</v>
      </c>
      <c r="J65" s="44" t="s">
        <v>181</v>
      </c>
    </row>
    <row r="66" spans="2:10" ht="17" thickBot="1" x14ac:dyDescent="0.25">
      <c r="B66" s="119" t="s">
        <v>29</v>
      </c>
      <c r="C66" s="256">
        <v>2019</v>
      </c>
      <c r="D66" s="27" t="s">
        <v>123</v>
      </c>
      <c r="E66" s="25" t="s">
        <v>123</v>
      </c>
      <c r="F66" s="230" t="s">
        <v>123</v>
      </c>
      <c r="G66" s="18" t="s">
        <v>113</v>
      </c>
      <c r="H66" s="263" t="s">
        <v>123</v>
      </c>
      <c r="I66" s="32" t="s">
        <v>123</v>
      </c>
      <c r="J66" s="19"/>
    </row>
    <row r="67" spans="2:10" x14ac:dyDescent="0.2">
      <c r="B67" s="206" t="s">
        <v>30</v>
      </c>
      <c r="C67" s="59">
        <v>2019</v>
      </c>
      <c r="D67" s="4" t="s">
        <v>125</v>
      </c>
      <c r="E67" s="38">
        <v>22</v>
      </c>
      <c r="F67" s="214" t="s">
        <v>208</v>
      </c>
      <c r="G67" s="5" t="s">
        <v>112</v>
      </c>
      <c r="H67" s="20" t="s">
        <v>123</v>
      </c>
      <c r="I67" s="50" t="s">
        <v>143</v>
      </c>
      <c r="J67" s="16" t="s">
        <v>181</v>
      </c>
    </row>
    <row r="68" spans="2:10" ht="17" thickBot="1" x14ac:dyDescent="0.25">
      <c r="B68" s="207" t="s">
        <v>31</v>
      </c>
      <c r="C68" s="239">
        <v>2019</v>
      </c>
      <c r="D68" s="4" t="s">
        <v>125</v>
      </c>
      <c r="E68" s="38">
        <v>22</v>
      </c>
      <c r="F68" s="214" t="s">
        <v>208</v>
      </c>
      <c r="G68" s="5" t="s">
        <v>112</v>
      </c>
      <c r="H68" s="20" t="s">
        <v>123</v>
      </c>
      <c r="I68" s="50" t="s">
        <v>143</v>
      </c>
      <c r="J68" s="16" t="s">
        <v>181</v>
      </c>
    </row>
    <row r="69" spans="2:10" x14ac:dyDescent="0.2">
      <c r="B69" s="199" t="s">
        <v>32</v>
      </c>
      <c r="C69" s="108">
        <v>2019</v>
      </c>
      <c r="D69" s="259" t="s">
        <v>125</v>
      </c>
      <c r="E69" s="252">
        <v>22</v>
      </c>
      <c r="F69" s="251" t="s">
        <v>208</v>
      </c>
      <c r="G69" s="120" t="s">
        <v>112</v>
      </c>
      <c r="H69" s="264" t="s">
        <v>123</v>
      </c>
      <c r="I69" s="254" t="s">
        <v>143</v>
      </c>
      <c r="J69" s="255" t="s">
        <v>181</v>
      </c>
    </row>
    <row r="70" spans="2:10" x14ac:dyDescent="0.2">
      <c r="B70" s="200" t="s">
        <v>33</v>
      </c>
      <c r="C70" s="59">
        <v>2019</v>
      </c>
      <c r="D70" s="4" t="s">
        <v>125</v>
      </c>
      <c r="E70" s="38">
        <v>22</v>
      </c>
      <c r="F70" s="214" t="s">
        <v>208</v>
      </c>
      <c r="G70" s="5" t="s">
        <v>112</v>
      </c>
      <c r="H70" s="20" t="s">
        <v>123</v>
      </c>
      <c r="I70" s="50" t="s">
        <v>143</v>
      </c>
      <c r="J70" s="16" t="s">
        <v>181</v>
      </c>
    </row>
    <row r="71" spans="2:10" ht="17" thickBot="1" x14ac:dyDescent="0.25">
      <c r="B71" s="201" t="s">
        <v>34</v>
      </c>
      <c r="C71" s="256">
        <v>2019</v>
      </c>
      <c r="D71" s="126" t="s">
        <v>125</v>
      </c>
      <c r="E71" s="257">
        <v>22</v>
      </c>
      <c r="F71" s="230" t="s">
        <v>208</v>
      </c>
      <c r="G71" s="18" t="s">
        <v>112</v>
      </c>
      <c r="H71" s="265" t="s">
        <v>123</v>
      </c>
      <c r="I71" s="258" t="s">
        <v>143</v>
      </c>
      <c r="J71" s="19" t="s">
        <v>181</v>
      </c>
    </row>
    <row r="72" spans="2:10" x14ac:dyDescent="0.2">
      <c r="B72" s="76" t="s">
        <v>13</v>
      </c>
      <c r="C72" s="59">
        <v>2019</v>
      </c>
      <c r="D72" s="21" t="s">
        <v>123</v>
      </c>
      <c r="E72" s="23" t="s">
        <v>123</v>
      </c>
      <c r="F72" s="214" t="s">
        <v>123</v>
      </c>
      <c r="G72" s="5" t="s">
        <v>113</v>
      </c>
      <c r="H72" s="26" t="s">
        <v>123</v>
      </c>
      <c r="I72" s="30" t="s">
        <v>123</v>
      </c>
      <c r="J72" s="16"/>
    </row>
    <row r="73" spans="2:10" x14ac:dyDescent="0.2">
      <c r="B73" s="77" t="s">
        <v>14</v>
      </c>
      <c r="C73" s="59">
        <v>2019</v>
      </c>
      <c r="D73" s="21" t="s">
        <v>123</v>
      </c>
      <c r="E73" s="23" t="s">
        <v>123</v>
      </c>
      <c r="F73" s="214" t="s">
        <v>123</v>
      </c>
      <c r="G73" s="5" t="s">
        <v>113</v>
      </c>
      <c r="H73" s="26" t="s">
        <v>123</v>
      </c>
      <c r="I73" s="30" t="s">
        <v>123</v>
      </c>
      <c r="J73" s="16"/>
    </row>
    <row r="74" spans="2:10" x14ac:dyDescent="0.2">
      <c r="B74" s="77" t="s">
        <v>15</v>
      </c>
      <c r="C74" s="59">
        <v>2019</v>
      </c>
      <c r="D74" s="21" t="s">
        <v>123</v>
      </c>
      <c r="E74" s="23" t="s">
        <v>123</v>
      </c>
      <c r="F74" s="214" t="s">
        <v>123</v>
      </c>
      <c r="G74" s="5" t="s">
        <v>113</v>
      </c>
      <c r="H74" s="26" t="s">
        <v>123</v>
      </c>
      <c r="I74" s="30" t="s">
        <v>123</v>
      </c>
      <c r="J74" s="16"/>
    </row>
    <row r="75" spans="2:10" ht="17" thickBot="1" x14ac:dyDescent="0.25">
      <c r="B75" s="121" t="s">
        <v>16</v>
      </c>
      <c r="C75" s="239">
        <v>2019</v>
      </c>
      <c r="D75" s="21" t="s">
        <v>123</v>
      </c>
      <c r="E75" s="23" t="s">
        <v>123</v>
      </c>
      <c r="F75" s="214" t="s">
        <v>123</v>
      </c>
      <c r="G75" s="5" t="s">
        <v>113</v>
      </c>
      <c r="H75" s="26" t="s">
        <v>123</v>
      </c>
      <c r="I75" s="28" t="s">
        <v>123</v>
      </c>
      <c r="J75" s="16"/>
    </row>
    <row r="76" spans="2:10" x14ac:dyDescent="0.2">
      <c r="B76" s="123" t="s">
        <v>12</v>
      </c>
      <c r="C76" s="108">
        <v>2019</v>
      </c>
      <c r="D76" s="110" t="s">
        <v>125</v>
      </c>
      <c r="E76" s="128">
        <v>22</v>
      </c>
      <c r="F76" s="251" t="s">
        <v>208</v>
      </c>
      <c r="G76" s="112" t="s">
        <v>112</v>
      </c>
      <c r="H76" s="261" t="s">
        <v>131</v>
      </c>
      <c r="I76" s="253" t="s">
        <v>144</v>
      </c>
      <c r="J76" s="255" t="s">
        <v>185</v>
      </c>
    </row>
    <row r="77" spans="2:10" x14ac:dyDescent="0.2">
      <c r="B77" s="79" t="s">
        <v>11</v>
      </c>
      <c r="C77" s="59">
        <v>2019</v>
      </c>
      <c r="D77" s="21" t="s">
        <v>123</v>
      </c>
      <c r="E77" s="23" t="s">
        <v>123</v>
      </c>
      <c r="F77" s="214" t="s">
        <v>123</v>
      </c>
      <c r="G77" s="5" t="s">
        <v>113</v>
      </c>
      <c r="H77" s="26" t="s">
        <v>123</v>
      </c>
      <c r="I77" s="30" t="s">
        <v>123</v>
      </c>
      <c r="J77" s="16"/>
    </row>
    <row r="78" spans="2:10" x14ac:dyDescent="0.2">
      <c r="B78" s="79" t="s">
        <v>10</v>
      </c>
      <c r="C78" s="59">
        <v>2019</v>
      </c>
      <c r="D78" s="21" t="s">
        <v>123</v>
      </c>
      <c r="E78" s="23" t="s">
        <v>123</v>
      </c>
      <c r="F78" s="214" t="s">
        <v>123</v>
      </c>
      <c r="G78" s="5" t="s">
        <v>113</v>
      </c>
      <c r="H78" s="26" t="s">
        <v>123</v>
      </c>
      <c r="I78" s="30" t="s">
        <v>123</v>
      </c>
      <c r="J78" s="16"/>
    </row>
    <row r="79" spans="2:10" x14ac:dyDescent="0.2">
      <c r="B79" s="79" t="s">
        <v>9</v>
      </c>
      <c r="C79" s="59">
        <v>2019</v>
      </c>
      <c r="D79" s="21" t="s">
        <v>123</v>
      </c>
      <c r="E79" s="23" t="s">
        <v>123</v>
      </c>
      <c r="F79" s="214" t="s">
        <v>123</v>
      </c>
      <c r="G79" s="5" t="s">
        <v>113</v>
      </c>
      <c r="H79" s="26" t="s">
        <v>123</v>
      </c>
      <c r="I79" s="30" t="s">
        <v>123</v>
      </c>
      <c r="J79" s="16"/>
    </row>
    <row r="80" spans="2:10" x14ac:dyDescent="0.2">
      <c r="B80" s="79" t="s">
        <v>8</v>
      </c>
      <c r="C80" s="59">
        <v>2019</v>
      </c>
      <c r="D80" s="21" t="s">
        <v>123</v>
      </c>
      <c r="E80" s="23" t="s">
        <v>123</v>
      </c>
      <c r="F80" s="214" t="s">
        <v>123</v>
      </c>
      <c r="G80" s="5" t="s">
        <v>113</v>
      </c>
      <c r="H80" s="26" t="s">
        <v>123</v>
      </c>
      <c r="I80" s="30" t="s">
        <v>123</v>
      </c>
      <c r="J80" s="16"/>
    </row>
    <row r="81" spans="2:10" x14ac:dyDescent="0.2">
      <c r="B81" s="79" t="s">
        <v>7</v>
      </c>
      <c r="C81" s="59">
        <v>2019</v>
      </c>
      <c r="D81" s="21" t="s">
        <v>123</v>
      </c>
      <c r="E81" s="23" t="s">
        <v>123</v>
      </c>
      <c r="F81" s="214" t="s">
        <v>123</v>
      </c>
      <c r="G81" s="5" t="s">
        <v>113</v>
      </c>
      <c r="H81" s="26" t="s">
        <v>123</v>
      </c>
      <c r="I81" s="30" t="s">
        <v>123</v>
      </c>
      <c r="J81" s="16"/>
    </row>
    <row r="82" spans="2:10" x14ac:dyDescent="0.2">
      <c r="B82" s="79" t="s">
        <v>6</v>
      </c>
      <c r="C82" s="59">
        <v>2019</v>
      </c>
      <c r="D82" s="4" t="s">
        <v>123</v>
      </c>
      <c r="E82" s="8" t="s">
        <v>123</v>
      </c>
      <c r="F82" s="214" t="s">
        <v>123</v>
      </c>
      <c r="G82" s="5" t="s">
        <v>180</v>
      </c>
      <c r="H82" s="26" t="s">
        <v>123</v>
      </c>
      <c r="I82" s="20" t="s">
        <v>123</v>
      </c>
      <c r="J82" s="16"/>
    </row>
    <row r="83" spans="2:10" ht="17" thickBot="1" x14ac:dyDescent="0.25">
      <c r="B83" s="124" t="s">
        <v>5</v>
      </c>
      <c r="C83" s="256">
        <v>2019</v>
      </c>
      <c r="D83" s="126" t="s">
        <v>123</v>
      </c>
      <c r="E83" s="266" t="s">
        <v>123</v>
      </c>
      <c r="F83" s="230" t="s">
        <v>123</v>
      </c>
      <c r="G83" s="18" t="s">
        <v>180</v>
      </c>
      <c r="H83" s="263" t="s">
        <v>123</v>
      </c>
      <c r="I83" s="265" t="s">
        <v>123</v>
      </c>
      <c r="J83" s="19"/>
    </row>
    <row r="84" spans="2:10" ht="17" thickBot="1" x14ac:dyDescent="0.25">
      <c r="B84" s="122" t="s">
        <v>75</v>
      </c>
      <c r="C84" s="239">
        <v>2019</v>
      </c>
      <c r="D84" s="22" t="s">
        <v>125</v>
      </c>
      <c r="E84" s="225">
        <v>23</v>
      </c>
      <c r="F84" s="214" t="s">
        <v>207</v>
      </c>
      <c r="G84" s="13" t="s">
        <v>112</v>
      </c>
      <c r="H84" s="28" t="s">
        <v>128</v>
      </c>
      <c r="I84" s="20" t="s">
        <v>146</v>
      </c>
      <c r="J84" s="44" t="s">
        <v>182</v>
      </c>
    </row>
    <row r="85" spans="2:10" x14ac:dyDescent="0.2">
      <c r="B85" s="127" t="s">
        <v>103</v>
      </c>
      <c r="C85" s="108">
        <v>2019</v>
      </c>
      <c r="D85" s="267" t="s">
        <v>125</v>
      </c>
      <c r="E85" s="128">
        <v>18</v>
      </c>
      <c r="F85" s="251" t="s">
        <v>209</v>
      </c>
      <c r="G85" s="117" t="s">
        <v>112</v>
      </c>
      <c r="H85" s="260" t="s">
        <v>128</v>
      </c>
      <c r="I85" s="253" t="s">
        <v>146</v>
      </c>
      <c r="J85" s="255" t="s">
        <v>182</v>
      </c>
    </row>
    <row r="86" spans="2:10" x14ac:dyDescent="0.2">
      <c r="B86" s="84" t="s">
        <v>104</v>
      </c>
      <c r="C86" s="59">
        <v>2019</v>
      </c>
      <c r="D86" s="3" t="s">
        <v>125</v>
      </c>
      <c r="E86" s="23">
        <v>18</v>
      </c>
      <c r="F86" s="214" t="s">
        <v>209</v>
      </c>
      <c r="G86" s="6" t="s">
        <v>112</v>
      </c>
      <c r="H86" s="28" t="s">
        <v>128</v>
      </c>
      <c r="I86" s="30" t="s">
        <v>146</v>
      </c>
      <c r="J86" s="16" t="s">
        <v>182</v>
      </c>
    </row>
    <row r="87" spans="2:10" x14ac:dyDescent="0.2">
      <c r="B87" s="84" t="s">
        <v>105</v>
      </c>
      <c r="C87" s="59">
        <v>2019</v>
      </c>
      <c r="D87" s="3" t="s">
        <v>125</v>
      </c>
      <c r="E87" s="23">
        <v>18</v>
      </c>
      <c r="F87" s="214" t="s">
        <v>209</v>
      </c>
      <c r="G87" s="6" t="s">
        <v>112</v>
      </c>
      <c r="H87" s="28" t="s">
        <v>128</v>
      </c>
      <c r="I87" s="30" t="s">
        <v>146</v>
      </c>
      <c r="J87" s="16" t="s">
        <v>182</v>
      </c>
    </row>
    <row r="88" spans="2:10" x14ac:dyDescent="0.2">
      <c r="B88" s="84" t="s">
        <v>106</v>
      </c>
      <c r="C88" s="59">
        <v>2019</v>
      </c>
      <c r="D88" s="3" t="s">
        <v>125</v>
      </c>
      <c r="E88" s="23">
        <v>18</v>
      </c>
      <c r="F88" s="214" t="s">
        <v>209</v>
      </c>
      <c r="G88" s="6" t="s">
        <v>112</v>
      </c>
      <c r="H88" s="28" t="s">
        <v>128</v>
      </c>
      <c r="I88" s="30" t="s">
        <v>146</v>
      </c>
      <c r="J88" s="16" t="s">
        <v>182</v>
      </c>
    </row>
    <row r="89" spans="2:10" x14ac:dyDescent="0.2">
      <c r="B89" s="84" t="s">
        <v>107</v>
      </c>
      <c r="C89" s="59">
        <v>2019</v>
      </c>
      <c r="D89" s="3" t="s">
        <v>125</v>
      </c>
      <c r="E89" s="23">
        <v>18</v>
      </c>
      <c r="F89" s="214" t="s">
        <v>209</v>
      </c>
      <c r="G89" s="6" t="s">
        <v>112</v>
      </c>
      <c r="H89" s="28" t="s">
        <v>128</v>
      </c>
      <c r="I89" s="30" t="s">
        <v>146</v>
      </c>
      <c r="J89" s="16" t="s">
        <v>182</v>
      </c>
    </row>
    <row r="90" spans="2:10" ht="17" thickBot="1" x14ac:dyDescent="0.25">
      <c r="B90" s="129" t="s">
        <v>108</v>
      </c>
      <c r="C90" s="256">
        <v>2019</v>
      </c>
      <c r="D90" s="29" t="s">
        <v>125</v>
      </c>
      <c r="E90" s="25">
        <v>18</v>
      </c>
      <c r="F90" s="230" t="s">
        <v>209</v>
      </c>
      <c r="G90" s="48" t="s">
        <v>112</v>
      </c>
      <c r="H90" s="32" t="s">
        <v>128</v>
      </c>
      <c r="I90" s="49" t="s">
        <v>146</v>
      </c>
      <c r="J90" s="19" t="s">
        <v>182</v>
      </c>
    </row>
    <row r="91" spans="2:10" x14ac:dyDescent="0.2">
      <c r="B91" s="88" t="s">
        <v>93</v>
      </c>
      <c r="C91" s="59">
        <v>2019</v>
      </c>
      <c r="D91" s="3" t="s">
        <v>123</v>
      </c>
      <c r="E91" s="23" t="s">
        <v>123</v>
      </c>
      <c r="F91" s="214" t="s">
        <v>123</v>
      </c>
      <c r="G91" s="5" t="s">
        <v>180</v>
      </c>
      <c r="H91" s="28" t="s">
        <v>123</v>
      </c>
      <c r="I91" s="30" t="s">
        <v>123</v>
      </c>
      <c r="J91" s="16"/>
    </row>
    <row r="92" spans="2:10" x14ac:dyDescent="0.2">
      <c r="B92" s="86" t="s">
        <v>94</v>
      </c>
      <c r="C92" s="59">
        <v>2019</v>
      </c>
      <c r="D92" s="3" t="s">
        <v>123</v>
      </c>
      <c r="E92" s="23" t="s">
        <v>123</v>
      </c>
      <c r="F92" s="214" t="s">
        <v>123</v>
      </c>
      <c r="G92" s="5" t="s">
        <v>180</v>
      </c>
      <c r="H92" s="28" t="s">
        <v>123</v>
      </c>
      <c r="I92" s="30" t="s">
        <v>123</v>
      </c>
      <c r="J92" s="16"/>
    </row>
    <row r="93" spans="2:10" x14ac:dyDescent="0.2">
      <c r="B93" s="86" t="s">
        <v>95</v>
      </c>
      <c r="C93" s="59">
        <v>2019</v>
      </c>
      <c r="D93" s="3" t="s">
        <v>125</v>
      </c>
      <c r="E93" s="23">
        <v>22</v>
      </c>
      <c r="F93" s="214" t="s">
        <v>208</v>
      </c>
      <c r="G93" s="5" t="s">
        <v>112</v>
      </c>
      <c r="H93" s="28" t="s">
        <v>160</v>
      </c>
      <c r="I93" s="30" t="s">
        <v>146</v>
      </c>
      <c r="J93" s="16" t="s">
        <v>182</v>
      </c>
    </row>
    <row r="94" spans="2:10" x14ac:dyDescent="0.2">
      <c r="B94" s="86" t="s">
        <v>96</v>
      </c>
      <c r="C94" s="59">
        <v>2019</v>
      </c>
      <c r="D94" s="212" t="s">
        <v>125</v>
      </c>
      <c r="E94" s="23">
        <v>22</v>
      </c>
      <c r="F94" s="214" t="s">
        <v>208</v>
      </c>
      <c r="G94" s="5" t="s">
        <v>112</v>
      </c>
      <c r="H94" s="28" t="s">
        <v>160</v>
      </c>
      <c r="I94" s="30" t="s">
        <v>146</v>
      </c>
      <c r="J94" s="16" t="s">
        <v>182</v>
      </c>
    </row>
    <row r="95" spans="2:10" x14ac:dyDescent="0.2">
      <c r="B95" s="86" t="s">
        <v>97</v>
      </c>
      <c r="C95" s="59">
        <v>2019</v>
      </c>
      <c r="D95" s="3" t="s">
        <v>125</v>
      </c>
      <c r="E95" s="23">
        <v>22</v>
      </c>
      <c r="F95" s="214" t="s">
        <v>208</v>
      </c>
      <c r="G95" s="5" t="s">
        <v>112</v>
      </c>
      <c r="H95" s="28" t="s">
        <v>160</v>
      </c>
      <c r="I95" s="30" t="s">
        <v>146</v>
      </c>
      <c r="J95" s="16" t="s">
        <v>182</v>
      </c>
    </row>
    <row r="96" spans="2:10" ht="17" thickBot="1" x14ac:dyDescent="0.25">
      <c r="B96" s="192" t="s">
        <v>98</v>
      </c>
      <c r="C96" s="102">
        <v>2019</v>
      </c>
      <c r="D96" s="29" t="s">
        <v>125</v>
      </c>
      <c r="E96" s="25">
        <v>22</v>
      </c>
      <c r="F96" s="230" t="s">
        <v>208</v>
      </c>
      <c r="G96" s="18" t="s">
        <v>112</v>
      </c>
      <c r="H96" s="32" t="s">
        <v>160</v>
      </c>
      <c r="I96" s="49" t="s">
        <v>144</v>
      </c>
      <c r="J96" s="19" t="s">
        <v>183</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DB36-8504-BD49-904E-9A82B1AB8103}">
  <dimension ref="B2:I97"/>
  <sheetViews>
    <sheetView topLeftCell="B1" workbookViewId="0">
      <selection activeCell="H17" sqref="H17"/>
    </sheetView>
  </sheetViews>
  <sheetFormatPr baseColWidth="10" defaultRowHeight="16" x14ac:dyDescent="0.2"/>
  <cols>
    <col min="2" max="2" width="22" customWidth="1"/>
    <col min="3" max="3" width="18.83203125" customWidth="1"/>
    <col min="4" max="4" width="22.1640625" customWidth="1"/>
    <col min="5" max="5" width="69.83203125" customWidth="1"/>
    <col min="8" max="8" width="29" customWidth="1"/>
    <col min="9" max="9" width="16.83203125" customWidth="1"/>
  </cols>
  <sheetData>
    <row r="2" spans="2:9" ht="17" thickBot="1" x14ac:dyDescent="0.25"/>
    <row r="3" spans="2:9" ht="17" thickBot="1" x14ac:dyDescent="0.25">
      <c r="B3" s="273" t="s">
        <v>0</v>
      </c>
      <c r="C3" s="204" t="s">
        <v>120</v>
      </c>
      <c r="D3" s="273" t="s">
        <v>1</v>
      </c>
      <c r="E3" s="205" t="s">
        <v>122</v>
      </c>
      <c r="H3" s="273" t="s">
        <v>213</v>
      </c>
      <c r="I3" s="279">
        <f>SUM(D4:D97)</f>
        <v>14424.469833333334</v>
      </c>
    </row>
    <row r="4" spans="2:9" x14ac:dyDescent="0.2">
      <c r="B4" s="143" t="s">
        <v>76</v>
      </c>
      <c r="C4" s="59">
        <v>2018</v>
      </c>
      <c r="D4" s="268">
        <f>AVERAGE('2018'!G3:G5)</f>
        <v>20.094666666666669</v>
      </c>
      <c r="E4" s="16"/>
    </row>
    <row r="5" spans="2:9" x14ac:dyDescent="0.2">
      <c r="B5" s="66" t="s">
        <v>77</v>
      </c>
      <c r="C5" s="59">
        <v>2018</v>
      </c>
      <c r="D5" s="268">
        <f>AVERAGE('2018'!G6:G8)</f>
        <v>24.625</v>
      </c>
      <c r="E5" s="16"/>
    </row>
    <row r="6" spans="2:9" x14ac:dyDescent="0.2">
      <c r="B6" s="66" t="s">
        <v>78</v>
      </c>
      <c r="C6" s="59">
        <v>2018</v>
      </c>
      <c r="D6" s="268">
        <f>AVERAGE('2018'!G9:G11)</f>
        <v>18.638000000000002</v>
      </c>
      <c r="E6" s="16"/>
    </row>
    <row r="7" spans="2:9" x14ac:dyDescent="0.2">
      <c r="B7" s="66" t="s">
        <v>79</v>
      </c>
      <c r="C7" s="59">
        <v>2018</v>
      </c>
      <c r="D7" s="268">
        <f>AVERAGE('2018'!G12:G13)</f>
        <v>34.600000000000009</v>
      </c>
      <c r="E7" s="16"/>
    </row>
    <row r="8" spans="2:9" x14ac:dyDescent="0.2">
      <c r="B8" s="66" t="s">
        <v>80</v>
      </c>
      <c r="C8" s="59">
        <v>2018</v>
      </c>
      <c r="D8" s="268">
        <f>AVERAGE('2018'!G14:G15)</f>
        <v>2.5265</v>
      </c>
      <c r="E8" s="16"/>
    </row>
    <row r="9" spans="2:9" x14ac:dyDescent="0.2">
      <c r="B9" s="66" t="s">
        <v>81</v>
      </c>
      <c r="C9" s="59">
        <v>2018</v>
      </c>
      <c r="D9" s="268">
        <f>AVERAGE('2018'!G16:G17)</f>
        <v>143.04900000000004</v>
      </c>
      <c r="E9" s="16"/>
    </row>
    <row r="10" spans="2:9" x14ac:dyDescent="0.2">
      <c r="B10" s="66" t="s">
        <v>82</v>
      </c>
      <c r="C10" s="59">
        <v>2018</v>
      </c>
      <c r="D10" s="268">
        <f>'2018'!G19</f>
        <v>327.00299999999999</v>
      </c>
      <c r="E10" s="16"/>
    </row>
    <row r="11" spans="2:9" x14ac:dyDescent="0.2">
      <c r="B11" s="66" t="s">
        <v>83</v>
      </c>
      <c r="C11" s="59">
        <v>2018</v>
      </c>
      <c r="D11" s="268">
        <f>'2018'!G22</f>
        <v>139.05500000000004</v>
      </c>
      <c r="E11" s="16"/>
    </row>
    <row r="12" spans="2:9" ht="17" thickBot="1" x14ac:dyDescent="0.25">
      <c r="B12" s="101" t="s">
        <v>3</v>
      </c>
      <c r="C12" s="149">
        <v>2018</v>
      </c>
      <c r="D12" s="269">
        <v>0</v>
      </c>
      <c r="E12" s="43"/>
    </row>
    <row r="13" spans="2:9" x14ac:dyDescent="0.2">
      <c r="B13" s="146" t="s">
        <v>84</v>
      </c>
      <c r="C13" s="59">
        <v>2018</v>
      </c>
      <c r="D13" s="268">
        <f>AVERAGE('2018'!G26:G29)</f>
        <v>378.4495</v>
      </c>
      <c r="E13" s="16"/>
    </row>
    <row r="14" spans="2:9" x14ac:dyDescent="0.2">
      <c r="B14" s="69" t="s">
        <v>85</v>
      </c>
      <c r="C14" s="59">
        <v>2018</v>
      </c>
      <c r="D14" s="268">
        <f>AVERAGE('2018'!G31:G33)</f>
        <v>854.50333333333344</v>
      </c>
      <c r="E14" s="16"/>
    </row>
    <row r="15" spans="2:9" x14ac:dyDescent="0.2">
      <c r="B15" s="69" t="s">
        <v>4</v>
      </c>
      <c r="C15" s="59">
        <v>2018</v>
      </c>
      <c r="D15" s="268">
        <f>AVERAGE('2018'!G35,'2018'!G37)</f>
        <v>0</v>
      </c>
      <c r="E15" s="16"/>
    </row>
    <row r="16" spans="2:9" x14ac:dyDescent="0.2">
      <c r="B16" s="69" t="s">
        <v>86</v>
      </c>
      <c r="C16" s="59">
        <v>2018</v>
      </c>
      <c r="D16" s="268">
        <f>AVERAGE('2018'!G39:G41)</f>
        <v>252.226</v>
      </c>
      <c r="E16" s="16"/>
    </row>
    <row r="17" spans="2:5" x14ac:dyDescent="0.2">
      <c r="B17" s="69" t="s">
        <v>87</v>
      </c>
      <c r="C17" s="59">
        <v>2018</v>
      </c>
      <c r="D17" s="268">
        <f>AVERAGE('2018'!G45)</f>
        <v>753.62299999999993</v>
      </c>
      <c r="E17" s="16"/>
    </row>
    <row r="18" spans="2:5" x14ac:dyDescent="0.2">
      <c r="B18" s="69" t="s">
        <v>88</v>
      </c>
      <c r="C18" s="59">
        <v>2018</v>
      </c>
      <c r="D18" s="268">
        <f>AVERAGE('2018'!G47,'2018'!G49)</f>
        <v>35.625999999999998</v>
      </c>
      <c r="E18" s="16"/>
    </row>
    <row r="19" spans="2:5" x14ac:dyDescent="0.2">
      <c r="B19" s="69" t="s">
        <v>89</v>
      </c>
      <c r="C19" s="59">
        <v>2018</v>
      </c>
      <c r="D19" s="268">
        <f>AVERAGE('2018'!G53)</f>
        <v>590.73899999999992</v>
      </c>
      <c r="E19" s="16"/>
    </row>
    <row r="20" spans="2:5" x14ac:dyDescent="0.2">
      <c r="B20" s="69" t="s">
        <v>2</v>
      </c>
      <c r="C20" s="59">
        <v>2018</v>
      </c>
      <c r="D20" s="268">
        <f>AVERAGE('2018'!G55,'2018'!G57)</f>
        <v>0</v>
      </c>
      <c r="E20" s="16"/>
    </row>
    <row r="21" spans="2:5" x14ac:dyDescent="0.2">
      <c r="B21" s="69" t="s">
        <v>90</v>
      </c>
      <c r="C21" s="59">
        <v>2018</v>
      </c>
      <c r="D21" s="268" t="str">
        <f>'2018'!G59</f>
        <v>﻿207.030</v>
      </c>
      <c r="E21" s="16"/>
    </row>
    <row r="22" spans="2:5" x14ac:dyDescent="0.2">
      <c r="B22" s="69" t="s">
        <v>91</v>
      </c>
      <c r="C22" s="59">
        <v>2018</v>
      </c>
      <c r="D22" s="268">
        <f>'2018'!G62</f>
        <v>42.147999999999996</v>
      </c>
      <c r="E22" s="16"/>
    </row>
    <row r="23" spans="2:5" ht="17" thickBot="1" x14ac:dyDescent="0.25">
      <c r="B23" s="147" t="s">
        <v>92</v>
      </c>
      <c r="C23" s="149">
        <v>2018</v>
      </c>
      <c r="D23" s="269">
        <f>'2018'!G65</f>
        <v>29.017000000000003</v>
      </c>
      <c r="E23" s="43"/>
    </row>
    <row r="24" spans="2:5" x14ac:dyDescent="0.2">
      <c r="B24" s="107" t="s">
        <v>44</v>
      </c>
      <c r="C24" s="59">
        <v>2018</v>
      </c>
      <c r="D24" s="268">
        <f>AVERAGE('2018'!G66:G67)</f>
        <v>295.37650000000002</v>
      </c>
      <c r="E24" s="16"/>
    </row>
    <row r="25" spans="2:5" x14ac:dyDescent="0.2">
      <c r="B25" s="71" t="s">
        <v>45</v>
      </c>
      <c r="C25" s="59">
        <v>2018</v>
      </c>
      <c r="D25" s="268">
        <f>AVERAGE('2018'!G69:G70)</f>
        <v>282.47550000000001</v>
      </c>
      <c r="E25" s="16"/>
    </row>
    <row r="26" spans="2:5" x14ac:dyDescent="0.2">
      <c r="B26" s="71" t="s">
        <v>46</v>
      </c>
      <c r="C26" s="59">
        <v>2018</v>
      </c>
      <c r="D26" s="268">
        <f>AVERAGE('2018'!G72:G73)</f>
        <v>275.65449999999998</v>
      </c>
      <c r="E26" s="16"/>
    </row>
    <row r="27" spans="2:5" x14ac:dyDescent="0.2">
      <c r="B27" s="71" t="s">
        <v>48</v>
      </c>
      <c r="C27" s="59">
        <v>2018</v>
      </c>
      <c r="D27" s="268">
        <f>AVERAGE('2018'!G75:G76)</f>
        <v>338.05849999999998</v>
      </c>
      <c r="E27" s="16"/>
    </row>
    <row r="28" spans="2:5" x14ac:dyDescent="0.2">
      <c r="B28" s="71" t="s">
        <v>47</v>
      </c>
      <c r="C28" s="59">
        <v>2018</v>
      </c>
      <c r="D28" s="268">
        <f>AVERAGE('2018'!G77:G78)</f>
        <v>450.52650000000006</v>
      </c>
      <c r="E28" s="16"/>
    </row>
    <row r="29" spans="2:5" x14ac:dyDescent="0.2">
      <c r="B29" s="71" t="s">
        <v>49</v>
      </c>
      <c r="C29" s="59">
        <v>2018</v>
      </c>
      <c r="D29" s="268">
        <f>AVERAGE('2018'!G79:G80)</f>
        <v>257.38800000000003</v>
      </c>
      <c r="E29" s="16"/>
    </row>
    <row r="30" spans="2:5" x14ac:dyDescent="0.2">
      <c r="B30" s="71" t="s">
        <v>50</v>
      </c>
      <c r="C30" s="59">
        <v>2018</v>
      </c>
      <c r="D30" s="268">
        <f>AVERAGE('2018'!G81:G82)</f>
        <v>131.50299999999999</v>
      </c>
      <c r="E30" s="16"/>
    </row>
    <row r="31" spans="2:5" x14ac:dyDescent="0.2">
      <c r="B31" s="71" t="s">
        <v>51</v>
      </c>
      <c r="C31" s="59">
        <v>2018</v>
      </c>
      <c r="D31" s="268">
        <f>AVERAGE('2018'!G83:G84)</f>
        <v>130.60000000000002</v>
      </c>
      <c r="E31" s="16"/>
    </row>
    <row r="32" spans="2:5" x14ac:dyDescent="0.2">
      <c r="B32" s="71" t="s">
        <v>52</v>
      </c>
      <c r="C32" s="59">
        <v>2018</v>
      </c>
      <c r="D32" s="268">
        <f>AVERAGE('2018'!G85:G86)</f>
        <v>196.85050000000001</v>
      </c>
      <c r="E32" s="16"/>
    </row>
    <row r="33" spans="2:5" x14ac:dyDescent="0.2">
      <c r="B33" s="71" t="s">
        <v>53</v>
      </c>
      <c r="C33" s="59">
        <v>2018</v>
      </c>
      <c r="D33" s="268">
        <f>AVERAGE('2018'!G87:G88)</f>
        <v>0</v>
      </c>
      <c r="E33" s="16"/>
    </row>
    <row r="34" spans="2:5" x14ac:dyDescent="0.2">
      <c r="B34" s="71" t="s">
        <v>54</v>
      </c>
      <c r="C34" s="59">
        <v>2018</v>
      </c>
      <c r="D34" s="270">
        <f>AVERAGE('2018'!G90:G91)</f>
        <v>266.27300000000002</v>
      </c>
      <c r="E34" s="16"/>
    </row>
    <row r="35" spans="2:5" x14ac:dyDescent="0.2">
      <c r="B35" s="71" t="s">
        <v>55</v>
      </c>
      <c r="C35" s="59">
        <v>2018</v>
      </c>
      <c r="D35" s="270">
        <f>AVERAGE('2018'!G93:G94)</f>
        <v>0</v>
      </c>
      <c r="E35" s="16"/>
    </row>
    <row r="36" spans="2:5" x14ac:dyDescent="0.2">
      <c r="B36" s="71" t="s">
        <v>56</v>
      </c>
      <c r="C36" s="59">
        <v>2018</v>
      </c>
      <c r="D36" s="268">
        <f>AVERAGE('2018'!G96:G97)</f>
        <v>511.25650000000002</v>
      </c>
      <c r="E36" s="16"/>
    </row>
    <row r="37" spans="2:5" x14ac:dyDescent="0.2">
      <c r="B37" s="71" t="s">
        <v>57</v>
      </c>
      <c r="C37" s="59">
        <v>2018</v>
      </c>
      <c r="D37" s="268">
        <f>AVERAGE('2018'!G98:G99)</f>
        <v>859.2829999999999</v>
      </c>
      <c r="E37" s="16"/>
    </row>
    <row r="38" spans="2:5" x14ac:dyDescent="0.2">
      <c r="B38" s="71" t="s">
        <v>58</v>
      </c>
      <c r="C38" s="59">
        <v>2018</v>
      </c>
      <c r="D38" s="268">
        <f>AVERAGE('2018'!G100:G101)</f>
        <v>0</v>
      </c>
      <c r="E38" s="16"/>
    </row>
    <row r="39" spans="2:5" x14ac:dyDescent="0.2">
      <c r="B39" s="71" t="s">
        <v>59</v>
      </c>
      <c r="C39" s="59">
        <v>2018</v>
      </c>
      <c r="D39" s="268">
        <f>AVERAGE('2018'!G100:G103)</f>
        <v>0</v>
      </c>
      <c r="E39" s="16"/>
    </row>
    <row r="40" spans="2:5" x14ac:dyDescent="0.2">
      <c r="B40" s="71" t="s">
        <v>60</v>
      </c>
      <c r="C40" s="59">
        <v>2018</v>
      </c>
      <c r="D40" s="268">
        <f>AVERAGE('2018'!G104:G105)</f>
        <v>23.278500000000001</v>
      </c>
      <c r="E40" s="16"/>
    </row>
    <row r="41" spans="2:5" x14ac:dyDescent="0.2">
      <c r="B41" s="71" t="s">
        <v>61</v>
      </c>
      <c r="C41" s="59">
        <v>2018</v>
      </c>
      <c r="D41" s="268">
        <f>AVERAGE('2018'!G106:G108)</f>
        <v>428.02266666666674</v>
      </c>
      <c r="E41" s="16"/>
    </row>
    <row r="42" spans="2:5" x14ac:dyDescent="0.2">
      <c r="B42" s="71" t="s">
        <v>62</v>
      </c>
      <c r="C42" s="59">
        <v>2018</v>
      </c>
      <c r="D42" s="268">
        <f>AVERAGE('2018'!G109:G111)</f>
        <v>439.22833333333341</v>
      </c>
      <c r="E42" s="16"/>
    </row>
    <row r="43" spans="2:5" x14ac:dyDescent="0.2">
      <c r="B43" s="71" t="s">
        <v>63</v>
      </c>
      <c r="C43" s="59">
        <v>2018</v>
      </c>
      <c r="D43" s="268">
        <f>AVERAGE('2018'!G112:G113)</f>
        <v>700.45900000000006</v>
      </c>
      <c r="E43" s="16"/>
    </row>
    <row r="44" spans="2:5" x14ac:dyDescent="0.2">
      <c r="B44" s="71" t="s">
        <v>64</v>
      </c>
      <c r="C44" s="59">
        <v>2018</v>
      </c>
      <c r="D44" s="270">
        <f>AVERAGE('2018'!G115:G117)</f>
        <v>256.44900000000001</v>
      </c>
      <c r="E44" s="16"/>
    </row>
    <row r="45" spans="2:5" ht="17" thickBot="1" x14ac:dyDescent="0.25">
      <c r="B45" s="114" t="s">
        <v>65</v>
      </c>
      <c r="C45" s="149">
        <v>2018</v>
      </c>
      <c r="D45" s="271">
        <f>AVERAGE('2018'!G118:G119)</f>
        <v>53.323500000000003</v>
      </c>
      <c r="E45" s="43"/>
    </row>
    <row r="46" spans="2:5" x14ac:dyDescent="0.2">
      <c r="B46" s="73" t="s">
        <v>35</v>
      </c>
      <c r="C46" s="59">
        <v>2018</v>
      </c>
      <c r="D46" s="268">
        <f>AVERAGE('2018'!G121:G123)</f>
        <v>24.652333333333335</v>
      </c>
      <c r="E46" s="16"/>
    </row>
    <row r="47" spans="2:5" x14ac:dyDescent="0.2">
      <c r="B47" s="72" t="s">
        <v>36</v>
      </c>
      <c r="C47" s="59">
        <v>2018</v>
      </c>
      <c r="D47" s="268">
        <f>AVERAGE('2018'!G124:G126)</f>
        <v>6.8590000000000009</v>
      </c>
      <c r="E47" s="16"/>
    </row>
    <row r="48" spans="2:5" x14ac:dyDescent="0.2">
      <c r="B48" s="72" t="s">
        <v>37</v>
      </c>
      <c r="C48" s="59">
        <v>2018</v>
      </c>
      <c r="D48" s="268">
        <f>AVERAGE('2018'!G127:G129)</f>
        <v>177.00366666666665</v>
      </c>
      <c r="E48" s="16"/>
    </row>
    <row r="49" spans="2:5" x14ac:dyDescent="0.2">
      <c r="B49" s="72" t="s">
        <v>38</v>
      </c>
      <c r="C49" s="59">
        <v>2018</v>
      </c>
      <c r="D49" s="268">
        <f>AVERAGE('2018'!G130:G132)</f>
        <v>139.48500000000001</v>
      </c>
      <c r="E49" s="16"/>
    </row>
    <row r="50" spans="2:5" x14ac:dyDescent="0.2">
      <c r="B50" s="72" t="s">
        <v>39</v>
      </c>
      <c r="C50" s="59">
        <v>2018</v>
      </c>
      <c r="D50" s="268">
        <f>AVERAGE('2018'!G133:G135)</f>
        <v>148.94800000000001</v>
      </c>
      <c r="E50" s="16"/>
    </row>
    <row r="51" spans="2:5" x14ac:dyDescent="0.2">
      <c r="B51" s="72" t="s">
        <v>40</v>
      </c>
      <c r="C51" s="59">
        <v>2018</v>
      </c>
      <c r="D51" s="268">
        <f>AVERAGE('2018'!G136:G138)</f>
        <v>6.0590000000000011</v>
      </c>
      <c r="E51" s="16"/>
    </row>
    <row r="52" spans="2:5" x14ac:dyDescent="0.2">
      <c r="B52" s="72" t="s">
        <v>41</v>
      </c>
      <c r="C52" s="59">
        <v>2018</v>
      </c>
      <c r="D52" s="268">
        <f>AVERAGE('2018'!G139:G141)</f>
        <v>0</v>
      </c>
      <c r="E52" s="16"/>
    </row>
    <row r="53" spans="2:5" x14ac:dyDescent="0.2">
      <c r="B53" s="72" t="s">
        <v>42</v>
      </c>
      <c r="C53" s="59">
        <v>2018</v>
      </c>
      <c r="D53" s="268">
        <f>AVERAGE('2018'!G144)</f>
        <v>196.37700000000001</v>
      </c>
      <c r="E53" s="16"/>
    </row>
    <row r="54" spans="2:5" ht="17" thickBot="1" x14ac:dyDescent="0.25">
      <c r="B54" s="115" t="s">
        <v>43</v>
      </c>
      <c r="C54" s="131">
        <v>2018</v>
      </c>
      <c r="D54" s="268">
        <f>'2018'!G147</f>
        <v>226.68799999999999</v>
      </c>
      <c r="E54" s="43"/>
    </row>
    <row r="55" spans="2:5" x14ac:dyDescent="0.2">
      <c r="B55" s="116" t="s">
        <v>17</v>
      </c>
      <c r="C55" s="59">
        <v>2019</v>
      </c>
      <c r="D55" s="243">
        <f>0.42+23.661+18.103+2.126+8.815</f>
        <v>53.125</v>
      </c>
      <c r="E55" s="16"/>
    </row>
    <row r="56" spans="2:5" x14ac:dyDescent="0.2">
      <c r="B56" s="75" t="s">
        <v>18</v>
      </c>
      <c r="C56" s="59">
        <v>2019</v>
      </c>
      <c r="D56" s="13">
        <f>0.984+2.611+3.392</f>
        <v>6.9870000000000001</v>
      </c>
      <c r="E56" s="16"/>
    </row>
    <row r="57" spans="2:5" x14ac:dyDescent="0.2">
      <c r="B57" s="75" t="s">
        <v>19</v>
      </c>
      <c r="C57" s="59">
        <v>2019</v>
      </c>
      <c r="D57" s="13">
        <f>269.159</f>
        <v>269.15899999999999</v>
      </c>
      <c r="E57" s="16" t="s">
        <v>211</v>
      </c>
    </row>
    <row r="58" spans="2:5" x14ac:dyDescent="0.2">
      <c r="B58" s="75" t="s">
        <v>20</v>
      </c>
      <c r="C58" s="59">
        <v>2019</v>
      </c>
      <c r="D58" s="13">
        <f>20.77+1.789+9.358+92.754+2.047</f>
        <v>126.718</v>
      </c>
      <c r="E58" s="16" t="s">
        <v>211</v>
      </c>
    </row>
    <row r="59" spans="2:5" x14ac:dyDescent="0.2">
      <c r="B59" s="75" t="s">
        <v>21</v>
      </c>
      <c r="C59" s="59">
        <v>2019</v>
      </c>
      <c r="D59" s="13">
        <f>1.768+1.157+1.274+29.365+5.542+5.758+4.184+3.353+1.791+2.859+13.466+0.434+0.244</f>
        <v>71.194999999999993</v>
      </c>
      <c r="E59" s="16"/>
    </row>
    <row r="60" spans="2:5" x14ac:dyDescent="0.2">
      <c r="B60" s="75" t="s">
        <v>22</v>
      </c>
      <c r="C60" s="59">
        <v>2019</v>
      </c>
      <c r="D60" s="13">
        <v>403.274</v>
      </c>
      <c r="E60" s="16"/>
    </row>
    <row r="61" spans="2:5" x14ac:dyDescent="0.2">
      <c r="B61" s="75" t="s">
        <v>23</v>
      </c>
      <c r="C61" s="59">
        <v>2019</v>
      </c>
      <c r="D61" s="13" t="s">
        <v>112</v>
      </c>
      <c r="E61" s="16" t="s">
        <v>184</v>
      </c>
    </row>
    <row r="62" spans="2:5" x14ac:dyDescent="0.2">
      <c r="B62" s="75" t="s">
        <v>24</v>
      </c>
      <c r="C62" s="59">
        <v>2019</v>
      </c>
      <c r="D62" s="13" t="s">
        <v>112</v>
      </c>
      <c r="E62" s="16" t="s">
        <v>184</v>
      </c>
    </row>
    <row r="63" spans="2:5" x14ac:dyDescent="0.2">
      <c r="B63" s="75" t="s">
        <v>25</v>
      </c>
      <c r="C63" s="59">
        <v>2019</v>
      </c>
      <c r="D63" s="5" t="s">
        <v>113</v>
      </c>
      <c r="E63" s="16"/>
    </row>
    <row r="64" spans="2:5" x14ac:dyDescent="0.2">
      <c r="B64" s="75" t="s">
        <v>26</v>
      </c>
      <c r="C64" s="59">
        <v>2019</v>
      </c>
      <c r="D64" s="5" t="s">
        <v>113</v>
      </c>
      <c r="E64" s="16"/>
    </row>
    <row r="65" spans="2:5" x14ac:dyDescent="0.2">
      <c r="B65" s="75" t="s">
        <v>27</v>
      </c>
      <c r="C65" s="59">
        <v>2019</v>
      </c>
      <c r="D65" s="5" t="s">
        <v>113</v>
      </c>
      <c r="E65" s="16"/>
    </row>
    <row r="66" spans="2:5" x14ac:dyDescent="0.2">
      <c r="B66" s="75" t="s">
        <v>28</v>
      </c>
      <c r="C66" s="59">
        <v>2019</v>
      </c>
      <c r="D66" s="13" t="s">
        <v>112</v>
      </c>
      <c r="E66" s="44" t="s">
        <v>181</v>
      </c>
    </row>
    <row r="67" spans="2:5" ht="17" thickBot="1" x14ac:dyDescent="0.25">
      <c r="B67" s="119" t="s">
        <v>29</v>
      </c>
      <c r="C67" s="40">
        <v>2019</v>
      </c>
      <c r="D67" s="14" t="s">
        <v>113</v>
      </c>
      <c r="E67" s="135"/>
    </row>
    <row r="68" spans="2:5" x14ac:dyDescent="0.2">
      <c r="B68" s="206" t="s">
        <v>30</v>
      </c>
      <c r="C68" s="59">
        <v>2019</v>
      </c>
      <c r="D68" s="268" t="s">
        <v>112</v>
      </c>
      <c r="E68" s="277" t="s">
        <v>212</v>
      </c>
    </row>
    <row r="69" spans="2:5" ht="17" thickBot="1" x14ac:dyDescent="0.25">
      <c r="B69" s="207" t="s">
        <v>31</v>
      </c>
      <c r="C69" s="131">
        <v>2019</v>
      </c>
      <c r="D69" s="269" t="s">
        <v>112</v>
      </c>
      <c r="E69" s="278" t="s">
        <v>212</v>
      </c>
    </row>
    <row r="70" spans="2:5" x14ac:dyDescent="0.2">
      <c r="B70" s="199" t="s">
        <v>32</v>
      </c>
      <c r="C70" s="59">
        <v>2019</v>
      </c>
      <c r="D70" s="268" t="s">
        <v>112</v>
      </c>
      <c r="E70" s="16" t="s">
        <v>212</v>
      </c>
    </row>
    <row r="71" spans="2:5" x14ac:dyDescent="0.2">
      <c r="B71" s="200" t="s">
        <v>33</v>
      </c>
      <c r="C71" s="59">
        <v>2019</v>
      </c>
      <c r="D71" s="268" t="s">
        <v>112</v>
      </c>
      <c r="E71" s="16" t="s">
        <v>212</v>
      </c>
    </row>
    <row r="72" spans="2:5" ht="17" thickBot="1" x14ac:dyDescent="0.25">
      <c r="B72" s="201" t="s">
        <v>34</v>
      </c>
      <c r="C72" s="131">
        <v>2019</v>
      </c>
      <c r="D72" s="269" t="s">
        <v>112</v>
      </c>
      <c r="E72" s="43" t="s">
        <v>212</v>
      </c>
    </row>
    <row r="73" spans="2:5" x14ac:dyDescent="0.2">
      <c r="B73" s="76" t="s">
        <v>13</v>
      </c>
      <c r="C73" s="59">
        <v>2018</v>
      </c>
      <c r="D73" s="268">
        <f>'2018'!G188</f>
        <v>31.291999999999998</v>
      </c>
      <c r="E73" s="16"/>
    </row>
    <row r="74" spans="2:5" x14ac:dyDescent="0.2">
      <c r="B74" s="77" t="s">
        <v>14</v>
      </c>
      <c r="C74" s="59">
        <v>2018</v>
      </c>
      <c r="D74" s="268">
        <f>'2018'!G191</f>
        <v>51.713000000000001</v>
      </c>
      <c r="E74" s="16"/>
    </row>
    <row r="75" spans="2:5" x14ac:dyDescent="0.2">
      <c r="B75" s="77" t="s">
        <v>15</v>
      </c>
      <c r="C75" s="59">
        <v>2018</v>
      </c>
      <c r="D75" s="268">
        <f>'2018'!G194</f>
        <v>183.09599999999998</v>
      </c>
      <c r="E75" s="16"/>
    </row>
    <row r="76" spans="2:5" ht="17" thickBot="1" x14ac:dyDescent="0.25">
      <c r="B76" s="121" t="s">
        <v>16</v>
      </c>
      <c r="C76" s="131">
        <v>2018</v>
      </c>
      <c r="D76" s="269">
        <f>'2018'!G197</f>
        <v>108.78200000000001</v>
      </c>
      <c r="E76" s="43"/>
    </row>
    <row r="77" spans="2:5" x14ac:dyDescent="0.2">
      <c r="B77" s="123" t="s">
        <v>12</v>
      </c>
      <c r="C77" s="65">
        <v>2018</v>
      </c>
      <c r="D77" s="270">
        <f>'2018'!G200</f>
        <v>89.001999999999995</v>
      </c>
      <c r="E77" s="16"/>
    </row>
    <row r="78" spans="2:5" x14ac:dyDescent="0.2">
      <c r="B78" s="79" t="s">
        <v>11</v>
      </c>
      <c r="C78" s="65">
        <v>2018</v>
      </c>
      <c r="D78" s="270">
        <f>'2018'!G203</f>
        <v>62.53</v>
      </c>
      <c r="E78" s="16"/>
    </row>
    <row r="79" spans="2:5" x14ac:dyDescent="0.2">
      <c r="B79" s="79" t="s">
        <v>10</v>
      </c>
      <c r="C79" s="65">
        <v>2018</v>
      </c>
      <c r="D79" s="268">
        <f>'2018'!G206</f>
        <v>0</v>
      </c>
      <c r="E79" s="16"/>
    </row>
    <row r="80" spans="2:5" x14ac:dyDescent="0.2">
      <c r="B80" s="79" t="s">
        <v>9</v>
      </c>
      <c r="C80" s="65">
        <v>2018</v>
      </c>
      <c r="D80" s="268">
        <f>'2018'!G209</f>
        <v>12.657</v>
      </c>
      <c r="E80" s="16"/>
    </row>
    <row r="81" spans="2:5" x14ac:dyDescent="0.2">
      <c r="B81" s="79" t="s">
        <v>8</v>
      </c>
      <c r="C81" s="65">
        <v>2018</v>
      </c>
      <c r="D81" s="268" t="s">
        <v>112</v>
      </c>
      <c r="E81" s="16" t="str">
        <f>'2018'!J212</f>
        <v>Only north-western tip is pictured and no scar is visible</v>
      </c>
    </row>
    <row r="82" spans="2:5" x14ac:dyDescent="0.2">
      <c r="B82" s="79" t="s">
        <v>7</v>
      </c>
      <c r="C82" s="65">
        <v>2018</v>
      </c>
      <c r="D82" s="268" t="s">
        <v>112</v>
      </c>
      <c r="E82" s="16" t="str">
        <f>'2018'!J214</f>
        <v>Poor water quality, scar is not visible (glint)</v>
      </c>
    </row>
    <row r="83" spans="2:5" x14ac:dyDescent="0.2">
      <c r="B83" s="79" t="s">
        <v>6</v>
      </c>
      <c r="C83" s="65">
        <v>2018</v>
      </c>
      <c r="D83" s="268" t="s">
        <v>112</v>
      </c>
      <c r="E83" s="16" t="str">
        <f>'2018'!J216</f>
        <v>Only middle section pictured and scar is not visible</v>
      </c>
    </row>
    <row r="84" spans="2:5" ht="17" thickBot="1" x14ac:dyDescent="0.25">
      <c r="B84" s="124" t="s">
        <v>5</v>
      </c>
      <c r="C84" s="131">
        <v>2018</v>
      </c>
      <c r="D84" s="269" t="s">
        <v>112</v>
      </c>
      <c r="E84" s="43" t="str">
        <f>'2018'!J220</f>
        <v xml:space="preserve">No rack visable </v>
      </c>
    </row>
    <row r="85" spans="2:5" ht="17" thickBot="1" x14ac:dyDescent="0.25">
      <c r="B85" s="208" t="s">
        <v>75</v>
      </c>
      <c r="C85" s="274">
        <v>2018</v>
      </c>
      <c r="D85" s="275">
        <f>AVERAGE('2018'!G221:G223)</f>
        <v>189.54466666666667</v>
      </c>
      <c r="E85" s="276"/>
    </row>
    <row r="86" spans="2:5" x14ac:dyDescent="0.2">
      <c r="B86" s="127" t="s">
        <v>103</v>
      </c>
      <c r="C86" s="59">
        <v>2018</v>
      </c>
      <c r="D86" s="270">
        <f>AVERAGE('2018'!G224:G225)</f>
        <v>138.5615</v>
      </c>
      <c r="E86" s="16"/>
    </row>
    <row r="87" spans="2:5" x14ac:dyDescent="0.2">
      <c r="B87" s="84" t="s">
        <v>104</v>
      </c>
      <c r="C87" s="59">
        <v>2018</v>
      </c>
      <c r="D87" s="270">
        <f>AVERAGE('2018'!G228:G229)</f>
        <v>103.3805</v>
      </c>
      <c r="E87" s="16"/>
    </row>
    <row r="88" spans="2:5" x14ac:dyDescent="0.2">
      <c r="B88" s="84" t="s">
        <v>105</v>
      </c>
      <c r="C88" s="59">
        <v>2018</v>
      </c>
      <c r="D88" s="270">
        <f>AVERAGE('2018'!G232:G233,'2018'!G235)</f>
        <v>137.02099999999999</v>
      </c>
      <c r="E88" s="16"/>
    </row>
    <row r="89" spans="2:5" x14ac:dyDescent="0.2">
      <c r="B89" s="84" t="s">
        <v>106</v>
      </c>
      <c r="C89" s="59">
        <v>2018</v>
      </c>
      <c r="D89" s="270">
        <f>AVERAGE('2018'!G236,'2018'!G239)</f>
        <v>349.87599999999998</v>
      </c>
      <c r="E89" s="16"/>
    </row>
    <row r="90" spans="2:5" x14ac:dyDescent="0.2">
      <c r="B90" s="84" t="s">
        <v>107</v>
      </c>
      <c r="C90" s="59">
        <v>2018</v>
      </c>
      <c r="D90" s="270">
        <f>AVERAGE('2018'!G240:G241,'2018'!G243)</f>
        <v>4.8326666666666673</v>
      </c>
      <c r="E90" s="16"/>
    </row>
    <row r="91" spans="2:5" ht="17" thickBot="1" x14ac:dyDescent="0.25">
      <c r="B91" s="129" t="s">
        <v>108</v>
      </c>
      <c r="C91" s="131">
        <v>2018</v>
      </c>
      <c r="D91" s="271">
        <f>AVERAGE('2018'!G244:G245,'2018'!G247)</f>
        <v>225.78633333333332</v>
      </c>
      <c r="E91" s="43"/>
    </row>
    <row r="92" spans="2:5" x14ac:dyDescent="0.2">
      <c r="B92" s="88" t="s">
        <v>93</v>
      </c>
      <c r="C92" s="59">
        <v>2018</v>
      </c>
      <c r="D92" s="270">
        <f>AVERAGE('2018'!G248:G249,'2018'!G251)</f>
        <v>381.56400000000002</v>
      </c>
      <c r="E92" s="16"/>
    </row>
    <row r="93" spans="2:5" x14ac:dyDescent="0.2">
      <c r="B93" s="86" t="s">
        <v>94</v>
      </c>
      <c r="C93" s="59">
        <v>2018</v>
      </c>
      <c r="D93" s="270">
        <f>AVERAGE('2018'!G252:G253,'2018'!G255)</f>
        <v>135.71899999999999</v>
      </c>
      <c r="E93" s="16"/>
    </row>
    <row r="94" spans="2:5" x14ac:dyDescent="0.2">
      <c r="B94" s="86" t="s">
        <v>95</v>
      </c>
      <c r="C94" s="59">
        <v>2018</v>
      </c>
      <c r="D94" s="270">
        <f>AVERAGE('2018'!G256:G257,'2018'!G259)</f>
        <v>415.85199999999992</v>
      </c>
      <c r="E94" s="16"/>
    </row>
    <row r="95" spans="2:5" x14ac:dyDescent="0.2">
      <c r="B95" s="86" t="s">
        <v>96</v>
      </c>
      <c r="C95" s="59">
        <v>2018</v>
      </c>
      <c r="D95" s="270">
        <f>AVERAGE('2018'!G260:G261,'2018'!G263)</f>
        <v>237.29366666666667</v>
      </c>
      <c r="E95" s="16"/>
    </row>
    <row r="96" spans="2:5" x14ac:dyDescent="0.2">
      <c r="B96" s="86" t="s">
        <v>97</v>
      </c>
      <c r="C96" s="59">
        <v>2018</v>
      </c>
      <c r="D96" s="270">
        <f>AVERAGE('2018'!G265)</f>
        <v>167.50700000000001</v>
      </c>
      <c r="E96" s="16"/>
    </row>
    <row r="97" spans="2:5" ht="17" thickBot="1" x14ac:dyDescent="0.25">
      <c r="B97" s="192" t="s">
        <v>98</v>
      </c>
      <c r="C97" s="102">
        <v>2018</v>
      </c>
      <c r="D97" s="272" t="s">
        <v>112</v>
      </c>
      <c r="E97" s="19" t="s">
        <v>129</v>
      </c>
    </row>
  </sheetData>
  <pageMargins left="0.7" right="0.7" top="0.75" bottom="0.75" header="0.3" footer="0.3"/>
  <ignoredErrors>
    <ignoredError sqref="D33 D38" formulaRange="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2017</vt:lpstr>
      <vt:lpstr>2018</vt:lpstr>
      <vt:lpstr>2019</vt:lpstr>
      <vt:lpstr>Total Seagrass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Castorani</cp:lastModifiedBy>
  <dcterms:created xsi:type="dcterms:W3CDTF">2020-06-19T14:57:23Z</dcterms:created>
  <dcterms:modified xsi:type="dcterms:W3CDTF">2021-03-02T21:55:26Z</dcterms:modified>
</cp:coreProperties>
</file>