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smigel/Dropbox/Career/Alpha Apps/Analyzing Alpha/How to Read Financial Statements/"/>
    </mc:Choice>
  </mc:AlternateContent>
  <xr:revisionPtr revIDLastSave="0" documentId="13_ncr:1_{62556350-62D8-4E4B-AE71-F26F8BCA886A}" xr6:coauthVersionLast="43" xr6:coauthVersionMax="43" xr10:uidLastSave="{00000000-0000-0000-0000-000000000000}"/>
  <bookViews>
    <workbookView xWindow="-40960" yWindow="460" windowWidth="40960" windowHeight="22580" firstSheet="2" activeTab="23" xr2:uid="{A6F94614-199D-B24F-AD70-D8AA215CF4C9}"/>
  </bookViews>
  <sheets>
    <sheet name="Transaction History" sheetId="1" r:id="rId1"/>
    <sheet name="02 - Funding the Fitness Center" sheetId="2" r:id="rId2"/>
    <sheet name="03 - Renting a Location" sheetId="3" r:id="rId3"/>
    <sheet name="04 - Purchasing Equipment" sheetId="4" r:id="rId4"/>
    <sheet name="05.1 - Purchasing Insurance" sheetId="5" r:id="rId5"/>
    <sheet name="05.2 - Purchasing Insurance" sheetId="6" r:id="rId6"/>
    <sheet name="06 - It All Starts with Sales" sheetId="7" r:id="rId7"/>
    <sheet name="07.1 - The Whey of Inventory" sheetId="8" r:id="rId8"/>
    <sheet name="07.2 - The Whey of Inventory" sheetId="9" r:id="rId9"/>
    <sheet name="08.1 - The Whey to Sell" sheetId="10" r:id="rId10"/>
    <sheet name="08.2 - The Whey to Sell" sheetId="11" r:id="rId11"/>
    <sheet name="09.1 - The Matching Game" sheetId="12" r:id="rId12"/>
    <sheet name="09.2 - The Matching Game" sheetId="13" r:id="rId13"/>
    <sheet name="10.1 - Depreciating our Exercis" sheetId="14" r:id="rId14"/>
    <sheet name="10.2 - Depreciating our Exercis" sheetId="15" r:id="rId15"/>
    <sheet name="11.1 - Accumulated Depreciation" sheetId="16" r:id="rId16"/>
    <sheet name="11.2 - Accumulated Depreciation" sheetId="17" r:id="rId17"/>
    <sheet name="12 - Cash Flow is not Income" sheetId="18" r:id="rId18"/>
    <sheet name="13 - Preparing for Opening Day" sheetId="19" r:id="rId19"/>
    <sheet name="14 - Opening Day" sheetId="20" r:id="rId20"/>
    <sheet name="15 - Purchasing Inventory on Cr" sheetId="21" r:id="rId21"/>
    <sheet name="17 - Adding Recurring Expenses" sheetId="22" r:id="rId22"/>
    <sheet name="19 - About Loans and Interest" sheetId="23" r:id="rId23"/>
    <sheet name="20 - Deferred Revenue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24" l="1"/>
  <c r="B8" i="24"/>
  <c r="B9" i="24" s="1"/>
  <c r="E14" i="24"/>
  <c r="H22" i="24"/>
  <c r="H28" i="24"/>
  <c r="H29" i="24" s="1"/>
  <c r="H24" i="24"/>
  <c r="E24" i="24"/>
  <c r="H23" i="24"/>
  <c r="E19" i="24"/>
  <c r="B15" i="24"/>
  <c r="E13" i="24"/>
  <c r="H21" i="24" s="1"/>
  <c r="B14" i="24"/>
  <c r="E12" i="24"/>
  <c r="B13" i="24"/>
  <c r="E11" i="24"/>
  <c r="H9" i="24" s="1"/>
  <c r="H10" i="24"/>
  <c r="E10" i="24"/>
  <c r="H8" i="24" s="1"/>
  <c r="B10" i="24"/>
  <c r="B7" i="24"/>
  <c r="B6" i="24"/>
  <c r="H22" i="23"/>
  <c r="K41" i="1"/>
  <c r="K40" i="1"/>
  <c r="B11" i="24" l="1"/>
  <c r="H25" i="24"/>
  <c r="H31" i="24" s="1"/>
  <c r="B16" i="24"/>
  <c r="B17" i="24" s="1"/>
  <c r="E8" i="24"/>
  <c r="H15" i="24" s="1"/>
  <c r="H16" i="24" s="1"/>
  <c r="E21" i="20"/>
  <c r="E16" i="20"/>
  <c r="H35" i="24" l="1"/>
  <c r="H36" i="24" s="1"/>
  <c r="H37" i="24" s="1"/>
  <c r="E6" i="24"/>
  <c r="H23" i="23"/>
  <c r="E23" i="23"/>
  <c r="E18" i="23"/>
  <c r="B14" i="23"/>
  <c r="E8" i="23" s="1"/>
  <c r="H15" i="23" s="1"/>
  <c r="H16" i="23" s="1"/>
  <c r="E13" i="23"/>
  <c r="H21" i="23" s="1"/>
  <c r="H24" i="23" s="1"/>
  <c r="B13" i="23"/>
  <c r="E12" i="23"/>
  <c r="H10" i="23" s="1"/>
  <c r="B12" i="23"/>
  <c r="E11" i="23"/>
  <c r="H9" i="23" s="1"/>
  <c r="E10" i="23"/>
  <c r="H8" i="23" s="1"/>
  <c r="B9" i="23"/>
  <c r="B7" i="23"/>
  <c r="F38" i="1"/>
  <c r="H27" i="23" s="1"/>
  <c r="H28" i="23" s="1"/>
  <c r="H25" i="22"/>
  <c r="E15" i="24" l="1"/>
  <c r="E26" i="24" s="1"/>
  <c r="H7" i="24" s="1"/>
  <c r="H11" i="24" s="1"/>
  <c r="H17" i="24" s="1"/>
  <c r="H39" i="24" s="1"/>
  <c r="H30" i="23"/>
  <c r="B15" i="23"/>
  <c r="E28" i="24" l="1"/>
  <c r="E30" i="24"/>
  <c r="B13" i="22"/>
  <c r="E7" i="22" s="1"/>
  <c r="H14" i="22" s="1"/>
  <c r="H15" i="22" s="1"/>
  <c r="B12" i="22"/>
  <c r="E11" i="22"/>
  <c r="H9" i="22" s="1"/>
  <c r="B11" i="22"/>
  <c r="E22" i="22" l="1"/>
  <c r="E17" i="22"/>
  <c r="E12" i="22"/>
  <c r="H20" i="22" s="1"/>
  <c r="H21" i="22" s="1"/>
  <c r="H27" i="22" s="1"/>
  <c r="E10" i="22"/>
  <c r="H8" i="22" s="1"/>
  <c r="E9" i="22"/>
  <c r="H7" i="22" s="1"/>
  <c r="B8" i="22"/>
  <c r="B6" i="22"/>
  <c r="E10" i="21"/>
  <c r="B14" i="22" l="1"/>
  <c r="E12" i="21" l="1"/>
  <c r="H15" i="21" s="1"/>
  <c r="H16" i="21" s="1"/>
  <c r="E22" i="21" l="1"/>
  <c r="E17" i="21"/>
  <c r="B14" i="21"/>
  <c r="H7" i="21"/>
  <c r="E9" i="21"/>
  <c r="H6" i="21" s="1"/>
  <c r="B8" i="21"/>
  <c r="B6" i="21"/>
  <c r="H15" i="20"/>
  <c r="E10" i="20"/>
  <c r="H7" i="20" s="1"/>
  <c r="E9" i="20"/>
  <c r="H6" i="20" s="1"/>
  <c r="B8" i="20"/>
  <c r="B14" i="20"/>
  <c r="B6" i="20"/>
  <c r="E19" i="19"/>
  <c r="E18" i="19"/>
  <c r="H15" i="19"/>
  <c r="E14" i="19"/>
  <c r="E15" i="19" s="1"/>
  <c r="H13" i="19"/>
  <c r="H14" i="19" s="1"/>
  <c r="E10" i="19"/>
  <c r="H7" i="19" s="1"/>
  <c r="B10" i="19"/>
  <c r="E9" i="19"/>
  <c r="H6" i="19" s="1"/>
  <c r="B9" i="19"/>
  <c r="B8" i="19"/>
  <c r="E7" i="19"/>
  <c r="H9" i="19" s="1"/>
  <c r="B5" i="19"/>
  <c r="B4" i="19"/>
  <c r="E52" i="1"/>
  <c r="F24" i="1"/>
  <c r="F52" i="1" s="1"/>
  <c r="E23" i="1"/>
  <c r="B5" i="20" l="1"/>
  <c r="B6" i="23"/>
  <c r="B8" i="23" s="1"/>
  <c r="B10" i="23" s="1"/>
  <c r="B16" i="23" s="1"/>
  <c r="H34" i="23" s="1"/>
  <c r="B5" i="22"/>
  <c r="B7" i="22" s="1"/>
  <c r="B9" i="22" s="1"/>
  <c r="B5" i="21"/>
  <c r="B7" i="21" s="1"/>
  <c r="B9" i="21" s="1"/>
  <c r="B15" i="21" s="1"/>
  <c r="B6" i="19"/>
  <c r="B14" i="19" s="1"/>
  <c r="B7" i="20"/>
  <c r="B9" i="20" s="1"/>
  <c r="B17" i="20" s="1"/>
  <c r="B11" i="19"/>
  <c r="H8" i="19"/>
  <c r="E20" i="19"/>
  <c r="E19" i="18"/>
  <c r="E18" i="18"/>
  <c r="E14" i="18"/>
  <c r="H8" i="18" s="1"/>
  <c r="E7" i="18"/>
  <c r="H9" i="18" s="1"/>
  <c r="E10" i="18"/>
  <c r="H7" i="18" s="1"/>
  <c r="E9" i="18"/>
  <c r="H6" i="18" s="1"/>
  <c r="B12" i="19" l="1"/>
  <c r="E5" i="19" s="1"/>
  <c r="B17" i="22"/>
  <c r="B15" i="22"/>
  <c r="B22" i="23"/>
  <c r="B15" i="20"/>
  <c r="E5" i="20" s="1"/>
  <c r="E12" i="20" s="1"/>
  <c r="E23" i="20" s="1"/>
  <c r="E20" i="18"/>
  <c r="B17" i="21"/>
  <c r="D5" i="19"/>
  <c r="E11" i="19"/>
  <c r="E24" i="19" s="1"/>
  <c r="H5" i="19" s="1"/>
  <c r="H10" i="19" s="1"/>
  <c r="H16" i="19"/>
  <c r="H17" i="19" s="1"/>
  <c r="H18" i="19" s="1"/>
  <c r="H18" i="21"/>
  <c r="H19" i="21" s="1"/>
  <c r="H20" i="21" s="1"/>
  <c r="E5" i="21"/>
  <c r="E15" i="18"/>
  <c r="H17" i="20" l="1"/>
  <c r="H18" i="20" s="1"/>
  <c r="H19" i="20" s="1"/>
  <c r="H35" i="23"/>
  <c r="H36" i="23" s="1"/>
  <c r="E6" i="23"/>
  <c r="E14" i="23" s="1"/>
  <c r="E25" i="23" s="1"/>
  <c r="H31" i="22"/>
  <c r="H32" i="22" s="1"/>
  <c r="H33" i="22" s="1"/>
  <c r="E5" i="22"/>
  <c r="E13" i="22" s="1"/>
  <c r="E24" i="22" s="1"/>
  <c r="E23" i="19"/>
  <c r="E25" i="19" s="1"/>
  <c r="H27" i="19"/>
  <c r="H5" i="20"/>
  <c r="H11" i="20" s="1"/>
  <c r="E25" i="20"/>
  <c r="E13" i="21"/>
  <c r="E24" i="21" s="1"/>
  <c r="H15" i="18"/>
  <c r="H13" i="18"/>
  <c r="H14" i="18" s="1"/>
  <c r="B10" i="18"/>
  <c r="B9" i="18"/>
  <c r="B8" i="18"/>
  <c r="B5" i="18"/>
  <c r="B4" i="18"/>
  <c r="H21" i="20" l="1"/>
  <c r="E27" i="23"/>
  <c r="H7" i="23"/>
  <c r="H11" i="23" s="1"/>
  <c r="H17" i="23" s="1"/>
  <c r="H38" i="23" s="1"/>
  <c r="H6" i="22"/>
  <c r="H10" i="22" s="1"/>
  <c r="H16" i="22" s="1"/>
  <c r="H35" i="22" s="1"/>
  <c r="E26" i="22"/>
  <c r="E28" i="22" s="1"/>
  <c r="E27" i="20"/>
  <c r="H5" i="21"/>
  <c r="H11" i="21" s="1"/>
  <c r="H28" i="21" s="1"/>
  <c r="E26" i="21"/>
  <c r="B11" i="18"/>
  <c r="B6" i="18"/>
  <c r="B14" i="18" s="1"/>
  <c r="E15" i="17"/>
  <c r="E13" i="17"/>
  <c r="E14" i="17" s="1"/>
  <c r="B10" i="17"/>
  <c r="E9" i="17"/>
  <c r="B9" i="17"/>
  <c r="E8" i="17"/>
  <c r="B8" i="17"/>
  <c r="E7" i="17"/>
  <c r="E6" i="17"/>
  <c r="E5" i="17"/>
  <c r="B5" i="17"/>
  <c r="B4" i="17"/>
  <c r="E9" i="16"/>
  <c r="B10" i="16"/>
  <c r="E13" i="16"/>
  <c r="E14" i="16" s="1"/>
  <c r="E15" i="16"/>
  <c r="B9" i="16"/>
  <c r="E8" i="16"/>
  <c r="B8" i="16"/>
  <c r="E7" i="16"/>
  <c r="E6" i="16"/>
  <c r="E5" i="16"/>
  <c r="B5" i="16"/>
  <c r="B4" i="16"/>
  <c r="B10" i="15"/>
  <c r="E14" i="15"/>
  <c r="E12" i="15"/>
  <c r="E13" i="15" s="1"/>
  <c r="B9" i="15"/>
  <c r="E8" i="15"/>
  <c r="B8" i="15"/>
  <c r="E7" i="15"/>
  <c r="E6" i="15"/>
  <c r="E5" i="15"/>
  <c r="B5" i="15"/>
  <c r="B4" i="15"/>
  <c r="E14" i="14"/>
  <c r="E12" i="14"/>
  <c r="E13" i="14" s="1"/>
  <c r="B9" i="14"/>
  <c r="E8" i="14"/>
  <c r="B8" i="14"/>
  <c r="E7" i="14"/>
  <c r="E6" i="14"/>
  <c r="E5" i="14"/>
  <c r="B5" i="14"/>
  <c r="B4" i="14"/>
  <c r="E13" i="13"/>
  <c r="E11" i="13"/>
  <c r="E12" i="13" s="1"/>
  <c r="B9" i="13"/>
  <c r="E8" i="13"/>
  <c r="B8" i="13"/>
  <c r="E7" i="13"/>
  <c r="E6" i="13"/>
  <c r="E5" i="13"/>
  <c r="B5" i="13"/>
  <c r="B4" i="13"/>
  <c r="B6" i="12"/>
  <c r="E14" i="12"/>
  <c r="E12" i="12"/>
  <c r="E13" i="12" s="1"/>
  <c r="B10" i="12"/>
  <c r="E9" i="12"/>
  <c r="B9" i="12"/>
  <c r="E8" i="12"/>
  <c r="E7" i="12"/>
  <c r="E6" i="12"/>
  <c r="B5" i="12"/>
  <c r="E28" i="21" l="1"/>
  <c r="B6" i="16"/>
  <c r="E29" i="23"/>
  <c r="B6" i="13"/>
  <c r="B13" i="13" s="1"/>
  <c r="E10" i="16"/>
  <c r="E9" i="13"/>
  <c r="B6" i="15"/>
  <c r="B14" i="15" s="1"/>
  <c r="B10" i="13"/>
  <c r="B11" i="13" s="1"/>
  <c r="E14" i="13" s="1"/>
  <c r="E15" i="13" s="1"/>
  <c r="E16" i="13" s="1"/>
  <c r="B7" i="12"/>
  <c r="B14" i="12" s="1"/>
  <c r="B11" i="14"/>
  <c r="E9" i="15"/>
  <c r="B6" i="17"/>
  <c r="B14" i="17" s="1"/>
  <c r="E10" i="12"/>
  <c r="E10" i="17"/>
  <c r="B6" i="14"/>
  <c r="B14" i="14" s="1"/>
  <c r="B11" i="15"/>
  <c r="B11" i="16"/>
  <c r="B11" i="12"/>
  <c r="B11" i="17"/>
  <c r="B12" i="18"/>
  <c r="E5" i="18" s="1"/>
  <c r="B14" i="16"/>
  <c r="E9" i="14"/>
  <c r="E13" i="11"/>
  <c r="E11" i="11"/>
  <c r="E12" i="11" s="1"/>
  <c r="E8" i="11"/>
  <c r="B5" i="11"/>
  <c r="E7" i="11"/>
  <c r="B9" i="11"/>
  <c r="E6" i="11"/>
  <c r="B8" i="11"/>
  <c r="E5" i="11"/>
  <c r="B4" i="11"/>
  <c r="B4" i="10"/>
  <c r="B6" i="10"/>
  <c r="B8" i="10"/>
  <c r="B7" i="10"/>
  <c r="E14" i="10"/>
  <c r="E12" i="10"/>
  <c r="E13" i="10" s="1"/>
  <c r="E8" i="10"/>
  <c r="E7" i="10"/>
  <c r="E6" i="10"/>
  <c r="E5" i="10"/>
  <c r="E15" i="9"/>
  <c r="E6" i="9"/>
  <c r="E5" i="9"/>
  <c r="E14" i="9"/>
  <c r="E12" i="9"/>
  <c r="E13" i="9" s="1"/>
  <c r="E8" i="9"/>
  <c r="E7" i="9"/>
  <c r="B7" i="9"/>
  <c r="B6" i="9"/>
  <c r="E5" i="8"/>
  <c r="E6" i="8"/>
  <c r="E15" i="8"/>
  <c r="E14" i="8"/>
  <c r="E16" i="8" s="1"/>
  <c r="E12" i="8"/>
  <c r="E13" i="8" s="1"/>
  <c r="E8" i="8"/>
  <c r="B7" i="8"/>
  <c r="E7" i="8"/>
  <c r="B6" i="8"/>
  <c r="B12" i="16" l="1"/>
  <c r="E16" i="16" s="1"/>
  <c r="E17" i="16" s="1"/>
  <c r="E18" i="16" s="1"/>
  <c r="B12" i="14"/>
  <c r="E15" i="14" s="1"/>
  <c r="E16" i="14" s="1"/>
  <c r="E17" i="14" s="1"/>
  <c r="B12" i="12"/>
  <c r="E15" i="12" s="1"/>
  <c r="E16" i="12" s="1"/>
  <c r="E17" i="12" s="1"/>
  <c r="B12" i="15"/>
  <c r="E15" i="15" s="1"/>
  <c r="E16" i="15" s="1"/>
  <c r="E17" i="15" s="1"/>
  <c r="B9" i="10"/>
  <c r="B10" i="10" s="1"/>
  <c r="E15" i="10" s="1"/>
  <c r="E16" i="10" s="1"/>
  <c r="E17" i="10" s="1"/>
  <c r="B8" i="8"/>
  <c r="B9" i="8" s="1"/>
  <c r="B12" i="17"/>
  <c r="E16" i="17" s="1"/>
  <c r="E17" i="17" s="1"/>
  <c r="E18" i="17" s="1"/>
  <c r="B8" i="9"/>
  <c r="B9" i="9" s="1"/>
  <c r="H16" i="18"/>
  <c r="H17" i="18" s="1"/>
  <c r="H18" i="18" s="1"/>
  <c r="E11" i="18"/>
  <c r="E24" i="18" s="1"/>
  <c r="D5" i="18"/>
  <c r="B6" i="11"/>
  <c r="E9" i="11"/>
  <c r="B10" i="11"/>
  <c r="E9" i="10"/>
  <c r="E9" i="8"/>
  <c r="E16" i="9"/>
  <c r="E17" i="9" s="1"/>
  <c r="E9" i="9"/>
  <c r="E17" i="8"/>
  <c r="B8" i="7"/>
  <c r="B7" i="7"/>
  <c r="E15" i="7"/>
  <c r="E14" i="7"/>
  <c r="E12" i="7"/>
  <c r="E13" i="7" s="1"/>
  <c r="E8" i="7"/>
  <c r="E7" i="7"/>
  <c r="E6" i="7"/>
  <c r="E8" i="6"/>
  <c r="E7" i="6"/>
  <c r="E4" i="6"/>
  <c r="B6" i="6"/>
  <c r="B5" i="6"/>
  <c r="B4" i="6"/>
  <c r="B13" i="11" l="1"/>
  <c r="B11" i="11"/>
  <c r="E14" i="11" s="1"/>
  <c r="E15" i="11" s="1"/>
  <c r="E16" i="11" s="1"/>
  <c r="E9" i="7"/>
  <c r="H5" i="18"/>
  <c r="E16" i="7"/>
  <c r="E17" i="7" s="1"/>
  <c r="B9" i="7"/>
  <c r="B10" i="7" s="1"/>
  <c r="H10" i="18" l="1"/>
  <c r="H27" i="18" s="1"/>
  <c r="E23" i="18"/>
  <c r="E25" i="18" s="1"/>
  <c r="E9" i="6"/>
  <c r="E6" i="6"/>
  <c r="B4" i="5"/>
  <c r="B5" i="5"/>
  <c r="E8" i="5"/>
  <c r="E7" i="5"/>
  <c r="B6" i="5"/>
  <c r="E4" i="5"/>
  <c r="E6" i="5" s="1"/>
  <c r="B4" i="4"/>
  <c r="B5" i="4"/>
  <c r="E7" i="4"/>
  <c r="E6" i="4"/>
  <c r="E4" i="4"/>
  <c r="E5" i="4" s="1"/>
  <c r="E7" i="3"/>
  <c r="B4" i="3"/>
  <c r="B9" i="3" s="1"/>
  <c r="E6" i="3"/>
  <c r="E4" i="3"/>
  <c r="E5" i="3" s="1"/>
  <c r="E5" i="2"/>
  <c r="E4" i="2"/>
  <c r="B4" i="2"/>
  <c r="B6" i="2" s="1"/>
  <c r="E8" i="3" l="1"/>
  <c r="E9" i="5"/>
  <c r="E10" i="5" s="1"/>
  <c r="E8" i="4"/>
  <c r="E9" i="4" s="1"/>
  <c r="B9" i="4"/>
  <c r="E6" i="2"/>
  <c r="B10" i="6"/>
  <c r="E10" i="6"/>
  <c r="B10" i="5"/>
  <c r="E9" i="3"/>
</calcChain>
</file>

<file path=xl/sharedStrings.xml><?xml version="1.0" encoding="utf-8"?>
<sst xmlns="http://schemas.openxmlformats.org/spreadsheetml/2006/main" count="809" uniqueCount="137">
  <si>
    <t>Assets</t>
  </si>
  <si>
    <t>Liabilities</t>
  </si>
  <si>
    <t>Journal Entries</t>
  </si>
  <si>
    <t>Account</t>
  </si>
  <si>
    <t>PR</t>
  </si>
  <si>
    <t>Debit</t>
  </si>
  <si>
    <t>Credit</t>
  </si>
  <si>
    <t>Cash</t>
  </si>
  <si>
    <t>Bank Loan</t>
  </si>
  <si>
    <t>My Investment</t>
  </si>
  <si>
    <t>Lesson</t>
  </si>
  <si>
    <t>Total</t>
  </si>
  <si>
    <t>Earnings</t>
  </si>
  <si>
    <t>02 - Funding the Fitness Center</t>
  </si>
  <si>
    <t>Total Liabilities</t>
  </si>
  <si>
    <t>Total Equity</t>
  </si>
  <si>
    <t>Total Liabilities &amp; Equity</t>
  </si>
  <si>
    <t>03 - Renting a Location</t>
  </si>
  <si>
    <t>04 - Purchasing Equipment</t>
  </si>
  <si>
    <t>Equipment</t>
  </si>
  <si>
    <t>Prepaid Insurance</t>
  </si>
  <si>
    <t>Insurance Expense</t>
  </si>
  <si>
    <t>05.2 - Purchasing Insurance</t>
  </si>
  <si>
    <t>05.1 - Purchasing Insurance</t>
  </si>
  <si>
    <t>Sales Revenue</t>
  </si>
  <si>
    <t>Expenses</t>
  </si>
  <si>
    <t>Rent</t>
  </si>
  <si>
    <t>Insurance</t>
  </si>
  <si>
    <t>Total Expenses</t>
  </si>
  <si>
    <t>Income Statement</t>
  </si>
  <si>
    <t>06 - It All Starts With Sales</t>
  </si>
  <si>
    <t>Net Loss</t>
  </si>
  <si>
    <t>Balance Sheet</t>
  </si>
  <si>
    <t>Total Assets</t>
  </si>
  <si>
    <t>Liabilities &amp; Stockholders Equity</t>
  </si>
  <si>
    <t>Rent Expense</t>
  </si>
  <si>
    <t>Inventory</t>
  </si>
  <si>
    <t>07.1 - The Whey of Inventory</t>
  </si>
  <si>
    <t>Total Debts &amp; Credits</t>
  </si>
  <si>
    <t>COGS</t>
  </si>
  <si>
    <t>07.2 - The Whey of Inventory</t>
  </si>
  <si>
    <t>Protein Powder</t>
  </si>
  <si>
    <t>08.1 - The Whey to Sell</t>
  </si>
  <si>
    <t>Cost of Goods Sold</t>
  </si>
  <si>
    <t>Gross Profit</t>
  </si>
  <si>
    <t>Gross Margin:</t>
  </si>
  <si>
    <t>09.1 - The Matching Game</t>
  </si>
  <si>
    <t>09.2 - The Matching Game</t>
  </si>
  <si>
    <t>10.1 - Depreciating our Exercise Equipment</t>
  </si>
  <si>
    <t>Depreciation</t>
  </si>
  <si>
    <t>Depreciation Expense</t>
  </si>
  <si>
    <t>Accumulated Depreciation</t>
  </si>
  <si>
    <t>Propery, Plant &amp; Equipment (PP&amp;E)</t>
  </si>
  <si>
    <t>11.1 - Accumulated Depreciation</t>
  </si>
  <si>
    <t>11.2 - Accumulated Depreciation</t>
  </si>
  <si>
    <t>Cash Flow Statement</t>
  </si>
  <si>
    <t>Operating Activities</t>
  </si>
  <si>
    <t>Non-Cash Expenses</t>
  </si>
  <si>
    <t>Changes in Operating Assets &amp; Liabilities</t>
  </si>
  <si>
    <t>Cash Flow from Operations</t>
  </si>
  <si>
    <t>Investing Activities</t>
  </si>
  <si>
    <t>PP&amp;E Expenditures</t>
  </si>
  <si>
    <t>Financing Activities</t>
  </si>
  <si>
    <t xml:space="preserve">My Investment </t>
  </si>
  <si>
    <t>Increase/(Decrease) in Cash</t>
  </si>
  <si>
    <t>Cash &amp; Cash Equivalents</t>
  </si>
  <si>
    <t>Cash Flow from Financing</t>
  </si>
  <si>
    <t>Balanced:</t>
  </si>
  <si>
    <t>Cash Flow from Investing</t>
  </si>
  <si>
    <t>Cash at Beginning of Month</t>
  </si>
  <si>
    <t>Cash at End of Month</t>
  </si>
  <si>
    <t>Month</t>
  </si>
  <si>
    <t>Membership Sales</t>
  </si>
  <si>
    <t>Protein Sales</t>
  </si>
  <si>
    <t>Accounts Receivable</t>
  </si>
  <si>
    <t>13 - Preparing for Opening Day</t>
  </si>
  <si>
    <t xml:space="preserve"> Bank Loan </t>
  </si>
  <si>
    <t>Membership Revenue</t>
  </si>
  <si>
    <t>Product Revenue</t>
  </si>
  <si>
    <t>Total Sales Revenue</t>
  </si>
  <si>
    <t>Cash Balances:</t>
  </si>
  <si>
    <t>Retained Earnings</t>
  </si>
  <si>
    <t>Net Income</t>
  </si>
  <si>
    <t>14 - Opening Day</t>
  </si>
  <si>
    <t>15 - Purchasing Inventory on Credit</t>
  </si>
  <si>
    <t>Accounts Payable</t>
  </si>
  <si>
    <t>Current Assets</t>
  </si>
  <si>
    <t>Long-Term Assets</t>
  </si>
  <si>
    <t>Total Current Assets</t>
  </si>
  <si>
    <t>Current Liabilities</t>
  </si>
  <si>
    <t>Total Current Liabilities</t>
  </si>
  <si>
    <t>Total Long-Term Assets</t>
  </si>
  <si>
    <t>Total Long-Term Liabilities</t>
  </si>
  <si>
    <t>Long-Term Liabilities</t>
  </si>
  <si>
    <t>Equity</t>
  </si>
  <si>
    <t>Current Portion of Debt</t>
  </si>
  <si>
    <t>(adjustment)</t>
  </si>
  <si>
    <t>17 - Adding Recurring Expenses</t>
  </si>
  <si>
    <t>18 - About Loans and Interest</t>
  </si>
  <si>
    <t>Current Portion of Bank Loan</t>
  </si>
  <si>
    <t>Amortization Schedule</t>
  </si>
  <si>
    <t>Principal: $100,000.00</t>
  </si>
  <si>
    <t>Interest Rate: 3.68%</t>
  </si>
  <si>
    <t>Payment Interval: Quarterly</t>
  </si>
  <si>
    <t># of Payments: 40</t>
  </si>
  <si>
    <t>Payment: $3,000.00</t>
  </si>
  <si>
    <t>Schedule of Payments</t>
  </si>
  <si>
    <t>Please allow for slight rounding differences.</t>
  </si>
  <si>
    <t>Pmt #</t>
  </si>
  <si>
    <t>Payment</t>
  </si>
  <si>
    <t>Principal</t>
  </si>
  <si>
    <t>Interest</t>
  </si>
  <si>
    <t>Balance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</si>
  <si>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</si>
  <si>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</si>
  <si>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</si>
  <si>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</si>
  <si>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</si>
  <si>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</si>
  <si>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</si>
  <si>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</si>
  <si>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</si>
  <si>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</si>
  <si>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Grand Total</t>
  </si>
  <si>
    <t>https://calculator.me/loan/amortization.php</t>
  </si>
  <si>
    <t>Expenses:</t>
  </si>
  <si>
    <t>Interest Expense</t>
  </si>
  <si>
    <t>Accrued Interest</t>
  </si>
  <si>
    <t>(for first month)</t>
  </si>
  <si>
    <t>Current Debt Interest</t>
  </si>
  <si>
    <t>Current Debt Principal</t>
  </si>
  <si>
    <t>3 month</t>
  </si>
  <si>
    <t>1 month</t>
  </si>
  <si>
    <t>Accumulated Deficit</t>
  </si>
  <si>
    <t>20 -Deferred Revenue</t>
  </si>
  <si>
    <t>Deferred Revenue</t>
  </si>
  <si>
    <t>Rental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</si>
</sst>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 val="singleAccounting"/>
      <sz val="12"/>
      <color theme="1"/>
      <name val="Calibri"/>
      <family val="2"/>
      <scheme val="minor"/>
    </font>
    <font>
      <u val="doubleAccounting"/>
      <sz val="12"/>
      <color theme="1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b/>
      <u val="doubleAccounting"/>
      <sz val="12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 val="singleAccounting"/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u val="singleAccounting"/>
      <sz val="12"/>
      <color rgb="FF000000"/>
      <name val="Calibri"/>
      <family val="2"/>
      <scheme val="minor"/>
    </font>
    <font>
      <b/>
      <u val="doubleAccounting"/>
      <sz val="12"/>
      <color rgb="FF00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1"/>
    </xf>
    <xf numFmtId="44" fontId="0" fillId="0" borderId="0" xfId="1" applyFont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ont="1" applyFill="1"/>
    <xf numFmtId="44" fontId="0" fillId="2" borderId="0" xfId="1" applyFont="1" applyFill="1"/>
    <xf numFmtId="0" fontId="5" fillId="0" borderId="0" xfId="0" applyFont="1"/>
    <xf numFmtId="0" fontId="4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0" fillId="2" borderId="0" xfId="0" applyFont="1" applyFill="1" applyAlignment="1">
      <alignment horizontal="left" indent="1"/>
    </xf>
    <xf numFmtId="0" fontId="0" fillId="2" borderId="1" xfId="0" applyFont="1" applyFill="1" applyBorder="1"/>
    <xf numFmtId="0" fontId="0" fillId="2" borderId="3" xfId="0" applyFont="1" applyFill="1" applyBorder="1"/>
    <xf numFmtId="0" fontId="6" fillId="0" borderId="0" xfId="0" applyFont="1"/>
    <xf numFmtId="0" fontId="2" fillId="2" borderId="0" xfId="0" applyFont="1" applyFill="1" applyBorder="1"/>
    <xf numFmtId="44" fontId="0" fillId="0" borderId="0" xfId="0" applyNumberFormat="1"/>
    <xf numFmtId="44" fontId="2" fillId="0" borderId="0" xfId="0" applyNumberFormat="1" applyFont="1"/>
    <xf numFmtId="0" fontId="0" fillId="2" borderId="0" xfId="0" applyFont="1" applyFill="1" applyBorder="1"/>
    <xf numFmtId="0" fontId="0" fillId="0" borderId="0" xfId="0" applyBorder="1"/>
    <xf numFmtId="0" fontId="0" fillId="2" borderId="0" xfId="0" applyFont="1" applyFill="1" applyBorder="1" applyAlignment="1">
      <alignment horizontal="left" indent="1"/>
    </xf>
    <xf numFmtId="0" fontId="0" fillId="0" borderId="0" xfId="0" applyBorder="1" applyAlignment="1">
      <alignment horizontal="left" indent="1"/>
    </xf>
    <xf numFmtId="9" fontId="0" fillId="0" borderId="0" xfId="2" applyFont="1"/>
    <xf numFmtId="0" fontId="2" fillId="0" borderId="0" xfId="0" applyFont="1" applyBorder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13" fillId="3" borderId="0" xfId="0" applyFont="1" applyFill="1"/>
    <xf numFmtId="0" fontId="14" fillId="3" borderId="0" xfId="0" applyFont="1" applyFill="1"/>
    <xf numFmtId="0" fontId="13" fillId="0" borderId="0" xfId="0" applyFont="1"/>
    <xf numFmtId="0" fontId="12" fillId="3" borderId="0" xfId="0" applyFont="1" applyFill="1"/>
    <xf numFmtId="0" fontId="15" fillId="3" borderId="0" xfId="0" applyFont="1" applyFill="1"/>
    <xf numFmtId="43" fontId="12" fillId="3" borderId="0" xfId="0" applyNumberFormat="1" applyFont="1" applyFill="1"/>
    <xf numFmtId="0" fontId="15" fillId="0" borderId="0" xfId="0" applyFont="1"/>
    <xf numFmtId="0" fontId="12" fillId="3" borderId="0" xfId="0" applyFont="1" applyFill="1" applyAlignment="1">
      <alignment horizontal="left" indent="1"/>
    </xf>
    <xf numFmtId="0" fontId="12" fillId="0" borderId="0" xfId="0" applyFont="1" applyAlignment="1">
      <alignment horizontal="left" indent="1"/>
    </xf>
    <xf numFmtId="0" fontId="15" fillId="3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2" fillId="0" borderId="0" xfId="0" applyFont="1"/>
    <xf numFmtId="4" fontId="21" fillId="0" borderId="0" xfId="0" applyNumberFormat="1" applyFont="1"/>
    <xf numFmtId="4" fontId="22" fillId="0" borderId="0" xfId="0" applyNumberFormat="1" applyFont="1"/>
    <xf numFmtId="0" fontId="2" fillId="0" borderId="0" xfId="0" applyFont="1" applyFill="1"/>
    <xf numFmtId="0" fontId="0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2" fillId="0" borderId="3" xfId="0" applyFont="1" applyFill="1" applyBorder="1"/>
    <xf numFmtId="43" fontId="0" fillId="0" borderId="0" xfId="3" applyFont="1" applyFill="1"/>
    <xf numFmtId="43" fontId="2" fillId="0" borderId="1" xfId="3" applyFont="1" applyFill="1" applyBorder="1"/>
    <xf numFmtId="43" fontId="2" fillId="0" borderId="3" xfId="3" applyFont="1" applyFill="1" applyBorder="1"/>
    <xf numFmtId="43" fontId="2" fillId="0" borderId="2" xfId="3" applyFont="1" applyFill="1" applyBorder="1"/>
    <xf numFmtId="43" fontId="0" fillId="2" borderId="0" xfId="3" applyFont="1" applyFill="1"/>
    <xf numFmtId="43" fontId="0" fillId="0" borderId="0" xfId="3" applyFont="1"/>
    <xf numFmtId="43" fontId="2" fillId="2" borderId="0" xfId="3" applyFont="1" applyFill="1"/>
    <xf numFmtId="43" fontId="1" fillId="2" borderId="1" xfId="3" applyFont="1" applyFill="1" applyBorder="1"/>
    <xf numFmtId="43" fontId="0" fillId="2" borderId="3" xfId="3" applyFont="1" applyFill="1" applyBorder="1"/>
    <xf numFmtId="43" fontId="1" fillId="2" borderId="3" xfId="3" applyFont="1" applyFill="1" applyBorder="1"/>
    <xf numFmtId="43" fontId="0" fillId="2" borderId="0" xfId="3" applyFont="1" applyFill="1" applyAlignment="1">
      <alignment horizontal="left"/>
    </xf>
    <xf numFmtId="43" fontId="0" fillId="2" borderId="1" xfId="3" applyFont="1" applyFill="1" applyBorder="1"/>
    <xf numFmtId="43" fontId="0" fillId="2" borderId="2" xfId="3" applyFont="1" applyFill="1" applyBorder="1"/>
    <xf numFmtId="43" fontId="0" fillId="2" borderId="0" xfId="3" applyFont="1" applyFill="1" applyBorder="1"/>
    <xf numFmtId="43" fontId="2" fillId="2" borderId="0" xfId="3" applyFont="1" applyFill="1" applyBorder="1"/>
    <xf numFmtId="43" fontId="7" fillId="2" borderId="0" xfId="3" applyFont="1" applyFill="1" applyBorder="1"/>
    <xf numFmtId="43" fontId="0" fillId="0" borderId="0" xfId="3" applyFont="1" applyBorder="1"/>
    <xf numFmtId="43" fontId="8" fillId="2" borderId="0" xfId="3" applyFont="1" applyFill="1" applyBorder="1"/>
    <xf numFmtId="43" fontId="0" fillId="2" borderId="0" xfId="3" applyFont="1" applyFill="1" applyBorder="1" applyAlignment="1">
      <alignment horizontal="left"/>
    </xf>
    <xf numFmtId="43" fontId="0" fillId="2" borderId="0" xfId="3" applyFont="1" applyFill="1" applyBorder="1" applyAlignment="1">
      <alignment horizontal="left" indent="1"/>
    </xf>
    <xf numFmtId="43" fontId="0" fillId="0" borderId="0" xfId="3" applyFont="1" applyBorder="1" applyAlignment="1">
      <alignment horizontal="left" indent="1"/>
    </xf>
    <xf numFmtId="43" fontId="1" fillId="2" borderId="0" xfId="3" applyFont="1" applyFill="1" applyBorder="1"/>
    <xf numFmtId="43" fontId="6" fillId="2" borderId="0" xfId="3" applyFont="1" applyFill="1"/>
    <xf numFmtId="43" fontId="4" fillId="2" borderId="0" xfId="3" applyFont="1" applyFill="1"/>
    <xf numFmtId="43" fontId="6" fillId="0" borderId="0" xfId="3" applyFont="1"/>
    <xf numFmtId="43" fontId="2" fillId="0" borderId="0" xfId="3" applyFont="1"/>
    <xf numFmtId="43" fontId="2" fillId="0" borderId="0" xfId="3" applyFont="1" applyBorder="1" applyAlignment="1"/>
    <xf numFmtId="43" fontId="1" fillId="0" borderId="0" xfId="3" applyFont="1" applyBorder="1" applyAlignment="1"/>
    <xf numFmtId="43" fontId="2" fillId="0" borderId="0" xfId="3" applyFont="1" applyBorder="1"/>
    <xf numFmtId="43" fontId="1" fillId="0" borderId="0" xfId="3" applyFont="1"/>
    <xf numFmtId="43" fontId="1" fillId="0" borderId="0" xfId="3" applyFont="1" applyBorder="1"/>
    <xf numFmtId="43" fontId="9" fillId="2" borderId="0" xfId="3" applyFont="1" applyFill="1" applyBorder="1"/>
    <xf numFmtId="43" fontId="2" fillId="2" borderId="4" xfId="3" applyFont="1" applyFill="1" applyBorder="1"/>
    <xf numFmtId="43" fontId="10" fillId="2" borderId="0" xfId="3" applyFont="1" applyFill="1" applyBorder="1"/>
    <xf numFmtId="43" fontId="1" fillId="2" borderId="0" xfId="3" applyFont="1" applyFill="1" applyBorder="1" applyAlignment="1"/>
    <xf numFmtId="43" fontId="2" fillId="0" borderId="4" xfId="3" applyFont="1" applyBorder="1"/>
    <xf numFmtId="43" fontId="0" fillId="0" borderId="0" xfId="3" applyFont="1" applyBorder="1" applyAlignment="1"/>
    <xf numFmtId="43" fontId="0" fillId="0" borderId="0" xfId="3" applyFont="1" applyFill="1" applyBorder="1" applyAlignment="1"/>
    <xf numFmtId="43" fontId="17" fillId="3" borderId="0" xfId="3" applyFont="1" applyFill="1"/>
    <xf numFmtId="43" fontId="12" fillId="0" borderId="0" xfId="3" applyFont="1"/>
    <xf numFmtId="43" fontId="12" fillId="3" borderId="0" xfId="3" applyFont="1" applyFill="1"/>
    <xf numFmtId="43" fontId="15" fillId="0" borderId="0" xfId="3" applyFont="1"/>
    <xf numFmtId="43" fontId="16" fillId="3" borderId="0" xfId="3" applyFont="1" applyFill="1"/>
    <xf numFmtId="43" fontId="15" fillId="3" borderId="0" xfId="3" applyFont="1" applyFill="1"/>
    <xf numFmtId="43" fontId="18" fillId="3" borderId="0" xfId="3" applyFont="1" applyFill="1"/>
    <xf numFmtId="43" fontId="15" fillId="3" borderId="4" xfId="3" applyFont="1" applyFill="1" applyBorder="1"/>
    <xf numFmtId="43" fontId="12" fillId="3" borderId="0" xfId="3" applyFont="1" applyFill="1" applyAlignment="1">
      <alignment horizontal="left"/>
    </xf>
    <xf numFmtId="43" fontId="19" fillId="3" borderId="0" xfId="3" applyFont="1" applyFill="1"/>
    <xf numFmtId="43" fontId="15" fillId="0" borderId="4" xfId="3" applyFont="1" applyBorder="1"/>
    <xf numFmtId="43" fontId="0" fillId="0" borderId="0" xfId="3" applyFont="1" applyAlignment="1">
      <alignment horizontal="left" indent="1"/>
    </xf>
    <xf numFmtId="43" fontId="12" fillId="3" borderId="0" xfId="3" applyFont="1" applyFill="1" applyAlignment="1">
      <alignment horizontal="left" indent="1"/>
    </xf>
    <xf numFmtId="43" fontId="15" fillId="3" borderId="0" xfId="3" applyFont="1" applyFill="1" applyAlignment="1">
      <alignment horizontal="left"/>
    </xf>
    <xf numFmtId="43" fontId="12" fillId="0" borderId="0" xfId="3" applyFont="1" applyAlignment="1">
      <alignment horizontal="left" indent="1"/>
    </xf>
    <xf numFmtId="43" fontId="0" fillId="0" borderId="0" xfId="3" applyFont="1" applyAlignment="1">
      <alignment horizontal="left" indent="2"/>
    </xf>
    <xf numFmtId="43" fontId="13" fillId="3" borderId="0" xfId="3" applyFont="1" applyFill="1"/>
    <xf numFmtId="43" fontId="14" fillId="3" borderId="0" xfId="3" applyFont="1" applyFill="1"/>
    <xf numFmtId="43" fontId="13" fillId="0" borderId="0" xfId="3" applyFont="1"/>
    <xf numFmtId="43" fontId="6" fillId="0" borderId="0" xfId="3" applyFont="1" applyFill="1"/>
    <xf numFmtId="43" fontId="5" fillId="0" borderId="0" xfId="3" applyFont="1" applyFill="1"/>
    <xf numFmtId="43" fontId="2" fillId="0" borderId="0" xfId="3" applyFont="1" applyFill="1"/>
    <xf numFmtId="44" fontId="0" fillId="0" borderId="0" xfId="0" applyNumberFormat="1" applyFont="1"/>
    <xf numFmtId="43" fontId="12" fillId="0" borderId="0" xfId="0" applyNumberFormat="1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A91C7-9F68-D044-8DF4-4CEA55C0181C}">
  <dimension ref="A1:O52"/>
  <sheetViews>
    <sheetView workbookViewId="0">
      <selection activeCell="F45" sqref="F45"/>
    </sheetView>
  </sheetViews>
  <sheetFormatPr baseColWidth="10" defaultRowHeight="16" x14ac:dyDescent="0.2"/>
  <cols>
    <col min="3" max="3" width="18.83203125" bestFit="1" customWidth="1"/>
    <col min="4" max="4" width="6.83203125" customWidth="1"/>
    <col min="5" max="6" width="12.5" bestFit="1" customWidth="1"/>
    <col min="9" max="9" width="16.1640625" customWidth="1"/>
    <col min="15" max="15" width="12.5" bestFit="1" customWidth="1"/>
  </cols>
  <sheetData>
    <row r="1" spans="1:6" ht="26" x14ac:dyDescent="0.3">
      <c r="A1" s="2" t="s">
        <v>2</v>
      </c>
    </row>
    <row r="2" spans="1:6" x14ac:dyDescent="0.2">
      <c r="A2" t="s">
        <v>71</v>
      </c>
      <c r="B2" s="1" t="s">
        <v>10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">
      <c r="A3">
        <v>1</v>
      </c>
      <c r="B3" s="5">
        <v>2</v>
      </c>
      <c r="C3" t="s">
        <v>7</v>
      </c>
      <c r="E3" s="4">
        <v>100000</v>
      </c>
      <c r="F3" s="4"/>
    </row>
    <row r="4" spans="1:6" x14ac:dyDescent="0.2">
      <c r="A4">
        <v>1</v>
      </c>
      <c r="B4" s="5">
        <v>2</v>
      </c>
      <c r="C4" s="3" t="s">
        <v>8</v>
      </c>
      <c r="E4" s="4"/>
      <c r="F4" s="4">
        <v>100000</v>
      </c>
    </row>
    <row r="5" spans="1:6" x14ac:dyDescent="0.2">
      <c r="A5">
        <v>1</v>
      </c>
      <c r="B5" s="5">
        <v>2</v>
      </c>
      <c r="C5" t="s">
        <v>7</v>
      </c>
      <c r="E5" s="4">
        <v>50000</v>
      </c>
      <c r="F5" s="4"/>
    </row>
    <row r="6" spans="1:6" x14ac:dyDescent="0.2">
      <c r="A6">
        <v>1</v>
      </c>
      <c r="B6" s="5">
        <v>2</v>
      </c>
      <c r="C6" s="3" t="s">
        <v>9</v>
      </c>
      <c r="E6" s="4"/>
      <c r="F6" s="4">
        <v>50000</v>
      </c>
    </row>
    <row r="7" spans="1:6" x14ac:dyDescent="0.2">
      <c r="A7">
        <v>1</v>
      </c>
      <c r="B7" s="5">
        <v>3</v>
      </c>
      <c r="C7" t="s">
        <v>35</v>
      </c>
      <c r="E7" s="4">
        <v>2000</v>
      </c>
      <c r="F7" s="4"/>
    </row>
    <row r="8" spans="1:6" x14ac:dyDescent="0.2">
      <c r="A8">
        <v>1</v>
      </c>
      <c r="B8" s="5">
        <v>3</v>
      </c>
      <c r="C8" s="3" t="s">
        <v>7</v>
      </c>
      <c r="E8" s="4"/>
      <c r="F8" s="4">
        <v>2000</v>
      </c>
    </row>
    <row r="9" spans="1:6" x14ac:dyDescent="0.2">
      <c r="A9">
        <v>1</v>
      </c>
      <c r="B9" s="5">
        <v>4</v>
      </c>
      <c r="C9" t="s">
        <v>19</v>
      </c>
      <c r="E9" s="4">
        <v>25000</v>
      </c>
      <c r="F9" s="4"/>
    </row>
    <row r="10" spans="1:6" x14ac:dyDescent="0.2">
      <c r="A10">
        <v>1</v>
      </c>
      <c r="B10" s="5">
        <v>4</v>
      </c>
      <c r="C10" s="3" t="s">
        <v>7</v>
      </c>
      <c r="E10" s="4"/>
      <c r="F10" s="4">
        <v>25000</v>
      </c>
    </row>
    <row r="11" spans="1:6" x14ac:dyDescent="0.2">
      <c r="A11">
        <v>1</v>
      </c>
      <c r="B11" s="5">
        <v>5.0999999999999996</v>
      </c>
      <c r="C11" t="s">
        <v>20</v>
      </c>
      <c r="E11" s="4">
        <v>1200</v>
      </c>
      <c r="F11" s="4"/>
    </row>
    <row r="12" spans="1:6" x14ac:dyDescent="0.2">
      <c r="A12">
        <v>1</v>
      </c>
      <c r="B12" s="5">
        <v>5.0999999999999996</v>
      </c>
      <c r="C12" s="3" t="s">
        <v>7</v>
      </c>
      <c r="E12" s="4"/>
      <c r="F12" s="4">
        <v>1200</v>
      </c>
    </row>
    <row r="13" spans="1:6" x14ac:dyDescent="0.2">
      <c r="A13">
        <v>1</v>
      </c>
      <c r="B13" s="5">
        <v>5.2</v>
      </c>
      <c r="C13" t="s">
        <v>21</v>
      </c>
      <c r="E13" s="4">
        <v>100</v>
      </c>
      <c r="F13" s="4"/>
    </row>
    <row r="14" spans="1:6" x14ac:dyDescent="0.2">
      <c r="A14">
        <v>1</v>
      </c>
      <c r="B14" s="5">
        <v>5.2</v>
      </c>
      <c r="C14" s="3" t="s">
        <v>20</v>
      </c>
      <c r="E14" s="4"/>
      <c r="F14" s="4">
        <v>100</v>
      </c>
    </row>
    <row r="15" spans="1:6" x14ac:dyDescent="0.2">
      <c r="A15">
        <v>1</v>
      </c>
      <c r="B15" s="5">
        <v>7.1</v>
      </c>
      <c r="C15" t="s">
        <v>36</v>
      </c>
      <c r="E15" s="4">
        <v>1000</v>
      </c>
      <c r="F15" s="4"/>
    </row>
    <row r="16" spans="1:6" x14ac:dyDescent="0.2">
      <c r="A16">
        <v>1</v>
      </c>
      <c r="B16" s="5">
        <v>7.1</v>
      </c>
      <c r="C16" s="3" t="s">
        <v>7</v>
      </c>
      <c r="E16" s="4"/>
      <c r="F16" s="4">
        <v>1000</v>
      </c>
    </row>
    <row r="17" spans="1:6" x14ac:dyDescent="0.2">
      <c r="A17">
        <v>1</v>
      </c>
      <c r="B17" s="5">
        <v>7.2</v>
      </c>
      <c r="C17" t="s">
        <v>7</v>
      </c>
      <c r="E17" s="4">
        <v>200</v>
      </c>
      <c r="F17" s="4"/>
    </row>
    <row r="18" spans="1:6" x14ac:dyDescent="0.2">
      <c r="A18">
        <v>1</v>
      </c>
      <c r="B18" s="5">
        <v>8.1</v>
      </c>
      <c r="C18" s="3" t="s">
        <v>73</v>
      </c>
      <c r="E18" s="4"/>
      <c r="F18" s="4">
        <v>200</v>
      </c>
    </row>
    <row r="19" spans="1:6" x14ac:dyDescent="0.2">
      <c r="A19">
        <v>1</v>
      </c>
      <c r="B19" s="5">
        <v>8.1</v>
      </c>
      <c r="C19" t="s">
        <v>39</v>
      </c>
      <c r="E19" s="4">
        <v>100</v>
      </c>
      <c r="F19" s="4"/>
    </row>
    <row r="20" spans="1:6" x14ac:dyDescent="0.2">
      <c r="A20">
        <v>1</v>
      </c>
      <c r="B20" s="5">
        <v>7.2</v>
      </c>
      <c r="C20" s="3" t="s">
        <v>36</v>
      </c>
      <c r="E20" s="4"/>
      <c r="F20" s="4">
        <v>100</v>
      </c>
    </row>
    <row r="21" spans="1:6" x14ac:dyDescent="0.2">
      <c r="A21">
        <v>1</v>
      </c>
      <c r="B21" s="5">
        <v>10.199999999999999</v>
      </c>
      <c r="C21" t="s">
        <v>50</v>
      </c>
      <c r="E21" s="4">
        <v>400</v>
      </c>
      <c r="F21" s="4"/>
    </row>
    <row r="22" spans="1:6" x14ac:dyDescent="0.2">
      <c r="A22">
        <v>1</v>
      </c>
      <c r="B22" s="5">
        <v>10.199999999999999</v>
      </c>
      <c r="C22" s="3" t="s">
        <v>51</v>
      </c>
      <c r="E22" s="4"/>
      <c r="F22" s="4">
        <v>400</v>
      </c>
    </row>
    <row r="23" spans="1:6" x14ac:dyDescent="0.2">
      <c r="A23">
        <v>2</v>
      </c>
      <c r="B23" s="5">
        <v>13</v>
      </c>
      <c r="C23" t="s">
        <v>7</v>
      </c>
      <c r="E23" s="4">
        <f>50*50</f>
        <v>2500</v>
      </c>
      <c r="F23" s="4"/>
    </row>
    <row r="24" spans="1:6" x14ac:dyDescent="0.2">
      <c r="A24">
        <v>2</v>
      </c>
      <c r="B24" s="5">
        <v>13</v>
      </c>
      <c r="C24" s="3" t="s">
        <v>72</v>
      </c>
      <c r="E24" s="4"/>
      <c r="F24" s="4">
        <f>50*50</f>
        <v>2500</v>
      </c>
    </row>
    <row r="25" spans="1:6" x14ac:dyDescent="0.2">
      <c r="A25">
        <v>2</v>
      </c>
      <c r="B25" s="5">
        <v>13</v>
      </c>
      <c r="C25" t="s">
        <v>74</v>
      </c>
      <c r="E25" s="4">
        <v>600</v>
      </c>
      <c r="F25" s="4"/>
    </row>
    <row r="26" spans="1:6" x14ac:dyDescent="0.2">
      <c r="A26">
        <v>2</v>
      </c>
      <c r="B26" s="5">
        <v>13</v>
      </c>
      <c r="C26" s="3" t="s">
        <v>73</v>
      </c>
      <c r="F26">
        <v>600</v>
      </c>
    </row>
    <row r="27" spans="1:6" x14ac:dyDescent="0.2">
      <c r="A27">
        <v>2</v>
      </c>
      <c r="B27" s="5">
        <v>13</v>
      </c>
      <c r="C27" t="s">
        <v>39</v>
      </c>
      <c r="E27">
        <v>300</v>
      </c>
    </row>
    <row r="28" spans="1:6" x14ac:dyDescent="0.2">
      <c r="A28">
        <v>2</v>
      </c>
      <c r="B28" s="5">
        <v>13</v>
      </c>
      <c r="C28" s="3" t="s">
        <v>36</v>
      </c>
      <c r="F28">
        <v>300</v>
      </c>
    </row>
    <row r="29" spans="1:6" x14ac:dyDescent="0.2">
      <c r="A29">
        <v>2</v>
      </c>
      <c r="B29" s="5">
        <v>15</v>
      </c>
      <c r="C29" t="s">
        <v>36</v>
      </c>
      <c r="E29">
        <v>2000</v>
      </c>
    </row>
    <row r="30" spans="1:6" x14ac:dyDescent="0.2">
      <c r="A30">
        <v>2</v>
      </c>
      <c r="B30" s="5">
        <v>15</v>
      </c>
      <c r="C30" s="3" t="s">
        <v>85</v>
      </c>
      <c r="F30">
        <v>2000</v>
      </c>
    </row>
    <row r="31" spans="1:6" x14ac:dyDescent="0.2">
      <c r="A31">
        <v>2</v>
      </c>
      <c r="B31" s="5">
        <v>17</v>
      </c>
      <c r="C31" t="s">
        <v>35</v>
      </c>
      <c r="E31">
        <v>2000</v>
      </c>
    </row>
    <row r="32" spans="1:6" x14ac:dyDescent="0.2">
      <c r="A32">
        <v>2</v>
      </c>
      <c r="B32" s="5">
        <v>17</v>
      </c>
      <c r="C32" s="3" t="s">
        <v>7</v>
      </c>
      <c r="F32">
        <v>2000</v>
      </c>
    </row>
    <row r="33" spans="1:15" x14ac:dyDescent="0.2">
      <c r="A33">
        <v>2</v>
      </c>
      <c r="B33" s="5">
        <v>17</v>
      </c>
      <c r="C33" t="s">
        <v>21</v>
      </c>
      <c r="E33">
        <v>100</v>
      </c>
    </row>
    <row r="34" spans="1:15" x14ac:dyDescent="0.2">
      <c r="A34">
        <v>2</v>
      </c>
      <c r="B34" s="5">
        <v>17</v>
      </c>
      <c r="C34" s="3" t="s">
        <v>20</v>
      </c>
      <c r="F34">
        <v>100</v>
      </c>
    </row>
    <row r="35" spans="1:15" s="26" customFormat="1" x14ac:dyDescent="0.2">
      <c r="A35" s="26">
        <v>2</v>
      </c>
      <c r="B35" s="39">
        <v>17</v>
      </c>
      <c r="C35" s="26" t="s">
        <v>50</v>
      </c>
      <c r="E35" s="26">
        <v>400</v>
      </c>
      <c r="O35" s="110"/>
    </row>
    <row r="36" spans="1:15" x14ac:dyDescent="0.2">
      <c r="A36">
        <v>2</v>
      </c>
      <c r="B36" s="39">
        <v>17</v>
      </c>
      <c r="C36" s="3" t="s">
        <v>51</v>
      </c>
      <c r="F36">
        <v>400</v>
      </c>
    </row>
    <row r="37" spans="1:15" x14ac:dyDescent="0.2">
      <c r="A37">
        <v>2</v>
      </c>
      <c r="B37" s="39">
        <v>18</v>
      </c>
      <c r="C37" s="26" t="s">
        <v>95</v>
      </c>
      <c r="E37">
        <v>8435.5300000000007</v>
      </c>
      <c r="G37" t="s">
        <v>96</v>
      </c>
    </row>
    <row r="38" spans="1:15" x14ac:dyDescent="0.2">
      <c r="A38">
        <v>2</v>
      </c>
      <c r="B38" s="39">
        <v>18</v>
      </c>
      <c r="C38" s="3" t="s">
        <v>8</v>
      </c>
      <c r="F38" s="18">
        <f>E37</f>
        <v>8435.5300000000007</v>
      </c>
      <c r="G38" t="s">
        <v>96</v>
      </c>
    </row>
    <row r="39" spans="1:15" x14ac:dyDescent="0.2">
      <c r="A39">
        <v>2</v>
      </c>
      <c r="B39" s="39">
        <v>18</v>
      </c>
      <c r="C39" s="26" t="s">
        <v>126</v>
      </c>
      <c r="E39">
        <v>306.67</v>
      </c>
      <c r="G39" t="s">
        <v>128</v>
      </c>
      <c r="J39" t="s">
        <v>131</v>
      </c>
      <c r="K39" t="s">
        <v>132</v>
      </c>
    </row>
    <row r="40" spans="1:15" x14ac:dyDescent="0.2">
      <c r="A40">
        <v>2</v>
      </c>
      <c r="B40" s="39">
        <v>18</v>
      </c>
      <c r="C40" s="3" t="s">
        <v>127</v>
      </c>
      <c r="F40">
        <v>306.67</v>
      </c>
      <c r="I40" t="s">
        <v>129</v>
      </c>
      <c r="J40">
        <v>920</v>
      </c>
      <c r="K40">
        <f>J40/3</f>
        <v>306.66666666666669</v>
      </c>
    </row>
    <row r="41" spans="1:15" x14ac:dyDescent="0.2">
      <c r="A41">
        <v>2</v>
      </c>
      <c r="B41" s="39">
        <v>20</v>
      </c>
      <c r="C41" s="26" t="s">
        <v>7</v>
      </c>
      <c r="E41">
        <v>200</v>
      </c>
      <c r="I41" t="s">
        <v>130</v>
      </c>
      <c r="J41">
        <v>2080</v>
      </c>
      <c r="K41">
        <f>J41/3</f>
        <v>693.33333333333337</v>
      </c>
    </row>
    <row r="42" spans="1:15" x14ac:dyDescent="0.2">
      <c r="A42">
        <v>2</v>
      </c>
      <c r="B42" s="39">
        <v>20</v>
      </c>
      <c r="C42" s="3" t="s">
        <v>136</v>
      </c>
      <c r="F42">
        <v>200</v>
      </c>
    </row>
    <row r="43" spans="1:15" x14ac:dyDescent="0.2">
      <c r="A43">
        <v>2</v>
      </c>
      <c r="B43" s="39">
        <v>20</v>
      </c>
      <c r="C43" s="26" t="s">
        <v>7</v>
      </c>
      <c r="E43">
        <v>200</v>
      </c>
    </row>
    <row r="44" spans="1:15" x14ac:dyDescent="0.2">
      <c r="A44">
        <v>2</v>
      </c>
      <c r="B44" s="39">
        <v>20</v>
      </c>
      <c r="C44" s="3" t="s">
        <v>135</v>
      </c>
      <c r="F44">
        <v>200</v>
      </c>
    </row>
    <row r="45" spans="1:15" x14ac:dyDescent="0.2">
      <c r="B45" s="39"/>
    </row>
    <row r="46" spans="1:15" x14ac:dyDescent="0.2">
      <c r="B46" s="39"/>
    </row>
    <row r="47" spans="1:15" x14ac:dyDescent="0.2">
      <c r="B47" s="39"/>
    </row>
    <row r="48" spans="1:15" s="26" customFormat="1" x14ac:dyDescent="0.2">
      <c r="B48" s="39"/>
    </row>
    <row r="49" spans="2:6" x14ac:dyDescent="0.2">
      <c r="B49" s="39"/>
    </row>
    <row r="50" spans="2:6" x14ac:dyDescent="0.2">
      <c r="B50" s="39"/>
    </row>
    <row r="51" spans="2:6" x14ac:dyDescent="0.2">
      <c r="B51" s="39"/>
    </row>
    <row r="52" spans="2:6" x14ac:dyDescent="0.2">
      <c r="C52" s="1" t="s">
        <v>38</v>
      </c>
      <c r="E52" s="19">
        <f>SUM(E3:E36)</f>
        <v>187900</v>
      </c>
      <c r="F52" s="19">
        <f>SUM(F3:F36)</f>
        <v>187900</v>
      </c>
    </row>
  </sheetData>
  <conditionalFormatting sqref="E52">
    <cfRule type="cellIs" dxfId="13" priority="3" operator="notEqual">
      <formula>$F$52</formula>
    </cfRule>
    <cfRule type="cellIs" dxfId="12" priority="4" operator="equal">
      <formula>$F$52</formula>
    </cfRule>
  </conditionalFormatting>
  <conditionalFormatting sqref="F52">
    <cfRule type="cellIs" dxfId="11" priority="1" operator="notEqual">
      <formula>$E$52</formula>
    </cfRule>
    <cfRule type="cellIs" dxfId="10" priority="2" operator="equal">
      <formula>$E$52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6A4C-BF14-1742-9ACE-DB2531695076}">
  <dimension ref="A1:E18"/>
  <sheetViews>
    <sheetView showGridLines="0" workbookViewId="0">
      <selection activeCell="A21" sqref="A21"/>
    </sheetView>
  </sheetViews>
  <sheetFormatPr baseColWidth="10" defaultRowHeight="16" x14ac:dyDescent="0.2"/>
  <cols>
    <col min="1" max="1" width="35" bestFit="1" customWidth="1"/>
    <col min="2" max="2" width="11.1640625" bestFit="1" customWidth="1"/>
    <col min="3" max="3" width="9.1640625" customWidth="1"/>
    <col min="4" max="4" width="28" bestFit="1" customWidth="1"/>
    <col min="5" max="5" width="12.5" bestFit="1" customWidth="1"/>
  </cols>
  <sheetData>
    <row r="1" spans="1:5" ht="21" x14ac:dyDescent="0.25">
      <c r="A1" s="9" t="s">
        <v>42</v>
      </c>
    </row>
    <row r="3" spans="1:5" ht="21" x14ac:dyDescent="0.25">
      <c r="A3" s="12" t="s">
        <v>29</v>
      </c>
      <c r="B3" s="10"/>
      <c r="D3" s="16" t="s">
        <v>32</v>
      </c>
    </row>
    <row r="4" spans="1:5" x14ac:dyDescent="0.2">
      <c r="A4" s="7" t="s">
        <v>24</v>
      </c>
      <c r="B4" s="54">
        <f>+'Transaction History'!F18</f>
        <v>200</v>
      </c>
      <c r="C4" s="55"/>
      <c r="D4" s="56" t="s">
        <v>0</v>
      </c>
      <c r="E4" s="54"/>
    </row>
    <row r="5" spans="1:5" x14ac:dyDescent="0.2">
      <c r="A5" s="7" t="s">
        <v>125</v>
      </c>
      <c r="B5" s="54"/>
      <c r="C5" s="55"/>
      <c r="D5" s="54" t="s">
        <v>7</v>
      </c>
      <c r="E5" s="54">
        <f>'Transaction History'!$E$3+'Transaction History'!$E$5+-'Transaction History'!$F$8-'Transaction History'!$F$10-'Transaction History'!$F$12-'Transaction History'!$F$16+'Transaction History'!$E$17</f>
        <v>121000</v>
      </c>
    </row>
    <row r="6" spans="1:5" x14ac:dyDescent="0.2">
      <c r="A6" s="3" t="s">
        <v>41</v>
      </c>
      <c r="B6" s="55">
        <f>-'Transaction History'!$E$19</f>
        <v>-100</v>
      </c>
      <c r="C6" s="55"/>
      <c r="D6" s="55" t="s">
        <v>36</v>
      </c>
      <c r="E6" s="55">
        <f>'Transaction History'!$E$15-'Transaction History'!F20</f>
        <v>900</v>
      </c>
    </row>
    <row r="7" spans="1:5" x14ac:dyDescent="0.2">
      <c r="A7" s="13" t="s">
        <v>26</v>
      </c>
      <c r="B7" s="54">
        <f>-'Transaction History'!$E$7</f>
        <v>-2000</v>
      </c>
      <c r="C7" s="55"/>
      <c r="D7" s="54" t="s">
        <v>20</v>
      </c>
      <c r="E7" s="54">
        <f>'Transaction History'!$E$11-'Transaction History'!$F$14</f>
        <v>1100</v>
      </c>
    </row>
    <row r="8" spans="1:5" x14ac:dyDescent="0.2">
      <c r="A8" s="13" t="s">
        <v>27</v>
      </c>
      <c r="B8" s="54">
        <f>-'Transaction History'!$E$13</f>
        <v>-100</v>
      </c>
      <c r="C8" s="55"/>
      <c r="D8" s="54" t="s">
        <v>19</v>
      </c>
      <c r="E8" s="54">
        <f>'Transaction History'!$E$9</f>
        <v>25000</v>
      </c>
    </row>
    <row r="9" spans="1:5" ht="17" thickBot="1" x14ac:dyDescent="0.25">
      <c r="A9" s="14" t="s">
        <v>28</v>
      </c>
      <c r="B9" s="57">
        <f>SUM(B6:B8)</f>
        <v>-2200</v>
      </c>
      <c r="C9" s="55"/>
      <c r="D9" s="58" t="s">
        <v>33</v>
      </c>
      <c r="E9" s="58">
        <f>SUM(E5:E8)</f>
        <v>148000</v>
      </c>
    </row>
    <row r="10" spans="1:5" ht="18" thickTop="1" thickBot="1" x14ac:dyDescent="0.25">
      <c r="A10" s="15" t="s">
        <v>31</v>
      </c>
      <c r="B10" s="59">
        <f>+B4+B9</f>
        <v>-2000</v>
      </c>
      <c r="C10" s="55"/>
      <c r="D10" s="54"/>
      <c r="E10" s="54"/>
    </row>
    <row r="11" spans="1:5" ht="17" thickTop="1" x14ac:dyDescent="0.2">
      <c r="B11" s="55"/>
      <c r="C11" s="55"/>
      <c r="D11" s="56" t="s">
        <v>34</v>
      </c>
      <c r="E11" s="54"/>
    </row>
    <row r="12" spans="1:5" x14ac:dyDescent="0.2">
      <c r="B12" s="55"/>
      <c r="C12" s="55"/>
      <c r="D12" s="60" t="s">
        <v>8</v>
      </c>
      <c r="E12" s="54">
        <f>'Transaction History'!$F$4</f>
        <v>100000</v>
      </c>
    </row>
    <row r="13" spans="1:5" x14ac:dyDescent="0.2">
      <c r="B13" s="55"/>
      <c r="C13" s="55"/>
      <c r="D13" s="61" t="s">
        <v>14</v>
      </c>
      <c r="E13" s="61">
        <f>SUM(E12)</f>
        <v>100000</v>
      </c>
    </row>
    <row r="14" spans="1:5" x14ac:dyDescent="0.2">
      <c r="B14" s="55"/>
      <c r="C14" s="55"/>
      <c r="D14" s="54" t="s">
        <v>9</v>
      </c>
      <c r="E14" s="54">
        <f>'Transaction History'!$F$6</f>
        <v>50000</v>
      </c>
    </row>
    <row r="15" spans="1:5" x14ac:dyDescent="0.2">
      <c r="B15" s="55"/>
      <c r="C15" s="55"/>
      <c r="D15" s="54" t="s">
        <v>12</v>
      </c>
      <c r="E15" s="54">
        <f>B10</f>
        <v>-2000</v>
      </c>
    </row>
    <row r="16" spans="1:5" x14ac:dyDescent="0.2">
      <c r="B16" s="55"/>
      <c r="C16" s="55"/>
      <c r="D16" s="61" t="s">
        <v>15</v>
      </c>
      <c r="E16" s="61">
        <f>SUM(E14:E15)</f>
        <v>48000</v>
      </c>
    </row>
    <row r="17" spans="2:5" ht="17" thickBot="1" x14ac:dyDescent="0.25">
      <c r="B17" s="55"/>
      <c r="C17" s="55"/>
      <c r="D17" s="62" t="s">
        <v>16</v>
      </c>
      <c r="E17" s="62">
        <f>SUM(E13+E16)</f>
        <v>148000</v>
      </c>
    </row>
    <row r="18" spans="2:5" ht="17" thickTop="1" x14ac:dyDescent="0.2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3DEE-7899-EA44-89E2-8453A49477FD}">
  <dimension ref="A1:E17"/>
  <sheetViews>
    <sheetView showGridLines="0" workbookViewId="0">
      <selection activeCell="A13" sqref="A13:B13"/>
    </sheetView>
  </sheetViews>
  <sheetFormatPr baseColWidth="10" defaultRowHeight="16" x14ac:dyDescent="0.2"/>
  <cols>
    <col min="1" max="1" width="27.83203125" bestFit="1" customWidth="1"/>
    <col min="2" max="2" width="11.1640625" bestFit="1" customWidth="1"/>
    <col min="4" max="4" width="28" bestFit="1" customWidth="1"/>
    <col min="5" max="5" width="12.5" bestFit="1" customWidth="1"/>
  </cols>
  <sheetData>
    <row r="1" spans="1:5" ht="21" x14ac:dyDescent="0.25">
      <c r="A1" s="9" t="s">
        <v>42</v>
      </c>
    </row>
    <row r="3" spans="1:5" ht="21" x14ac:dyDescent="0.25">
      <c r="A3" s="12" t="s">
        <v>29</v>
      </c>
      <c r="B3" s="10"/>
      <c r="D3" s="16" t="s">
        <v>32</v>
      </c>
    </row>
    <row r="4" spans="1:5" x14ac:dyDescent="0.2">
      <c r="A4" s="20" t="s">
        <v>24</v>
      </c>
      <c r="B4" s="63">
        <f>+'Transaction History'!F18</f>
        <v>200</v>
      </c>
      <c r="C4" s="55"/>
      <c r="D4" s="64" t="s">
        <v>0</v>
      </c>
      <c r="E4" s="63"/>
    </row>
    <row r="5" spans="1:5" ht="19" x14ac:dyDescent="0.35">
      <c r="A5" s="22" t="s">
        <v>43</v>
      </c>
      <c r="B5" s="65">
        <f>-'Transaction History'!$E$13</f>
        <v>-100</v>
      </c>
      <c r="C5" s="55"/>
      <c r="D5" s="63" t="s">
        <v>7</v>
      </c>
      <c r="E5" s="63">
        <f>'Transaction History'!$E$3+'Transaction History'!$E$5+-'Transaction History'!$F$8-'Transaction History'!$F$10-'Transaction History'!$F$12-'Transaction History'!$F$16+'Transaction History'!$E$17</f>
        <v>121000</v>
      </c>
    </row>
    <row r="6" spans="1:5" x14ac:dyDescent="0.2">
      <c r="A6" s="21" t="s">
        <v>44</v>
      </c>
      <c r="B6" s="66">
        <f>SUM(B4:B5)</f>
        <v>100</v>
      </c>
      <c r="C6" s="55"/>
      <c r="D6" s="66" t="s">
        <v>36</v>
      </c>
      <c r="E6" s="66">
        <f>'Transaction History'!$E$15-'Transaction History'!F20</f>
        <v>900</v>
      </c>
    </row>
    <row r="7" spans="1:5" x14ac:dyDescent="0.2">
      <c r="A7" s="20" t="s">
        <v>25</v>
      </c>
      <c r="B7" s="63"/>
      <c r="C7" s="55"/>
      <c r="D7" s="63" t="s">
        <v>20</v>
      </c>
      <c r="E7" s="63">
        <f>'Transaction History'!$E$11-'Transaction History'!$F$14</f>
        <v>1100</v>
      </c>
    </row>
    <row r="8" spans="1:5" ht="19" x14ac:dyDescent="0.35">
      <c r="A8" s="23" t="s">
        <v>27</v>
      </c>
      <c r="B8" s="66">
        <f>-'Transaction History'!$E$19</f>
        <v>-100</v>
      </c>
      <c r="C8" s="55"/>
      <c r="D8" s="63" t="s">
        <v>19</v>
      </c>
      <c r="E8" s="65">
        <f>'Transaction History'!$E$9</f>
        <v>25000</v>
      </c>
    </row>
    <row r="9" spans="1:5" ht="19" x14ac:dyDescent="0.35">
      <c r="A9" s="22" t="s">
        <v>26</v>
      </c>
      <c r="B9" s="65">
        <f>-'Transaction History'!$E$7</f>
        <v>-2000</v>
      </c>
      <c r="C9" s="55"/>
      <c r="D9" s="63" t="s">
        <v>33</v>
      </c>
      <c r="E9" s="67">
        <f>SUM(E5:E8)</f>
        <v>148000</v>
      </c>
    </row>
    <row r="10" spans="1:5" ht="19" x14ac:dyDescent="0.35">
      <c r="A10" s="20" t="s">
        <v>28</v>
      </c>
      <c r="B10" s="65">
        <f>SUM(B8:B9)</f>
        <v>-2100</v>
      </c>
      <c r="C10" s="55"/>
      <c r="D10" s="64" t="s">
        <v>34</v>
      </c>
      <c r="E10" s="63"/>
    </row>
    <row r="11" spans="1:5" ht="19" x14ac:dyDescent="0.35">
      <c r="A11" s="20" t="s">
        <v>31</v>
      </c>
      <c r="B11" s="67">
        <f>+B6+B10</f>
        <v>-2000</v>
      </c>
      <c r="C11" s="55"/>
      <c r="D11" s="68" t="s">
        <v>8</v>
      </c>
      <c r="E11" s="65">
        <f>'Transaction History'!$F$4</f>
        <v>100000</v>
      </c>
    </row>
    <row r="12" spans="1:5" x14ac:dyDescent="0.2">
      <c r="A12" s="21"/>
      <c r="B12" s="66"/>
      <c r="C12" s="55"/>
      <c r="D12" s="63" t="s">
        <v>14</v>
      </c>
      <c r="E12" s="63">
        <f>SUM(E11)</f>
        <v>100000</v>
      </c>
    </row>
    <row r="13" spans="1:5" x14ac:dyDescent="0.2">
      <c r="A13" s="1" t="s">
        <v>45</v>
      </c>
      <c r="B13" s="24">
        <f>B6/B4</f>
        <v>0.5</v>
      </c>
      <c r="C13" s="55"/>
      <c r="D13" s="63" t="s">
        <v>9</v>
      </c>
      <c r="E13" s="63">
        <f>'Transaction History'!$F$6</f>
        <v>50000</v>
      </c>
    </row>
    <row r="14" spans="1:5" ht="19" x14ac:dyDescent="0.35">
      <c r="B14" s="55"/>
      <c r="C14" s="55"/>
      <c r="D14" s="63" t="s">
        <v>12</v>
      </c>
      <c r="E14" s="65">
        <f>B11</f>
        <v>-2000</v>
      </c>
    </row>
    <row r="15" spans="1:5" ht="19" x14ac:dyDescent="0.35">
      <c r="B15" s="55"/>
      <c r="C15" s="55"/>
      <c r="D15" s="63" t="s">
        <v>15</v>
      </c>
      <c r="E15" s="65">
        <f>SUM(E13:E14)</f>
        <v>48000</v>
      </c>
    </row>
    <row r="16" spans="1:5" ht="19" x14ac:dyDescent="0.35">
      <c r="B16" s="55"/>
      <c r="C16" s="55"/>
      <c r="D16" s="63" t="s">
        <v>16</v>
      </c>
      <c r="E16" s="67">
        <f>SUM(E12+E15)</f>
        <v>148000</v>
      </c>
    </row>
    <row r="17" spans="4:5" x14ac:dyDescent="0.2">
      <c r="D17" s="21"/>
      <c r="E17" s="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8FD29-8677-A14C-8D24-1B038BB00477}">
  <dimension ref="A1:E18"/>
  <sheetViews>
    <sheetView showGridLines="0" workbookViewId="0">
      <selection activeCell="A3" sqref="A3:E17"/>
    </sheetView>
  </sheetViews>
  <sheetFormatPr baseColWidth="10" defaultRowHeight="16" x14ac:dyDescent="0.2"/>
  <cols>
    <col min="1" max="1" width="27.83203125" bestFit="1" customWidth="1"/>
    <col min="2" max="2" width="11.1640625" bestFit="1" customWidth="1"/>
    <col min="4" max="4" width="28" bestFit="1" customWidth="1"/>
    <col min="5" max="5" width="12.5" bestFit="1" customWidth="1"/>
  </cols>
  <sheetData>
    <row r="1" spans="1:5" ht="21" x14ac:dyDescent="0.25">
      <c r="A1" s="9" t="s">
        <v>46</v>
      </c>
    </row>
    <row r="3" spans="1:5" ht="21" x14ac:dyDescent="0.25">
      <c r="A3" s="12" t="s">
        <v>29</v>
      </c>
      <c r="B3" s="10"/>
      <c r="D3" s="16" t="s">
        <v>32</v>
      </c>
    </row>
    <row r="4" spans="1:5" ht="21" x14ac:dyDescent="0.25">
      <c r="A4" s="12"/>
      <c r="B4" s="10"/>
      <c r="D4" s="7"/>
      <c r="E4" s="7"/>
    </row>
    <row r="5" spans="1:5" x14ac:dyDescent="0.2">
      <c r="A5" s="20" t="s">
        <v>24</v>
      </c>
      <c r="B5" s="63">
        <f>+'Transaction History'!F18</f>
        <v>200</v>
      </c>
      <c r="C5" s="55"/>
      <c r="D5" s="64" t="s">
        <v>0</v>
      </c>
      <c r="E5" s="63"/>
    </row>
    <row r="6" spans="1:5" ht="19" x14ac:dyDescent="0.35">
      <c r="A6" s="22" t="s">
        <v>43</v>
      </c>
      <c r="B6" s="65">
        <f>-'Transaction History'!$E$13-900</f>
        <v>-1000</v>
      </c>
      <c r="C6" s="55"/>
      <c r="D6" s="63" t="s">
        <v>7</v>
      </c>
      <c r="E6" s="63">
        <f>'Transaction History'!$E$3+'Transaction History'!$E$5+-'Transaction History'!$F$8-'Transaction History'!$F$10-'Transaction History'!$F$12-'Transaction History'!$F$16+'Transaction History'!$E$17</f>
        <v>121000</v>
      </c>
    </row>
    <row r="7" spans="1:5" x14ac:dyDescent="0.2">
      <c r="A7" s="21" t="s">
        <v>44</v>
      </c>
      <c r="B7" s="66">
        <f>SUM(B5:B6)</f>
        <v>-800</v>
      </c>
      <c r="C7" s="55"/>
      <c r="D7" s="66" t="s">
        <v>36</v>
      </c>
      <c r="E7" s="66">
        <f>'Transaction History'!$E$15-'Transaction History'!F20</f>
        <v>900</v>
      </c>
    </row>
    <row r="8" spans="1:5" x14ac:dyDescent="0.2">
      <c r="A8" s="20" t="s">
        <v>25</v>
      </c>
      <c r="B8" s="63"/>
      <c r="C8" s="55"/>
      <c r="D8" s="63" t="s">
        <v>20</v>
      </c>
      <c r="E8" s="63">
        <f>'Transaction History'!$E$11-'Transaction History'!$F$14</f>
        <v>1100</v>
      </c>
    </row>
    <row r="9" spans="1:5" ht="19" x14ac:dyDescent="0.35">
      <c r="A9" s="23" t="s">
        <v>27</v>
      </c>
      <c r="B9" s="66">
        <f>-'Transaction History'!$E$19</f>
        <v>-100</v>
      </c>
      <c r="C9" s="55"/>
      <c r="D9" s="63" t="s">
        <v>19</v>
      </c>
      <c r="E9" s="65">
        <f>'Transaction History'!$E$9</f>
        <v>25000</v>
      </c>
    </row>
    <row r="10" spans="1:5" ht="19" x14ac:dyDescent="0.35">
      <c r="A10" s="22" t="s">
        <v>26</v>
      </c>
      <c r="B10" s="65">
        <f>-'Transaction History'!$E$7</f>
        <v>-2000</v>
      </c>
      <c r="C10" s="55"/>
      <c r="D10" s="63" t="s">
        <v>33</v>
      </c>
      <c r="E10" s="67">
        <f>SUM(E6:E9)</f>
        <v>148000</v>
      </c>
    </row>
    <row r="11" spans="1:5" ht="19" x14ac:dyDescent="0.35">
      <c r="A11" s="20" t="s">
        <v>28</v>
      </c>
      <c r="B11" s="65">
        <f>SUM(B9:B10)</f>
        <v>-2100</v>
      </c>
      <c r="C11" s="55"/>
      <c r="D11" s="64" t="s">
        <v>34</v>
      </c>
      <c r="E11" s="63"/>
    </row>
    <row r="12" spans="1:5" ht="19" x14ac:dyDescent="0.35">
      <c r="A12" s="20" t="s">
        <v>31</v>
      </c>
      <c r="B12" s="67">
        <f>+B7+B11</f>
        <v>-2900</v>
      </c>
      <c r="C12" s="55"/>
      <c r="D12" s="68" t="s">
        <v>8</v>
      </c>
      <c r="E12" s="65">
        <f>'Transaction History'!$F$4</f>
        <v>100000</v>
      </c>
    </row>
    <row r="13" spans="1:5" x14ac:dyDescent="0.2">
      <c r="A13" s="21"/>
      <c r="B13" s="66"/>
      <c r="C13" s="55"/>
      <c r="D13" s="63" t="s">
        <v>14</v>
      </c>
      <c r="E13" s="63">
        <f>SUM(E12)</f>
        <v>100000</v>
      </c>
    </row>
    <row r="14" spans="1:5" x14ac:dyDescent="0.2">
      <c r="A14" s="1" t="s">
        <v>45</v>
      </c>
      <c r="B14" s="24">
        <f>B7/B5</f>
        <v>-4</v>
      </c>
      <c r="C14" s="55"/>
      <c r="D14" s="63" t="s">
        <v>9</v>
      </c>
      <c r="E14" s="63">
        <f>'Transaction History'!$F$6</f>
        <v>50000</v>
      </c>
    </row>
    <row r="15" spans="1:5" ht="19" x14ac:dyDescent="0.35">
      <c r="B15" s="55"/>
      <c r="C15" s="55"/>
      <c r="D15" s="63" t="s">
        <v>12</v>
      </c>
      <c r="E15" s="65">
        <f>B12</f>
        <v>-2900</v>
      </c>
    </row>
    <row r="16" spans="1:5" ht="19" x14ac:dyDescent="0.35">
      <c r="B16" s="55"/>
      <c r="C16" s="55"/>
      <c r="D16" s="63" t="s">
        <v>15</v>
      </c>
      <c r="E16" s="65">
        <f>SUM(E14:E15)</f>
        <v>47100</v>
      </c>
    </row>
    <row r="17" spans="2:5" ht="19" x14ac:dyDescent="0.35">
      <c r="B17" s="55"/>
      <c r="C17" s="55"/>
      <c r="D17" s="63" t="s">
        <v>16</v>
      </c>
      <c r="E17" s="67">
        <f>SUM(E13+E16)</f>
        <v>147100</v>
      </c>
    </row>
    <row r="18" spans="2:5" x14ac:dyDescent="0.2">
      <c r="D18" s="21"/>
      <c r="E18" s="2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5981-D03A-3648-AD03-280BB80B9DCA}">
  <dimension ref="A1:E17"/>
  <sheetViews>
    <sheetView showGridLines="0" workbookViewId="0">
      <selection activeCell="K23" sqref="K23"/>
    </sheetView>
  </sheetViews>
  <sheetFormatPr baseColWidth="10" defaultRowHeight="16" x14ac:dyDescent="0.2"/>
  <cols>
    <col min="1" max="1" width="27.83203125" bestFit="1" customWidth="1"/>
    <col min="4" max="4" width="28" bestFit="1" customWidth="1"/>
    <col min="5" max="5" width="12.5" bestFit="1" customWidth="1"/>
  </cols>
  <sheetData>
    <row r="1" spans="1:5" ht="21" x14ac:dyDescent="0.25">
      <c r="A1" s="9" t="s">
        <v>47</v>
      </c>
    </row>
    <row r="3" spans="1:5" ht="21" x14ac:dyDescent="0.25">
      <c r="A3" s="12" t="s">
        <v>29</v>
      </c>
      <c r="B3" s="10"/>
      <c r="D3" s="16" t="s">
        <v>32</v>
      </c>
    </row>
    <row r="4" spans="1:5" x14ac:dyDescent="0.2">
      <c r="A4" s="63" t="s">
        <v>24</v>
      </c>
      <c r="B4" s="63">
        <f>+'Transaction History'!F18</f>
        <v>200</v>
      </c>
      <c r="C4" s="55"/>
      <c r="D4" s="64" t="s">
        <v>0</v>
      </c>
      <c r="E4" s="63"/>
    </row>
    <row r="5" spans="1:5" ht="19" x14ac:dyDescent="0.35">
      <c r="A5" s="69" t="s">
        <v>43</v>
      </c>
      <c r="B5" s="65">
        <f>-'Transaction History'!$E$13</f>
        <v>-100</v>
      </c>
      <c r="C5" s="55"/>
      <c r="D5" s="63" t="s">
        <v>7</v>
      </c>
      <c r="E5" s="63">
        <f>'Transaction History'!$E$3+'Transaction History'!$E$5+-'Transaction History'!$F$8-'Transaction History'!$F$10-'Transaction History'!$F$12-'Transaction History'!$F$16+'Transaction History'!$E$17</f>
        <v>121000</v>
      </c>
    </row>
    <row r="6" spans="1:5" x14ac:dyDescent="0.2">
      <c r="A6" s="66" t="s">
        <v>44</v>
      </c>
      <c r="B6" s="66">
        <f>SUM(B4:B5)</f>
        <v>100</v>
      </c>
      <c r="C6" s="55"/>
      <c r="D6" s="66" t="s">
        <v>36</v>
      </c>
      <c r="E6" s="66">
        <f>'Transaction History'!$E$15-'Transaction History'!F20</f>
        <v>900</v>
      </c>
    </row>
    <row r="7" spans="1:5" x14ac:dyDescent="0.2">
      <c r="A7" s="63" t="s">
        <v>25</v>
      </c>
      <c r="B7" s="63"/>
      <c r="C7" s="55"/>
      <c r="D7" s="63" t="s">
        <v>20</v>
      </c>
      <c r="E7" s="63">
        <f>'Transaction History'!$E$11-'Transaction History'!$F$14</f>
        <v>1100</v>
      </c>
    </row>
    <row r="8" spans="1:5" ht="19" x14ac:dyDescent="0.35">
      <c r="A8" s="70" t="s">
        <v>27</v>
      </c>
      <c r="B8" s="66">
        <f>-'Transaction History'!$E$19</f>
        <v>-100</v>
      </c>
      <c r="C8" s="55"/>
      <c r="D8" s="63" t="s">
        <v>19</v>
      </c>
      <c r="E8" s="65">
        <f>'Transaction History'!$E$9</f>
        <v>25000</v>
      </c>
    </row>
    <row r="9" spans="1:5" ht="19" x14ac:dyDescent="0.35">
      <c r="A9" s="69" t="s">
        <v>26</v>
      </c>
      <c r="B9" s="65">
        <f>-'Transaction History'!$E$7</f>
        <v>-2000</v>
      </c>
      <c r="C9" s="55"/>
      <c r="D9" s="63" t="s">
        <v>33</v>
      </c>
      <c r="E9" s="67">
        <f>SUM(E5:E8)</f>
        <v>148000</v>
      </c>
    </row>
    <row r="10" spans="1:5" ht="19" x14ac:dyDescent="0.35">
      <c r="A10" s="63" t="s">
        <v>28</v>
      </c>
      <c r="B10" s="65">
        <f>SUM(B8:B9)</f>
        <v>-2100</v>
      </c>
      <c r="C10" s="55"/>
      <c r="D10" s="64" t="s">
        <v>34</v>
      </c>
      <c r="E10" s="63"/>
    </row>
    <row r="11" spans="1:5" ht="19" x14ac:dyDescent="0.35">
      <c r="A11" s="63" t="s">
        <v>31</v>
      </c>
      <c r="B11" s="67">
        <f>+B6+B10</f>
        <v>-2000</v>
      </c>
      <c r="C11" s="55"/>
      <c r="D11" s="68" t="s">
        <v>8</v>
      </c>
      <c r="E11" s="65">
        <f>'Transaction History'!$F$4</f>
        <v>100000</v>
      </c>
    </row>
    <row r="12" spans="1:5" x14ac:dyDescent="0.2">
      <c r="A12" s="66"/>
      <c r="B12" s="66"/>
      <c r="C12" s="55"/>
      <c r="D12" s="63" t="s">
        <v>14</v>
      </c>
      <c r="E12" s="63">
        <f>SUM(E11)</f>
        <v>100000</v>
      </c>
    </row>
    <row r="13" spans="1:5" x14ac:dyDescent="0.2">
      <c r="A13" s="75" t="s">
        <v>45</v>
      </c>
      <c r="B13" s="55">
        <f>B6/B4</f>
        <v>0.5</v>
      </c>
      <c r="C13" s="55"/>
      <c r="D13" s="63" t="s">
        <v>9</v>
      </c>
      <c r="E13" s="63">
        <f>'Transaction History'!$F$6</f>
        <v>50000</v>
      </c>
    </row>
    <row r="14" spans="1:5" ht="19" x14ac:dyDescent="0.35">
      <c r="A14" s="55"/>
      <c r="B14" s="55"/>
      <c r="C14" s="55"/>
      <c r="D14" s="63" t="s">
        <v>12</v>
      </c>
      <c r="E14" s="65">
        <f>B11</f>
        <v>-2000</v>
      </c>
    </row>
    <row r="15" spans="1:5" ht="19" x14ac:dyDescent="0.35">
      <c r="A15" s="55"/>
      <c r="B15" s="55"/>
      <c r="C15" s="55"/>
      <c r="D15" s="63" t="s">
        <v>15</v>
      </c>
      <c r="E15" s="65">
        <f>SUM(E13:E14)</f>
        <v>48000</v>
      </c>
    </row>
    <row r="16" spans="1:5" ht="19" x14ac:dyDescent="0.35">
      <c r="A16" s="55"/>
      <c r="B16" s="55"/>
      <c r="C16" s="55"/>
      <c r="D16" s="63" t="s">
        <v>16</v>
      </c>
      <c r="E16" s="67">
        <f>SUM(E12+E15)</f>
        <v>148000</v>
      </c>
    </row>
    <row r="17" spans="4:5" x14ac:dyDescent="0.2">
      <c r="D17" s="21"/>
      <c r="E17" s="2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25E2-E5ED-484D-93C3-97F8CA12663B}">
  <dimension ref="A1:E17"/>
  <sheetViews>
    <sheetView showGridLines="0" workbookViewId="0">
      <selection activeCell="A3" sqref="A3:E17"/>
    </sheetView>
  </sheetViews>
  <sheetFormatPr baseColWidth="10" defaultRowHeight="16" x14ac:dyDescent="0.2"/>
  <cols>
    <col min="1" max="1" width="26.1640625" customWidth="1"/>
    <col min="2" max="2" width="12.1640625" bestFit="1" customWidth="1"/>
    <col min="4" max="4" width="28" bestFit="1" customWidth="1"/>
    <col min="5" max="5" width="12.5" bestFit="1" customWidth="1"/>
  </cols>
  <sheetData>
    <row r="1" spans="1:5" ht="21" x14ac:dyDescent="0.25">
      <c r="A1" s="9" t="s">
        <v>48</v>
      </c>
    </row>
    <row r="3" spans="1:5" ht="21" x14ac:dyDescent="0.25">
      <c r="A3" s="12" t="s">
        <v>29</v>
      </c>
      <c r="B3" s="10"/>
      <c r="D3" s="16" t="s">
        <v>32</v>
      </c>
    </row>
    <row r="4" spans="1:5" x14ac:dyDescent="0.2">
      <c r="A4" s="20" t="s">
        <v>24</v>
      </c>
      <c r="B4" s="63">
        <f>+'Transaction History'!F18</f>
        <v>200</v>
      </c>
      <c r="C4" s="55"/>
      <c r="D4" s="64" t="s">
        <v>0</v>
      </c>
      <c r="E4" s="63"/>
    </row>
    <row r="5" spans="1:5" ht="19" x14ac:dyDescent="0.35">
      <c r="A5" s="22" t="s">
        <v>43</v>
      </c>
      <c r="B5" s="65">
        <f>-'Transaction History'!$E$13</f>
        <v>-100</v>
      </c>
      <c r="C5" s="55"/>
      <c r="D5" s="63" t="s">
        <v>7</v>
      </c>
      <c r="E5" s="63">
        <f>'Transaction History'!$E$3+'Transaction History'!$E$5+-'Transaction History'!$F$8-'Transaction History'!$F$10-'Transaction History'!$F$12-'Transaction History'!$F$16+'Transaction History'!$E$17</f>
        <v>121000</v>
      </c>
    </row>
    <row r="6" spans="1:5" x14ac:dyDescent="0.2">
      <c r="A6" s="21" t="s">
        <v>44</v>
      </c>
      <c r="B6" s="66">
        <f>SUM(B4:B5)</f>
        <v>100</v>
      </c>
      <c r="C6" s="55"/>
      <c r="D6" s="66" t="s">
        <v>36</v>
      </c>
      <c r="E6" s="66">
        <f>'Transaction History'!$E$15-'Transaction History'!F20</f>
        <v>900</v>
      </c>
    </row>
    <row r="7" spans="1:5" x14ac:dyDescent="0.2">
      <c r="A7" s="20" t="s">
        <v>25</v>
      </c>
      <c r="B7" s="63"/>
      <c r="C7" s="55"/>
      <c r="D7" s="63" t="s">
        <v>20</v>
      </c>
      <c r="E7" s="63">
        <f>'Transaction History'!$E$11-'Transaction History'!$F$14</f>
        <v>1100</v>
      </c>
    </row>
    <row r="8" spans="1:5" ht="19" x14ac:dyDescent="0.35">
      <c r="A8" s="23" t="s">
        <v>27</v>
      </c>
      <c r="B8" s="66">
        <f>-'Transaction History'!$E$19</f>
        <v>-100</v>
      </c>
      <c r="C8" s="55"/>
      <c r="D8" s="63" t="s">
        <v>19</v>
      </c>
      <c r="E8" s="65">
        <f>'Transaction History'!$E$9</f>
        <v>25000</v>
      </c>
    </row>
    <row r="9" spans="1:5" ht="19" x14ac:dyDescent="0.35">
      <c r="A9" s="22" t="s">
        <v>26</v>
      </c>
      <c r="B9" s="71">
        <f>-'Transaction History'!$E$7</f>
        <v>-2000</v>
      </c>
      <c r="C9" s="55"/>
      <c r="D9" s="63" t="s">
        <v>33</v>
      </c>
      <c r="E9" s="67">
        <f>SUM(E5:E8)</f>
        <v>148000</v>
      </c>
    </row>
    <row r="10" spans="1:5" ht="19" x14ac:dyDescent="0.35">
      <c r="A10" s="22" t="s">
        <v>49</v>
      </c>
      <c r="B10" s="65">
        <v>-25000</v>
      </c>
      <c r="C10" s="55"/>
      <c r="D10" s="63"/>
      <c r="E10" s="67"/>
    </row>
    <row r="11" spans="1:5" ht="19" x14ac:dyDescent="0.35">
      <c r="A11" s="20" t="s">
        <v>28</v>
      </c>
      <c r="B11" s="65">
        <f>SUM(B8:B10)</f>
        <v>-27100</v>
      </c>
      <c r="C11" s="55"/>
      <c r="D11" s="64" t="s">
        <v>34</v>
      </c>
      <c r="E11" s="63"/>
    </row>
    <row r="12" spans="1:5" ht="19" x14ac:dyDescent="0.35">
      <c r="A12" s="20" t="s">
        <v>31</v>
      </c>
      <c r="B12" s="67">
        <f>+B6+B11</f>
        <v>-27000</v>
      </c>
      <c r="C12" s="55"/>
      <c r="D12" s="68" t="s">
        <v>8</v>
      </c>
      <c r="E12" s="65">
        <f>'Transaction History'!$F$4</f>
        <v>100000</v>
      </c>
    </row>
    <row r="13" spans="1:5" x14ac:dyDescent="0.2">
      <c r="A13" s="21"/>
      <c r="B13" s="66"/>
      <c r="C13" s="55"/>
      <c r="D13" s="63" t="s">
        <v>14</v>
      </c>
      <c r="E13" s="63">
        <f>SUM(E12)</f>
        <v>100000</v>
      </c>
    </row>
    <row r="14" spans="1:5" x14ac:dyDescent="0.2">
      <c r="A14" s="1" t="s">
        <v>45</v>
      </c>
      <c r="B14" s="24">
        <f>B6/B4</f>
        <v>0.5</v>
      </c>
      <c r="C14" s="55"/>
      <c r="D14" s="63" t="s">
        <v>9</v>
      </c>
      <c r="E14" s="63">
        <f>'Transaction History'!$F$6</f>
        <v>50000</v>
      </c>
    </row>
    <row r="15" spans="1:5" ht="19" x14ac:dyDescent="0.35">
      <c r="B15" s="55"/>
      <c r="C15" s="55"/>
      <c r="D15" s="63" t="s">
        <v>12</v>
      </c>
      <c r="E15" s="65">
        <f>B12</f>
        <v>-27000</v>
      </c>
    </row>
    <row r="16" spans="1:5" ht="19" x14ac:dyDescent="0.35">
      <c r="B16" s="55"/>
      <c r="C16" s="55"/>
      <c r="D16" s="63" t="s">
        <v>15</v>
      </c>
      <c r="E16" s="65">
        <f>SUM(E14:E15)</f>
        <v>23000</v>
      </c>
    </row>
    <row r="17" spans="2:5" ht="19" x14ac:dyDescent="0.35">
      <c r="B17" s="55"/>
      <c r="C17" s="55"/>
      <c r="D17" s="63" t="s">
        <v>16</v>
      </c>
      <c r="E17" s="67">
        <f>SUM(E13+E16)</f>
        <v>123000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63A-7A25-1748-A5F8-CDEACD3CA91E}">
  <dimension ref="A1:E18"/>
  <sheetViews>
    <sheetView showGridLines="0" workbookViewId="0">
      <selection activeCell="A3" sqref="A3:E17"/>
    </sheetView>
  </sheetViews>
  <sheetFormatPr baseColWidth="10" defaultRowHeight="16" x14ac:dyDescent="0.2"/>
  <cols>
    <col min="1" max="1" width="26.5" customWidth="1"/>
    <col min="2" max="2" width="12.1640625" bestFit="1" customWidth="1"/>
    <col min="3" max="3" width="11" customWidth="1"/>
    <col min="4" max="4" width="28" bestFit="1" customWidth="1"/>
    <col min="5" max="5" width="12.5" bestFit="1" customWidth="1"/>
  </cols>
  <sheetData>
    <row r="1" spans="1:5" ht="21" x14ac:dyDescent="0.25">
      <c r="A1" s="9" t="s">
        <v>48</v>
      </c>
    </row>
    <row r="3" spans="1:5" ht="21" x14ac:dyDescent="0.25">
      <c r="A3" s="12" t="s">
        <v>29</v>
      </c>
      <c r="B3" s="10"/>
      <c r="D3" s="16" t="s">
        <v>32</v>
      </c>
    </row>
    <row r="4" spans="1:5" x14ac:dyDescent="0.2">
      <c r="A4" s="20" t="s">
        <v>24</v>
      </c>
      <c r="B4" s="63">
        <f>+'Transaction History'!F18</f>
        <v>200</v>
      </c>
      <c r="C4" s="55"/>
      <c r="D4" s="64" t="s">
        <v>0</v>
      </c>
      <c r="E4" s="63"/>
    </row>
    <row r="5" spans="1:5" ht="19" x14ac:dyDescent="0.35">
      <c r="A5" s="22" t="s">
        <v>43</v>
      </c>
      <c r="B5" s="65">
        <f>-'Transaction History'!$E$13</f>
        <v>-100</v>
      </c>
      <c r="C5" s="55"/>
      <c r="D5" s="63" t="s">
        <v>7</v>
      </c>
      <c r="E5" s="63">
        <f>'Transaction History'!$E$3+'Transaction History'!$E$5+-'Transaction History'!$F$8-'Transaction History'!$F$10-'Transaction History'!$F$12-'Transaction History'!$F$16+'Transaction History'!$E$17</f>
        <v>121000</v>
      </c>
    </row>
    <row r="6" spans="1:5" x14ac:dyDescent="0.2">
      <c r="A6" s="21" t="s">
        <v>44</v>
      </c>
      <c r="B6" s="66">
        <f>SUM(B4:B5)</f>
        <v>100</v>
      </c>
      <c r="C6" s="55"/>
      <c r="D6" s="66" t="s">
        <v>36</v>
      </c>
      <c r="E6" s="66">
        <f>'Transaction History'!$E$15-'Transaction History'!F20</f>
        <v>900</v>
      </c>
    </row>
    <row r="7" spans="1:5" x14ac:dyDescent="0.2">
      <c r="A7" s="20" t="s">
        <v>25</v>
      </c>
      <c r="B7" s="63"/>
      <c r="C7" s="55"/>
      <c r="D7" s="63" t="s">
        <v>20</v>
      </c>
      <c r="E7" s="63">
        <f>'Transaction History'!$E$11-'Transaction History'!$F$14</f>
        <v>1100</v>
      </c>
    </row>
    <row r="8" spans="1:5" ht="19" x14ac:dyDescent="0.35">
      <c r="A8" s="23" t="s">
        <v>27</v>
      </c>
      <c r="B8" s="66">
        <f>-'Transaction History'!$E$19</f>
        <v>-100</v>
      </c>
      <c r="C8" s="55"/>
      <c r="D8" s="63" t="s">
        <v>19</v>
      </c>
      <c r="E8" s="65">
        <f>'Transaction History'!$E$9</f>
        <v>25000</v>
      </c>
    </row>
    <row r="9" spans="1:5" ht="19" x14ac:dyDescent="0.35">
      <c r="A9" s="22" t="s">
        <v>26</v>
      </c>
      <c r="B9" s="71">
        <f>-'Transaction History'!$E$7</f>
        <v>-2000</v>
      </c>
      <c r="C9" s="55"/>
      <c r="D9" s="63" t="s">
        <v>33</v>
      </c>
      <c r="E9" s="67">
        <f>SUM(E5:E8)</f>
        <v>148000</v>
      </c>
    </row>
    <row r="10" spans="1:5" ht="19" x14ac:dyDescent="0.35">
      <c r="A10" s="22" t="s">
        <v>49</v>
      </c>
      <c r="B10" s="65">
        <f>'Transaction History'!E21</f>
        <v>400</v>
      </c>
      <c r="C10" s="55"/>
      <c r="D10" s="63"/>
      <c r="E10" s="67"/>
    </row>
    <row r="11" spans="1:5" ht="19" x14ac:dyDescent="0.35">
      <c r="A11" s="20" t="s">
        <v>28</v>
      </c>
      <c r="B11" s="65">
        <f>SUM(B8:B10)</f>
        <v>-1700</v>
      </c>
      <c r="C11" s="55"/>
      <c r="D11" s="64" t="s">
        <v>34</v>
      </c>
      <c r="E11" s="63"/>
    </row>
    <row r="12" spans="1:5" ht="19" x14ac:dyDescent="0.35">
      <c r="A12" s="20" t="s">
        <v>31</v>
      </c>
      <c r="B12" s="67">
        <f>+B6+B11</f>
        <v>-1600</v>
      </c>
      <c r="C12" s="55"/>
      <c r="D12" s="68" t="s">
        <v>8</v>
      </c>
      <c r="E12" s="65">
        <f>'Transaction History'!$F$4</f>
        <v>100000</v>
      </c>
    </row>
    <row r="13" spans="1:5" x14ac:dyDescent="0.2">
      <c r="A13" s="21"/>
      <c r="B13" s="66"/>
      <c r="C13" s="55"/>
      <c r="D13" s="63" t="s">
        <v>14</v>
      </c>
      <c r="E13" s="63">
        <f>SUM(E12)</f>
        <v>100000</v>
      </c>
    </row>
    <row r="14" spans="1:5" x14ac:dyDescent="0.2">
      <c r="A14" s="1" t="s">
        <v>45</v>
      </c>
      <c r="B14" s="24">
        <f>B6/B4</f>
        <v>0.5</v>
      </c>
      <c r="C14" s="55"/>
      <c r="D14" s="63" t="s">
        <v>9</v>
      </c>
      <c r="E14" s="63">
        <f>'Transaction History'!$F$6</f>
        <v>50000</v>
      </c>
    </row>
    <row r="15" spans="1:5" ht="19" x14ac:dyDescent="0.35">
      <c r="B15" s="55"/>
      <c r="C15" s="55"/>
      <c r="D15" s="63" t="s">
        <v>12</v>
      </c>
      <c r="E15" s="65">
        <f>B12</f>
        <v>-1600</v>
      </c>
    </row>
    <row r="16" spans="1:5" ht="19" x14ac:dyDescent="0.35">
      <c r="B16" s="55"/>
      <c r="C16" s="55"/>
      <c r="D16" s="63" t="s">
        <v>15</v>
      </c>
      <c r="E16" s="65">
        <f>SUM(E14:E15)</f>
        <v>48400</v>
      </c>
    </row>
    <row r="17" spans="2:5" ht="19" x14ac:dyDescent="0.35">
      <c r="B17" s="55"/>
      <c r="C17" s="55"/>
      <c r="D17" s="63" t="s">
        <v>16</v>
      </c>
      <c r="E17" s="67">
        <f>SUM(E13+E16)</f>
        <v>148400</v>
      </c>
    </row>
    <row r="18" spans="2:5" x14ac:dyDescent="0.2">
      <c r="D18" s="21"/>
      <c r="E18" s="21"/>
    </row>
  </sheetData>
  <conditionalFormatting sqref="E17">
    <cfRule type="cellIs" dxfId="9" priority="2" operator="notEqual">
      <formula>$E$9</formula>
    </cfRule>
  </conditionalFormatting>
  <conditionalFormatting sqref="E9">
    <cfRule type="cellIs" dxfId="8" priority="1" operator="notEqual">
      <formula>$E$17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B87B-0AD2-1348-8F8B-7126A60A82B2}">
  <dimension ref="A1:E20"/>
  <sheetViews>
    <sheetView showGridLines="0" workbookViewId="0">
      <selection activeCell="A3" sqref="A3:E18"/>
    </sheetView>
  </sheetViews>
  <sheetFormatPr baseColWidth="10" defaultRowHeight="16" x14ac:dyDescent="0.2"/>
  <cols>
    <col min="1" max="1" width="19.5" customWidth="1"/>
    <col min="2" max="2" width="11.1640625" bestFit="1" customWidth="1"/>
    <col min="4" max="4" width="28" bestFit="1" customWidth="1"/>
    <col min="5" max="5" width="12.5" bestFit="1" customWidth="1"/>
  </cols>
  <sheetData>
    <row r="1" spans="1:5" ht="21" x14ac:dyDescent="0.25">
      <c r="A1" s="9" t="s">
        <v>53</v>
      </c>
    </row>
    <row r="3" spans="1:5" ht="21" x14ac:dyDescent="0.25">
      <c r="A3" s="72" t="s">
        <v>29</v>
      </c>
      <c r="B3" s="73"/>
      <c r="C3" s="55"/>
      <c r="D3" s="74" t="s">
        <v>32</v>
      </c>
      <c r="E3" s="55"/>
    </row>
    <row r="4" spans="1:5" x14ac:dyDescent="0.2">
      <c r="A4" s="63" t="s">
        <v>24</v>
      </c>
      <c r="B4" s="63">
        <f>+'Transaction History'!F18</f>
        <v>200</v>
      </c>
      <c r="C4" s="55"/>
      <c r="D4" s="64" t="s">
        <v>0</v>
      </c>
      <c r="E4" s="63"/>
    </row>
    <row r="5" spans="1:5" ht="19" x14ac:dyDescent="0.35">
      <c r="A5" s="69" t="s">
        <v>43</v>
      </c>
      <c r="B5" s="65">
        <f>-'Transaction History'!$E$13</f>
        <v>-100</v>
      </c>
      <c r="C5" s="55"/>
      <c r="D5" s="63" t="s">
        <v>7</v>
      </c>
      <c r="E5" s="63">
        <f>'Transaction History'!$E$3+'Transaction History'!$E$5+-'Transaction History'!$F$8-'Transaction History'!$F$10-'Transaction History'!$F$12-'Transaction History'!$F$16+'Transaction History'!$E$17</f>
        <v>121000</v>
      </c>
    </row>
    <row r="6" spans="1:5" x14ac:dyDescent="0.2">
      <c r="A6" s="66" t="s">
        <v>44</v>
      </c>
      <c r="B6" s="66">
        <f>SUM(B4:B5)</f>
        <v>100</v>
      </c>
      <c r="C6" s="55"/>
      <c r="D6" s="66" t="s">
        <v>36</v>
      </c>
      <c r="E6" s="66">
        <f>'Transaction History'!$E$15-'Transaction History'!F20</f>
        <v>900</v>
      </c>
    </row>
    <row r="7" spans="1:5" x14ac:dyDescent="0.2">
      <c r="A7" s="63" t="s">
        <v>25</v>
      </c>
      <c r="B7" s="63"/>
      <c r="C7" s="55"/>
      <c r="D7" s="63" t="s">
        <v>20</v>
      </c>
      <c r="E7" s="63">
        <f>'Transaction History'!$E$11-'Transaction History'!$F$14</f>
        <v>1100</v>
      </c>
    </row>
    <row r="8" spans="1:5" x14ac:dyDescent="0.2">
      <c r="A8" s="70" t="s">
        <v>27</v>
      </c>
      <c r="B8" s="66">
        <f>-'Transaction History'!$E$19</f>
        <v>-100</v>
      </c>
      <c r="C8" s="55"/>
      <c r="D8" s="63" t="s">
        <v>19</v>
      </c>
      <c r="E8" s="63">
        <f>'Transaction History'!$E$9</f>
        <v>25000</v>
      </c>
    </row>
    <row r="9" spans="1:5" ht="19" x14ac:dyDescent="0.35">
      <c r="A9" s="69" t="s">
        <v>26</v>
      </c>
      <c r="B9" s="71">
        <f>-'Transaction History'!$E$7</f>
        <v>-2000</v>
      </c>
      <c r="C9" s="55"/>
      <c r="D9" s="63" t="s">
        <v>51</v>
      </c>
      <c r="E9" s="65">
        <f>-'Transaction History'!F22</f>
        <v>-400</v>
      </c>
    </row>
    <row r="10" spans="1:5" ht="19" x14ac:dyDescent="0.35">
      <c r="A10" s="69" t="s">
        <v>49</v>
      </c>
      <c r="B10" s="65">
        <f>-'Transaction History'!E21</f>
        <v>-400</v>
      </c>
      <c r="C10" s="55"/>
      <c r="D10" s="63" t="s">
        <v>33</v>
      </c>
      <c r="E10" s="67">
        <f>SUM(E5:E9)</f>
        <v>147600</v>
      </c>
    </row>
    <row r="11" spans="1:5" ht="19" x14ac:dyDescent="0.35">
      <c r="A11" s="63" t="s">
        <v>28</v>
      </c>
      <c r="B11" s="65">
        <f>SUM(B8:B10)</f>
        <v>-2500</v>
      </c>
      <c r="C11" s="55"/>
      <c r="D11" s="63"/>
      <c r="E11" s="67"/>
    </row>
    <row r="12" spans="1:5" ht="19" x14ac:dyDescent="0.35">
      <c r="A12" s="63" t="s">
        <v>31</v>
      </c>
      <c r="B12" s="67">
        <f>+B6+B11</f>
        <v>-2400</v>
      </c>
      <c r="C12" s="55"/>
      <c r="D12" s="64" t="s">
        <v>34</v>
      </c>
      <c r="E12" s="63"/>
    </row>
    <row r="13" spans="1:5" ht="19" x14ac:dyDescent="0.35">
      <c r="A13" s="66"/>
      <c r="B13" s="66"/>
      <c r="C13" s="55"/>
      <c r="D13" s="68" t="s">
        <v>8</v>
      </c>
      <c r="E13" s="65">
        <f>'Transaction History'!$F$4</f>
        <v>100000</v>
      </c>
    </row>
    <row r="14" spans="1:5" x14ac:dyDescent="0.2">
      <c r="A14" s="75" t="s">
        <v>45</v>
      </c>
      <c r="B14" s="55">
        <f>B6/B4</f>
        <v>0.5</v>
      </c>
      <c r="C14" s="55"/>
      <c r="D14" s="63" t="s">
        <v>14</v>
      </c>
      <c r="E14" s="63">
        <f>SUM(E13)</f>
        <v>100000</v>
      </c>
    </row>
    <row r="15" spans="1:5" x14ac:dyDescent="0.2">
      <c r="A15" s="55"/>
      <c r="B15" s="55"/>
      <c r="C15" s="55"/>
      <c r="D15" s="63" t="s">
        <v>9</v>
      </c>
      <c r="E15" s="63">
        <f>'Transaction History'!$F$6</f>
        <v>50000</v>
      </c>
    </row>
    <row r="16" spans="1:5" ht="19" x14ac:dyDescent="0.35">
      <c r="A16" s="55"/>
      <c r="B16" s="55"/>
      <c r="C16" s="55"/>
      <c r="D16" s="63" t="s">
        <v>12</v>
      </c>
      <c r="E16" s="65">
        <f>$B$12</f>
        <v>-2400</v>
      </c>
    </row>
    <row r="17" spans="1:5" ht="19" x14ac:dyDescent="0.35">
      <c r="A17" s="55"/>
      <c r="B17" s="55"/>
      <c r="C17" s="55"/>
      <c r="D17" s="63" t="s">
        <v>15</v>
      </c>
      <c r="E17" s="65">
        <f>SUM(E15:E16)</f>
        <v>47600</v>
      </c>
    </row>
    <row r="18" spans="1:5" ht="19" x14ac:dyDescent="0.35">
      <c r="A18" s="55"/>
      <c r="B18" s="55"/>
      <c r="C18" s="55"/>
      <c r="D18" s="63" t="s">
        <v>16</v>
      </c>
      <c r="E18" s="67">
        <f>SUM(E14+E17)</f>
        <v>147600</v>
      </c>
    </row>
    <row r="19" spans="1:5" x14ac:dyDescent="0.2">
      <c r="A19" s="55"/>
      <c r="B19" s="55"/>
      <c r="C19" s="55"/>
      <c r="D19" s="63"/>
      <c r="E19" s="66"/>
    </row>
    <row r="20" spans="1:5" x14ac:dyDescent="0.2">
      <c r="C20" s="55"/>
      <c r="D20" s="55"/>
      <c r="E20" s="55"/>
    </row>
  </sheetData>
  <conditionalFormatting sqref="E18">
    <cfRule type="cellIs" dxfId="7" priority="2" operator="notEqual">
      <formula>$E$10</formula>
    </cfRule>
  </conditionalFormatting>
  <conditionalFormatting sqref="E10">
    <cfRule type="cellIs" dxfId="6" priority="1" operator="notEqual">
      <formula>$E$18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C18-2DAE-B649-8321-3F4F2A471C68}">
  <dimension ref="A1:E20"/>
  <sheetViews>
    <sheetView showGridLines="0" workbookViewId="0">
      <selection activeCell="A3" sqref="A3:E18"/>
    </sheetView>
  </sheetViews>
  <sheetFormatPr baseColWidth="10" defaultRowHeight="16" x14ac:dyDescent="0.2"/>
  <cols>
    <col min="1" max="1" width="27" customWidth="1"/>
    <col min="4" max="4" width="30.33203125" bestFit="1" customWidth="1"/>
    <col min="5" max="5" width="12.5" bestFit="1" customWidth="1"/>
  </cols>
  <sheetData>
    <row r="1" spans="1:5" ht="21" x14ac:dyDescent="0.25">
      <c r="A1" s="9" t="s">
        <v>54</v>
      </c>
    </row>
    <row r="3" spans="1:5" ht="21" x14ac:dyDescent="0.25">
      <c r="A3" s="72" t="s">
        <v>29</v>
      </c>
      <c r="B3" s="73"/>
      <c r="C3" s="55"/>
      <c r="D3" s="74" t="s">
        <v>32</v>
      </c>
      <c r="E3" s="55"/>
    </row>
    <row r="4" spans="1:5" x14ac:dyDescent="0.2">
      <c r="A4" s="63" t="s">
        <v>24</v>
      </c>
      <c r="B4" s="63">
        <f>+'Transaction History'!F18</f>
        <v>200</v>
      </c>
      <c r="C4" s="55"/>
      <c r="D4" s="64" t="s">
        <v>0</v>
      </c>
      <c r="E4" s="63"/>
    </row>
    <row r="5" spans="1:5" ht="19" x14ac:dyDescent="0.35">
      <c r="A5" s="69" t="s">
        <v>43</v>
      </c>
      <c r="B5" s="65">
        <f>-'Transaction History'!$E$13</f>
        <v>-100</v>
      </c>
      <c r="C5" s="55"/>
      <c r="D5" s="63" t="s">
        <v>7</v>
      </c>
      <c r="E5" s="63">
        <f>'Transaction History'!$E$3+'Transaction History'!$E$5+-'Transaction History'!$F$8-'Transaction History'!$F$10-'Transaction History'!$F$12-'Transaction History'!$F$16+'Transaction History'!$E$17</f>
        <v>121000</v>
      </c>
    </row>
    <row r="6" spans="1:5" x14ac:dyDescent="0.2">
      <c r="A6" s="66" t="s">
        <v>44</v>
      </c>
      <c r="B6" s="66">
        <f>SUM(B4:B5)</f>
        <v>100</v>
      </c>
      <c r="C6" s="55"/>
      <c r="D6" s="66" t="s">
        <v>36</v>
      </c>
      <c r="E6" s="66">
        <f>'Transaction History'!$E$15-'Transaction History'!F20</f>
        <v>900</v>
      </c>
    </row>
    <row r="7" spans="1:5" x14ac:dyDescent="0.2">
      <c r="A7" s="63" t="s">
        <v>25</v>
      </c>
      <c r="B7" s="63"/>
      <c r="C7" s="55"/>
      <c r="D7" s="63" t="s">
        <v>20</v>
      </c>
      <c r="E7" s="63">
        <f>'Transaction History'!$E$11-'Transaction History'!$F$14</f>
        <v>1100</v>
      </c>
    </row>
    <row r="8" spans="1:5" x14ac:dyDescent="0.2">
      <c r="A8" s="70" t="s">
        <v>27</v>
      </c>
      <c r="B8" s="66">
        <f>-'Transaction History'!$E$19</f>
        <v>-100</v>
      </c>
      <c r="C8" s="55"/>
      <c r="D8" s="63" t="s">
        <v>52</v>
      </c>
      <c r="E8" s="63">
        <f>'Transaction History'!$E$9</f>
        <v>25000</v>
      </c>
    </row>
    <row r="9" spans="1:5" ht="19" x14ac:dyDescent="0.35">
      <c r="A9" s="69" t="s">
        <v>26</v>
      </c>
      <c r="B9" s="71">
        <f>-'Transaction History'!$E$7</f>
        <v>-2000</v>
      </c>
      <c r="C9" s="55"/>
      <c r="D9" s="63" t="s">
        <v>51</v>
      </c>
      <c r="E9" s="65">
        <f>-'Transaction History'!F22</f>
        <v>-400</v>
      </c>
    </row>
    <row r="10" spans="1:5" ht="19" x14ac:dyDescent="0.35">
      <c r="A10" s="69" t="s">
        <v>49</v>
      </c>
      <c r="B10" s="65">
        <f>-'Transaction History'!E21</f>
        <v>-400</v>
      </c>
      <c r="C10" s="55"/>
      <c r="D10" s="63" t="s">
        <v>33</v>
      </c>
      <c r="E10" s="67">
        <f>SUM(E5:E9)</f>
        <v>147600</v>
      </c>
    </row>
    <row r="11" spans="1:5" ht="19" x14ac:dyDescent="0.35">
      <c r="A11" s="63" t="s">
        <v>28</v>
      </c>
      <c r="B11" s="65">
        <f>SUM(B8:B10)</f>
        <v>-2500</v>
      </c>
      <c r="C11" s="55"/>
      <c r="D11" s="63"/>
      <c r="E11" s="67"/>
    </row>
    <row r="12" spans="1:5" ht="19" x14ac:dyDescent="0.35">
      <c r="A12" s="63" t="s">
        <v>31</v>
      </c>
      <c r="B12" s="67">
        <f>+B6+B11</f>
        <v>-2400</v>
      </c>
      <c r="C12" s="55"/>
      <c r="D12" s="64" t="s">
        <v>34</v>
      </c>
      <c r="E12" s="63"/>
    </row>
    <row r="13" spans="1:5" ht="19" x14ac:dyDescent="0.35">
      <c r="A13" s="66"/>
      <c r="B13" s="66"/>
      <c r="C13" s="55"/>
      <c r="D13" s="68" t="s">
        <v>8</v>
      </c>
      <c r="E13" s="65">
        <f>'Transaction History'!$F$4</f>
        <v>100000</v>
      </c>
    </row>
    <row r="14" spans="1:5" x14ac:dyDescent="0.2">
      <c r="A14" s="75" t="s">
        <v>45</v>
      </c>
      <c r="B14" s="55">
        <f>B6/B4</f>
        <v>0.5</v>
      </c>
      <c r="C14" s="55"/>
      <c r="D14" s="63" t="s">
        <v>14</v>
      </c>
      <c r="E14" s="63">
        <f>SUM(E13)</f>
        <v>100000</v>
      </c>
    </row>
    <row r="15" spans="1:5" x14ac:dyDescent="0.2">
      <c r="A15" s="55"/>
      <c r="B15" s="55"/>
      <c r="C15" s="55"/>
      <c r="D15" s="63" t="s">
        <v>9</v>
      </c>
      <c r="E15" s="63">
        <f>'Transaction History'!$F$6</f>
        <v>50000</v>
      </c>
    </row>
    <row r="16" spans="1:5" ht="19" x14ac:dyDescent="0.35">
      <c r="A16" s="55"/>
      <c r="B16" s="55"/>
      <c r="C16" s="55"/>
      <c r="D16" s="63" t="s">
        <v>12</v>
      </c>
      <c r="E16" s="65">
        <f>$B$12</f>
        <v>-2400</v>
      </c>
    </row>
    <row r="17" spans="1:5" ht="19" x14ac:dyDescent="0.35">
      <c r="A17" s="55"/>
      <c r="B17" s="55"/>
      <c r="C17" s="55"/>
      <c r="D17" s="63" t="s">
        <v>15</v>
      </c>
      <c r="E17" s="65">
        <f>SUM(E15:E16)</f>
        <v>47600</v>
      </c>
    </row>
    <row r="18" spans="1:5" ht="19" x14ac:dyDescent="0.35">
      <c r="A18" s="55"/>
      <c r="B18" s="55"/>
      <c r="C18" s="55"/>
      <c r="D18" s="63" t="s">
        <v>16</v>
      </c>
      <c r="E18" s="67">
        <f>SUM(E14+E17)</f>
        <v>147600</v>
      </c>
    </row>
    <row r="19" spans="1:5" x14ac:dyDescent="0.2">
      <c r="A19" s="55"/>
      <c r="B19" s="55"/>
      <c r="C19" s="55"/>
      <c r="D19" s="63"/>
      <c r="E19" s="66"/>
    </row>
    <row r="20" spans="1:5" x14ac:dyDescent="0.2">
      <c r="C20" s="55"/>
      <c r="D20" s="55"/>
      <c r="E20" s="55"/>
    </row>
  </sheetData>
  <conditionalFormatting sqref="E18">
    <cfRule type="cellIs" dxfId="5" priority="2" operator="notEqual">
      <formula>$E$10</formula>
    </cfRule>
  </conditionalFormatting>
  <conditionalFormatting sqref="E10">
    <cfRule type="cellIs" dxfId="4" priority="1" operator="notEqual">
      <formula>$E$18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01C1-0A6E-6148-9DD4-ACC894949A72}">
  <dimension ref="A1:H27"/>
  <sheetViews>
    <sheetView showGridLines="0" workbookViewId="0">
      <selection activeCell="E22" sqref="E22"/>
    </sheetView>
  </sheetViews>
  <sheetFormatPr baseColWidth="10" defaultRowHeight="16" x14ac:dyDescent="0.2"/>
  <cols>
    <col min="1" max="1" width="39.1640625" bestFit="1" customWidth="1"/>
    <col min="2" max="2" width="11.1640625" bestFit="1" customWidth="1"/>
    <col min="3" max="3" width="11.1640625" customWidth="1"/>
    <col min="4" max="4" width="35.33203125" bestFit="1" customWidth="1"/>
    <col min="5" max="5" width="13.33203125" customWidth="1"/>
    <col min="6" max="6" width="11.83203125" customWidth="1"/>
    <col min="7" max="7" width="30.33203125" bestFit="1" customWidth="1"/>
    <col min="8" max="8" width="12.5" bestFit="1" customWidth="1"/>
  </cols>
  <sheetData>
    <row r="1" spans="1:8" ht="21" x14ac:dyDescent="0.25">
      <c r="A1" s="9" t="s">
        <v>54</v>
      </c>
    </row>
    <row r="3" spans="1:8" ht="21" x14ac:dyDescent="0.25">
      <c r="A3" s="72" t="s">
        <v>29</v>
      </c>
      <c r="B3" s="73"/>
      <c r="C3" s="73"/>
      <c r="D3" s="74" t="s">
        <v>55</v>
      </c>
      <c r="E3" s="73"/>
      <c r="F3" s="55"/>
      <c r="G3" s="74" t="s">
        <v>32</v>
      </c>
      <c r="H3" s="55"/>
    </row>
    <row r="4" spans="1:8" x14ac:dyDescent="0.2">
      <c r="A4" s="64" t="s">
        <v>24</v>
      </c>
      <c r="B4" s="63">
        <f>+'Transaction History'!F18</f>
        <v>200</v>
      </c>
      <c r="C4" s="63"/>
      <c r="D4" s="76" t="s">
        <v>56</v>
      </c>
      <c r="E4" s="71"/>
      <c r="F4" s="55"/>
      <c r="G4" s="64" t="s">
        <v>0</v>
      </c>
      <c r="H4" s="63"/>
    </row>
    <row r="5" spans="1:8" ht="19" x14ac:dyDescent="0.35">
      <c r="A5" s="69" t="s">
        <v>43</v>
      </c>
      <c r="B5" s="65">
        <f>-'Transaction History'!$E$13</f>
        <v>-100</v>
      </c>
      <c r="C5" s="65"/>
      <c r="D5" s="77" t="str">
        <f>IF(E5&gt;0,"Net Income", "Net Loss")</f>
        <v>Net Loss</v>
      </c>
      <c r="E5" s="71">
        <f>B12</f>
        <v>-2400</v>
      </c>
      <c r="F5" s="55"/>
      <c r="G5" s="63" t="s">
        <v>7</v>
      </c>
      <c r="H5" s="63">
        <f>E24</f>
        <v>121000</v>
      </c>
    </row>
    <row r="6" spans="1:8" x14ac:dyDescent="0.2">
      <c r="A6" s="78" t="s">
        <v>44</v>
      </c>
      <c r="B6" s="78">
        <f>SUM(B4:B5)</f>
        <v>100</v>
      </c>
      <c r="C6" s="66"/>
      <c r="D6" s="76" t="s">
        <v>57</v>
      </c>
      <c r="E6" s="79"/>
      <c r="F6" s="55"/>
      <c r="G6" s="66" t="s">
        <v>36</v>
      </c>
      <c r="H6" s="66">
        <f>-E9</f>
        <v>900</v>
      </c>
    </row>
    <row r="7" spans="1:8" x14ac:dyDescent="0.2">
      <c r="A7" s="64" t="s">
        <v>25</v>
      </c>
      <c r="B7" s="63"/>
      <c r="C7" s="63"/>
      <c r="D7" s="77" t="s">
        <v>49</v>
      </c>
      <c r="E7" s="80">
        <f>+'Transaction History'!E21</f>
        <v>400</v>
      </c>
      <c r="F7" s="55"/>
      <c r="G7" s="63" t="s">
        <v>20</v>
      </c>
      <c r="H7" s="63">
        <f>-E10</f>
        <v>1100</v>
      </c>
    </row>
    <row r="8" spans="1:8" x14ac:dyDescent="0.2">
      <c r="A8" s="70" t="s">
        <v>27</v>
      </c>
      <c r="B8" s="66">
        <f>-'Transaction History'!$E$19</f>
        <v>-100</v>
      </c>
      <c r="C8" s="66"/>
      <c r="D8" s="76" t="s">
        <v>58</v>
      </c>
      <c r="E8" s="79"/>
      <c r="F8" s="55"/>
      <c r="G8" s="63" t="s">
        <v>52</v>
      </c>
      <c r="H8" s="63">
        <f>-E14</f>
        <v>25000</v>
      </c>
    </row>
    <row r="9" spans="1:8" x14ac:dyDescent="0.2">
      <c r="A9" s="69" t="s">
        <v>26</v>
      </c>
      <c r="B9" s="71">
        <f>-'Transaction History'!$E$7</f>
        <v>-2000</v>
      </c>
      <c r="C9" s="71"/>
      <c r="D9" s="77" t="s">
        <v>36</v>
      </c>
      <c r="E9" s="80">
        <f>-'Transaction History'!E15+'Transaction History'!F20</f>
        <v>-900</v>
      </c>
      <c r="F9" s="55"/>
      <c r="G9" s="63" t="s">
        <v>51</v>
      </c>
      <c r="H9" s="63">
        <f>-E7</f>
        <v>-400</v>
      </c>
    </row>
    <row r="10" spans="1:8" ht="19" x14ac:dyDescent="0.35">
      <c r="A10" s="69" t="s">
        <v>49</v>
      </c>
      <c r="B10" s="65">
        <f>-'Transaction History'!E21</f>
        <v>-400</v>
      </c>
      <c r="C10" s="65"/>
      <c r="D10" s="77" t="s">
        <v>20</v>
      </c>
      <c r="E10" s="71">
        <f>-'Transaction History'!E11+'Transaction History'!F14</f>
        <v>-1100</v>
      </c>
      <c r="F10" s="55"/>
      <c r="G10" s="64" t="s">
        <v>33</v>
      </c>
      <c r="H10" s="81">
        <f>SUM(H5:H9)</f>
        <v>147600</v>
      </c>
    </row>
    <row r="11" spans="1:8" ht="19" x14ac:dyDescent="0.35">
      <c r="A11" s="64" t="s">
        <v>28</v>
      </c>
      <c r="B11" s="81">
        <f>SUM(B8:B10)</f>
        <v>-2500</v>
      </c>
      <c r="C11" s="65"/>
      <c r="D11" s="76" t="s">
        <v>59</v>
      </c>
      <c r="E11" s="82">
        <f>E5+SUM(E7:E10)</f>
        <v>-4000</v>
      </c>
      <c r="F11" s="55"/>
      <c r="G11" s="63"/>
      <c r="H11" s="67"/>
    </row>
    <row r="12" spans="1:8" ht="19" x14ac:dyDescent="0.35">
      <c r="A12" s="64" t="s">
        <v>31</v>
      </c>
      <c r="B12" s="83">
        <f>+B6+B11</f>
        <v>-2400</v>
      </c>
      <c r="C12" s="67"/>
      <c r="D12" s="84"/>
      <c r="E12" s="71"/>
      <c r="F12" s="55"/>
      <c r="G12" s="64" t="s">
        <v>34</v>
      </c>
      <c r="H12" s="63"/>
    </row>
    <row r="13" spans="1:8" ht="19" x14ac:dyDescent="0.35">
      <c r="A13" s="66"/>
      <c r="B13" s="66"/>
      <c r="C13" s="66"/>
      <c r="D13" s="76" t="s">
        <v>60</v>
      </c>
      <c r="E13" s="80"/>
      <c r="F13" s="55"/>
      <c r="G13" s="68" t="s">
        <v>8</v>
      </c>
      <c r="H13" s="65">
        <f>'Transaction History'!$F$4</f>
        <v>100000</v>
      </c>
    </row>
    <row r="14" spans="1:8" x14ac:dyDescent="0.2">
      <c r="A14" s="75" t="s">
        <v>45</v>
      </c>
      <c r="B14" s="75">
        <f>B6/B4</f>
        <v>0.5</v>
      </c>
      <c r="C14" s="66"/>
      <c r="D14" s="77" t="s">
        <v>61</v>
      </c>
      <c r="E14" s="80">
        <f>-'Transaction History'!E9</f>
        <v>-25000</v>
      </c>
      <c r="F14" s="55"/>
      <c r="G14" s="64" t="s">
        <v>14</v>
      </c>
      <c r="H14" s="64">
        <f>SUM(H13)</f>
        <v>100000</v>
      </c>
    </row>
    <row r="15" spans="1:8" x14ac:dyDescent="0.2">
      <c r="A15" s="55"/>
      <c r="B15" s="55"/>
      <c r="C15" s="55"/>
      <c r="D15" s="76" t="s">
        <v>68</v>
      </c>
      <c r="E15" s="85">
        <f>SUM(E14)</f>
        <v>-25000</v>
      </c>
      <c r="F15" s="55"/>
      <c r="G15" s="63" t="s">
        <v>9</v>
      </c>
      <c r="H15" s="63">
        <f>'Transaction History'!$F$6</f>
        <v>50000</v>
      </c>
    </row>
    <row r="16" spans="1:8" ht="19" x14ac:dyDescent="0.35">
      <c r="A16" s="55"/>
      <c r="B16" s="55"/>
      <c r="C16" s="55"/>
      <c r="D16" s="77"/>
      <c r="E16" s="79"/>
      <c r="F16" s="55"/>
      <c r="G16" s="63" t="s">
        <v>12</v>
      </c>
      <c r="H16" s="65">
        <f>E5</f>
        <v>-2400</v>
      </c>
    </row>
    <row r="17" spans="1:8" ht="19" x14ac:dyDescent="0.35">
      <c r="A17" s="55"/>
      <c r="B17" s="55"/>
      <c r="C17" s="55"/>
      <c r="D17" s="76" t="s">
        <v>62</v>
      </c>
      <c r="E17" s="79"/>
      <c r="F17" s="55"/>
      <c r="G17" s="64" t="s">
        <v>15</v>
      </c>
      <c r="H17" s="81">
        <f>SUM(H15:H16)</f>
        <v>47600</v>
      </c>
    </row>
    <row r="18" spans="1:8" ht="19" x14ac:dyDescent="0.35">
      <c r="A18" s="55"/>
      <c r="B18" s="55"/>
      <c r="C18" s="55"/>
      <c r="D18" s="77" t="s">
        <v>8</v>
      </c>
      <c r="E18" s="79">
        <f>+'Transaction History'!F4</f>
        <v>100000</v>
      </c>
      <c r="F18" s="55"/>
      <c r="G18" s="64" t="s">
        <v>16</v>
      </c>
      <c r="H18" s="83">
        <f>SUM(H14+H17)</f>
        <v>147600</v>
      </c>
    </row>
    <row r="19" spans="1:8" x14ac:dyDescent="0.2">
      <c r="A19" s="55"/>
      <c r="B19" s="55"/>
      <c r="C19" s="55"/>
      <c r="D19" s="77" t="s">
        <v>63</v>
      </c>
      <c r="E19" s="79">
        <f>+'Transaction History'!F6</f>
        <v>50000</v>
      </c>
      <c r="F19" s="55"/>
      <c r="G19" s="63"/>
      <c r="H19" s="66"/>
    </row>
    <row r="20" spans="1:8" x14ac:dyDescent="0.2">
      <c r="A20" s="55"/>
      <c r="B20" s="55"/>
      <c r="C20" s="55"/>
      <c r="D20" s="76" t="s">
        <v>66</v>
      </c>
      <c r="E20" s="85">
        <f>SUM(E18:E19)</f>
        <v>150000</v>
      </c>
      <c r="F20" s="55"/>
    </row>
    <row r="21" spans="1:8" x14ac:dyDescent="0.2">
      <c r="C21" s="55"/>
      <c r="D21" s="77"/>
      <c r="E21" s="79"/>
      <c r="F21" s="55"/>
      <c r="G21" s="55"/>
      <c r="H21" s="55"/>
    </row>
    <row r="22" spans="1:8" x14ac:dyDescent="0.2">
      <c r="A22" s="75"/>
      <c r="B22" s="75"/>
      <c r="C22" s="55"/>
      <c r="D22" s="86" t="s">
        <v>69</v>
      </c>
      <c r="E22" s="79"/>
      <c r="F22" s="55"/>
      <c r="G22" s="55"/>
      <c r="H22" s="55"/>
    </row>
    <row r="23" spans="1:8" x14ac:dyDescent="0.2">
      <c r="A23" s="75"/>
      <c r="B23" s="75"/>
      <c r="C23" s="55"/>
      <c r="D23" s="87" t="s">
        <v>70</v>
      </c>
      <c r="E23" s="79">
        <f>H5</f>
        <v>121000</v>
      </c>
      <c r="F23" s="55"/>
      <c r="G23" s="55"/>
      <c r="H23" s="55"/>
    </row>
    <row r="24" spans="1:8" x14ac:dyDescent="0.2">
      <c r="A24" s="55"/>
      <c r="B24" s="55"/>
      <c r="C24" s="55"/>
      <c r="D24" s="77" t="s">
        <v>64</v>
      </c>
      <c r="E24" s="79">
        <f>E11+E15+E20</f>
        <v>121000</v>
      </c>
      <c r="F24" s="55"/>
      <c r="G24" s="55"/>
      <c r="H24" s="55"/>
    </row>
    <row r="25" spans="1:8" x14ac:dyDescent="0.2">
      <c r="A25" s="55"/>
      <c r="B25" s="55"/>
      <c r="C25" s="55"/>
      <c r="D25" s="77" t="s">
        <v>65</v>
      </c>
      <c r="E25" s="79">
        <f>E22+E23</f>
        <v>121000</v>
      </c>
      <c r="F25" s="55"/>
      <c r="G25" s="55"/>
      <c r="H25" s="55"/>
    </row>
    <row r="27" spans="1:8" x14ac:dyDescent="0.2">
      <c r="G27" s="64" t="s">
        <v>67</v>
      </c>
      <c r="H27" s="55" t="str">
        <f>IF(H10=H18,"Yes","No")</f>
        <v>Yes</v>
      </c>
    </row>
  </sheetData>
  <conditionalFormatting sqref="H18">
    <cfRule type="cellIs" dxfId="3" priority="2" operator="notEqual">
      <formula>$H$10</formula>
    </cfRule>
  </conditionalFormatting>
  <conditionalFormatting sqref="H10">
    <cfRule type="cellIs" dxfId="2" priority="1" operator="notEqual">
      <formula>$H$18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F240-0E5A-E843-9788-7587861D9EF4}">
  <dimension ref="A1:H27"/>
  <sheetViews>
    <sheetView showGridLines="0" workbookViewId="0">
      <selection activeCell="G3" sqref="G3:H18"/>
    </sheetView>
  </sheetViews>
  <sheetFormatPr baseColWidth="10" defaultRowHeight="16" x14ac:dyDescent="0.2"/>
  <cols>
    <col min="1" max="1" width="37.33203125" bestFit="1" customWidth="1"/>
    <col min="2" max="2" width="11" bestFit="1" customWidth="1"/>
    <col min="4" max="4" width="35.33203125" bestFit="1" customWidth="1"/>
    <col min="5" max="5" width="12.6640625" bestFit="1" customWidth="1"/>
    <col min="7" max="7" width="30.33203125" bestFit="1" customWidth="1"/>
    <col min="8" max="8" width="11.5" bestFit="1" customWidth="1"/>
  </cols>
  <sheetData>
    <row r="1" spans="1:8" ht="21" x14ac:dyDescent="0.25">
      <c r="A1" s="9" t="s">
        <v>75</v>
      </c>
    </row>
    <row r="3" spans="1:8" ht="21" x14ac:dyDescent="0.25">
      <c r="A3" s="12" t="s">
        <v>29</v>
      </c>
      <c r="B3" s="10"/>
      <c r="C3" s="10"/>
      <c r="D3" s="16" t="s">
        <v>55</v>
      </c>
      <c r="E3" s="10"/>
      <c r="G3" s="16" t="s">
        <v>32</v>
      </c>
    </row>
    <row r="4" spans="1:8" x14ac:dyDescent="0.2">
      <c r="A4" s="17" t="s">
        <v>24</v>
      </c>
      <c r="B4" s="63">
        <f>+'Transaction History'!F18</f>
        <v>200</v>
      </c>
      <c r="C4" s="63"/>
      <c r="D4" s="76" t="s">
        <v>56</v>
      </c>
      <c r="E4" s="71"/>
      <c r="F4" s="55"/>
      <c r="G4" s="64" t="s">
        <v>0</v>
      </c>
      <c r="H4" s="63"/>
    </row>
    <row r="5" spans="1:8" ht="19" x14ac:dyDescent="0.35">
      <c r="A5" s="22" t="s">
        <v>43</v>
      </c>
      <c r="B5" s="65">
        <f>-'Transaction History'!$E$13</f>
        <v>-100</v>
      </c>
      <c r="C5" s="65"/>
      <c r="D5" s="77" t="str">
        <f>IF(E5&gt;0,"Net Income", "Net Loss")</f>
        <v>Net Loss</v>
      </c>
      <c r="E5" s="71">
        <f>B12</f>
        <v>-2400</v>
      </c>
      <c r="F5" s="55"/>
      <c r="G5" s="63" t="s">
        <v>7</v>
      </c>
      <c r="H5" s="63">
        <f>E24</f>
        <v>121000</v>
      </c>
    </row>
    <row r="6" spans="1:8" x14ac:dyDescent="0.2">
      <c r="A6" s="25" t="s">
        <v>44</v>
      </c>
      <c r="B6" s="78">
        <f>SUM(B4:B5)</f>
        <v>100</v>
      </c>
      <c r="C6" s="66"/>
      <c r="D6" s="76" t="s">
        <v>57</v>
      </c>
      <c r="E6" s="79"/>
      <c r="F6" s="55"/>
      <c r="G6" s="66" t="s">
        <v>36</v>
      </c>
      <c r="H6" s="66">
        <f>-E9</f>
        <v>900</v>
      </c>
    </row>
    <row r="7" spans="1:8" x14ac:dyDescent="0.2">
      <c r="A7" s="17" t="s">
        <v>25</v>
      </c>
      <c r="B7" s="63"/>
      <c r="C7" s="63"/>
      <c r="D7" s="77" t="s">
        <v>49</v>
      </c>
      <c r="E7" s="80">
        <f>+'Transaction History'!E21</f>
        <v>400</v>
      </c>
      <c r="F7" s="55"/>
      <c r="G7" s="63" t="s">
        <v>20</v>
      </c>
      <c r="H7" s="63">
        <f>-E10</f>
        <v>1100</v>
      </c>
    </row>
    <row r="8" spans="1:8" x14ac:dyDescent="0.2">
      <c r="A8" s="23" t="s">
        <v>27</v>
      </c>
      <c r="B8" s="66">
        <f>-'Transaction History'!$E$19</f>
        <v>-100</v>
      </c>
      <c r="C8" s="66"/>
      <c r="D8" s="76" t="s">
        <v>58</v>
      </c>
      <c r="E8" s="79"/>
      <c r="F8" s="55"/>
      <c r="G8" s="63" t="s">
        <v>52</v>
      </c>
      <c r="H8" s="63">
        <f>-E14</f>
        <v>25000</v>
      </c>
    </row>
    <row r="9" spans="1:8" x14ac:dyDescent="0.2">
      <c r="A9" s="22" t="s">
        <v>26</v>
      </c>
      <c r="B9" s="71">
        <f>-'Transaction History'!$E$7</f>
        <v>-2000</v>
      </c>
      <c r="C9" s="71"/>
      <c r="D9" s="77" t="s">
        <v>36</v>
      </c>
      <c r="E9" s="80">
        <f>-'Transaction History'!E15+'Transaction History'!F20</f>
        <v>-900</v>
      </c>
      <c r="F9" s="55"/>
      <c r="G9" s="63" t="s">
        <v>51</v>
      </c>
      <c r="H9" s="63">
        <f>-E7</f>
        <v>-400</v>
      </c>
    </row>
    <row r="10" spans="1:8" ht="19" x14ac:dyDescent="0.35">
      <c r="A10" s="22" t="s">
        <v>49</v>
      </c>
      <c r="B10" s="65">
        <f>-'Transaction History'!E21</f>
        <v>-400</v>
      </c>
      <c r="C10" s="65"/>
      <c r="D10" s="77" t="s">
        <v>20</v>
      </c>
      <c r="E10" s="71">
        <f>-'Transaction History'!E11+'Transaction History'!F14</f>
        <v>-1100</v>
      </c>
      <c r="F10" s="55"/>
      <c r="G10" s="64" t="s">
        <v>33</v>
      </c>
      <c r="H10" s="81">
        <f>SUM(H5:H9)</f>
        <v>147600</v>
      </c>
    </row>
    <row r="11" spans="1:8" ht="19" x14ac:dyDescent="0.35">
      <c r="A11" s="17" t="s">
        <v>28</v>
      </c>
      <c r="B11" s="81">
        <f>SUM(B8:B10)</f>
        <v>-2500</v>
      </c>
      <c r="C11" s="65"/>
      <c r="D11" s="76" t="s">
        <v>59</v>
      </c>
      <c r="E11" s="82">
        <f>E5+SUM(E7:E10)</f>
        <v>-4000</v>
      </c>
      <c r="F11" s="55"/>
      <c r="G11" s="63"/>
      <c r="H11" s="67"/>
    </row>
    <row r="12" spans="1:8" ht="19" x14ac:dyDescent="0.35">
      <c r="A12" s="17" t="s">
        <v>31</v>
      </c>
      <c r="B12" s="83">
        <f>+B6+B11</f>
        <v>-2400</v>
      </c>
      <c r="C12" s="67"/>
      <c r="D12" s="84"/>
      <c r="E12" s="71"/>
      <c r="F12" s="55"/>
      <c r="G12" s="64" t="s">
        <v>34</v>
      </c>
      <c r="H12" s="63"/>
    </row>
    <row r="13" spans="1:8" ht="19" x14ac:dyDescent="0.35">
      <c r="A13" s="21"/>
      <c r="B13" s="66"/>
      <c r="C13" s="66"/>
      <c r="D13" s="76" t="s">
        <v>60</v>
      </c>
      <c r="E13" s="80"/>
      <c r="F13" s="55"/>
      <c r="G13" s="68" t="s">
        <v>8</v>
      </c>
      <c r="H13" s="65">
        <f>'Transaction History'!$F$4</f>
        <v>100000</v>
      </c>
    </row>
    <row r="14" spans="1:8" x14ac:dyDescent="0.2">
      <c r="A14" s="1" t="s">
        <v>45</v>
      </c>
      <c r="B14" s="75">
        <f>B6/B4</f>
        <v>0.5</v>
      </c>
      <c r="C14" s="66"/>
      <c r="D14" s="77" t="s">
        <v>61</v>
      </c>
      <c r="E14" s="80">
        <f>-'Transaction History'!E9</f>
        <v>-25000</v>
      </c>
      <c r="F14" s="55"/>
      <c r="G14" s="64" t="s">
        <v>14</v>
      </c>
      <c r="H14" s="64">
        <f>SUM(H13)</f>
        <v>100000</v>
      </c>
    </row>
    <row r="15" spans="1:8" x14ac:dyDescent="0.2">
      <c r="B15" s="55"/>
      <c r="C15" s="55"/>
      <c r="D15" s="76" t="s">
        <v>68</v>
      </c>
      <c r="E15" s="85">
        <f>SUM(E14)</f>
        <v>-25000</v>
      </c>
      <c r="F15" s="55"/>
      <c r="G15" s="63" t="s">
        <v>9</v>
      </c>
      <c r="H15" s="63">
        <f>'Transaction History'!$F$6</f>
        <v>50000</v>
      </c>
    </row>
    <row r="16" spans="1:8" ht="19" x14ac:dyDescent="0.35">
      <c r="B16" s="55"/>
      <c r="C16" s="55"/>
      <c r="D16" s="77"/>
      <c r="E16" s="79"/>
      <c r="F16" s="55"/>
      <c r="G16" s="63" t="s">
        <v>12</v>
      </c>
      <c r="H16" s="65">
        <f>E5</f>
        <v>-2400</v>
      </c>
    </row>
    <row r="17" spans="1:8" ht="19" x14ac:dyDescent="0.35">
      <c r="B17" s="55"/>
      <c r="C17" s="55"/>
      <c r="D17" s="76" t="s">
        <v>62</v>
      </c>
      <c r="E17" s="79"/>
      <c r="F17" s="55"/>
      <c r="G17" s="64" t="s">
        <v>15</v>
      </c>
      <c r="H17" s="81">
        <f>SUM(H15:H16)</f>
        <v>47600</v>
      </c>
    </row>
    <row r="18" spans="1:8" ht="19" x14ac:dyDescent="0.35">
      <c r="B18" s="55"/>
      <c r="C18" s="55"/>
      <c r="D18" s="77" t="s">
        <v>8</v>
      </c>
      <c r="E18" s="79">
        <f>+'Transaction History'!F4</f>
        <v>100000</v>
      </c>
      <c r="F18" s="55"/>
      <c r="G18" s="64" t="s">
        <v>16</v>
      </c>
      <c r="H18" s="83">
        <f>SUM(H14+H17)</f>
        <v>147600</v>
      </c>
    </row>
    <row r="19" spans="1:8" x14ac:dyDescent="0.2">
      <c r="B19" s="55"/>
      <c r="C19" s="55"/>
      <c r="D19" s="77" t="s">
        <v>63</v>
      </c>
      <c r="E19" s="79">
        <f>+'Transaction History'!F6</f>
        <v>50000</v>
      </c>
      <c r="F19" s="55"/>
      <c r="G19" s="63"/>
      <c r="H19" s="66"/>
    </row>
    <row r="20" spans="1:8" x14ac:dyDescent="0.2">
      <c r="B20" s="55"/>
      <c r="C20" s="55"/>
      <c r="D20" s="76" t="s">
        <v>66</v>
      </c>
      <c r="E20" s="85">
        <f>SUM(E18:E19)</f>
        <v>150000</v>
      </c>
      <c r="F20" s="55"/>
    </row>
    <row r="21" spans="1:8" x14ac:dyDescent="0.2">
      <c r="B21" s="55"/>
      <c r="C21" s="55"/>
      <c r="D21" s="77"/>
      <c r="E21" s="79"/>
      <c r="F21" s="55"/>
      <c r="G21" s="55"/>
      <c r="H21" s="55"/>
    </row>
    <row r="22" spans="1:8" x14ac:dyDescent="0.2">
      <c r="A22" s="1"/>
      <c r="B22" s="75"/>
      <c r="C22" s="55"/>
      <c r="D22" s="86" t="s">
        <v>69</v>
      </c>
      <c r="E22" s="79">
        <v>0</v>
      </c>
      <c r="F22" s="55"/>
      <c r="G22" s="55"/>
      <c r="H22" s="55"/>
    </row>
    <row r="23" spans="1:8" x14ac:dyDescent="0.2">
      <c r="A23" s="1"/>
      <c r="B23" s="75"/>
      <c r="C23" s="55"/>
      <c r="D23" s="87" t="s">
        <v>70</v>
      </c>
      <c r="E23" s="79">
        <f>H5</f>
        <v>121000</v>
      </c>
      <c r="F23" s="55"/>
      <c r="G23" s="55"/>
      <c r="H23" s="55"/>
    </row>
    <row r="24" spans="1:8" x14ac:dyDescent="0.2">
      <c r="B24" s="55"/>
      <c r="C24" s="55"/>
      <c r="D24" s="77" t="s">
        <v>64</v>
      </c>
      <c r="E24" s="79">
        <f>E11+E15+E20</f>
        <v>121000</v>
      </c>
      <c r="F24" s="55"/>
      <c r="G24" s="55"/>
      <c r="H24" s="55"/>
    </row>
    <row r="25" spans="1:8" x14ac:dyDescent="0.2">
      <c r="B25" s="55"/>
      <c r="C25" s="55"/>
      <c r="D25" s="77" t="s">
        <v>65</v>
      </c>
      <c r="E25" s="79">
        <f>E22+E23</f>
        <v>121000</v>
      </c>
      <c r="F25" s="55"/>
      <c r="G25" s="55"/>
      <c r="H25" s="55"/>
    </row>
    <row r="26" spans="1:8" x14ac:dyDescent="0.2">
      <c r="B26" s="55"/>
      <c r="C26" s="55"/>
      <c r="D26" s="55"/>
      <c r="E26" s="55"/>
      <c r="F26" s="55"/>
      <c r="G26" s="55"/>
      <c r="H26" s="55"/>
    </row>
    <row r="27" spans="1:8" x14ac:dyDescent="0.2">
      <c r="G27" s="64" t="s">
        <v>67</v>
      </c>
      <c r="H27" s="55" t="str">
        <f>IF(H10=H18,"Yes","No")</f>
        <v>Yes</v>
      </c>
    </row>
  </sheetData>
  <conditionalFormatting sqref="H18">
    <cfRule type="cellIs" dxfId="1" priority="2" operator="notEqual">
      <formula>$H$10</formula>
    </cfRule>
  </conditionalFormatting>
  <conditionalFormatting sqref="H10">
    <cfRule type="cellIs" dxfId="0" priority="1" operator="notEqual">
      <formula>$H$18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BBBA-45FD-DE44-BC93-4C2944D3D08E}">
  <dimension ref="A1:E8"/>
  <sheetViews>
    <sheetView showGridLines="0" workbookViewId="0">
      <selection activeCell="A3" sqref="A3:E6"/>
    </sheetView>
  </sheetViews>
  <sheetFormatPr baseColWidth="10" defaultRowHeight="16" x14ac:dyDescent="0.2"/>
  <cols>
    <col min="1" max="1" width="8.1640625" customWidth="1"/>
    <col min="2" max="2" width="12.5" bestFit="1" customWidth="1"/>
    <col min="3" max="3" width="3.6640625" customWidth="1"/>
    <col min="4" max="4" width="13.33203125" bestFit="1" customWidth="1"/>
    <col min="5" max="5" width="12.5" bestFit="1" customWidth="1"/>
  </cols>
  <sheetData>
    <row r="1" spans="1:5" ht="21" x14ac:dyDescent="0.25">
      <c r="A1" s="9" t="s">
        <v>13</v>
      </c>
    </row>
    <row r="2" spans="1:5" x14ac:dyDescent="0.2">
      <c r="A2" s="46"/>
      <c r="B2" s="46"/>
      <c r="C2" s="46"/>
      <c r="D2" s="46"/>
      <c r="E2" s="46"/>
    </row>
    <row r="3" spans="1:5" ht="21" x14ac:dyDescent="0.25">
      <c r="A3" s="107" t="s">
        <v>0</v>
      </c>
      <c r="B3" s="108"/>
      <c r="C3" s="109"/>
      <c r="D3" s="107" t="s">
        <v>1</v>
      </c>
      <c r="E3" s="50"/>
    </row>
    <row r="4" spans="1:5" x14ac:dyDescent="0.2">
      <c r="A4" s="50" t="s">
        <v>7</v>
      </c>
      <c r="B4" s="50">
        <f>'Transaction History'!E3+'Transaction History'!E5</f>
        <v>150000</v>
      </c>
      <c r="C4" s="50"/>
      <c r="D4" s="50" t="s">
        <v>8</v>
      </c>
      <c r="E4" s="50">
        <f>'Transaction History'!F4</f>
        <v>100000</v>
      </c>
    </row>
    <row r="5" spans="1:5" x14ac:dyDescent="0.2">
      <c r="A5" s="50"/>
      <c r="B5" s="50"/>
      <c r="C5" s="50"/>
      <c r="D5" s="50" t="s">
        <v>9</v>
      </c>
      <c r="E5" s="50">
        <f>'Transaction History'!F6</f>
        <v>50000</v>
      </c>
    </row>
    <row r="6" spans="1:5" x14ac:dyDescent="0.2">
      <c r="A6" s="109" t="s">
        <v>11</v>
      </c>
      <c r="B6" s="109">
        <f>SUM(B4:B5)</f>
        <v>150000</v>
      </c>
      <c r="C6" s="50"/>
      <c r="D6" s="109" t="s">
        <v>11</v>
      </c>
      <c r="E6" s="109">
        <f>SUM(E4:E5)</f>
        <v>150000</v>
      </c>
    </row>
    <row r="7" spans="1:5" x14ac:dyDescent="0.2">
      <c r="A7" s="46"/>
      <c r="B7" s="46"/>
      <c r="C7" s="46"/>
      <c r="D7" s="46"/>
      <c r="E7" s="46"/>
    </row>
    <row r="8" spans="1:5" x14ac:dyDescent="0.2">
      <c r="A8" s="46"/>
      <c r="B8" s="46"/>
      <c r="C8" s="46"/>
      <c r="D8" s="46"/>
      <c r="E8" s="4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E980-00CD-6445-AA40-58C2F183AA6F}">
  <dimension ref="A1:I27"/>
  <sheetViews>
    <sheetView showGridLines="0" showZeros="0" workbookViewId="0">
      <selection activeCell="G3" sqref="G3:H19"/>
    </sheetView>
  </sheetViews>
  <sheetFormatPr baseColWidth="10" defaultRowHeight="16" x14ac:dyDescent="0.2"/>
  <cols>
    <col min="1" max="1" width="39.1640625" bestFit="1" customWidth="1"/>
    <col min="2" max="3" width="11" customWidth="1"/>
    <col min="4" max="4" width="35.33203125" bestFit="1" customWidth="1"/>
    <col min="5" max="5" width="12.5" bestFit="1" customWidth="1"/>
    <col min="6" max="6" width="11" customWidth="1"/>
    <col min="7" max="7" width="30.33203125" bestFit="1" customWidth="1"/>
    <col min="8" max="8" width="12.5" bestFit="1" customWidth="1"/>
  </cols>
  <sheetData>
    <row r="1" spans="1:8" ht="21" x14ac:dyDescent="0.25">
      <c r="A1" s="27" t="s">
        <v>83</v>
      </c>
      <c r="B1" s="28"/>
      <c r="C1" s="28"/>
      <c r="D1" s="28"/>
      <c r="E1" s="28"/>
      <c r="F1" s="28"/>
      <c r="G1" s="28"/>
      <c r="H1" s="28"/>
    </row>
    <row r="2" spans="1:8" x14ac:dyDescent="0.2">
      <c r="A2" s="28"/>
      <c r="B2" s="28"/>
      <c r="C2" s="28"/>
      <c r="D2" s="28"/>
      <c r="E2" s="28"/>
      <c r="F2" s="28"/>
      <c r="G2" s="28"/>
      <c r="H2" s="28"/>
    </row>
    <row r="3" spans="1:8" ht="21" x14ac:dyDescent="0.25">
      <c r="A3" s="29" t="s">
        <v>29</v>
      </c>
      <c r="B3" s="30"/>
      <c r="C3" s="30"/>
      <c r="D3" s="31" t="s">
        <v>55</v>
      </c>
      <c r="E3" s="30"/>
      <c r="F3" s="28"/>
      <c r="G3" s="31" t="s">
        <v>32</v>
      </c>
      <c r="H3" s="28"/>
    </row>
    <row r="4" spans="1:8" x14ac:dyDescent="0.2">
      <c r="A4" s="33" t="s">
        <v>24</v>
      </c>
      <c r="B4" s="34"/>
      <c r="C4" s="34"/>
      <c r="D4" s="35" t="s">
        <v>56</v>
      </c>
      <c r="E4" s="34"/>
      <c r="F4" s="28"/>
      <c r="G4" s="33" t="s">
        <v>0</v>
      </c>
      <c r="H4" s="32"/>
    </row>
    <row r="5" spans="1:8" x14ac:dyDescent="0.2">
      <c r="A5" s="3" t="s">
        <v>77</v>
      </c>
      <c r="B5" s="55">
        <f>'Transaction History'!F24</f>
        <v>2500</v>
      </c>
      <c r="C5" s="88"/>
      <c r="D5" s="89" t="s">
        <v>31</v>
      </c>
      <c r="E5" s="90">
        <f>B15</f>
        <v>2800</v>
      </c>
      <c r="F5" s="89"/>
      <c r="G5" s="90" t="s">
        <v>7</v>
      </c>
      <c r="H5" s="90">
        <f>121000+E23</f>
        <v>123500</v>
      </c>
    </row>
    <row r="6" spans="1:8" x14ac:dyDescent="0.2">
      <c r="A6" s="3" t="s">
        <v>78</v>
      </c>
      <c r="B6" s="55">
        <f>+'Transaction History'!F26</f>
        <v>600</v>
      </c>
      <c r="C6" s="89"/>
      <c r="D6" s="91" t="s">
        <v>57</v>
      </c>
      <c r="E6" s="89"/>
      <c r="F6" s="89"/>
      <c r="G6" s="55" t="s">
        <v>74</v>
      </c>
      <c r="H6" s="55">
        <f>-E9</f>
        <v>600</v>
      </c>
    </row>
    <row r="7" spans="1:8" ht="19" x14ac:dyDescent="0.35">
      <c r="A7" s="38" t="s">
        <v>79</v>
      </c>
      <c r="B7" s="92">
        <f>SUM(B5:B6)</f>
        <v>3100</v>
      </c>
      <c r="C7" s="90"/>
      <c r="D7" s="89" t="s">
        <v>49</v>
      </c>
      <c r="E7" s="89">
        <v>0</v>
      </c>
      <c r="F7" s="89"/>
      <c r="G7" s="89" t="s">
        <v>36</v>
      </c>
      <c r="H7" s="89">
        <f>900-E10</f>
        <v>600</v>
      </c>
    </row>
    <row r="8" spans="1:8" ht="19" x14ac:dyDescent="0.35">
      <c r="A8" s="36" t="s">
        <v>43</v>
      </c>
      <c r="B8" s="92">
        <f>-'Transaction History'!E27</f>
        <v>-300</v>
      </c>
      <c r="C8" s="89"/>
      <c r="D8" s="91" t="s">
        <v>58</v>
      </c>
      <c r="E8" s="89"/>
      <c r="F8" s="89"/>
      <c r="G8" s="90" t="s">
        <v>20</v>
      </c>
      <c r="H8" s="90">
        <v>1100</v>
      </c>
    </row>
    <row r="9" spans="1:8" x14ac:dyDescent="0.2">
      <c r="A9" s="35" t="s">
        <v>44</v>
      </c>
      <c r="B9" s="91">
        <f>B7+B8</f>
        <v>2800</v>
      </c>
      <c r="C9" s="90"/>
      <c r="D9" s="89" t="s">
        <v>74</v>
      </c>
      <c r="E9" s="55">
        <f>-'Transaction History'!E25</f>
        <v>-600</v>
      </c>
      <c r="F9" s="89"/>
      <c r="G9" s="90" t="s">
        <v>52</v>
      </c>
      <c r="H9" s="90">
        <v>25000</v>
      </c>
    </row>
    <row r="10" spans="1:8" x14ac:dyDescent="0.2">
      <c r="A10" s="33" t="s">
        <v>25</v>
      </c>
      <c r="B10" s="90"/>
      <c r="C10" s="88"/>
      <c r="D10" s="89" t="s">
        <v>36</v>
      </c>
      <c r="E10" s="89">
        <f>+'Transaction History'!F28</f>
        <v>300</v>
      </c>
      <c r="F10" s="89"/>
      <c r="G10" s="90" t="s">
        <v>51</v>
      </c>
      <c r="H10" s="90">
        <v>-400</v>
      </c>
    </row>
    <row r="11" spans="1:8" ht="19" x14ac:dyDescent="0.35">
      <c r="A11" s="37" t="s">
        <v>27</v>
      </c>
      <c r="B11" s="89">
        <v>0</v>
      </c>
      <c r="C11" s="88"/>
      <c r="D11" s="89" t="s">
        <v>20</v>
      </c>
      <c r="E11" s="90"/>
      <c r="F11" s="89"/>
      <c r="G11" s="93" t="s">
        <v>33</v>
      </c>
      <c r="H11" s="94">
        <f>SUM(H5:H10)</f>
        <v>150400</v>
      </c>
    </row>
    <row r="12" spans="1:8" x14ac:dyDescent="0.2">
      <c r="A12" s="36" t="s">
        <v>26</v>
      </c>
      <c r="B12" s="90">
        <v>0</v>
      </c>
      <c r="C12" s="88"/>
      <c r="D12" s="91" t="s">
        <v>59</v>
      </c>
      <c r="E12" s="95">
        <f>SUM(E5:E11)</f>
        <v>2500</v>
      </c>
      <c r="F12" s="89"/>
      <c r="G12" s="90"/>
      <c r="H12" s="88"/>
    </row>
    <row r="13" spans="1:8" ht="19" x14ac:dyDescent="0.35">
      <c r="A13" s="36" t="s">
        <v>49</v>
      </c>
      <c r="B13" s="92">
        <v>0</v>
      </c>
      <c r="C13" s="89"/>
      <c r="D13" s="90"/>
      <c r="E13" s="90"/>
      <c r="F13" s="89"/>
      <c r="G13" s="93" t="s">
        <v>34</v>
      </c>
      <c r="H13" s="90"/>
    </row>
    <row r="14" spans="1:8" ht="19" x14ac:dyDescent="0.35">
      <c r="A14" s="33" t="s">
        <v>28</v>
      </c>
      <c r="B14" s="94">
        <f>SUM(B11:B13)</f>
        <v>0</v>
      </c>
      <c r="C14" s="89"/>
      <c r="D14" s="91" t="s">
        <v>60</v>
      </c>
      <c r="E14" s="89"/>
      <c r="F14" s="89"/>
      <c r="G14" s="96" t="s">
        <v>8</v>
      </c>
      <c r="H14" s="92">
        <v>100000</v>
      </c>
    </row>
    <row r="15" spans="1:8" ht="19" x14ac:dyDescent="0.35">
      <c r="A15" s="33" t="s">
        <v>82</v>
      </c>
      <c r="B15" s="97">
        <f>B9+B14</f>
        <v>2800</v>
      </c>
      <c r="C15" s="89"/>
      <c r="D15" s="89" t="s">
        <v>61</v>
      </c>
      <c r="E15" s="89">
        <v>0</v>
      </c>
      <c r="F15" s="89"/>
      <c r="G15" s="93" t="s">
        <v>14</v>
      </c>
      <c r="H15" s="93">
        <f>SUM(H14)</f>
        <v>100000</v>
      </c>
    </row>
    <row r="16" spans="1:8" x14ac:dyDescent="0.2">
      <c r="A16" s="28"/>
      <c r="B16" s="89"/>
      <c r="C16" s="89"/>
      <c r="D16" s="91" t="s">
        <v>68</v>
      </c>
      <c r="E16" s="98">
        <f>SUM(E14:E15)</f>
        <v>0</v>
      </c>
      <c r="F16" s="89"/>
      <c r="G16" s="90" t="s">
        <v>9</v>
      </c>
      <c r="H16" s="90">
        <v>50000</v>
      </c>
    </row>
    <row r="17" spans="1:9" ht="19" x14ac:dyDescent="0.35">
      <c r="A17" s="35" t="s">
        <v>45</v>
      </c>
      <c r="B17" s="91">
        <f>B9/B7</f>
        <v>0.90322580645161288</v>
      </c>
      <c r="C17" s="89"/>
      <c r="D17" s="89"/>
      <c r="E17" s="89"/>
      <c r="F17" s="89"/>
      <c r="G17" s="90" t="s">
        <v>81</v>
      </c>
      <c r="H17" s="92">
        <f>-2400+B15</f>
        <v>400</v>
      </c>
    </row>
    <row r="18" spans="1:9" ht="19" x14ac:dyDescent="0.35">
      <c r="A18" s="28"/>
      <c r="B18" s="89"/>
      <c r="C18" s="89"/>
      <c r="D18" s="91" t="s">
        <v>62</v>
      </c>
      <c r="E18" s="89"/>
      <c r="F18" s="89"/>
      <c r="G18" s="93" t="s">
        <v>15</v>
      </c>
      <c r="H18" s="94">
        <f>SUM(H16:H17)</f>
        <v>50400</v>
      </c>
    </row>
    <row r="19" spans="1:9" ht="19" x14ac:dyDescent="0.35">
      <c r="A19" s="28"/>
      <c r="B19" s="89"/>
      <c r="C19" s="89"/>
      <c r="D19" s="89" t="s">
        <v>76</v>
      </c>
      <c r="E19" s="89">
        <v>0</v>
      </c>
      <c r="F19" s="89"/>
      <c r="G19" s="93" t="s">
        <v>16</v>
      </c>
      <c r="H19" s="97">
        <f>H15+H18</f>
        <v>150400</v>
      </c>
      <c r="I19" s="18"/>
    </row>
    <row r="20" spans="1:9" x14ac:dyDescent="0.2">
      <c r="A20" s="28"/>
      <c r="B20" s="89"/>
      <c r="C20" s="89"/>
      <c r="D20" s="89" t="s">
        <v>63</v>
      </c>
      <c r="E20" s="89">
        <v>0</v>
      </c>
      <c r="F20" s="89"/>
      <c r="G20" s="90"/>
      <c r="H20" s="89"/>
    </row>
    <row r="21" spans="1:9" x14ac:dyDescent="0.2">
      <c r="B21" s="55"/>
      <c r="C21" s="89"/>
      <c r="D21" s="91" t="s">
        <v>66</v>
      </c>
      <c r="E21" s="98">
        <f>SUM(E19:E20)</f>
        <v>0</v>
      </c>
      <c r="F21" s="89"/>
      <c r="G21" s="93" t="s">
        <v>67</v>
      </c>
      <c r="H21" s="89" t="str">
        <f>IF(H11=H19,"Yes","No")</f>
        <v>Yes</v>
      </c>
    </row>
    <row r="22" spans="1:9" x14ac:dyDescent="0.2">
      <c r="A22" s="35"/>
      <c r="B22" s="91"/>
      <c r="C22" s="89"/>
      <c r="D22" s="89"/>
      <c r="E22" s="89"/>
      <c r="F22" s="89"/>
      <c r="G22" s="89"/>
      <c r="H22" s="89"/>
    </row>
    <row r="23" spans="1:9" x14ac:dyDescent="0.2">
      <c r="A23" s="35"/>
      <c r="B23" s="91"/>
      <c r="C23" s="89"/>
      <c r="D23" s="89" t="s">
        <v>64</v>
      </c>
      <c r="E23" s="89">
        <f>E12+E16+E21</f>
        <v>2500</v>
      </c>
      <c r="F23" s="89"/>
      <c r="G23" s="89"/>
      <c r="H23" s="89"/>
    </row>
    <row r="24" spans="1:9" x14ac:dyDescent="0.2">
      <c r="A24" s="28"/>
      <c r="B24" s="89"/>
      <c r="C24" s="89"/>
      <c r="D24" s="89" t="s">
        <v>69</v>
      </c>
      <c r="E24" s="89">
        <v>121000</v>
      </c>
      <c r="F24" s="89"/>
      <c r="G24" s="89"/>
      <c r="H24" s="89"/>
    </row>
    <row r="25" spans="1:9" x14ac:dyDescent="0.2">
      <c r="A25" s="28"/>
      <c r="B25" s="89"/>
      <c r="C25" s="89"/>
      <c r="D25" s="89" t="s">
        <v>70</v>
      </c>
      <c r="E25" s="55">
        <f>E23+E24</f>
        <v>123500</v>
      </c>
      <c r="F25" s="89"/>
      <c r="G25" s="89"/>
      <c r="H25" s="89"/>
    </row>
    <row r="26" spans="1:9" x14ac:dyDescent="0.2">
      <c r="B26" s="55"/>
      <c r="C26" s="55"/>
      <c r="D26" s="89"/>
      <c r="E26" s="89"/>
      <c r="F26" s="55"/>
      <c r="G26" s="55"/>
      <c r="H26" s="55"/>
    </row>
    <row r="27" spans="1:9" x14ac:dyDescent="0.2">
      <c r="B27" s="55"/>
      <c r="C27" s="55"/>
      <c r="D27" s="91" t="s">
        <v>80</v>
      </c>
      <c r="E27" s="55" t="str">
        <f>IF(E25=H5,"Yes","No")</f>
        <v>Yes</v>
      </c>
      <c r="F27" s="55"/>
      <c r="G27" s="55"/>
      <c r="H27" s="5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8C14A-D339-B746-9FBA-F1C00318D468}">
  <dimension ref="A1:H28"/>
  <sheetViews>
    <sheetView showGridLines="0" workbookViewId="0">
      <selection activeCell="G3" sqref="G3:H20"/>
    </sheetView>
  </sheetViews>
  <sheetFormatPr baseColWidth="10" defaultRowHeight="16" x14ac:dyDescent="0.2"/>
  <cols>
    <col min="1" max="1" width="20.83203125" bestFit="1" customWidth="1"/>
    <col min="2" max="2" width="10.5" bestFit="1" customWidth="1"/>
    <col min="3" max="3" width="11" customWidth="1"/>
    <col min="4" max="4" width="35.33203125" bestFit="1" customWidth="1"/>
    <col min="5" max="5" width="12.5" bestFit="1" customWidth="1"/>
    <col min="6" max="6" width="11" customWidth="1"/>
    <col min="7" max="7" width="30.33203125" bestFit="1" customWidth="1"/>
    <col min="8" max="8" width="12.5" bestFit="1" customWidth="1"/>
  </cols>
  <sheetData>
    <row r="1" spans="1:8" ht="21" x14ac:dyDescent="0.25">
      <c r="A1" s="27" t="s">
        <v>84</v>
      </c>
      <c r="B1" s="28"/>
      <c r="C1" s="28"/>
      <c r="D1" s="28"/>
      <c r="E1" s="28"/>
      <c r="F1" s="28"/>
      <c r="G1" s="28"/>
      <c r="H1" s="28"/>
    </row>
    <row r="2" spans="1:8" x14ac:dyDescent="0.2">
      <c r="A2" s="28"/>
      <c r="B2" s="28"/>
      <c r="C2" s="28"/>
      <c r="D2" s="28"/>
      <c r="E2" s="28"/>
      <c r="F2" s="28"/>
      <c r="G2" s="28"/>
      <c r="H2" s="28"/>
    </row>
    <row r="3" spans="1:8" ht="21" x14ac:dyDescent="0.25">
      <c r="A3" s="29" t="s">
        <v>29</v>
      </c>
      <c r="B3" s="30"/>
      <c r="C3" s="30"/>
      <c r="D3" s="31" t="s">
        <v>55</v>
      </c>
      <c r="E3" s="30"/>
      <c r="F3" s="28"/>
      <c r="G3" s="31" t="s">
        <v>32</v>
      </c>
      <c r="H3" s="28"/>
    </row>
    <row r="4" spans="1:8" x14ac:dyDescent="0.2">
      <c r="A4" s="33" t="s">
        <v>24</v>
      </c>
      <c r="B4" s="34"/>
      <c r="C4" s="34"/>
      <c r="D4" s="35" t="s">
        <v>56</v>
      </c>
      <c r="E4" s="34"/>
      <c r="F4" s="28"/>
      <c r="G4" s="33" t="s">
        <v>0</v>
      </c>
      <c r="H4" s="32"/>
    </row>
    <row r="5" spans="1:8" x14ac:dyDescent="0.2">
      <c r="A5" s="3" t="s">
        <v>77</v>
      </c>
      <c r="B5" s="55">
        <f>'Transaction History'!F24</f>
        <v>2500</v>
      </c>
      <c r="C5" s="88"/>
      <c r="D5" s="89" t="s">
        <v>31</v>
      </c>
      <c r="E5" s="90">
        <f>B15</f>
        <v>2800</v>
      </c>
      <c r="F5" s="89"/>
      <c r="G5" s="90" t="s">
        <v>7</v>
      </c>
      <c r="H5" s="90">
        <f>121000+E24</f>
        <v>123500</v>
      </c>
    </row>
    <row r="6" spans="1:8" x14ac:dyDescent="0.2">
      <c r="A6" s="3" t="s">
        <v>78</v>
      </c>
      <c r="B6" s="55">
        <f>+'Transaction History'!F26</f>
        <v>600</v>
      </c>
      <c r="C6" s="89"/>
      <c r="D6" s="91" t="s">
        <v>57</v>
      </c>
      <c r="E6" s="89"/>
      <c r="F6" s="89"/>
      <c r="G6" s="55" t="s">
        <v>74</v>
      </c>
      <c r="H6" s="55">
        <f>-E9</f>
        <v>600</v>
      </c>
    </row>
    <row r="7" spans="1:8" ht="19" x14ac:dyDescent="0.35">
      <c r="A7" s="38" t="s">
        <v>79</v>
      </c>
      <c r="B7" s="92">
        <f>SUM(B5:B6)</f>
        <v>3100</v>
      </c>
      <c r="C7" s="90"/>
      <c r="D7" s="89" t="s">
        <v>49</v>
      </c>
      <c r="E7" s="89">
        <v>0</v>
      </c>
      <c r="F7" s="89"/>
      <c r="G7" s="89" t="s">
        <v>36</v>
      </c>
      <c r="H7" s="89">
        <f>900-E10</f>
        <v>2600</v>
      </c>
    </row>
    <row r="8" spans="1:8" ht="19" x14ac:dyDescent="0.35">
      <c r="A8" s="36" t="s">
        <v>43</v>
      </c>
      <c r="B8" s="92">
        <f>-'Transaction History'!E27</f>
        <v>-300</v>
      </c>
      <c r="C8" s="89"/>
      <c r="D8" s="91" t="s">
        <v>58</v>
      </c>
      <c r="E8" s="89"/>
      <c r="F8" s="89"/>
      <c r="G8" s="90" t="s">
        <v>20</v>
      </c>
      <c r="H8" s="90">
        <v>1100</v>
      </c>
    </row>
    <row r="9" spans="1:8" x14ac:dyDescent="0.2">
      <c r="A9" s="35" t="s">
        <v>44</v>
      </c>
      <c r="B9" s="91">
        <f>B7+B8</f>
        <v>2800</v>
      </c>
      <c r="C9" s="90"/>
      <c r="D9" s="89" t="s">
        <v>74</v>
      </c>
      <c r="E9" s="55">
        <f>-'Transaction History'!E25</f>
        <v>-600</v>
      </c>
      <c r="F9" s="89"/>
      <c r="G9" s="90" t="s">
        <v>52</v>
      </c>
      <c r="H9" s="90">
        <v>25000</v>
      </c>
    </row>
    <row r="10" spans="1:8" x14ac:dyDescent="0.2">
      <c r="A10" s="33" t="s">
        <v>25</v>
      </c>
      <c r="B10" s="90"/>
      <c r="C10" s="88"/>
      <c r="D10" s="89" t="s">
        <v>36</v>
      </c>
      <c r="E10" s="89">
        <f>+'Transaction History'!F28-'Transaction History'!E29</f>
        <v>-1700</v>
      </c>
      <c r="F10" s="89"/>
      <c r="G10" s="90" t="s">
        <v>51</v>
      </c>
      <c r="H10" s="90">
        <v>-400</v>
      </c>
    </row>
    <row r="11" spans="1:8" ht="19" x14ac:dyDescent="0.35">
      <c r="A11" s="37" t="s">
        <v>27</v>
      </c>
      <c r="B11" s="89">
        <v>0</v>
      </c>
      <c r="C11" s="88"/>
      <c r="D11" s="89" t="s">
        <v>20</v>
      </c>
      <c r="E11" s="90">
        <v>0</v>
      </c>
      <c r="F11" s="89"/>
      <c r="G11" s="93" t="s">
        <v>33</v>
      </c>
      <c r="H11" s="94">
        <f>SUM(H5:H10)</f>
        <v>152400</v>
      </c>
    </row>
    <row r="12" spans="1:8" x14ac:dyDescent="0.2">
      <c r="A12" s="36" t="s">
        <v>26</v>
      </c>
      <c r="B12" s="90">
        <v>0</v>
      </c>
      <c r="C12" s="88"/>
      <c r="D12" s="89" t="s">
        <v>85</v>
      </c>
      <c r="E12" s="55">
        <f>+'Transaction History'!F30</f>
        <v>2000</v>
      </c>
      <c r="F12" s="89"/>
      <c r="G12" s="90"/>
      <c r="H12" s="88"/>
    </row>
    <row r="13" spans="1:8" ht="19" x14ac:dyDescent="0.35">
      <c r="A13" s="36" t="s">
        <v>49</v>
      </c>
      <c r="B13" s="92">
        <v>0</v>
      </c>
      <c r="C13" s="89"/>
      <c r="D13" s="91" t="s">
        <v>59</v>
      </c>
      <c r="E13" s="95">
        <f>SUM(E5:E12)</f>
        <v>2500</v>
      </c>
      <c r="F13" s="89"/>
      <c r="G13" s="93" t="s">
        <v>34</v>
      </c>
      <c r="H13" s="90"/>
    </row>
    <row r="14" spans="1:8" ht="19" x14ac:dyDescent="0.35">
      <c r="A14" s="33" t="s">
        <v>28</v>
      </c>
      <c r="B14" s="94">
        <f>SUM(B11:B13)</f>
        <v>0</v>
      </c>
      <c r="C14" s="89"/>
      <c r="D14" s="90"/>
      <c r="E14" s="90"/>
      <c r="F14" s="89"/>
      <c r="G14" s="96" t="s">
        <v>8</v>
      </c>
      <c r="H14" s="90">
        <v>100000</v>
      </c>
    </row>
    <row r="15" spans="1:8" ht="19" x14ac:dyDescent="0.35">
      <c r="A15" s="33" t="s">
        <v>82</v>
      </c>
      <c r="B15" s="97">
        <f>B9+B14</f>
        <v>2800</v>
      </c>
      <c r="C15" s="89"/>
      <c r="D15" s="91" t="s">
        <v>60</v>
      </c>
      <c r="E15" s="89"/>
      <c r="F15" s="89"/>
      <c r="G15" s="55" t="s">
        <v>85</v>
      </c>
      <c r="H15" s="92">
        <f>E12</f>
        <v>2000</v>
      </c>
    </row>
    <row r="16" spans="1:8" x14ac:dyDescent="0.2">
      <c r="A16" s="28"/>
      <c r="B16" s="89"/>
      <c r="C16" s="89"/>
      <c r="D16" s="89" t="s">
        <v>61</v>
      </c>
      <c r="E16" s="89">
        <v>0</v>
      </c>
      <c r="F16" s="89"/>
      <c r="G16" s="93" t="s">
        <v>14</v>
      </c>
      <c r="H16" s="93">
        <f>SUM(H14:H15)</f>
        <v>102000</v>
      </c>
    </row>
    <row r="17" spans="1:8" x14ac:dyDescent="0.2">
      <c r="A17" s="35" t="s">
        <v>45</v>
      </c>
      <c r="B17" s="91">
        <f>B9/B7</f>
        <v>0.90322580645161288</v>
      </c>
      <c r="C17" s="89"/>
      <c r="D17" s="91" t="s">
        <v>68</v>
      </c>
      <c r="E17" s="98">
        <f>SUM(E15:E16)</f>
        <v>0</v>
      </c>
      <c r="F17" s="89"/>
      <c r="G17" s="90" t="s">
        <v>9</v>
      </c>
      <c r="H17" s="90">
        <v>50000</v>
      </c>
    </row>
    <row r="18" spans="1:8" ht="19" x14ac:dyDescent="0.35">
      <c r="A18" s="28"/>
      <c r="B18" s="89"/>
      <c r="C18" s="89"/>
      <c r="D18" s="89"/>
      <c r="E18" s="89"/>
      <c r="F18" s="89"/>
      <c r="G18" s="90" t="s">
        <v>81</v>
      </c>
      <c r="H18" s="92">
        <f>-2400+B15</f>
        <v>400</v>
      </c>
    </row>
    <row r="19" spans="1:8" ht="19" x14ac:dyDescent="0.35">
      <c r="A19" s="28"/>
      <c r="B19" s="89"/>
      <c r="C19" s="89"/>
      <c r="D19" s="91" t="s">
        <v>62</v>
      </c>
      <c r="E19" s="89"/>
      <c r="F19" s="89"/>
      <c r="G19" s="93" t="s">
        <v>15</v>
      </c>
      <c r="H19" s="94">
        <f>SUM(H17:H18)</f>
        <v>50400</v>
      </c>
    </row>
    <row r="20" spans="1:8" ht="19" x14ac:dyDescent="0.35">
      <c r="A20" s="28"/>
      <c r="B20" s="89"/>
      <c r="C20" s="89"/>
      <c r="D20" s="89" t="s">
        <v>76</v>
      </c>
      <c r="E20" s="89">
        <v>0</v>
      </c>
      <c r="F20" s="89"/>
      <c r="G20" s="93" t="s">
        <v>16</v>
      </c>
      <c r="H20" s="97">
        <f>H16+H19</f>
        <v>152400</v>
      </c>
    </row>
    <row r="21" spans="1:8" x14ac:dyDescent="0.2">
      <c r="C21" s="89"/>
      <c r="D21" s="89" t="s">
        <v>63</v>
      </c>
      <c r="E21" s="89">
        <v>0</v>
      </c>
      <c r="F21" s="89"/>
      <c r="G21" s="90"/>
      <c r="H21" s="89"/>
    </row>
    <row r="22" spans="1:8" x14ac:dyDescent="0.2">
      <c r="A22" s="35"/>
      <c r="B22" s="91"/>
      <c r="C22" s="89"/>
      <c r="D22" s="91" t="s">
        <v>66</v>
      </c>
      <c r="E22" s="98">
        <f>SUM(E20:E21)</f>
        <v>0</v>
      </c>
      <c r="F22" s="89"/>
    </row>
    <row r="23" spans="1:8" x14ac:dyDescent="0.2">
      <c r="A23" s="35"/>
      <c r="B23" s="91"/>
      <c r="C23" s="89"/>
      <c r="D23" s="89"/>
      <c r="E23" s="89"/>
      <c r="F23" s="89"/>
      <c r="G23" s="89"/>
      <c r="H23" s="89"/>
    </row>
    <row r="24" spans="1:8" x14ac:dyDescent="0.2">
      <c r="A24" s="28"/>
      <c r="B24" s="89"/>
      <c r="C24" s="89"/>
      <c r="D24" s="89" t="s">
        <v>64</v>
      </c>
      <c r="E24" s="89">
        <f>E13+E17+E22</f>
        <v>2500</v>
      </c>
      <c r="F24" s="89"/>
      <c r="G24" s="89"/>
      <c r="H24" s="89"/>
    </row>
    <row r="25" spans="1:8" x14ac:dyDescent="0.2">
      <c r="A25" s="28"/>
      <c r="B25" s="89"/>
      <c r="C25" s="89"/>
      <c r="D25" s="89" t="s">
        <v>69</v>
      </c>
      <c r="E25" s="89">
        <v>121000</v>
      </c>
      <c r="F25" s="89"/>
      <c r="G25" s="89"/>
      <c r="H25" s="89"/>
    </row>
    <row r="26" spans="1:8" x14ac:dyDescent="0.2">
      <c r="B26" s="55"/>
      <c r="C26" s="55"/>
      <c r="D26" s="89" t="s">
        <v>70</v>
      </c>
      <c r="E26" s="55">
        <f>E24+E25</f>
        <v>123500</v>
      </c>
      <c r="F26" s="55"/>
      <c r="G26" s="55"/>
      <c r="H26" s="55"/>
    </row>
    <row r="27" spans="1:8" x14ac:dyDescent="0.2">
      <c r="B27" s="55"/>
      <c r="C27" s="55"/>
      <c r="D27" s="89"/>
      <c r="E27" s="89"/>
      <c r="F27" s="55"/>
      <c r="G27" s="55"/>
      <c r="H27" s="55"/>
    </row>
    <row r="28" spans="1:8" x14ac:dyDescent="0.2">
      <c r="B28" s="55"/>
      <c r="C28" s="55"/>
      <c r="D28" s="91" t="s">
        <v>80</v>
      </c>
      <c r="E28" s="55" t="str">
        <f>IF(E26=H5,"Yes","No")</f>
        <v>Yes</v>
      </c>
      <c r="F28" s="55"/>
      <c r="G28" s="93" t="s">
        <v>67</v>
      </c>
      <c r="H28" s="89" t="str">
        <f>IF(H11=H20,"Yes","No")</f>
        <v>Yes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D005F-EB82-5542-A7E6-E5C0577C589A}">
  <dimension ref="A1:H35"/>
  <sheetViews>
    <sheetView showGridLines="0" workbookViewId="0">
      <selection activeCell="G3" sqref="G3:H33"/>
    </sheetView>
  </sheetViews>
  <sheetFormatPr baseColWidth="10" defaultRowHeight="16" x14ac:dyDescent="0.2"/>
  <cols>
    <col min="1" max="1" width="42.5" bestFit="1" customWidth="1"/>
    <col min="2" max="2" width="10.5" bestFit="1" customWidth="1"/>
    <col min="4" max="4" width="35.33203125" bestFit="1" customWidth="1"/>
    <col min="5" max="5" width="12.5" bestFit="1" customWidth="1"/>
    <col min="7" max="7" width="30.33203125" bestFit="1" customWidth="1"/>
    <col min="8" max="8" width="12.5" bestFit="1" customWidth="1"/>
  </cols>
  <sheetData>
    <row r="1" spans="1:8" ht="21" x14ac:dyDescent="0.25">
      <c r="A1" s="27" t="s">
        <v>97</v>
      </c>
      <c r="B1" s="28"/>
      <c r="C1" s="28"/>
      <c r="D1" s="28"/>
      <c r="E1" s="28"/>
      <c r="F1" s="28"/>
      <c r="G1" s="28"/>
      <c r="H1" s="28"/>
    </row>
    <row r="2" spans="1:8" x14ac:dyDescent="0.2">
      <c r="A2" s="28"/>
      <c r="B2" s="28"/>
      <c r="C2" s="28"/>
      <c r="D2" s="28"/>
      <c r="E2" s="28"/>
      <c r="F2" s="28"/>
      <c r="G2" s="28"/>
      <c r="H2" s="28"/>
    </row>
    <row r="3" spans="1:8" ht="21" x14ac:dyDescent="0.25">
      <c r="A3" s="29" t="s">
        <v>29</v>
      </c>
      <c r="B3" s="30"/>
      <c r="C3" s="30"/>
      <c r="D3" s="31" t="s">
        <v>55</v>
      </c>
      <c r="E3" s="30"/>
      <c r="F3" s="28"/>
      <c r="G3" s="31" t="s">
        <v>32</v>
      </c>
      <c r="H3" s="28"/>
    </row>
    <row r="4" spans="1:8" x14ac:dyDescent="0.2">
      <c r="A4" s="93" t="s">
        <v>24</v>
      </c>
      <c r="B4" s="90"/>
      <c r="C4" s="90"/>
      <c r="D4" s="91" t="s">
        <v>56</v>
      </c>
      <c r="E4" s="90"/>
      <c r="F4" s="89"/>
      <c r="G4" s="93" t="s">
        <v>0</v>
      </c>
      <c r="H4" s="90"/>
    </row>
    <row r="5" spans="1:8" x14ac:dyDescent="0.2">
      <c r="A5" s="99" t="s">
        <v>77</v>
      </c>
      <c r="B5" s="55">
        <f>'Transaction History'!F24</f>
        <v>2500</v>
      </c>
      <c r="C5" s="88"/>
      <c r="D5" s="89" t="s">
        <v>31</v>
      </c>
      <c r="E5" s="90">
        <f>B15</f>
        <v>300</v>
      </c>
      <c r="F5" s="89"/>
      <c r="G5" s="55" t="s">
        <v>86</v>
      </c>
      <c r="H5" s="55"/>
    </row>
    <row r="6" spans="1:8" x14ac:dyDescent="0.2">
      <c r="A6" s="99" t="s">
        <v>78</v>
      </c>
      <c r="B6" s="55">
        <f>+'Transaction History'!F26</f>
        <v>600</v>
      </c>
      <c r="C6" s="89"/>
      <c r="D6" s="91" t="s">
        <v>57</v>
      </c>
      <c r="E6" s="89"/>
      <c r="F6" s="89"/>
      <c r="G6" s="100" t="s">
        <v>7</v>
      </c>
      <c r="H6" s="90">
        <f>121000+E24</f>
        <v>121500</v>
      </c>
    </row>
    <row r="7" spans="1:8" ht="19" x14ac:dyDescent="0.35">
      <c r="A7" s="101" t="s">
        <v>79</v>
      </c>
      <c r="B7" s="92">
        <f>SUM(B5:B6)</f>
        <v>3100</v>
      </c>
      <c r="C7" s="90"/>
      <c r="D7" s="89" t="s">
        <v>49</v>
      </c>
      <c r="E7" s="89">
        <f>-B13</f>
        <v>400</v>
      </c>
      <c r="F7" s="89"/>
      <c r="G7" s="99" t="s">
        <v>74</v>
      </c>
      <c r="H7" s="55">
        <f>-E9</f>
        <v>600</v>
      </c>
    </row>
    <row r="8" spans="1:8" ht="19" x14ac:dyDescent="0.35">
      <c r="A8" s="100" t="s">
        <v>43</v>
      </c>
      <c r="B8" s="92">
        <f>-'Transaction History'!E27</f>
        <v>-300</v>
      </c>
      <c r="C8" s="89"/>
      <c r="D8" s="91" t="s">
        <v>58</v>
      </c>
      <c r="E8" s="89"/>
      <c r="F8" s="89"/>
      <c r="G8" s="102" t="s">
        <v>36</v>
      </c>
      <c r="H8" s="89">
        <f>900-E10</f>
        <v>2600</v>
      </c>
    </row>
    <row r="9" spans="1:8" x14ac:dyDescent="0.2">
      <c r="A9" s="91" t="s">
        <v>44</v>
      </c>
      <c r="B9" s="91">
        <f>B7+B8</f>
        <v>2800</v>
      </c>
      <c r="C9" s="90"/>
      <c r="D9" s="89" t="s">
        <v>74</v>
      </c>
      <c r="E9" s="55">
        <f>-'Transaction History'!E25</f>
        <v>-600</v>
      </c>
      <c r="F9" s="89"/>
      <c r="G9" s="100" t="s">
        <v>20</v>
      </c>
      <c r="H9" s="90">
        <f>1100-E11</f>
        <v>1000</v>
      </c>
    </row>
    <row r="10" spans="1:8" x14ac:dyDescent="0.2">
      <c r="A10" s="93" t="s">
        <v>25</v>
      </c>
      <c r="B10" s="90"/>
      <c r="C10" s="88"/>
      <c r="D10" s="89" t="s">
        <v>36</v>
      </c>
      <c r="E10" s="89">
        <f>+'Transaction History'!F28-'Transaction History'!E29</f>
        <v>-1700</v>
      </c>
      <c r="F10" s="89"/>
      <c r="G10" s="75" t="s">
        <v>88</v>
      </c>
      <c r="H10" s="55">
        <f>SUM(H6:H9)</f>
        <v>125700</v>
      </c>
    </row>
    <row r="11" spans="1:8" x14ac:dyDescent="0.2">
      <c r="A11" s="102" t="s">
        <v>27</v>
      </c>
      <c r="B11" s="89">
        <f>-'Transaction History'!E33</f>
        <v>-100</v>
      </c>
      <c r="C11" s="88"/>
      <c r="D11" s="89" t="s">
        <v>20</v>
      </c>
      <c r="E11" s="90">
        <f>+'Transaction History'!F34</f>
        <v>100</v>
      </c>
      <c r="F11" s="89"/>
      <c r="G11" s="55"/>
      <c r="H11" s="55"/>
    </row>
    <row r="12" spans="1:8" x14ac:dyDescent="0.2">
      <c r="A12" s="100" t="s">
        <v>26</v>
      </c>
      <c r="B12" s="90">
        <f>-'Transaction History'!E31</f>
        <v>-2000</v>
      </c>
      <c r="C12" s="88"/>
      <c r="D12" s="89" t="s">
        <v>85</v>
      </c>
      <c r="E12" s="90">
        <f>+'Transaction History'!F30</f>
        <v>2000</v>
      </c>
      <c r="F12" s="89"/>
      <c r="G12" s="75" t="s">
        <v>87</v>
      </c>
      <c r="H12" s="55"/>
    </row>
    <row r="13" spans="1:8" ht="19" x14ac:dyDescent="0.35">
      <c r="A13" s="100" t="s">
        <v>49</v>
      </c>
      <c r="B13" s="92">
        <f>-'Transaction History'!E35</f>
        <v>-400</v>
      </c>
      <c r="C13" s="89"/>
      <c r="D13" s="91" t="s">
        <v>59</v>
      </c>
      <c r="E13" s="95">
        <f>SUM(E5:E12)</f>
        <v>500</v>
      </c>
      <c r="F13" s="89"/>
      <c r="G13" s="100" t="s">
        <v>52</v>
      </c>
      <c r="H13" s="90">
        <v>25000</v>
      </c>
    </row>
    <row r="14" spans="1:8" ht="19" x14ac:dyDescent="0.35">
      <c r="A14" s="93" t="s">
        <v>28</v>
      </c>
      <c r="B14" s="94">
        <f>SUM(B11:B13)</f>
        <v>-2500</v>
      </c>
      <c r="C14" s="89"/>
      <c r="D14" s="90"/>
      <c r="E14" s="90"/>
      <c r="F14" s="89"/>
      <c r="G14" s="100" t="s">
        <v>51</v>
      </c>
      <c r="H14" s="90">
        <f>-400-E7</f>
        <v>-800</v>
      </c>
    </row>
    <row r="15" spans="1:8" ht="19" x14ac:dyDescent="0.35">
      <c r="A15" s="93" t="s">
        <v>82</v>
      </c>
      <c r="B15" s="97">
        <f>B9+B14</f>
        <v>300</v>
      </c>
      <c r="C15" s="89"/>
      <c r="D15" s="91" t="s">
        <v>60</v>
      </c>
      <c r="E15" s="89"/>
      <c r="F15" s="89"/>
      <c r="G15" s="93" t="s">
        <v>91</v>
      </c>
      <c r="H15" s="55">
        <f>SUM(H13:H14)</f>
        <v>24200</v>
      </c>
    </row>
    <row r="16" spans="1:8" ht="19" x14ac:dyDescent="0.35">
      <c r="A16" s="89"/>
      <c r="B16" s="89"/>
      <c r="C16" s="89"/>
      <c r="D16" s="89" t="s">
        <v>61</v>
      </c>
      <c r="E16" s="89">
        <v>0</v>
      </c>
      <c r="F16" s="89"/>
      <c r="G16" s="93" t="s">
        <v>33</v>
      </c>
      <c r="H16" s="94">
        <f>H10+H15</f>
        <v>149900</v>
      </c>
    </row>
    <row r="17" spans="1:8" x14ac:dyDescent="0.2">
      <c r="A17" s="91" t="s">
        <v>45</v>
      </c>
      <c r="B17" s="91">
        <f>B9/B7</f>
        <v>0.90322580645161288</v>
      </c>
      <c r="C17" s="89"/>
      <c r="D17" s="91" t="s">
        <v>68</v>
      </c>
      <c r="E17" s="98">
        <f>SUM(E15:E16)</f>
        <v>0</v>
      </c>
      <c r="F17" s="89"/>
      <c r="G17" s="55"/>
      <c r="H17" s="55"/>
    </row>
    <row r="18" spans="1:8" x14ac:dyDescent="0.2">
      <c r="A18" s="89"/>
      <c r="B18" s="89"/>
      <c r="C18" s="89"/>
      <c r="D18" s="89"/>
      <c r="E18" s="89"/>
      <c r="F18" s="89"/>
      <c r="G18" s="93" t="s">
        <v>34</v>
      </c>
      <c r="H18" s="90"/>
    </row>
    <row r="19" spans="1:8" x14ac:dyDescent="0.2">
      <c r="A19" s="89"/>
      <c r="B19" s="89"/>
      <c r="C19" s="89"/>
      <c r="D19" s="91" t="s">
        <v>62</v>
      </c>
      <c r="E19" s="89"/>
      <c r="F19" s="89"/>
      <c r="G19" s="96" t="s">
        <v>89</v>
      </c>
      <c r="H19" s="55"/>
    </row>
    <row r="20" spans="1:8" ht="19" x14ac:dyDescent="0.35">
      <c r="A20" s="89"/>
      <c r="B20" s="89"/>
      <c r="C20" s="89"/>
      <c r="D20" s="89" t="s">
        <v>76</v>
      </c>
      <c r="E20" s="89">
        <v>0</v>
      </c>
      <c r="F20" s="89"/>
      <c r="G20" s="103" t="s">
        <v>85</v>
      </c>
      <c r="H20" s="92">
        <f>E12</f>
        <v>2000</v>
      </c>
    </row>
    <row r="21" spans="1:8" x14ac:dyDescent="0.2">
      <c r="A21" s="55"/>
      <c r="B21" s="55"/>
      <c r="C21" s="89"/>
      <c r="D21" s="89" t="s">
        <v>63</v>
      </c>
      <c r="E21" s="89">
        <v>0</v>
      </c>
      <c r="F21" s="89"/>
      <c r="G21" s="75" t="s">
        <v>90</v>
      </c>
      <c r="H21" s="55">
        <f>SUM(H20)</f>
        <v>2000</v>
      </c>
    </row>
    <row r="22" spans="1:8" x14ac:dyDescent="0.2">
      <c r="A22" s="91"/>
      <c r="B22" s="91"/>
      <c r="C22" s="89"/>
      <c r="D22" s="91" t="s">
        <v>66</v>
      </c>
      <c r="E22" s="98">
        <f>SUM(E20:E21)</f>
        <v>0</v>
      </c>
      <c r="F22" s="89"/>
      <c r="G22" s="55"/>
      <c r="H22" s="55"/>
    </row>
    <row r="23" spans="1:8" x14ac:dyDescent="0.2">
      <c r="A23" s="91"/>
      <c r="B23" s="91"/>
      <c r="C23" s="89"/>
      <c r="D23" s="89"/>
      <c r="E23" s="89"/>
      <c r="F23" s="89"/>
      <c r="G23" s="75" t="s">
        <v>93</v>
      </c>
      <c r="H23" s="55"/>
    </row>
    <row r="24" spans="1:8" x14ac:dyDescent="0.2">
      <c r="A24" s="89"/>
      <c r="B24" s="89"/>
      <c r="C24" s="89"/>
      <c r="D24" s="89" t="s">
        <v>64</v>
      </c>
      <c r="E24" s="89">
        <f>E13+E17+E22</f>
        <v>500</v>
      </c>
      <c r="F24" s="89"/>
      <c r="G24" s="96" t="s">
        <v>8</v>
      </c>
      <c r="H24" s="90">
        <v>100000</v>
      </c>
    </row>
    <row r="25" spans="1:8" x14ac:dyDescent="0.2">
      <c r="A25" s="89"/>
      <c r="B25" s="89"/>
      <c r="C25" s="89"/>
      <c r="D25" s="89" t="s">
        <v>69</v>
      </c>
      <c r="E25" s="89">
        <v>121000</v>
      </c>
      <c r="F25" s="89"/>
      <c r="G25" s="75" t="s">
        <v>92</v>
      </c>
      <c r="H25" s="55">
        <f>SUM(H24)</f>
        <v>100000</v>
      </c>
    </row>
    <row r="26" spans="1:8" x14ac:dyDescent="0.2">
      <c r="A26" s="55"/>
      <c r="B26" s="55"/>
      <c r="C26" s="55"/>
      <c r="D26" s="89" t="s">
        <v>70</v>
      </c>
      <c r="E26" s="55">
        <f>E24+E25</f>
        <v>121500</v>
      </c>
      <c r="F26" s="55"/>
      <c r="G26" s="55"/>
      <c r="H26" s="55"/>
    </row>
    <row r="27" spans="1:8" x14ac:dyDescent="0.2">
      <c r="A27" s="55"/>
      <c r="B27" s="55"/>
      <c r="C27" s="55"/>
      <c r="D27" s="89"/>
      <c r="E27" s="89"/>
      <c r="F27" s="55"/>
      <c r="G27" s="93" t="s">
        <v>14</v>
      </c>
      <c r="H27" s="93">
        <f>H21+H25</f>
        <v>102000</v>
      </c>
    </row>
    <row r="28" spans="1:8" x14ac:dyDescent="0.2">
      <c r="A28" s="55"/>
      <c r="B28" s="55"/>
      <c r="C28" s="55"/>
      <c r="D28" s="91" t="s">
        <v>80</v>
      </c>
      <c r="E28" s="55" t="str">
        <f>IF(E26=H6,"Yes","No")</f>
        <v>Yes</v>
      </c>
      <c r="F28" s="55"/>
      <c r="G28" s="55"/>
      <c r="H28" s="55"/>
    </row>
    <row r="29" spans="1:8" x14ac:dyDescent="0.2">
      <c r="A29" s="55"/>
      <c r="B29" s="55"/>
      <c r="C29" s="55"/>
      <c r="D29" s="55"/>
      <c r="E29" s="55"/>
      <c r="F29" s="55"/>
      <c r="G29" s="75" t="s">
        <v>94</v>
      </c>
      <c r="H29" s="55"/>
    </row>
    <row r="30" spans="1:8" x14ac:dyDescent="0.2">
      <c r="A30" s="55"/>
      <c r="B30" s="55"/>
      <c r="C30" s="55"/>
      <c r="D30" s="55"/>
      <c r="E30" s="55"/>
      <c r="F30" s="55"/>
      <c r="G30" s="100" t="s">
        <v>9</v>
      </c>
      <c r="H30" s="90">
        <v>50000</v>
      </c>
    </row>
    <row r="31" spans="1:8" ht="19" x14ac:dyDescent="0.35">
      <c r="A31" s="55"/>
      <c r="B31" s="55"/>
      <c r="C31" s="55"/>
      <c r="D31" s="55"/>
      <c r="E31" s="55"/>
      <c r="F31" s="55"/>
      <c r="G31" s="100" t="s">
        <v>81</v>
      </c>
      <c r="H31" s="92">
        <f>-2400+B15</f>
        <v>-2100</v>
      </c>
    </row>
    <row r="32" spans="1:8" ht="19" x14ac:dyDescent="0.35">
      <c r="A32" s="55"/>
      <c r="B32" s="55"/>
      <c r="C32" s="55"/>
      <c r="D32" s="55"/>
      <c r="E32" s="55"/>
      <c r="F32" s="55"/>
      <c r="G32" s="93" t="s">
        <v>15</v>
      </c>
      <c r="H32" s="94">
        <f>SUM(H30:H31)</f>
        <v>47900</v>
      </c>
    </row>
    <row r="33" spans="1:8" ht="19" x14ac:dyDescent="0.35">
      <c r="A33" s="55"/>
      <c r="B33" s="55"/>
      <c r="C33" s="55"/>
      <c r="D33" s="55"/>
      <c r="E33" s="55"/>
      <c r="F33" s="55"/>
      <c r="G33" s="93" t="s">
        <v>16</v>
      </c>
      <c r="H33" s="97">
        <f>H27+H32</f>
        <v>149900</v>
      </c>
    </row>
    <row r="34" spans="1:8" x14ac:dyDescent="0.2">
      <c r="A34" s="55"/>
      <c r="B34" s="55"/>
      <c r="C34" s="55"/>
      <c r="D34" s="55"/>
      <c r="E34" s="55"/>
      <c r="F34" s="55"/>
      <c r="G34" s="55"/>
      <c r="H34" s="55"/>
    </row>
    <row r="35" spans="1:8" x14ac:dyDescent="0.2">
      <c r="A35" s="55"/>
      <c r="B35" s="55"/>
      <c r="C35" s="55"/>
      <c r="D35" s="55"/>
      <c r="E35" s="55"/>
      <c r="F35" s="55"/>
      <c r="G35" s="93" t="s">
        <v>67</v>
      </c>
      <c r="H35" s="89" t="str">
        <f>IF(H16=H33,"Yes","No")</f>
        <v>Yes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86597-5A9A-F040-9291-8CDA0FA989D3}">
  <dimension ref="A1:N64"/>
  <sheetViews>
    <sheetView showGridLines="0" zoomScale="128" workbookViewId="0">
      <selection sqref="A1:H1048576"/>
    </sheetView>
  </sheetViews>
  <sheetFormatPr baseColWidth="10" defaultRowHeight="16" x14ac:dyDescent="0.2"/>
  <cols>
    <col min="1" max="1" width="37.5" bestFit="1" customWidth="1"/>
    <col min="4" max="4" width="35.33203125" bestFit="1" customWidth="1"/>
    <col min="5" max="5" width="13.1640625" bestFit="1" customWidth="1"/>
    <col min="7" max="7" width="32" bestFit="1" customWidth="1"/>
    <col min="8" max="8" width="13.1640625" bestFit="1" customWidth="1"/>
    <col min="10" max="14" width="11" bestFit="1" customWidth="1"/>
  </cols>
  <sheetData>
    <row r="1" spans="1:14" ht="21" x14ac:dyDescent="0.25">
      <c r="A1" s="27" t="s">
        <v>98</v>
      </c>
      <c r="B1" s="28"/>
      <c r="C1" s="28"/>
      <c r="D1" s="28"/>
      <c r="E1" s="28"/>
      <c r="F1" s="28"/>
      <c r="G1" s="28"/>
      <c r="H1" s="28"/>
    </row>
    <row r="2" spans="1:14" x14ac:dyDescent="0.2">
      <c r="A2" s="28"/>
      <c r="B2" s="28"/>
      <c r="C2" s="28"/>
      <c r="D2" s="28"/>
      <c r="E2" s="28"/>
      <c r="F2" s="28"/>
      <c r="G2" s="28"/>
      <c r="H2" s="28"/>
    </row>
    <row r="3" spans="1:14" ht="21" x14ac:dyDescent="0.25">
      <c r="A3" s="104" t="s">
        <v>29</v>
      </c>
      <c r="B3" s="105"/>
      <c r="C3" s="105"/>
      <c r="D3" s="106" t="s">
        <v>55</v>
      </c>
      <c r="E3" s="105"/>
      <c r="F3" s="89"/>
      <c r="G3" s="106" t="s">
        <v>32</v>
      </c>
      <c r="H3" s="89"/>
      <c r="J3" s="40" t="s">
        <v>100</v>
      </c>
    </row>
    <row r="4" spans="1:14" ht="21" x14ac:dyDescent="0.25">
      <c r="A4" s="104"/>
      <c r="B4" s="105"/>
      <c r="C4" s="105"/>
      <c r="D4" s="105"/>
      <c r="E4" s="105"/>
      <c r="F4" s="89"/>
      <c r="G4" s="90"/>
      <c r="H4" s="90"/>
      <c r="J4" s="41" t="s">
        <v>101</v>
      </c>
    </row>
    <row r="5" spans="1:14" x14ac:dyDescent="0.2">
      <c r="A5" s="93" t="s">
        <v>24</v>
      </c>
      <c r="B5" s="90"/>
      <c r="C5" s="90"/>
      <c r="D5" s="91" t="s">
        <v>56</v>
      </c>
      <c r="E5" s="90"/>
      <c r="F5" s="89"/>
      <c r="G5" s="93" t="s">
        <v>0</v>
      </c>
      <c r="H5" s="90"/>
      <c r="J5" s="41" t="s">
        <v>102</v>
      </c>
    </row>
    <row r="6" spans="1:14" x14ac:dyDescent="0.2">
      <c r="A6" s="99" t="s">
        <v>77</v>
      </c>
      <c r="B6" s="55">
        <f>'Transaction History'!F24</f>
        <v>2500</v>
      </c>
      <c r="C6" s="88"/>
      <c r="D6" s="89" t="s">
        <v>31</v>
      </c>
      <c r="E6" s="90">
        <f>B16</f>
        <v>300</v>
      </c>
      <c r="F6" s="89"/>
      <c r="G6" s="55" t="s">
        <v>86</v>
      </c>
      <c r="H6" s="55"/>
      <c r="J6" s="41" t="s">
        <v>103</v>
      </c>
    </row>
    <row r="7" spans="1:14" x14ac:dyDescent="0.2">
      <c r="A7" s="99" t="s">
        <v>78</v>
      </c>
      <c r="B7" s="55">
        <f>+'Transaction History'!F26</f>
        <v>600</v>
      </c>
      <c r="C7" s="89"/>
      <c r="D7" s="91" t="s">
        <v>57</v>
      </c>
      <c r="E7" s="89"/>
      <c r="F7" s="89"/>
      <c r="G7" s="99" t="s">
        <v>7</v>
      </c>
      <c r="H7" s="90">
        <f>121000+E25</f>
        <v>121500</v>
      </c>
      <c r="J7" s="41" t="s">
        <v>104</v>
      </c>
    </row>
    <row r="8" spans="1:14" ht="19" x14ac:dyDescent="0.35">
      <c r="A8" s="101" t="s">
        <v>79</v>
      </c>
      <c r="B8" s="92">
        <f>SUM(B6:B7)</f>
        <v>3100</v>
      </c>
      <c r="C8" s="90"/>
      <c r="D8" s="89" t="s">
        <v>49</v>
      </c>
      <c r="E8" s="89">
        <f>-B14</f>
        <v>400</v>
      </c>
      <c r="F8" s="89"/>
      <c r="G8" s="99" t="s">
        <v>74</v>
      </c>
      <c r="H8" s="55">
        <f>-E10</f>
        <v>600</v>
      </c>
      <c r="J8" s="41" t="s">
        <v>105</v>
      </c>
    </row>
    <row r="9" spans="1:14" ht="19" x14ac:dyDescent="0.35">
      <c r="A9" s="100" t="s">
        <v>43</v>
      </c>
      <c r="B9" s="92">
        <f>-'Transaction History'!E27</f>
        <v>-300</v>
      </c>
      <c r="C9" s="89"/>
      <c r="D9" s="91" t="s">
        <v>58</v>
      </c>
      <c r="E9" s="89"/>
      <c r="F9" s="89"/>
      <c r="G9" s="99" t="s">
        <v>36</v>
      </c>
      <c r="H9" s="89">
        <f>900-E11</f>
        <v>2600</v>
      </c>
      <c r="J9" s="1" t="s">
        <v>106</v>
      </c>
    </row>
    <row r="10" spans="1:14" x14ac:dyDescent="0.2">
      <c r="A10" s="91" t="s">
        <v>44</v>
      </c>
      <c r="B10" s="91">
        <f>B8+B9</f>
        <v>2800</v>
      </c>
      <c r="C10" s="90"/>
      <c r="D10" s="89" t="s">
        <v>74</v>
      </c>
      <c r="E10" s="55">
        <f>-'Transaction History'!E25</f>
        <v>-600</v>
      </c>
      <c r="F10" s="89"/>
      <c r="G10" s="99" t="s">
        <v>20</v>
      </c>
      <c r="H10" s="90">
        <f>1100-E12</f>
        <v>1000</v>
      </c>
      <c r="J10" s="41" t="s">
        <v>107</v>
      </c>
    </row>
    <row r="11" spans="1:14" x14ac:dyDescent="0.2">
      <c r="A11" s="93" t="s">
        <v>25</v>
      </c>
      <c r="B11" s="90"/>
      <c r="C11" s="88"/>
      <c r="D11" s="89" t="s">
        <v>36</v>
      </c>
      <c r="E11" s="89">
        <f>+'Transaction History'!F28-'Transaction History'!E29</f>
        <v>-1700</v>
      </c>
      <c r="F11" s="89"/>
      <c r="G11" s="75" t="s">
        <v>88</v>
      </c>
      <c r="H11" s="55">
        <f>SUM(H7:H10)</f>
        <v>125700</v>
      </c>
      <c r="J11" s="42" t="s">
        <v>108</v>
      </c>
      <c r="K11" s="42" t="s">
        <v>109</v>
      </c>
      <c r="L11" s="42" t="s">
        <v>110</v>
      </c>
      <c r="M11" s="42" t="s">
        <v>111</v>
      </c>
      <c r="N11" s="42" t="s">
        <v>112</v>
      </c>
    </row>
    <row r="12" spans="1:14" x14ac:dyDescent="0.2">
      <c r="A12" s="102" t="s">
        <v>27</v>
      </c>
      <c r="B12" s="89">
        <f>-'Transaction History'!E33</f>
        <v>-100</v>
      </c>
      <c r="C12" s="88"/>
      <c r="D12" s="89" t="s">
        <v>20</v>
      </c>
      <c r="E12" s="90">
        <f>+'Transaction History'!F34</f>
        <v>100</v>
      </c>
      <c r="F12" s="89"/>
      <c r="G12" s="55"/>
      <c r="H12" s="55"/>
      <c r="J12" s="41">
        <v>1</v>
      </c>
      <c r="K12" s="43">
        <v>3000</v>
      </c>
      <c r="L12" s="43">
        <v>2080</v>
      </c>
      <c r="M12" s="41">
        <v>920</v>
      </c>
      <c r="N12" s="43">
        <v>97920</v>
      </c>
    </row>
    <row r="13" spans="1:14" x14ac:dyDescent="0.2">
      <c r="A13" s="100" t="s">
        <v>26</v>
      </c>
      <c r="B13" s="90">
        <f>-'Transaction History'!E31</f>
        <v>-2000</v>
      </c>
      <c r="C13" s="88"/>
      <c r="D13" s="89" t="s">
        <v>85</v>
      </c>
      <c r="E13" s="90">
        <f>+'Transaction History'!F30</f>
        <v>2000</v>
      </c>
      <c r="F13" s="89"/>
      <c r="G13" s="55" t="s">
        <v>87</v>
      </c>
      <c r="H13" s="55"/>
      <c r="J13" s="41">
        <v>2</v>
      </c>
      <c r="K13" s="43">
        <v>3000</v>
      </c>
      <c r="L13" s="43">
        <v>2099.14</v>
      </c>
      <c r="M13" s="41">
        <v>900.86</v>
      </c>
      <c r="N13" s="43">
        <v>95820.86</v>
      </c>
    </row>
    <row r="14" spans="1:14" ht="19" x14ac:dyDescent="0.35">
      <c r="A14" s="100" t="s">
        <v>49</v>
      </c>
      <c r="B14" s="92">
        <f>-'Transaction History'!E35</f>
        <v>-400</v>
      </c>
      <c r="C14" s="89"/>
      <c r="D14" s="91" t="s">
        <v>59</v>
      </c>
      <c r="E14" s="95">
        <f>SUM(E6:E13)</f>
        <v>500</v>
      </c>
      <c r="F14" s="89"/>
      <c r="G14" s="99" t="s">
        <v>52</v>
      </c>
      <c r="H14" s="90">
        <v>25000</v>
      </c>
      <c r="J14" s="41">
        <v>3</v>
      </c>
      <c r="K14" s="43">
        <v>3000</v>
      </c>
      <c r="L14" s="43">
        <v>2118.4499999999998</v>
      </c>
      <c r="M14" s="41">
        <v>881.55</v>
      </c>
      <c r="N14" s="43">
        <v>93702.41</v>
      </c>
    </row>
    <row r="15" spans="1:14" ht="19" x14ac:dyDescent="0.35">
      <c r="A15" s="93" t="s">
        <v>28</v>
      </c>
      <c r="B15" s="94">
        <f>SUM(B12:B14)</f>
        <v>-2500</v>
      </c>
      <c r="C15" s="89"/>
      <c r="D15" s="90"/>
      <c r="E15" s="90"/>
      <c r="F15" s="89"/>
      <c r="G15" s="99" t="s">
        <v>51</v>
      </c>
      <c r="H15" s="90">
        <f>-400-E8</f>
        <v>-800</v>
      </c>
      <c r="J15" s="41">
        <v>4</v>
      </c>
      <c r="K15" s="43">
        <v>3000</v>
      </c>
      <c r="L15" s="43">
        <v>2137.94</v>
      </c>
      <c r="M15" s="41">
        <v>862.06</v>
      </c>
      <c r="N15" s="43">
        <v>91564.47</v>
      </c>
    </row>
    <row r="16" spans="1:14" ht="19" x14ac:dyDescent="0.35">
      <c r="A16" s="93" t="s">
        <v>82</v>
      </c>
      <c r="B16" s="97">
        <f>B10+B15</f>
        <v>300</v>
      </c>
      <c r="C16" s="89"/>
      <c r="D16" s="91" t="s">
        <v>60</v>
      </c>
      <c r="E16" s="89"/>
      <c r="F16" s="89"/>
      <c r="G16" s="75" t="s">
        <v>91</v>
      </c>
      <c r="H16" s="55">
        <f>SUM(H14:H15)</f>
        <v>24200</v>
      </c>
      <c r="J16" s="41" t="s">
        <v>113</v>
      </c>
      <c r="K16" s="41"/>
      <c r="L16" s="43">
        <v>8435.5300000000007</v>
      </c>
      <c r="M16" s="43">
        <v>3564.47</v>
      </c>
      <c r="N16" s="41"/>
    </row>
    <row r="17" spans="1:14" ht="19" x14ac:dyDescent="0.35">
      <c r="A17" s="89"/>
      <c r="B17" s="89"/>
      <c r="C17" s="89"/>
      <c r="D17" s="89" t="s">
        <v>61</v>
      </c>
      <c r="E17" s="89">
        <v>0</v>
      </c>
      <c r="F17" s="89"/>
      <c r="G17" s="75" t="s">
        <v>33</v>
      </c>
      <c r="H17" s="94">
        <f>H11+H16</f>
        <v>149900</v>
      </c>
      <c r="J17" s="41">
        <v>5</v>
      </c>
      <c r="K17" s="43">
        <v>3000</v>
      </c>
      <c r="L17" s="43">
        <v>2157.61</v>
      </c>
      <c r="M17" s="41">
        <v>842.39</v>
      </c>
      <c r="N17" s="43">
        <v>89406.86</v>
      </c>
    </row>
    <row r="18" spans="1:14" x14ac:dyDescent="0.2">
      <c r="A18" s="89"/>
      <c r="B18" s="89"/>
      <c r="C18" s="89"/>
      <c r="D18" s="91" t="s">
        <v>68</v>
      </c>
      <c r="E18" s="98">
        <f>SUM(E16:E17)</f>
        <v>0</v>
      </c>
      <c r="F18" s="89"/>
      <c r="G18" s="55"/>
      <c r="H18" s="55"/>
      <c r="J18" s="41">
        <v>6</v>
      </c>
      <c r="K18" s="43">
        <v>3000</v>
      </c>
      <c r="L18" s="43">
        <v>2177.46</v>
      </c>
      <c r="M18" s="41">
        <v>822.54</v>
      </c>
      <c r="N18" s="43">
        <v>87229.4</v>
      </c>
    </row>
    <row r="19" spans="1:14" x14ac:dyDescent="0.2">
      <c r="A19" s="89"/>
      <c r="B19" s="89"/>
      <c r="C19" s="89"/>
      <c r="D19" s="89"/>
      <c r="E19" s="89"/>
      <c r="F19" s="89"/>
      <c r="G19" s="75" t="s">
        <v>34</v>
      </c>
      <c r="H19" s="90"/>
      <c r="J19" s="41">
        <v>7</v>
      </c>
      <c r="K19" s="43">
        <v>3000</v>
      </c>
      <c r="L19" s="43">
        <v>2197.4899999999998</v>
      </c>
      <c r="M19" s="41">
        <v>802.51</v>
      </c>
      <c r="N19" s="43">
        <v>85031.91</v>
      </c>
    </row>
    <row r="20" spans="1:14" x14ac:dyDescent="0.2">
      <c r="A20" s="89"/>
      <c r="B20" s="89"/>
      <c r="C20" s="89"/>
      <c r="D20" s="91" t="s">
        <v>62</v>
      </c>
      <c r="E20" s="89"/>
      <c r="F20" s="89"/>
      <c r="G20" s="55" t="s">
        <v>89</v>
      </c>
      <c r="H20" s="55"/>
      <c r="J20" s="41">
        <v>8</v>
      </c>
      <c r="K20" s="43">
        <v>3000</v>
      </c>
      <c r="L20" s="43">
        <v>2217.71</v>
      </c>
      <c r="M20" s="41">
        <v>782.29</v>
      </c>
      <c r="N20" s="43">
        <v>82814.2</v>
      </c>
    </row>
    <row r="21" spans="1:14" x14ac:dyDescent="0.2">
      <c r="A21" s="89"/>
      <c r="B21" s="89"/>
      <c r="C21" s="89"/>
      <c r="D21" s="89" t="s">
        <v>76</v>
      </c>
      <c r="E21" s="89">
        <v>0</v>
      </c>
      <c r="F21" s="89"/>
      <c r="G21" s="99" t="s">
        <v>85</v>
      </c>
      <c r="H21" s="90">
        <f>E13</f>
        <v>2000</v>
      </c>
      <c r="J21" s="41" t="s">
        <v>114</v>
      </c>
      <c r="K21" s="41"/>
      <c r="L21" s="43">
        <v>8750.27</v>
      </c>
      <c r="M21" s="43">
        <v>3249.73</v>
      </c>
      <c r="N21" s="41"/>
    </row>
    <row r="22" spans="1:14" x14ac:dyDescent="0.2">
      <c r="A22" s="91" t="s">
        <v>45</v>
      </c>
      <c r="B22" s="91">
        <f>B10/B8</f>
        <v>0.90322580645161288</v>
      </c>
      <c r="C22" s="89"/>
      <c r="D22" s="89" t="s">
        <v>63</v>
      </c>
      <c r="E22" s="89">
        <v>0</v>
      </c>
      <c r="F22" s="89"/>
      <c r="G22" s="99" t="s">
        <v>127</v>
      </c>
      <c r="H22" s="90">
        <f>'Transaction History'!F40</f>
        <v>306.67</v>
      </c>
      <c r="J22" s="41">
        <v>9</v>
      </c>
      <c r="K22" s="43">
        <v>3000</v>
      </c>
      <c r="L22" s="43">
        <v>2238.11</v>
      </c>
      <c r="M22" s="41">
        <v>761.89</v>
      </c>
      <c r="N22" s="43">
        <v>80576.09</v>
      </c>
    </row>
    <row r="23" spans="1:14" ht="19" x14ac:dyDescent="0.35">
      <c r="A23" s="91"/>
      <c r="B23" s="91"/>
      <c r="C23" s="89"/>
      <c r="D23" s="91" t="s">
        <v>66</v>
      </c>
      <c r="E23" s="98">
        <f>SUM(E21:E22)</f>
        <v>0</v>
      </c>
      <c r="F23" s="89"/>
      <c r="G23" s="99" t="s">
        <v>99</v>
      </c>
      <c r="H23" s="92">
        <f>'Transaction History'!E37</f>
        <v>8435.5300000000007</v>
      </c>
      <c r="J23" s="41">
        <v>10</v>
      </c>
      <c r="K23" s="43">
        <v>3000</v>
      </c>
      <c r="L23" s="43">
        <v>2258.6999999999998</v>
      </c>
      <c r="M23" s="41">
        <v>741.3</v>
      </c>
      <c r="N23" s="43">
        <v>78317.39</v>
      </c>
    </row>
    <row r="24" spans="1:14" x14ac:dyDescent="0.2">
      <c r="A24" s="91"/>
      <c r="B24" s="91"/>
      <c r="C24" s="89"/>
      <c r="D24" s="89"/>
      <c r="E24" s="89"/>
      <c r="F24" s="89"/>
      <c r="G24" s="75" t="s">
        <v>90</v>
      </c>
      <c r="H24" s="75">
        <f>SUM(H21:H23)</f>
        <v>10742.2</v>
      </c>
      <c r="J24" s="41">
        <v>11</v>
      </c>
      <c r="K24" s="43">
        <v>3000</v>
      </c>
      <c r="L24" s="43">
        <v>2279.48</v>
      </c>
      <c r="M24" s="41">
        <v>720.52</v>
      </c>
      <c r="N24" s="43">
        <v>76037.91</v>
      </c>
    </row>
    <row r="25" spans="1:14" x14ac:dyDescent="0.2">
      <c r="A25" s="89"/>
      <c r="B25" s="89"/>
      <c r="C25" s="89"/>
      <c r="D25" s="89" t="s">
        <v>64</v>
      </c>
      <c r="E25" s="89">
        <f>E14+E18+E23</f>
        <v>500</v>
      </c>
      <c r="F25" s="89"/>
      <c r="G25" s="55"/>
      <c r="H25" s="55"/>
      <c r="J25" s="41">
        <v>12</v>
      </c>
      <c r="K25" s="43">
        <v>3000</v>
      </c>
      <c r="L25" s="43">
        <v>2300.4499999999998</v>
      </c>
      <c r="M25" s="41">
        <v>699.55</v>
      </c>
      <c r="N25" s="43">
        <v>73737.460000000006</v>
      </c>
    </row>
    <row r="26" spans="1:14" x14ac:dyDescent="0.2">
      <c r="A26" s="89"/>
      <c r="B26" s="89"/>
      <c r="C26" s="89"/>
      <c r="D26" s="89" t="s">
        <v>69</v>
      </c>
      <c r="E26" s="89">
        <v>121000</v>
      </c>
      <c r="F26" s="89"/>
      <c r="G26" s="55" t="s">
        <v>93</v>
      </c>
      <c r="H26" s="55"/>
      <c r="J26" s="41" t="s">
        <v>115</v>
      </c>
      <c r="K26" s="41"/>
      <c r="L26" s="43">
        <v>9076.74</v>
      </c>
      <c r="M26" s="43">
        <v>2923.26</v>
      </c>
      <c r="N26" s="41"/>
    </row>
    <row r="27" spans="1:14" ht="19" x14ac:dyDescent="0.35">
      <c r="A27" s="55"/>
      <c r="B27" s="55"/>
      <c r="C27" s="55"/>
      <c r="D27" s="89" t="s">
        <v>70</v>
      </c>
      <c r="E27" s="55">
        <f>E25+E26</f>
        <v>121500</v>
      </c>
      <c r="F27" s="55"/>
      <c r="G27" s="99" t="s">
        <v>8</v>
      </c>
      <c r="H27" s="92">
        <f>100000-'Transaction History'!F38</f>
        <v>91564.47</v>
      </c>
      <c r="J27" s="41">
        <v>13</v>
      </c>
      <c r="K27" s="43">
        <v>3000</v>
      </c>
      <c r="L27" s="43">
        <v>2321.62</v>
      </c>
      <c r="M27" s="41">
        <v>678.38</v>
      </c>
      <c r="N27" s="43">
        <v>71415.839999999997</v>
      </c>
    </row>
    <row r="28" spans="1:14" x14ac:dyDescent="0.2">
      <c r="A28" s="55"/>
      <c r="B28" s="55"/>
      <c r="C28" s="55"/>
      <c r="D28" s="89"/>
      <c r="E28" s="89"/>
      <c r="F28" s="55"/>
      <c r="G28" s="75" t="s">
        <v>92</v>
      </c>
      <c r="H28" s="75">
        <f>SUM(H27)</f>
        <v>91564.47</v>
      </c>
      <c r="J28" s="41">
        <v>14</v>
      </c>
      <c r="K28" s="43">
        <v>3000</v>
      </c>
      <c r="L28" s="43">
        <v>2342.9699999999998</v>
      </c>
      <c r="M28" s="41">
        <v>657.03</v>
      </c>
      <c r="N28" s="43">
        <v>69072.87</v>
      </c>
    </row>
    <row r="29" spans="1:14" x14ac:dyDescent="0.2">
      <c r="A29" s="55"/>
      <c r="B29" s="55"/>
      <c r="C29" s="55"/>
      <c r="D29" s="91" t="s">
        <v>80</v>
      </c>
      <c r="E29" s="55" t="str">
        <f>IF(E27=H7,"Yes","No")</f>
        <v>Yes</v>
      </c>
      <c r="F29" s="55"/>
      <c r="G29" s="55"/>
      <c r="H29" s="55"/>
      <c r="J29" s="41">
        <v>15</v>
      </c>
      <c r="K29" s="43">
        <v>3000</v>
      </c>
      <c r="L29" s="43">
        <v>2364.5300000000002</v>
      </c>
      <c r="M29" s="41">
        <v>635.47</v>
      </c>
      <c r="N29" s="43">
        <v>66708.34</v>
      </c>
    </row>
    <row r="30" spans="1:14" x14ac:dyDescent="0.2">
      <c r="A30" s="55"/>
      <c r="B30" s="55"/>
      <c r="C30" s="55"/>
      <c r="D30" s="55"/>
      <c r="E30" s="55"/>
      <c r="F30" s="55"/>
      <c r="G30" s="75" t="s">
        <v>14</v>
      </c>
      <c r="H30" s="93">
        <f>H24+H28</f>
        <v>102306.67</v>
      </c>
      <c r="J30" s="41">
        <v>16</v>
      </c>
      <c r="K30" s="43">
        <v>3000</v>
      </c>
      <c r="L30" s="43">
        <v>2386.2800000000002</v>
      </c>
      <c r="M30" s="41">
        <v>613.72</v>
      </c>
      <c r="N30" s="43">
        <v>64322.06</v>
      </c>
    </row>
    <row r="31" spans="1:14" x14ac:dyDescent="0.2">
      <c r="A31" s="55"/>
      <c r="B31" s="55"/>
      <c r="C31" s="55"/>
      <c r="D31" s="55"/>
      <c r="E31" s="55"/>
      <c r="F31" s="55"/>
      <c r="G31" s="55"/>
      <c r="H31" s="55"/>
      <c r="J31" s="41" t="s">
        <v>116</v>
      </c>
      <c r="K31" s="41"/>
      <c r="L31" s="43">
        <v>9415.4</v>
      </c>
      <c r="M31" s="43">
        <v>2584.6</v>
      </c>
      <c r="N31" s="41"/>
    </row>
    <row r="32" spans="1:14" x14ac:dyDescent="0.2">
      <c r="A32" s="55"/>
      <c r="B32" s="55"/>
      <c r="C32" s="55"/>
      <c r="D32" s="55"/>
      <c r="E32" s="55"/>
      <c r="F32" s="55"/>
      <c r="G32" s="75" t="s">
        <v>94</v>
      </c>
      <c r="H32" s="55"/>
      <c r="J32" s="41">
        <v>17</v>
      </c>
      <c r="K32" s="43">
        <v>3000</v>
      </c>
      <c r="L32" s="43">
        <v>2408.2399999999998</v>
      </c>
      <c r="M32" s="41">
        <v>591.76</v>
      </c>
      <c r="N32" s="43">
        <v>61913.82</v>
      </c>
    </row>
    <row r="33" spans="1:14" x14ac:dyDescent="0.2">
      <c r="A33" s="55"/>
      <c r="B33" s="55"/>
      <c r="C33" s="55"/>
      <c r="D33" s="55"/>
      <c r="E33" s="55"/>
      <c r="F33" s="55"/>
      <c r="G33" s="99" t="s">
        <v>9</v>
      </c>
      <c r="H33" s="90">
        <v>50000</v>
      </c>
      <c r="J33" s="41">
        <v>18</v>
      </c>
      <c r="K33" s="43">
        <v>3000</v>
      </c>
      <c r="L33" s="43">
        <v>2430.39</v>
      </c>
      <c r="M33" s="41">
        <v>569.61</v>
      </c>
      <c r="N33" s="43">
        <v>59483.43</v>
      </c>
    </row>
    <row r="34" spans="1:14" ht="19" x14ac:dyDescent="0.35">
      <c r="A34" s="55"/>
      <c r="B34" s="55"/>
      <c r="C34" s="55"/>
      <c r="D34" s="55"/>
      <c r="E34" s="55"/>
      <c r="F34" s="55"/>
      <c r="G34" s="99" t="s">
        <v>133</v>
      </c>
      <c r="H34" s="92">
        <f>-2400+B16-'Transaction History'!E39</f>
        <v>-2406.67</v>
      </c>
      <c r="J34" s="41">
        <v>19</v>
      </c>
      <c r="K34" s="43">
        <v>3000</v>
      </c>
      <c r="L34" s="43">
        <v>2452.75</v>
      </c>
      <c r="M34" s="41">
        <v>547.25</v>
      </c>
      <c r="N34" s="43">
        <v>57030.68</v>
      </c>
    </row>
    <row r="35" spans="1:14" ht="19" x14ac:dyDescent="0.35">
      <c r="A35" s="55"/>
      <c r="B35" s="55"/>
      <c r="C35" s="55"/>
      <c r="D35" s="55"/>
      <c r="E35" s="55"/>
      <c r="F35" s="55"/>
      <c r="G35" s="75" t="s">
        <v>15</v>
      </c>
      <c r="H35" s="94">
        <f>SUM(H33:H34)</f>
        <v>47593.33</v>
      </c>
      <c r="J35" s="41">
        <v>20</v>
      </c>
      <c r="K35" s="43">
        <v>3000</v>
      </c>
      <c r="L35" s="43">
        <v>2475.3200000000002</v>
      </c>
      <c r="M35" s="41">
        <v>524.67999999999995</v>
      </c>
      <c r="N35" s="43">
        <v>54555.360000000001</v>
      </c>
    </row>
    <row r="36" spans="1:14" ht="19" x14ac:dyDescent="0.35">
      <c r="A36" s="55"/>
      <c r="B36" s="55"/>
      <c r="C36" s="55"/>
      <c r="D36" s="55"/>
      <c r="E36" s="55"/>
      <c r="F36" s="55"/>
      <c r="G36" s="75" t="s">
        <v>16</v>
      </c>
      <c r="H36" s="97">
        <f>H30+H35</f>
        <v>149900</v>
      </c>
      <c r="J36" s="41" t="s">
        <v>117</v>
      </c>
      <c r="K36" s="41"/>
      <c r="L36" s="43">
        <v>9766.7000000000007</v>
      </c>
      <c r="M36" s="43">
        <v>2233.3000000000002</v>
      </c>
      <c r="N36" s="41"/>
    </row>
    <row r="37" spans="1:14" x14ac:dyDescent="0.2">
      <c r="A37" s="55"/>
      <c r="B37" s="55"/>
      <c r="C37" s="55"/>
      <c r="D37" s="55"/>
      <c r="E37" s="55"/>
      <c r="F37" s="55"/>
      <c r="G37" s="55"/>
      <c r="H37" s="55"/>
      <c r="J37" s="41">
        <v>21</v>
      </c>
      <c r="K37" s="43">
        <v>3000</v>
      </c>
      <c r="L37" s="43">
        <v>2498.09</v>
      </c>
      <c r="M37" s="41">
        <v>501.91</v>
      </c>
      <c r="N37" s="43">
        <v>52057.27</v>
      </c>
    </row>
    <row r="38" spans="1:14" x14ac:dyDescent="0.2">
      <c r="G38" s="55" t="s">
        <v>67</v>
      </c>
      <c r="H38" s="89" t="str">
        <f>IF(H17=H36,"Yes","No")</f>
        <v>Yes</v>
      </c>
      <c r="J38" s="41">
        <v>22</v>
      </c>
      <c r="K38" s="43">
        <v>3000</v>
      </c>
      <c r="L38" s="43">
        <v>2521.0700000000002</v>
      </c>
      <c r="M38" s="41">
        <v>478.93</v>
      </c>
      <c r="N38" s="43">
        <v>49536.2</v>
      </c>
    </row>
    <row r="39" spans="1:14" x14ac:dyDescent="0.2">
      <c r="J39" s="41">
        <v>23</v>
      </c>
      <c r="K39" s="43">
        <v>3000</v>
      </c>
      <c r="L39" s="43">
        <v>2544.27</v>
      </c>
      <c r="M39" s="41">
        <v>455.73</v>
      </c>
      <c r="N39" s="43">
        <v>46991.93</v>
      </c>
    </row>
    <row r="40" spans="1:14" x14ac:dyDescent="0.2">
      <c r="J40" s="41">
        <v>24</v>
      </c>
      <c r="K40" s="43">
        <v>3000</v>
      </c>
      <c r="L40" s="43">
        <v>2567.67</v>
      </c>
      <c r="M40" s="41">
        <v>432.33</v>
      </c>
      <c r="N40" s="43">
        <v>44424.26</v>
      </c>
    </row>
    <row r="41" spans="1:14" x14ac:dyDescent="0.2">
      <c r="J41" s="41" t="s">
        <v>118</v>
      </c>
      <c r="K41" s="41"/>
      <c r="L41" s="43">
        <v>10131.1</v>
      </c>
      <c r="M41" s="43">
        <v>1868.9</v>
      </c>
      <c r="N41" s="41"/>
    </row>
    <row r="42" spans="1:14" x14ac:dyDescent="0.2">
      <c r="J42" s="41">
        <v>25</v>
      </c>
      <c r="K42" s="43">
        <v>3000</v>
      </c>
      <c r="L42" s="43">
        <v>2591.3000000000002</v>
      </c>
      <c r="M42" s="41">
        <v>408.7</v>
      </c>
      <c r="N42" s="43">
        <v>41832.959999999999</v>
      </c>
    </row>
    <row r="43" spans="1:14" x14ac:dyDescent="0.2">
      <c r="J43" s="41">
        <v>26</v>
      </c>
      <c r="K43" s="43">
        <v>3000</v>
      </c>
      <c r="L43" s="43">
        <v>2615.14</v>
      </c>
      <c r="M43" s="41">
        <v>384.86</v>
      </c>
      <c r="N43" s="43">
        <v>39217.82</v>
      </c>
    </row>
    <row r="44" spans="1:14" x14ac:dyDescent="0.2">
      <c r="J44" s="41">
        <v>27</v>
      </c>
      <c r="K44" s="43">
        <v>3000</v>
      </c>
      <c r="L44" s="43">
        <v>2639.2</v>
      </c>
      <c r="M44" s="41">
        <v>360.8</v>
      </c>
      <c r="N44" s="43">
        <v>36578.620000000003</v>
      </c>
    </row>
    <row r="45" spans="1:14" x14ac:dyDescent="0.2">
      <c r="J45" s="41">
        <v>28</v>
      </c>
      <c r="K45" s="43">
        <v>3000</v>
      </c>
      <c r="L45" s="43">
        <v>2663.48</v>
      </c>
      <c r="M45" s="41">
        <v>336.52</v>
      </c>
      <c r="N45" s="43">
        <v>33915.14</v>
      </c>
    </row>
    <row r="46" spans="1:14" x14ac:dyDescent="0.2">
      <c r="J46" s="41" t="s">
        <v>119</v>
      </c>
      <c r="K46" s="41"/>
      <c r="L46" s="43">
        <v>10509.12</v>
      </c>
      <c r="M46" s="43">
        <v>1490.88</v>
      </c>
      <c r="N46" s="41"/>
    </row>
    <row r="47" spans="1:14" x14ac:dyDescent="0.2">
      <c r="J47" s="41">
        <v>29</v>
      </c>
      <c r="K47" s="43">
        <v>3000</v>
      </c>
      <c r="L47" s="43">
        <v>2687.98</v>
      </c>
      <c r="M47" s="41">
        <v>312.02</v>
      </c>
      <c r="N47" s="43">
        <v>31227.16</v>
      </c>
    </row>
    <row r="48" spans="1:14" x14ac:dyDescent="0.2">
      <c r="J48" s="41">
        <v>30</v>
      </c>
      <c r="K48" s="43">
        <v>3000</v>
      </c>
      <c r="L48" s="43">
        <v>2712.71</v>
      </c>
      <c r="M48" s="41">
        <v>287.29000000000002</v>
      </c>
      <c r="N48" s="43">
        <v>28514.45</v>
      </c>
    </row>
    <row r="49" spans="10:14" x14ac:dyDescent="0.2">
      <c r="J49" s="41">
        <v>31</v>
      </c>
      <c r="K49" s="43">
        <v>3000</v>
      </c>
      <c r="L49" s="43">
        <v>2737.67</v>
      </c>
      <c r="M49" s="41">
        <v>262.33</v>
      </c>
      <c r="N49" s="43">
        <v>25776.78</v>
      </c>
    </row>
    <row r="50" spans="10:14" x14ac:dyDescent="0.2">
      <c r="J50" s="41">
        <v>32</v>
      </c>
      <c r="K50" s="43">
        <v>3000</v>
      </c>
      <c r="L50" s="43">
        <v>2762.85</v>
      </c>
      <c r="M50" s="41">
        <v>237.15</v>
      </c>
      <c r="N50" s="43">
        <v>23013.93</v>
      </c>
    </row>
    <row r="51" spans="10:14" x14ac:dyDescent="0.2">
      <c r="J51" s="41" t="s">
        <v>120</v>
      </c>
      <c r="K51" s="41"/>
      <c r="L51" s="43">
        <v>10901.21</v>
      </c>
      <c r="M51" s="43">
        <v>1098.79</v>
      </c>
      <c r="N51" s="41"/>
    </row>
    <row r="52" spans="10:14" x14ac:dyDescent="0.2">
      <c r="J52" s="41">
        <v>33</v>
      </c>
      <c r="K52" s="43">
        <v>3000</v>
      </c>
      <c r="L52" s="43">
        <v>2788.27</v>
      </c>
      <c r="M52" s="41">
        <v>211.73</v>
      </c>
      <c r="N52" s="43">
        <v>20225.66</v>
      </c>
    </row>
    <row r="53" spans="10:14" x14ac:dyDescent="0.2">
      <c r="J53" s="41">
        <v>34</v>
      </c>
      <c r="K53" s="43">
        <v>3000</v>
      </c>
      <c r="L53" s="43">
        <v>2813.92</v>
      </c>
      <c r="M53" s="41">
        <v>186.08</v>
      </c>
      <c r="N53" s="43">
        <v>17411.740000000002</v>
      </c>
    </row>
    <row r="54" spans="10:14" x14ac:dyDescent="0.2">
      <c r="J54" s="41">
        <v>35</v>
      </c>
      <c r="K54" s="43">
        <v>3000</v>
      </c>
      <c r="L54" s="43">
        <v>2839.81</v>
      </c>
      <c r="M54" s="41">
        <v>160.19</v>
      </c>
      <c r="N54" s="43">
        <v>14571.93</v>
      </c>
    </row>
    <row r="55" spans="10:14" x14ac:dyDescent="0.2">
      <c r="J55" s="41">
        <v>36</v>
      </c>
      <c r="K55" s="43">
        <v>3000</v>
      </c>
      <c r="L55" s="43">
        <v>2865.94</v>
      </c>
      <c r="M55" s="41">
        <v>134.06</v>
      </c>
      <c r="N55" s="43">
        <v>11705.99</v>
      </c>
    </row>
    <row r="56" spans="10:14" x14ac:dyDescent="0.2">
      <c r="J56" s="41" t="s">
        <v>121</v>
      </c>
      <c r="K56" s="41"/>
      <c r="L56" s="43">
        <v>11307.94</v>
      </c>
      <c r="M56" s="41">
        <v>692.06</v>
      </c>
      <c r="N56" s="41"/>
    </row>
    <row r="57" spans="10:14" x14ac:dyDescent="0.2">
      <c r="J57" s="41">
        <v>37</v>
      </c>
      <c r="K57" s="43">
        <v>3000</v>
      </c>
      <c r="L57" s="43">
        <v>2892.3</v>
      </c>
      <c r="M57" s="41">
        <v>107.7</v>
      </c>
      <c r="N57" s="43">
        <v>8813.69</v>
      </c>
    </row>
    <row r="58" spans="10:14" x14ac:dyDescent="0.2">
      <c r="J58" s="41">
        <v>38</v>
      </c>
      <c r="K58" s="43">
        <v>3000</v>
      </c>
      <c r="L58" s="43">
        <v>2918.91</v>
      </c>
      <c r="M58" s="41">
        <v>81.09</v>
      </c>
      <c r="N58" s="43">
        <v>5894.78</v>
      </c>
    </row>
    <row r="59" spans="10:14" x14ac:dyDescent="0.2">
      <c r="J59" s="41">
        <v>39</v>
      </c>
      <c r="K59" s="43">
        <v>3000</v>
      </c>
      <c r="L59" s="43">
        <v>2945.77</v>
      </c>
      <c r="M59" s="41">
        <v>54.23</v>
      </c>
      <c r="N59" s="43">
        <v>2949.01</v>
      </c>
    </row>
    <row r="60" spans="10:14" x14ac:dyDescent="0.2">
      <c r="J60" s="41">
        <v>40</v>
      </c>
      <c r="K60" s="43">
        <v>2976.14</v>
      </c>
      <c r="L60" s="43">
        <v>2949.01</v>
      </c>
      <c r="M60" s="41">
        <v>27.13</v>
      </c>
      <c r="N60" s="41">
        <v>0</v>
      </c>
    </row>
    <row r="61" spans="10:14" x14ac:dyDescent="0.2">
      <c r="J61" s="41" t="s">
        <v>122</v>
      </c>
      <c r="K61" s="41"/>
      <c r="L61" s="43">
        <v>11705.99</v>
      </c>
      <c r="M61" s="41">
        <v>270.14999999999998</v>
      </c>
      <c r="N61" s="41"/>
    </row>
    <row r="62" spans="10:14" x14ac:dyDescent="0.2">
      <c r="J62" s="42" t="s">
        <v>123</v>
      </c>
      <c r="L62" s="44">
        <v>100000</v>
      </c>
      <c r="M62" s="44">
        <v>19976.14</v>
      </c>
    </row>
    <row r="64" spans="10:14" x14ac:dyDescent="0.2">
      <c r="J64" t="s">
        <v>124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7EED-CD78-F44E-A219-0435843B4A26}">
  <dimension ref="A1:H39"/>
  <sheetViews>
    <sheetView showGridLines="0" tabSelected="1" workbookViewId="0">
      <selection activeCell="B27" sqref="B27"/>
    </sheetView>
  </sheetViews>
  <sheetFormatPr baseColWidth="10" defaultRowHeight="16" x14ac:dyDescent="0.2"/>
  <cols>
    <col min="1" max="1" width="37.5" bestFit="1" customWidth="1"/>
    <col min="4" max="4" width="35.33203125" bestFit="1" customWidth="1"/>
    <col min="5" max="5" width="13.1640625" bestFit="1" customWidth="1"/>
    <col min="7" max="7" width="32" bestFit="1" customWidth="1"/>
    <col min="8" max="8" width="13.1640625" bestFit="1" customWidth="1"/>
  </cols>
  <sheetData>
    <row r="1" spans="1:8" ht="21" x14ac:dyDescent="0.25">
      <c r="A1" s="27" t="s">
        <v>134</v>
      </c>
      <c r="B1" s="28"/>
      <c r="C1" s="28"/>
      <c r="D1" s="28"/>
      <c r="E1" s="28"/>
      <c r="F1" s="28"/>
      <c r="G1" s="28"/>
      <c r="H1" s="28"/>
    </row>
    <row r="2" spans="1:8" x14ac:dyDescent="0.2">
      <c r="A2" s="28"/>
      <c r="B2" s="28"/>
      <c r="C2" s="28"/>
      <c r="D2" s="28"/>
      <c r="E2" s="28"/>
      <c r="F2" s="28"/>
      <c r="G2" s="28"/>
      <c r="H2" s="28"/>
    </row>
    <row r="3" spans="1:8" ht="21" x14ac:dyDescent="0.25">
      <c r="A3" s="104" t="s">
        <v>29</v>
      </c>
      <c r="B3" s="105"/>
      <c r="C3" s="105"/>
      <c r="D3" s="106" t="s">
        <v>55</v>
      </c>
      <c r="E3" s="105"/>
      <c r="F3" s="89"/>
      <c r="G3" s="106" t="s">
        <v>32</v>
      </c>
      <c r="H3" s="89"/>
    </row>
    <row r="4" spans="1:8" ht="21" x14ac:dyDescent="0.25">
      <c r="A4" s="104"/>
      <c r="B4" s="105"/>
      <c r="C4" s="105"/>
      <c r="D4" s="105"/>
      <c r="E4" s="105"/>
      <c r="F4" s="89"/>
      <c r="G4" s="90"/>
      <c r="H4" s="90"/>
    </row>
    <row r="5" spans="1:8" x14ac:dyDescent="0.2">
      <c r="A5" s="93" t="s">
        <v>24</v>
      </c>
      <c r="B5" s="90"/>
      <c r="C5" s="90"/>
      <c r="D5" s="91" t="s">
        <v>56</v>
      </c>
      <c r="E5" s="90"/>
      <c r="F5" s="89"/>
      <c r="G5" s="93" t="s">
        <v>0</v>
      </c>
      <c r="H5" s="90"/>
    </row>
    <row r="6" spans="1:8" x14ac:dyDescent="0.2">
      <c r="A6" s="99" t="s">
        <v>77</v>
      </c>
      <c r="B6" s="55">
        <f>'Transaction History'!F24</f>
        <v>2500</v>
      </c>
      <c r="C6" s="88"/>
      <c r="D6" s="89" t="s">
        <v>82</v>
      </c>
      <c r="E6" s="90">
        <f>B17</f>
        <v>500</v>
      </c>
      <c r="F6" s="89"/>
      <c r="G6" s="55" t="s">
        <v>86</v>
      </c>
      <c r="H6" s="55"/>
    </row>
    <row r="7" spans="1:8" x14ac:dyDescent="0.2">
      <c r="A7" s="99" t="s">
        <v>78</v>
      </c>
      <c r="B7" s="55">
        <f>+'Transaction History'!F26</f>
        <v>600</v>
      </c>
      <c r="C7" s="89"/>
      <c r="D7" s="91" t="s">
        <v>57</v>
      </c>
      <c r="E7" s="89"/>
      <c r="F7" s="89"/>
      <c r="G7" s="99" t="s">
        <v>7</v>
      </c>
      <c r="H7" s="90">
        <f>121000+E26</f>
        <v>121900</v>
      </c>
    </row>
    <row r="8" spans="1:8" x14ac:dyDescent="0.2">
      <c r="A8" s="3" t="s">
        <v>136</v>
      </c>
      <c r="B8" s="111">
        <f>'Transaction History'!F42</f>
        <v>200</v>
      </c>
      <c r="C8" s="90"/>
      <c r="D8" s="89" t="s">
        <v>49</v>
      </c>
      <c r="E8" s="89">
        <f>-B15</f>
        <v>400</v>
      </c>
      <c r="F8" s="89"/>
      <c r="G8" s="99" t="s">
        <v>74</v>
      </c>
      <c r="H8" s="55">
        <f>-E10</f>
        <v>600</v>
      </c>
    </row>
    <row r="9" spans="1:8" ht="19" x14ac:dyDescent="0.35">
      <c r="A9" s="101" t="s">
        <v>79</v>
      </c>
      <c r="B9" s="92">
        <f>SUM(B6:B8)</f>
        <v>3300</v>
      </c>
      <c r="C9" s="89"/>
      <c r="D9" s="91" t="s">
        <v>58</v>
      </c>
      <c r="E9" s="89"/>
      <c r="F9" s="89"/>
      <c r="G9" s="99" t="s">
        <v>36</v>
      </c>
      <c r="H9" s="89">
        <f>900-E11</f>
        <v>2600</v>
      </c>
    </row>
    <row r="10" spans="1:8" ht="19" x14ac:dyDescent="0.35">
      <c r="A10" s="100" t="s">
        <v>43</v>
      </c>
      <c r="B10" s="92">
        <f>-'Transaction History'!E27</f>
        <v>-300</v>
      </c>
      <c r="C10" s="90"/>
      <c r="D10" s="89" t="s">
        <v>74</v>
      </c>
      <c r="E10" s="55">
        <f>-'Transaction History'!E25</f>
        <v>-600</v>
      </c>
      <c r="F10" s="89"/>
      <c r="G10" s="99" t="s">
        <v>20</v>
      </c>
      <c r="H10" s="90">
        <f>1100-E12</f>
        <v>1000</v>
      </c>
    </row>
    <row r="11" spans="1:8" x14ac:dyDescent="0.2">
      <c r="A11" s="91" t="s">
        <v>44</v>
      </c>
      <c r="B11" s="91">
        <f>B9+B10</f>
        <v>3000</v>
      </c>
      <c r="C11" s="88"/>
      <c r="D11" s="89" t="s">
        <v>36</v>
      </c>
      <c r="E11" s="89">
        <f>+'Transaction History'!F28-'Transaction History'!E29</f>
        <v>-1700</v>
      </c>
      <c r="F11" s="89"/>
      <c r="G11" s="75" t="s">
        <v>88</v>
      </c>
      <c r="H11" s="55">
        <f>SUM(H7:H10)</f>
        <v>126100</v>
      </c>
    </row>
    <row r="12" spans="1:8" x14ac:dyDescent="0.2">
      <c r="A12" s="93" t="s">
        <v>25</v>
      </c>
      <c r="B12" s="90"/>
      <c r="C12" s="88"/>
      <c r="D12" s="89" t="s">
        <v>20</v>
      </c>
      <c r="E12" s="90">
        <f>+'Transaction History'!F34</f>
        <v>100</v>
      </c>
      <c r="F12" s="89"/>
      <c r="G12" s="55"/>
      <c r="H12" s="55"/>
    </row>
    <row r="13" spans="1:8" x14ac:dyDescent="0.2">
      <c r="A13" s="102" t="s">
        <v>27</v>
      </c>
      <c r="B13" s="89">
        <f>-'Transaction History'!E33</f>
        <v>-100</v>
      </c>
      <c r="C13" s="88"/>
      <c r="D13" s="89" t="s">
        <v>85</v>
      </c>
      <c r="E13" s="90">
        <f>+'Transaction History'!F30</f>
        <v>2000</v>
      </c>
      <c r="F13" s="89"/>
      <c r="G13" s="55" t="s">
        <v>87</v>
      </c>
      <c r="H13" s="55"/>
    </row>
    <row r="14" spans="1:8" x14ac:dyDescent="0.2">
      <c r="A14" s="100" t="s">
        <v>26</v>
      </c>
      <c r="B14" s="90">
        <f>-'Transaction History'!E31</f>
        <v>-2000</v>
      </c>
      <c r="C14" s="89"/>
      <c r="D14" s="89" t="s">
        <v>135</v>
      </c>
      <c r="E14" s="90">
        <f>'Transaction History'!E43</f>
        <v>200</v>
      </c>
      <c r="F14" s="89"/>
      <c r="G14" s="99" t="s">
        <v>52</v>
      </c>
      <c r="H14" s="90">
        <v>25000</v>
      </c>
    </row>
    <row r="15" spans="1:8" ht="19" x14ac:dyDescent="0.35">
      <c r="A15" s="100" t="s">
        <v>49</v>
      </c>
      <c r="B15" s="92">
        <f>-'Transaction History'!E35</f>
        <v>-400</v>
      </c>
      <c r="C15" s="89"/>
      <c r="D15" s="91" t="s">
        <v>59</v>
      </c>
      <c r="E15" s="95">
        <f>SUM(E6:E14)</f>
        <v>900</v>
      </c>
      <c r="F15" s="89"/>
      <c r="G15" s="99" t="s">
        <v>51</v>
      </c>
      <c r="H15" s="90">
        <f>-400-E8</f>
        <v>-800</v>
      </c>
    </row>
    <row r="16" spans="1:8" ht="19" x14ac:dyDescent="0.35">
      <c r="A16" s="93" t="s">
        <v>28</v>
      </c>
      <c r="B16" s="94">
        <f>SUM(B13:B15)</f>
        <v>-2500</v>
      </c>
      <c r="C16" s="89"/>
      <c r="D16" s="90"/>
      <c r="E16" s="90"/>
      <c r="F16" s="89"/>
      <c r="G16" s="75" t="s">
        <v>91</v>
      </c>
      <c r="H16" s="55">
        <f>SUM(H14:H15)</f>
        <v>24200</v>
      </c>
    </row>
    <row r="17" spans="1:8" ht="19" x14ac:dyDescent="0.35">
      <c r="A17" s="93" t="s">
        <v>82</v>
      </c>
      <c r="B17" s="97">
        <f>B11+B16</f>
        <v>500</v>
      </c>
      <c r="C17" s="89"/>
      <c r="D17" s="91" t="s">
        <v>60</v>
      </c>
      <c r="E17" s="89"/>
      <c r="F17" s="89"/>
      <c r="G17" s="75" t="s">
        <v>33</v>
      </c>
      <c r="H17" s="94">
        <f>H11+H16</f>
        <v>150300</v>
      </c>
    </row>
    <row r="18" spans="1:8" x14ac:dyDescent="0.2">
      <c r="A18" s="89"/>
      <c r="B18" s="89"/>
      <c r="C18" s="89"/>
      <c r="D18" s="89" t="s">
        <v>61</v>
      </c>
      <c r="E18" s="89">
        <v>0</v>
      </c>
      <c r="F18" s="89"/>
      <c r="G18" s="55"/>
      <c r="H18" s="55"/>
    </row>
    <row r="19" spans="1:8" x14ac:dyDescent="0.2">
      <c r="A19" s="91" t="s">
        <v>45</v>
      </c>
      <c r="B19" s="91">
        <f>B11/B9</f>
        <v>0.90909090909090906</v>
      </c>
      <c r="C19" s="89"/>
      <c r="D19" s="91" t="s">
        <v>68</v>
      </c>
      <c r="E19" s="98">
        <f>SUM(E17:E18)</f>
        <v>0</v>
      </c>
      <c r="F19" s="89"/>
      <c r="G19" s="75" t="s">
        <v>34</v>
      </c>
      <c r="H19" s="90"/>
    </row>
    <row r="20" spans="1:8" x14ac:dyDescent="0.2">
      <c r="A20" s="89"/>
      <c r="B20" s="89"/>
      <c r="C20" s="89"/>
      <c r="D20" s="89"/>
      <c r="E20" s="89"/>
      <c r="F20" s="89"/>
      <c r="G20" s="55" t="s">
        <v>89</v>
      </c>
      <c r="H20" s="55"/>
    </row>
    <row r="21" spans="1:8" x14ac:dyDescent="0.2">
      <c r="A21" s="89"/>
      <c r="B21" s="89"/>
      <c r="C21" s="89"/>
      <c r="D21" s="91" t="s">
        <v>62</v>
      </c>
      <c r="E21" s="89"/>
      <c r="F21" s="89"/>
      <c r="G21" s="99" t="s">
        <v>85</v>
      </c>
      <c r="H21" s="90">
        <f>E13</f>
        <v>2000</v>
      </c>
    </row>
    <row r="22" spans="1:8" x14ac:dyDescent="0.2">
      <c r="C22" s="89"/>
      <c r="D22" s="89" t="s">
        <v>76</v>
      </c>
      <c r="E22" s="89">
        <v>0</v>
      </c>
      <c r="F22" s="89"/>
      <c r="G22" s="99" t="s">
        <v>135</v>
      </c>
      <c r="H22">
        <f>'Transaction History'!F44</f>
        <v>200</v>
      </c>
    </row>
    <row r="23" spans="1:8" x14ac:dyDescent="0.2">
      <c r="A23" s="91"/>
      <c r="B23" s="91"/>
      <c r="C23" s="89"/>
      <c r="D23" s="89" t="s">
        <v>63</v>
      </c>
      <c r="E23" s="89">
        <v>0</v>
      </c>
      <c r="F23" s="89"/>
      <c r="G23" s="99" t="s">
        <v>127</v>
      </c>
      <c r="H23" s="90">
        <f>'Transaction History'!F40</f>
        <v>306.67</v>
      </c>
    </row>
    <row r="24" spans="1:8" ht="19" x14ac:dyDescent="0.35">
      <c r="A24" s="91"/>
      <c r="B24" s="91"/>
      <c r="C24" s="89"/>
      <c r="D24" s="91" t="s">
        <v>66</v>
      </c>
      <c r="E24" s="98">
        <f>SUM(E22:E23)</f>
        <v>0</v>
      </c>
      <c r="F24" s="89"/>
      <c r="G24" s="99" t="s">
        <v>99</v>
      </c>
      <c r="H24" s="92">
        <f>'Transaction History'!E37</f>
        <v>8435.5300000000007</v>
      </c>
    </row>
    <row r="25" spans="1:8" x14ac:dyDescent="0.2">
      <c r="A25" s="89"/>
      <c r="B25" s="89"/>
      <c r="C25" s="89"/>
      <c r="D25" s="89"/>
      <c r="E25" s="89"/>
      <c r="F25" s="89"/>
      <c r="G25" s="75" t="s">
        <v>90</v>
      </c>
      <c r="H25" s="75">
        <f>SUM(H21:H24)</f>
        <v>10942.2</v>
      </c>
    </row>
    <row r="26" spans="1:8" x14ac:dyDescent="0.2">
      <c r="A26" s="89"/>
      <c r="B26" s="89"/>
      <c r="C26" s="89"/>
      <c r="D26" s="89" t="s">
        <v>64</v>
      </c>
      <c r="E26" s="89">
        <f>E15+E19+E24</f>
        <v>900</v>
      </c>
      <c r="F26" s="89"/>
      <c r="G26" s="55"/>
      <c r="H26" s="55"/>
    </row>
    <row r="27" spans="1:8" x14ac:dyDescent="0.2">
      <c r="A27" s="55"/>
      <c r="B27" s="55"/>
      <c r="C27" s="55"/>
      <c r="D27" s="89" t="s">
        <v>69</v>
      </c>
      <c r="E27" s="89">
        <v>121000</v>
      </c>
      <c r="F27" s="55"/>
      <c r="G27" s="55" t="s">
        <v>93</v>
      </c>
      <c r="H27" s="55"/>
    </row>
    <row r="28" spans="1:8" ht="19" x14ac:dyDescent="0.35">
      <c r="A28" s="55"/>
      <c r="B28" s="55"/>
      <c r="C28" s="55"/>
      <c r="D28" s="89" t="s">
        <v>70</v>
      </c>
      <c r="E28" s="55">
        <f>E26+E27</f>
        <v>121900</v>
      </c>
      <c r="F28" s="55"/>
      <c r="G28" s="99" t="s">
        <v>8</v>
      </c>
      <c r="H28" s="92">
        <f>100000-'Transaction History'!F38</f>
        <v>91564.47</v>
      </c>
    </row>
    <row r="29" spans="1:8" x14ac:dyDescent="0.2">
      <c r="A29" s="55"/>
      <c r="B29" s="55"/>
      <c r="C29" s="55"/>
      <c r="D29" s="89"/>
      <c r="E29" s="89"/>
      <c r="F29" s="55"/>
      <c r="G29" s="75" t="s">
        <v>92</v>
      </c>
      <c r="H29" s="75">
        <f>SUM(H28)</f>
        <v>91564.47</v>
      </c>
    </row>
    <row r="30" spans="1:8" x14ac:dyDescent="0.2">
      <c r="A30" s="55"/>
      <c r="B30" s="55"/>
      <c r="C30" s="55"/>
      <c r="D30" s="91" t="s">
        <v>80</v>
      </c>
      <c r="E30" s="55" t="str">
        <f>IF(E28=H7,"Yes","No")</f>
        <v>Yes</v>
      </c>
      <c r="F30" s="55"/>
      <c r="G30" s="55"/>
      <c r="H30" s="55"/>
    </row>
    <row r="31" spans="1:8" x14ac:dyDescent="0.2">
      <c r="A31" s="55"/>
      <c r="B31" s="55"/>
      <c r="C31" s="55"/>
      <c r="D31" s="55"/>
      <c r="E31" s="55"/>
      <c r="F31" s="55"/>
      <c r="G31" s="75" t="s">
        <v>14</v>
      </c>
      <c r="H31" s="93">
        <f>H25+H29</f>
        <v>102506.67</v>
      </c>
    </row>
    <row r="32" spans="1:8" x14ac:dyDescent="0.2">
      <c r="A32" s="55"/>
      <c r="B32" s="55"/>
      <c r="C32" s="55"/>
      <c r="D32" s="55"/>
      <c r="E32" s="55"/>
      <c r="F32" s="55"/>
      <c r="G32" s="55"/>
      <c r="H32" s="55"/>
    </row>
    <row r="33" spans="1:8" x14ac:dyDescent="0.2">
      <c r="A33" s="55"/>
      <c r="B33" s="55"/>
      <c r="C33" s="55"/>
      <c r="D33" s="55"/>
      <c r="E33" s="55"/>
      <c r="F33" s="55"/>
      <c r="G33" s="75" t="s">
        <v>94</v>
      </c>
      <c r="H33" s="55"/>
    </row>
    <row r="34" spans="1:8" x14ac:dyDescent="0.2">
      <c r="A34" s="55"/>
      <c r="B34" s="55"/>
      <c r="C34" s="55"/>
      <c r="D34" s="55"/>
      <c r="E34" s="55"/>
      <c r="F34" s="55"/>
      <c r="G34" s="99" t="s">
        <v>9</v>
      </c>
      <c r="H34" s="90">
        <v>50000</v>
      </c>
    </row>
    <row r="35" spans="1:8" ht="19" x14ac:dyDescent="0.35">
      <c r="A35" s="55"/>
      <c r="B35" s="55"/>
      <c r="C35" s="55"/>
      <c r="D35" s="55"/>
      <c r="E35" s="55"/>
      <c r="F35" s="55"/>
      <c r="G35" s="99" t="s">
        <v>133</v>
      </c>
      <c r="H35" s="92">
        <f>-2400+B17-'Transaction History'!E39</f>
        <v>-2206.67</v>
      </c>
    </row>
    <row r="36" spans="1:8" ht="19" x14ac:dyDescent="0.35">
      <c r="A36" s="55"/>
      <c r="B36" s="55"/>
      <c r="C36" s="55"/>
      <c r="D36" s="55"/>
      <c r="E36" s="55"/>
      <c r="F36" s="55"/>
      <c r="G36" s="75" t="s">
        <v>15</v>
      </c>
      <c r="H36" s="94">
        <f>SUM(H34:H35)</f>
        <v>47793.33</v>
      </c>
    </row>
    <row r="37" spans="1:8" ht="19" x14ac:dyDescent="0.35">
      <c r="A37" s="55"/>
      <c r="B37" s="55"/>
      <c r="C37" s="55"/>
      <c r="D37" s="55"/>
      <c r="E37" s="55"/>
      <c r="F37" s="55"/>
      <c r="G37" s="75" t="s">
        <v>16</v>
      </c>
      <c r="H37" s="97">
        <f>H31+H36</f>
        <v>150300</v>
      </c>
    </row>
    <row r="38" spans="1:8" x14ac:dyDescent="0.2">
      <c r="G38" s="55"/>
      <c r="H38" s="55"/>
    </row>
    <row r="39" spans="1:8" x14ac:dyDescent="0.2">
      <c r="G39" s="55" t="s">
        <v>67</v>
      </c>
      <c r="H39" s="89" t="str">
        <f>IF(H17=H37,"Yes","No")</f>
        <v>Yes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A45D-8846-EC46-B185-6D70C11F436E}">
  <dimension ref="A1:E10"/>
  <sheetViews>
    <sheetView showGridLines="0" workbookViewId="0">
      <selection activeCell="L33" sqref="L33"/>
    </sheetView>
  </sheetViews>
  <sheetFormatPr baseColWidth="10" defaultRowHeight="16" x14ac:dyDescent="0.2"/>
  <cols>
    <col min="2" max="2" width="12.5" bestFit="1" customWidth="1"/>
    <col min="3" max="3" width="4" customWidth="1"/>
    <col min="4" max="4" width="21.5" bestFit="1" customWidth="1"/>
    <col min="5" max="5" width="16.1640625" customWidth="1"/>
  </cols>
  <sheetData>
    <row r="1" spans="1:5" ht="21" x14ac:dyDescent="0.25">
      <c r="A1" s="9" t="s">
        <v>17</v>
      </c>
    </row>
    <row r="3" spans="1:5" ht="21" x14ac:dyDescent="0.25">
      <c r="A3" s="47" t="s">
        <v>0</v>
      </c>
      <c r="B3" s="48"/>
      <c r="C3" s="45"/>
      <c r="D3" s="47" t="s">
        <v>1</v>
      </c>
      <c r="E3" s="46"/>
    </row>
    <row r="4" spans="1:5" x14ac:dyDescent="0.2">
      <c r="A4" s="50" t="s">
        <v>7</v>
      </c>
      <c r="B4" s="50">
        <f>'Transaction History'!E3+'Transaction History'!E5+-'Transaction History'!F8</f>
        <v>148000</v>
      </c>
      <c r="C4" s="50"/>
      <c r="D4" s="50" t="s">
        <v>8</v>
      </c>
      <c r="E4" s="50">
        <f>'Transaction History'!F4</f>
        <v>100000</v>
      </c>
    </row>
    <row r="5" spans="1:5" x14ac:dyDescent="0.2">
      <c r="A5" s="50"/>
      <c r="B5" s="50"/>
      <c r="C5" s="50"/>
      <c r="D5" s="51" t="s">
        <v>14</v>
      </c>
      <c r="E5" s="51">
        <f>SUM(E4)</f>
        <v>100000</v>
      </c>
    </row>
    <row r="6" spans="1:5" x14ac:dyDescent="0.2">
      <c r="A6" s="50"/>
      <c r="B6" s="50"/>
      <c r="C6" s="50"/>
      <c r="D6" s="50" t="s">
        <v>9</v>
      </c>
      <c r="E6" s="50">
        <f>'Transaction History'!F6</f>
        <v>50000</v>
      </c>
    </row>
    <row r="7" spans="1:5" x14ac:dyDescent="0.2">
      <c r="A7" s="50"/>
      <c r="B7" s="50"/>
      <c r="C7" s="50"/>
      <c r="D7" s="50" t="s">
        <v>12</v>
      </c>
      <c r="E7" s="50">
        <f>-'Transaction History'!F8</f>
        <v>-2000</v>
      </c>
    </row>
    <row r="8" spans="1:5" x14ac:dyDescent="0.2">
      <c r="A8" s="50"/>
      <c r="B8" s="50"/>
      <c r="C8" s="50"/>
      <c r="D8" s="51" t="s">
        <v>15</v>
      </c>
      <c r="E8" s="51">
        <f>SUM(E6:E7)</f>
        <v>48000</v>
      </c>
    </row>
    <row r="9" spans="1:5" ht="17" thickBot="1" x14ac:dyDescent="0.25">
      <c r="A9" s="52" t="s">
        <v>11</v>
      </c>
      <c r="B9" s="52">
        <f>SUM(B4:B8)</f>
        <v>148000</v>
      </c>
      <c r="C9" s="50"/>
      <c r="D9" s="53" t="s">
        <v>16</v>
      </c>
      <c r="E9" s="53">
        <f>SUM(E5+E8)</f>
        <v>148000</v>
      </c>
    </row>
    <row r="10" spans="1:5" ht="17" thickTop="1" x14ac:dyDescent="0.2">
      <c r="C1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94F5-142C-854F-82E2-E712E1F59904}">
  <dimension ref="A1:E10"/>
  <sheetViews>
    <sheetView showGridLines="0" workbookViewId="0">
      <selection activeCell="E9" sqref="A3:E9"/>
    </sheetView>
  </sheetViews>
  <sheetFormatPr baseColWidth="10" defaultRowHeight="16" x14ac:dyDescent="0.2"/>
  <cols>
    <col min="2" max="2" width="12.5" bestFit="1" customWidth="1"/>
    <col min="3" max="3" width="5" customWidth="1"/>
    <col min="4" max="4" width="21.5" bestFit="1" customWidth="1"/>
    <col min="5" max="5" width="12.5" bestFit="1" customWidth="1"/>
  </cols>
  <sheetData>
    <row r="1" spans="1:5" ht="21" x14ac:dyDescent="0.25">
      <c r="A1" s="9" t="s">
        <v>18</v>
      </c>
    </row>
    <row r="3" spans="1:5" ht="21" x14ac:dyDescent="0.25">
      <c r="A3" s="47" t="s">
        <v>0</v>
      </c>
      <c r="B3" s="48"/>
      <c r="C3" s="45"/>
      <c r="D3" s="47" t="s">
        <v>1</v>
      </c>
      <c r="E3" s="46"/>
    </row>
    <row r="4" spans="1:5" x14ac:dyDescent="0.2">
      <c r="A4" s="46" t="s">
        <v>7</v>
      </c>
      <c r="B4" s="50">
        <f>'Transaction History'!E3+'Transaction History'!E5+-'Transaction History'!F8-'Transaction History'!F10</f>
        <v>123000</v>
      </c>
      <c r="C4" s="50"/>
      <c r="D4" s="50" t="s">
        <v>8</v>
      </c>
      <c r="E4" s="50">
        <f>'Transaction History'!F4</f>
        <v>100000</v>
      </c>
    </row>
    <row r="5" spans="1:5" x14ac:dyDescent="0.2">
      <c r="A5" s="46" t="s">
        <v>19</v>
      </c>
      <c r="B5" s="50">
        <f>'Transaction History'!E9</f>
        <v>25000</v>
      </c>
      <c r="C5" s="50"/>
      <c r="D5" s="51" t="s">
        <v>14</v>
      </c>
      <c r="E5" s="51">
        <f>SUM(E4)</f>
        <v>100000</v>
      </c>
    </row>
    <row r="6" spans="1:5" x14ac:dyDescent="0.2">
      <c r="A6" s="46"/>
      <c r="B6" s="50"/>
      <c r="C6" s="50"/>
      <c r="D6" s="50" t="s">
        <v>9</v>
      </c>
      <c r="E6" s="50">
        <f>'Transaction History'!F6</f>
        <v>50000</v>
      </c>
    </row>
    <row r="7" spans="1:5" x14ac:dyDescent="0.2">
      <c r="A7" s="46"/>
      <c r="B7" s="50"/>
      <c r="C7" s="50"/>
      <c r="D7" s="50" t="s">
        <v>12</v>
      </c>
      <c r="E7" s="50">
        <f>-'Transaction History'!F8</f>
        <v>-2000</v>
      </c>
    </row>
    <row r="8" spans="1:5" x14ac:dyDescent="0.2">
      <c r="A8" s="46"/>
      <c r="B8" s="50"/>
      <c r="C8" s="50"/>
      <c r="D8" s="51" t="s">
        <v>15</v>
      </c>
      <c r="E8" s="51">
        <f>SUM(E6:E7)</f>
        <v>48000</v>
      </c>
    </row>
    <row r="9" spans="1:5" ht="17" thickBot="1" x14ac:dyDescent="0.25">
      <c r="A9" s="49" t="s">
        <v>11</v>
      </c>
      <c r="B9" s="52">
        <f>SUM(B4:B8)</f>
        <v>148000</v>
      </c>
      <c r="C9" s="50"/>
      <c r="D9" s="53" t="s">
        <v>16</v>
      </c>
      <c r="E9" s="53">
        <f>SUM(E5+E8)</f>
        <v>148000</v>
      </c>
    </row>
    <row r="10" spans="1:5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7478-EEB1-6A46-B333-8A7250E99290}">
  <dimension ref="A1:E13"/>
  <sheetViews>
    <sheetView showGridLines="0" workbookViewId="0">
      <selection activeCell="E10" sqref="A3:E10"/>
    </sheetView>
  </sheetViews>
  <sheetFormatPr baseColWidth="10" defaultRowHeight="16" x14ac:dyDescent="0.2"/>
  <cols>
    <col min="1" max="1" width="17.33203125" customWidth="1"/>
    <col min="2" max="2" width="12.5" bestFit="1" customWidth="1"/>
    <col min="3" max="3" width="3.83203125" customWidth="1"/>
    <col min="4" max="4" width="21.5" bestFit="1" customWidth="1"/>
    <col min="5" max="5" width="12.5" bestFit="1" customWidth="1"/>
  </cols>
  <sheetData>
    <row r="1" spans="1:5" ht="21" x14ac:dyDescent="0.25">
      <c r="A1" s="48" t="s">
        <v>23</v>
      </c>
      <c r="B1" s="46"/>
      <c r="C1" s="46"/>
      <c r="D1" s="46"/>
      <c r="E1" s="46"/>
    </row>
    <row r="2" spans="1:5" x14ac:dyDescent="0.2">
      <c r="A2" s="46"/>
      <c r="B2" s="46"/>
      <c r="C2" s="46"/>
      <c r="D2" s="46"/>
      <c r="E2" s="46"/>
    </row>
    <row r="3" spans="1:5" ht="21" x14ac:dyDescent="0.25">
      <c r="A3" s="47" t="s">
        <v>0</v>
      </c>
      <c r="B3" s="48"/>
      <c r="C3" s="45"/>
      <c r="D3" s="47" t="s">
        <v>1</v>
      </c>
      <c r="E3" s="46"/>
    </row>
    <row r="4" spans="1:5" x14ac:dyDescent="0.2">
      <c r="A4" s="46" t="s">
        <v>7</v>
      </c>
      <c r="B4" s="50">
        <f>'Transaction History'!E3+'Transaction History'!E5+-'Transaction History'!F8-'Transaction History'!F10-'Transaction History'!F12</f>
        <v>121800</v>
      </c>
      <c r="C4" s="50"/>
      <c r="D4" s="50" t="s">
        <v>8</v>
      </c>
      <c r="E4" s="50">
        <f>'Transaction History'!F4</f>
        <v>100000</v>
      </c>
    </row>
    <row r="5" spans="1:5" x14ac:dyDescent="0.2">
      <c r="A5" s="46" t="s">
        <v>20</v>
      </c>
      <c r="B5" s="50">
        <f>'Transaction History'!E11</f>
        <v>1200</v>
      </c>
      <c r="C5" s="50"/>
      <c r="D5" s="50"/>
      <c r="E5" s="50"/>
    </row>
    <row r="6" spans="1:5" x14ac:dyDescent="0.2">
      <c r="A6" s="46" t="s">
        <v>19</v>
      </c>
      <c r="B6" s="50">
        <f>'Transaction History'!E9</f>
        <v>25000</v>
      </c>
      <c r="C6" s="50"/>
      <c r="D6" s="51" t="s">
        <v>14</v>
      </c>
      <c r="E6" s="51">
        <f>SUM(E4)</f>
        <v>100000</v>
      </c>
    </row>
    <row r="7" spans="1:5" x14ac:dyDescent="0.2">
      <c r="A7" s="46"/>
      <c r="B7" s="50"/>
      <c r="C7" s="50"/>
      <c r="D7" s="50" t="s">
        <v>9</v>
      </c>
      <c r="E7" s="50">
        <f>'Transaction History'!F6</f>
        <v>50000</v>
      </c>
    </row>
    <row r="8" spans="1:5" x14ac:dyDescent="0.2">
      <c r="A8" s="46"/>
      <c r="B8" s="50"/>
      <c r="C8" s="50"/>
      <c r="D8" s="50" t="s">
        <v>12</v>
      </c>
      <c r="E8" s="50">
        <f>-'Transaction History'!F8</f>
        <v>-2000</v>
      </c>
    </row>
    <row r="9" spans="1:5" x14ac:dyDescent="0.2">
      <c r="A9" s="46"/>
      <c r="B9" s="50"/>
      <c r="C9" s="50"/>
      <c r="D9" s="51" t="s">
        <v>15</v>
      </c>
      <c r="E9" s="51">
        <f>SUM(E7:E8)</f>
        <v>48000</v>
      </c>
    </row>
    <row r="10" spans="1:5" ht="17" thickBot="1" x14ac:dyDescent="0.25">
      <c r="A10" s="49" t="s">
        <v>11</v>
      </c>
      <c r="B10" s="52">
        <f>SUM(B4:B9)</f>
        <v>148000</v>
      </c>
      <c r="C10" s="50"/>
      <c r="D10" s="53" t="s">
        <v>16</v>
      </c>
      <c r="E10" s="53">
        <f>SUM(E6+E9)</f>
        <v>148000</v>
      </c>
    </row>
    <row r="11" spans="1:5" ht="17" thickTop="1" x14ac:dyDescent="0.2">
      <c r="C11" s="6"/>
    </row>
    <row r="12" spans="1:5" x14ac:dyDescent="0.2">
      <c r="C12" s="6"/>
    </row>
    <row r="13" spans="1:5" x14ac:dyDescent="0.2">
      <c r="C1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A22B-B617-574B-B9BA-0D9F8D38F044}">
  <dimension ref="A1:E11"/>
  <sheetViews>
    <sheetView showGridLines="0" workbookViewId="0">
      <selection activeCell="E10" sqref="A3:E10"/>
    </sheetView>
  </sheetViews>
  <sheetFormatPr baseColWidth="10" defaultRowHeight="16" x14ac:dyDescent="0.2"/>
  <cols>
    <col min="1" max="1" width="16.83203125" customWidth="1"/>
    <col min="2" max="2" width="12.5" customWidth="1"/>
    <col min="3" max="3" width="5.1640625" customWidth="1"/>
    <col min="4" max="4" width="21.5" bestFit="1" customWidth="1"/>
    <col min="5" max="5" width="12.5" bestFit="1" customWidth="1"/>
  </cols>
  <sheetData>
    <row r="1" spans="1:5" ht="21" x14ac:dyDescent="0.25">
      <c r="A1" s="48" t="s">
        <v>22</v>
      </c>
      <c r="B1" s="46"/>
      <c r="C1" s="46"/>
      <c r="D1" s="46"/>
      <c r="E1" s="46"/>
    </row>
    <row r="2" spans="1:5" x14ac:dyDescent="0.2">
      <c r="A2" s="46"/>
      <c r="B2" s="46"/>
      <c r="C2" s="46"/>
      <c r="D2" s="46"/>
      <c r="E2" s="46"/>
    </row>
    <row r="3" spans="1:5" ht="21" x14ac:dyDescent="0.25">
      <c r="A3" s="47" t="s">
        <v>0</v>
      </c>
      <c r="B3" s="48"/>
      <c r="C3" s="45"/>
      <c r="D3" s="47" t="s">
        <v>1</v>
      </c>
      <c r="E3" s="46"/>
    </row>
    <row r="4" spans="1:5" x14ac:dyDescent="0.2">
      <c r="A4" s="46" t="s">
        <v>7</v>
      </c>
      <c r="B4" s="50">
        <f>'Transaction History'!$E$3+'Transaction History'!$E$5+-'Transaction History'!$F$8-'Transaction History'!$F$10-'Transaction History'!$F$12</f>
        <v>121800</v>
      </c>
      <c r="C4" s="50"/>
      <c r="D4" s="50" t="s">
        <v>8</v>
      </c>
      <c r="E4" s="50">
        <f>'Transaction History'!$F$4</f>
        <v>100000</v>
      </c>
    </row>
    <row r="5" spans="1:5" x14ac:dyDescent="0.2">
      <c r="A5" s="46" t="s">
        <v>20</v>
      </c>
      <c r="B5" s="50">
        <f>'Transaction History'!$E$11-'Transaction History'!$F$14</f>
        <v>1100</v>
      </c>
      <c r="C5" s="50"/>
      <c r="D5" s="50"/>
      <c r="E5" s="50"/>
    </row>
    <row r="6" spans="1:5" x14ac:dyDescent="0.2">
      <c r="A6" s="46" t="s">
        <v>19</v>
      </c>
      <c r="B6" s="50">
        <f>'Transaction History'!$E$9</f>
        <v>25000</v>
      </c>
      <c r="C6" s="50"/>
      <c r="D6" s="51" t="s">
        <v>14</v>
      </c>
      <c r="E6" s="51">
        <f>SUM(E4)</f>
        <v>100000</v>
      </c>
    </row>
    <row r="7" spans="1:5" x14ac:dyDescent="0.2">
      <c r="A7" s="46"/>
      <c r="B7" s="50"/>
      <c r="C7" s="50"/>
      <c r="D7" s="50" t="s">
        <v>9</v>
      </c>
      <c r="E7" s="50">
        <f>'Transaction History'!$F$6</f>
        <v>50000</v>
      </c>
    </row>
    <row r="8" spans="1:5" x14ac:dyDescent="0.2">
      <c r="A8" s="46"/>
      <c r="B8" s="50"/>
      <c r="C8" s="50"/>
      <c r="D8" s="50" t="s">
        <v>12</v>
      </c>
      <c r="E8" s="50">
        <f>-'Transaction History'!$F$8-'Transaction History'!$E$13</f>
        <v>-2100</v>
      </c>
    </row>
    <row r="9" spans="1:5" x14ac:dyDescent="0.2">
      <c r="A9" s="46"/>
      <c r="B9" s="50"/>
      <c r="C9" s="50"/>
      <c r="D9" s="51" t="s">
        <v>15</v>
      </c>
      <c r="E9" s="51">
        <f>SUM(E7:E8)</f>
        <v>47900</v>
      </c>
    </row>
    <row r="10" spans="1:5" ht="17" thickBot="1" x14ac:dyDescent="0.25">
      <c r="A10" s="49" t="s">
        <v>11</v>
      </c>
      <c r="B10" s="52">
        <f>SUM(B4:B9)</f>
        <v>147900</v>
      </c>
      <c r="C10" s="50"/>
      <c r="D10" s="53" t="s">
        <v>16</v>
      </c>
      <c r="E10" s="53">
        <f>SUM(E6+E9)</f>
        <v>147900</v>
      </c>
    </row>
    <row r="11" spans="1:5" ht="17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7F93-BBCF-A64B-B8DB-7732545B3922}">
  <dimension ref="A1:E19"/>
  <sheetViews>
    <sheetView showGridLines="0" topLeftCell="A3" workbookViewId="0">
      <selection activeCell="D6" sqref="D6"/>
    </sheetView>
  </sheetViews>
  <sheetFormatPr baseColWidth="10" defaultRowHeight="16" x14ac:dyDescent="0.2"/>
  <cols>
    <col min="1" max="1" width="22" customWidth="1"/>
    <col min="2" max="2" width="12.5" bestFit="1" customWidth="1"/>
    <col min="4" max="4" width="28" bestFit="1" customWidth="1"/>
    <col min="5" max="5" width="15" bestFit="1" customWidth="1"/>
  </cols>
  <sheetData>
    <row r="1" spans="1:5" ht="21" x14ac:dyDescent="0.25">
      <c r="A1" s="9" t="s">
        <v>30</v>
      </c>
    </row>
    <row r="3" spans="1:5" ht="21" x14ac:dyDescent="0.25">
      <c r="A3" s="12" t="s">
        <v>29</v>
      </c>
      <c r="B3" s="10"/>
      <c r="D3" s="16" t="s">
        <v>32</v>
      </c>
    </row>
    <row r="4" spans="1:5" ht="21" x14ac:dyDescent="0.25">
      <c r="A4" s="12"/>
      <c r="B4" s="10"/>
      <c r="D4" s="7"/>
      <c r="E4" s="7"/>
    </row>
    <row r="5" spans="1:5" x14ac:dyDescent="0.2">
      <c r="A5" s="7" t="s">
        <v>24</v>
      </c>
      <c r="B5" s="54"/>
      <c r="C5" s="55"/>
      <c r="D5" s="56" t="s">
        <v>0</v>
      </c>
      <c r="E5" s="54"/>
    </row>
    <row r="6" spans="1:5" x14ac:dyDescent="0.2">
      <c r="A6" s="7" t="s">
        <v>25</v>
      </c>
      <c r="B6" s="54"/>
      <c r="C6" s="55"/>
      <c r="D6" s="54" t="s">
        <v>7</v>
      </c>
      <c r="E6" s="54">
        <f>'Transaction History'!$E$3+'Transaction History'!$E$5+-'Transaction History'!$F$8-'Transaction History'!$F$10-'Transaction History'!$F$12</f>
        <v>121800</v>
      </c>
    </row>
    <row r="7" spans="1:5" x14ac:dyDescent="0.2">
      <c r="A7" s="13" t="s">
        <v>26</v>
      </c>
      <c r="B7" s="54">
        <f>-'Transaction History'!E7</f>
        <v>-2000</v>
      </c>
      <c r="C7" s="55"/>
      <c r="D7" s="54" t="s">
        <v>20</v>
      </c>
      <c r="E7" s="54">
        <f>'Transaction History'!$E$11-'Transaction History'!$F$14</f>
        <v>1100</v>
      </c>
    </row>
    <row r="8" spans="1:5" x14ac:dyDescent="0.2">
      <c r="A8" s="13" t="s">
        <v>27</v>
      </c>
      <c r="B8" s="54">
        <f>-'Transaction History'!E13</f>
        <v>-100</v>
      </c>
      <c r="C8" s="55"/>
      <c r="D8" s="54" t="s">
        <v>19</v>
      </c>
      <c r="E8" s="54">
        <f>'Transaction History'!$E$9</f>
        <v>25000</v>
      </c>
    </row>
    <row r="9" spans="1:5" ht="17" thickBot="1" x14ac:dyDescent="0.25">
      <c r="A9" s="14" t="s">
        <v>28</v>
      </c>
      <c r="B9" s="57">
        <f>SUM(B7:B8)</f>
        <v>-2100</v>
      </c>
      <c r="C9" s="55"/>
      <c r="D9" s="58" t="s">
        <v>33</v>
      </c>
      <c r="E9" s="58">
        <f>SUM(E6:E8)</f>
        <v>147900</v>
      </c>
    </row>
    <row r="10" spans="1:5" ht="18" thickTop="1" thickBot="1" x14ac:dyDescent="0.25">
      <c r="A10" s="15" t="s">
        <v>31</v>
      </c>
      <c r="B10" s="59">
        <f>+B5+B9</f>
        <v>-2100</v>
      </c>
      <c r="C10" s="55"/>
      <c r="D10" s="54"/>
      <c r="E10" s="54"/>
    </row>
    <row r="11" spans="1:5" ht="17" thickTop="1" x14ac:dyDescent="0.2">
      <c r="B11" s="55"/>
      <c r="C11" s="55"/>
      <c r="D11" s="56" t="s">
        <v>34</v>
      </c>
      <c r="E11" s="54"/>
    </row>
    <row r="12" spans="1:5" x14ac:dyDescent="0.2">
      <c r="B12" s="55"/>
      <c r="C12" s="55"/>
      <c r="D12" s="60" t="s">
        <v>8</v>
      </c>
      <c r="E12" s="54">
        <f>'Transaction History'!$F$4</f>
        <v>100000</v>
      </c>
    </row>
    <row r="13" spans="1:5" x14ac:dyDescent="0.2">
      <c r="B13" s="55"/>
      <c r="C13" s="55"/>
      <c r="D13" s="61" t="s">
        <v>14</v>
      </c>
      <c r="E13" s="61">
        <f>SUM(E12)</f>
        <v>100000</v>
      </c>
    </row>
    <row r="14" spans="1:5" x14ac:dyDescent="0.2">
      <c r="B14" s="55"/>
      <c r="C14" s="55"/>
      <c r="D14" s="54" t="s">
        <v>9</v>
      </c>
      <c r="E14" s="54">
        <f>'Transaction History'!$F$6</f>
        <v>50000</v>
      </c>
    </row>
    <row r="15" spans="1:5" x14ac:dyDescent="0.2">
      <c r="B15" s="55"/>
      <c r="C15" s="55"/>
      <c r="D15" s="54" t="s">
        <v>12</v>
      </c>
      <c r="E15" s="54">
        <f>-'Transaction History'!$F$8-'Transaction History'!$E$13</f>
        <v>-2100</v>
      </c>
    </row>
    <row r="16" spans="1:5" x14ac:dyDescent="0.2">
      <c r="B16" s="55"/>
      <c r="C16" s="55"/>
      <c r="D16" s="61" t="s">
        <v>15</v>
      </c>
      <c r="E16" s="61">
        <f>SUM(E14:E15)</f>
        <v>47900</v>
      </c>
    </row>
    <row r="17" spans="2:5" ht="17" thickBot="1" x14ac:dyDescent="0.25">
      <c r="B17" s="55"/>
      <c r="C17" s="55"/>
      <c r="D17" s="62" t="s">
        <v>16</v>
      </c>
      <c r="E17" s="62">
        <f>SUM(E13+E16)</f>
        <v>147900</v>
      </c>
    </row>
    <row r="18" spans="2:5" ht="17" thickTop="1" x14ac:dyDescent="0.2"/>
    <row r="19" spans="2:5" x14ac:dyDescent="0.2">
      <c r="D19" s="7"/>
      <c r="E19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463D-C7B6-644D-9A64-8636D6BEFFAF}">
  <dimension ref="A1:E18"/>
  <sheetViews>
    <sheetView showGridLines="0" workbookViewId="0">
      <selection activeCell="E26" sqref="E26"/>
    </sheetView>
  </sheetViews>
  <sheetFormatPr baseColWidth="10" defaultRowHeight="16" x14ac:dyDescent="0.2"/>
  <cols>
    <col min="1" max="1" width="33" bestFit="1" customWidth="1"/>
    <col min="2" max="2" width="11.1640625" bestFit="1" customWidth="1"/>
    <col min="4" max="4" width="28" bestFit="1" customWidth="1"/>
    <col min="5" max="5" width="12.5" bestFit="1" customWidth="1"/>
  </cols>
  <sheetData>
    <row r="1" spans="1:5" ht="21" x14ac:dyDescent="0.25">
      <c r="A1" s="9" t="s">
        <v>37</v>
      </c>
    </row>
    <row r="3" spans="1:5" ht="21" x14ac:dyDescent="0.25">
      <c r="A3" s="12" t="s">
        <v>29</v>
      </c>
      <c r="B3" s="10"/>
      <c r="D3" s="16" t="s">
        <v>32</v>
      </c>
    </row>
    <row r="4" spans="1:5" x14ac:dyDescent="0.2">
      <c r="A4" s="7" t="s">
        <v>24</v>
      </c>
      <c r="B4" s="8"/>
      <c r="D4" s="11" t="s">
        <v>0</v>
      </c>
      <c r="E4" s="7"/>
    </row>
    <row r="5" spans="1:5" x14ac:dyDescent="0.2">
      <c r="A5" s="7" t="s">
        <v>25</v>
      </c>
      <c r="B5" s="54"/>
      <c r="C5" s="55"/>
      <c r="D5" s="54" t="s">
        <v>7</v>
      </c>
      <c r="E5" s="54">
        <f>'Transaction History'!$E$3+'Transaction History'!$E$5+-'Transaction History'!$F$8-'Transaction History'!$F$10-'Transaction History'!$F$12-'Transaction History'!$F$16</f>
        <v>120800</v>
      </c>
    </row>
    <row r="6" spans="1:5" x14ac:dyDescent="0.2">
      <c r="A6" s="13" t="s">
        <v>26</v>
      </c>
      <c r="B6" s="54">
        <f>-'Transaction History'!E7</f>
        <v>-2000</v>
      </c>
      <c r="C6" s="55"/>
      <c r="D6" s="55" t="s">
        <v>36</v>
      </c>
      <c r="E6" s="55">
        <f>'Transaction History'!$E$15</f>
        <v>1000</v>
      </c>
    </row>
    <row r="7" spans="1:5" x14ac:dyDescent="0.2">
      <c r="A7" s="13" t="s">
        <v>27</v>
      </c>
      <c r="B7" s="54">
        <f>-'Transaction History'!E13</f>
        <v>-100</v>
      </c>
      <c r="C7" s="55"/>
      <c r="D7" s="54" t="s">
        <v>20</v>
      </c>
      <c r="E7" s="54">
        <f>'Transaction History'!$E$11-'Transaction History'!$F$14</f>
        <v>1100</v>
      </c>
    </row>
    <row r="8" spans="1:5" x14ac:dyDescent="0.2">
      <c r="A8" s="14" t="s">
        <v>28</v>
      </c>
      <c r="B8" s="57">
        <f>SUM(B6:B7)</f>
        <v>-2100</v>
      </c>
      <c r="C8" s="55"/>
      <c r="D8" s="54" t="s">
        <v>19</v>
      </c>
      <c r="E8" s="54">
        <f>'Transaction History'!$E$9</f>
        <v>25000</v>
      </c>
    </row>
    <row r="9" spans="1:5" ht="17" thickBot="1" x14ac:dyDescent="0.25">
      <c r="A9" s="15" t="s">
        <v>31</v>
      </c>
      <c r="B9" s="59">
        <f>+B4+B8</f>
        <v>-2100</v>
      </c>
      <c r="C9" s="55"/>
      <c r="D9" s="58" t="s">
        <v>33</v>
      </c>
      <c r="E9" s="58">
        <f>SUM(E5:E8)</f>
        <v>147900</v>
      </c>
    </row>
    <row r="10" spans="1:5" ht="17" thickTop="1" x14ac:dyDescent="0.2">
      <c r="B10" s="55"/>
      <c r="C10" s="55"/>
      <c r="D10" s="54"/>
      <c r="E10" s="54"/>
    </row>
    <row r="11" spans="1:5" x14ac:dyDescent="0.2">
      <c r="B11" s="55"/>
      <c r="C11" s="55"/>
      <c r="D11" s="56" t="s">
        <v>34</v>
      </c>
      <c r="E11" s="54"/>
    </row>
    <row r="12" spans="1:5" x14ac:dyDescent="0.2">
      <c r="B12" s="55"/>
      <c r="C12" s="55"/>
      <c r="D12" s="60" t="s">
        <v>8</v>
      </c>
      <c r="E12" s="54">
        <f>'Transaction History'!$F$4</f>
        <v>100000</v>
      </c>
    </row>
    <row r="13" spans="1:5" x14ac:dyDescent="0.2">
      <c r="B13" s="55"/>
      <c r="C13" s="55"/>
      <c r="D13" s="61" t="s">
        <v>14</v>
      </c>
      <c r="E13" s="61">
        <f>SUM(E12)</f>
        <v>100000</v>
      </c>
    </row>
    <row r="14" spans="1:5" x14ac:dyDescent="0.2">
      <c r="B14" s="55"/>
      <c r="C14" s="55"/>
      <c r="D14" s="54" t="s">
        <v>9</v>
      </c>
      <c r="E14" s="54">
        <f>'Transaction History'!$F$6</f>
        <v>50000</v>
      </c>
    </row>
    <row r="15" spans="1:5" x14ac:dyDescent="0.2">
      <c r="B15" s="55"/>
      <c r="C15" s="55"/>
      <c r="D15" s="54" t="s">
        <v>12</v>
      </c>
      <c r="E15" s="54">
        <f>-'Transaction History'!$F$8-'Transaction History'!$E$13</f>
        <v>-2100</v>
      </c>
    </row>
    <row r="16" spans="1:5" x14ac:dyDescent="0.2">
      <c r="B16" s="55"/>
      <c r="C16" s="55"/>
      <c r="D16" s="61" t="s">
        <v>15</v>
      </c>
      <c r="E16" s="61">
        <f>SUM(E14:E15)</f>
        <v>47900</v>
      </c>
    </row>
    <row r="17" spans="2:5" ht="17" thickBot="1" x14ac:dyDescent="0.25">
      <c r="B17" s="55"/>
      <c r="C17" s="55"/>
      <c r="D17" s="62" t="s">
        <v>16</v>
      </c>
      <c r="E17" s="62">
        <f>SUM(E13+E16)</f>
        <v>147900</v>
      </c>
    </row>
    <row r="18" spans="2:5" ht="17" thickTop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9B66F-CB30-7746-866B-3FD5E977D725}">
  <dimension ref="A1:E18"/>
  <sheetViews>
    <sheetView showGridLines="0" workbookViewId="0">
      <selection activeCell="H30" sqref="H30"/>
    </sheetView>
  </sheetViews>
  <sheetFormatPr baseColWidth="10" defaultRowHeight="16" x14ac:dyDescent="0.2"/>
  <cols>
    <col min="1" max="1" width="35" bestFit="1" customWidth="1"/>
    <col min="2" max="2" width="11.1640625" customWidth="1"/>
    <col min="4" max="4" width="28" bestFit="1" customWidth="1"/>
    <col min="5" max="5" width="12.5" bestFit="1" customWidth="1"/>
  </cols>
  <sheetData>
    <row r="1" spans="1:5" ht="21" x14ac:dyDescent="0.25">
      <c r="A1" s="9" t="s">
        <v>40</v>
      </c>
    </row>
    <row r="3" spans="1:5" ht="21" x14ac:dyDescent="0.25">
      <c r="A3" s="12" t="s">
        <v>29</v>
      </c>
      <c r="B3" s="10"/>
      <c r="D3" s="16" t="s">
        <v>32</v>
      </c>
    </row>
    <row r="4" spans="1:5" x14ac:dyDescent="0.2">
      <c r="A4" s="7" t="s">
        <v>24</v>
      </c>
      <c r="B4" s="54"/>
      <c r="C4" s="55"/>
      <c r="D4" s="56" t="s">
        <v>0</v>
      </c>
      <c r="E4" s="54"/>
    </row>
    <row r="5" spans="1:5" x14ac:dyDescent="0.2">
      <c r="A5" s="7" t="s">
        <v>25</v>
      </c>
      <c r="B5" s="54"/>
      <c r="C5" s="55"/>
      <c r="D5" s="54" t="s">
        <v>7</v>
      </c>
      <c r="E5" s="54">
        <f>'Transaction History'!$E$3+'Transaction History'!$E$5+-'Transaction History'!$F$8-'Transaction History'!$F$10-'Transaction History'!$F$12-'Transaction History'!$F$16+'Transaction History'!$E$17</f>
        <v>121000</v>
      </c>
    </row>
    <row r="6" spans="1:5" x14ac:dyDescent="0.2">
      <c r="A6" s="13" t="s">
        <v>26</v>
      </c>
      <c r="B6" s="54">
        <f>-'Transaction History'!E7</f>
        <v>-2000</v>
      </c>
      <c r="C6" s="55"/>
      <c r="D6" s="55" t="s">
        <v>36</v>
      </c>
      <c r="E6" s="55">
        <f>'Transaction History'!$E$15-'Transaction History'!F20</f>
        <v>900</v>
      </c>
    </row>
    <row r="7" spans="1:5" x14ac:dyDescent="0.2">
      <c r="A7" s="13" t="s">
        <v>27</v>
      </c>
      <c r="B7" s="54">
        <f>-'Transaction History'!E13</f>
        <v>-100</v>
      </c>
      <c r="C7" s="55"/>
      <c r="D7" s="54" t="s">
        <v>20</v>
      </c>
      <c r="E7" s="54">
        <f>'Transaction History'!$E$11-'Transaction History'!$F$14</f>
        <v>1100</v>
      </c>
    </row>
    <row r="8" spans="1:5" x14ac:dyDescent="0.2">
      <c r="A8" s="14" t="s">
        <v>28</v>
      </c>
      <c r="B8" s="57">
        <f>SUM(B6:B7)</f>
        <v>-2100</v>
      </c>
      <c r="C8" s="55"/>
      <c r="D8" s="54" t="s">
        <v>19</v>
      </c>
      <c r="E8" s="54">
        <f>'Transaction History'!$E$9</f>
        <v>25000</v>
      </c>
    </row>
    <row r="9" spans="1:5" ht="17" thickBot="1" x14ac:dyDescent="0.25">
      <c r="A9" s="15" t="s">
        <v>31</v>
      </c>
      <c r="B9" s="59">
        <f>+B4+B8</f>
        <v>-2100</v>
      </c>
      <c r="C9" s="55"/>
      <c r="D9" s="58" t="s">
        <v>33</v>
      </c>
      <c r="E9" s="58">
        <f>SUM(E5:E8)</f>
        <v>148000</v>
      </c>
    </row>
    <row r="10" spans="1:5" ht="17" thickTop="1" x14ac:dyDescent="0.2">
      <c r="B10" s="55"/>
      <c r="C10" s="55"/>
      <c r="D10" s="54"/>
      <c r="E10" s="54"/>
    </row>
    <row r="11" spans="1:5" x14ac:dyDescent="0.2">
      <c r="B11" s="55"/>
      <c r="C11" s="55"/>
      <c r="D11" s="56" t="s">
        <v>34</v>
      </c>
      <c r="E11" s="54"/>
    </row>
    <row r="12" spans="1:5" x14ac:dyDescent="0.2">
      <c r="B12" s="55"/>
      <c r="C12" s="55"/>
      <c r="D12" s="60" t="s">
        <v>8</v>
      </c>
      <c r="E12" s="54">
        <f>'Transaction History'!$F$4</f>
        <v>100000</v>
      </c>
    </row>
    <row r="13" spans="1:5" x14ac:dyDescent="0.2">
      <c r="B13" s="55"/>
      <c r="C13" s="55"/>
      <c r="D13" s="61" t="s">
        <v>14</v>
      </c>
      <c r="E13" s="61">
        <f>SUM(E12)</f>
        <v>100000</v>
      </c>
    </row>
    <row r="14" spans="1:5" x14ac:dyDescent="0.2">
      <c r="B14" s="55"/>
      <c r="C14" s="55"/>
      <c r="D14" s="54" t="s">
        <v>9</v>
      </c>
      <c r="E14" s="54">
        <f>'Transaction History'!$F$6</f>
        <v>50000</v>
      </c>
    </row>
    <row r="15" spans="1:5" x14ac:dyDescent="0.2">
      <c r="B15" s="55"/>
      <c r="C15" s="55"/>
      <c r="D15" s="54" t="s">
        <v>12</v>
      </c>
      <c r="E15" s="54">
        <f>-'Transaction History'!$F$8-'Transaction History'!$E$13</f>
        <v>-2100</v>
      </c>
    </row>
    <row r="16" spans="1:5" x14ac:dyDescent="0.2">
      <c r="B16" s="55"/>
      <c r="C16" s="55"/>
      <c r="D16" s="61" t="s">
        <v>15</v>
      </c>
      <c r="E16" s="61">
        <f>SUM(E14:E15)</f>
        <v>47900</v>
      </c>
    </row>
    <row r="17" spans="2:5" ht="17" thickBot="1" x14ac:dyDescent="0.25">
      <c r="B17" s="55"/>
      <c r="C17" s="55"/>
      <c r="D17" s="62" t="s">
        <v>16</v>
      </c>
      <c r="E17" s="62">
        <f>SUM(E13+E16)</f>
        <v>147900</v>
      </c>
    </row>
    <row r="18" spans="2:5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Transaction History</vt:lpstr>
      <vt:lpstr>02 - Funding the Fitness Center</vt:lpstr>
      <vt:lpstr>03 - Renting a Location</vt:lpstr>
      <vt:lpstr>04 - Purchasing Equipment</vt:lpstr>
      <vt:lpstr>05.1 - Purchasing Insurance</vt:lpstr>
      <vt:lpstr>05.2 - Purchasing Insurance</vt:lpstr>
      <vt:lpstr>06 - It All Starts with Sales</vt:lpstr>
      <vt:lpstr>07.1 - The Whey of Inventory</vt:lpstr>
      <vt:lpstr>07.2 - The Whey of Inventory</vt:lpstr>
      <vt:lpstr>08.1 - The Whey to Sell</vt:lpstr>
      <vt:lpstr>08.2 - The Whey to Sell</vt:lpstr>
      <vt:lpstr>09.1 - The Matching Game</vt:lpstr>
      <vt:lpstr>09.2 - The Matching Game</vt:lpstr>
      <vt:lpstr>10.1 - Depreciating our Exercis</vt:lpstr>
      <vt:lpstr>10.2 - Depreciating our Exercis</vt:lpstr>
      <vt:lpstr>11.1 - Accumulated Depreciation</vt:lpstr>
      <vt:lpstr>11.2 - Accumulated Depreciation</vt:lpstr>
      <vt:lpstr>12 - Cash Flow is not Income</vt:lpstr>
      <vt:lpstr>13 - Preparing for Opening Day</vt:lpstr>
      <vt:lpstr>14 - Opening Day</vt:lpstr>
      <vt:lpstr>15 - Purchasing Inventory on Cr</vt:lpstr>
      <vt:lpstr>17 - Adding Recurring Expenses</vt:lpstr>
      <vt:lpstr>19 - About Loans and Interest</vt:lpstr>
      <vt:lpstr>20 - Deferred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Smigel</dc:creator>
  <cp:lastModifiedBy>Leo Smigel</cp:lastModifiedBy>
  <dcterms:created xsi:type="dcterms:W3CDTF">2018-09-12T17:16:58Z</dcterms:created>
  <dcterms:modified xsi:type="dcterms:W3CDTF">2019-05-02T16:58:46Z</dcterms:modified>
</cp:coreProperties>
</file>