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0500" yWindow="180" windowWidth="14115" windowHeight="8670" tabRatio="590" firstSheet="5" activeTab="5"/>
  </bookViews>
  <sheets>
    <sheet name="Crafting" sheetId="1" state="hidden" r:id="rId1"/>
    <sheet name="Damage" sheetId="2" state="hidden" r:id="rId2"/>
    <sheet name="Effective Life" sheetId="3" state="hidden" r:id="rId3"/>
    <sheet name="Useful Info" sheetId="4" state="hidden" r:id="rId4"/>
    <sheet name="Mark" sheetId="5" state="hidden" r:id="rId5"/>
    <sheet name="GAH vs RMAH gaps" sheetId="6" r:id="rId6"/>
    <sheet name="MF Times" sheetId="7" state="hidden" r:id="rId7"/>
    <sheet name="Gear" sheetId="8" state="hidden" r:id="rId8"/>
    <sheet name="Eric" sheetId="9" state="hidden" r:id="rId9"/>
    <sheet name="1h Data" sheetId="13" r:id="rId10"/>
    <sheet name="Commodities" sheetId="12" r:id="rId11"/>
    <sheet name="Profits" sheetId="10" r:id="rId12"/>
    <sheet name="tornadoBarb" sheetId="11" state="hidden" r:id="rId13"/>
    <sheet name="Errors" sheetId="14" r:id="rId14"/>
    <sheet name="Bnet balance" sheetId="15" r:id="rId15"/>
  </sheets>
  <definedNames>
    <definedName name="_xlnm._FilterDatabase" localSheetId="9" hidden="1">'1h Data'!$A$1:$U$75</definedName>
    <definedName name="_xlnm._FilterDatabase" localSheetId="5" hidden="1">'GAH vs RMAH gaps'!$A$1:$O$155</definedName>
    <definedName name="_xlnm._FilterDatabase" localSheetId="11" hidden="1">Profits!$A$1:$A$312</definedName>
  </definedNames>
  <calcPr calcId="125725"/>
</workbook>
</file>

<file path=xl/calcChain.xml><?xml version="1.0" encoding="utf-8"?>
<calcChain xmlns="http://schemas.openxmlformats.org/spreadsheetml/2006/main">
  <c r="N28" i="6"/>
  <c r="N26"/>
  <c r="N18"/>
  <c r="N42"/>
  <c r="N40"/>
  <c r="N43"/>
  <c r="N31"/>
  <c r="N6"/>
  <c r="N48"/>
  <c r="N55"/>
  <c r="N56"/>
  <c r="N41"/>
  <c r="N47"/>
  <c r="N63"/>
  <c r="N34"/>
  <c r="E2" i="14"/>
  <c r="A53" i="15"/>
  <c r="N137" i="6"/>
  <c r="N36"/>
  <c r="N152"/>
  <c r="N30"/>
  <c r="N16"/>
  <c r="N73"/>
  <c r="N72"/>
  <c r="N69"/>
  <c r="N149"/>
  <c r="N27"/>
  <c r="N154"/>
  <c r="N80"/>
  <c r="N68"/>
  <c r="N70"/>
  <c r="N101"/>
  <c r="N151"/>
  <c r="N125"/>
  <c r="N23"/>
  <c r="N98"/>
  <c r="N126"/>
  <c r="N119"/>
  <c r="N29"/>
  <c r="N79"/>
  <c r="N138"/>
  <c r="N103"/>
  <c r="N108"/>
  <c r="N147"/>
  <c r="N150"/>
  <c r="N139"/>
  <c r="N102"/>
  <c r="N109"/>
  <c r="N127"/>
  <c r="N78"/>
  <c r="N81"/>
  <c r="N66"/>
  <c r="N135"/>
  <c r="N136"/>
  <c r="N115"/>
  <c r="N118"/>
  <c r="N91"/>
  <c r="N105"/>
  <c r="N5"/>
  <c r="N146"/>
  <c r="N113"/>
  <c r="N67"/>
  <c r="N96"/>
  <c r="N95"/>
  <c r="N132"/>
  <c r="N97"/>
  <c r="N107"/>
  <c r="N37"/>
  <c r="N130"/>
  <c r="N20"/>
  <c r="N104"/>
  <c r="N124"/>
  <c r="N71"/>
  <c r="N155"/>
  <c r="N116"/>
  <c r="N140"/>
  <c r="N142"/>
  <c r="N94"/>
  <c r="N99"/>
  <c r="N114"/>
  <c r="N15"/>
  <c r="N4"/>
  <c r="N84"/>
  <c r="N112"/>
  <c r="N117"/>
  <c r="N93"/>
  <c r="N90"/>
  <c r="N133"/>
  <c r="N86"/>
  <c r="N83"/>
  <c r="N106"/>
  <c r="N76"/>
  <c r="N122"/>
  <c r="N85"/>
  <c r="N10"/>
  <c r="N141"/>
  <c r="N110"/>
  <c r="N131"/>
  <c r="N100"/>
  <c r="N129"/>
  <c r="N92"/>
  <c r="N143"/>
  <c r="N22"/>
  <c r="N123"/>
  <c r="N153"/>
  <c r="N120"/>
  <c r="N77"/>
  <c r="N88"/>
  <c r="N111"/>
  <c r="N87"/>
  <c r="N74"/>
  <c r="N89"/>
  <c r="N121"/>
  <c r="N128"/>
  <c r="N134"/>
  <c r="N75"/>
  <c r="N82"/>
  <c r="N144"/>
  <c r="N148"/>
  <c r="N145"/>
  <c r="N46"/>
  <c r="P19" i="13"/>
  <c r="Q19"/>
  <c r="R19"/>
  <c r="O19"/>
  <c r="P52"/>
  <c r="Q52"/>
  <c r="R52"/>
  <c r="O52"/>
  <c r="P38"/>
  <c r="Q38"/>
  <c r="R38"/>
  <c r="O38"/>
  <c r="Q60"/>
  <c r="R60"/>
  <c r="Q42"/>
  <c r="R42"/>
  <c r="Q4"/>
  <c r="R4"/>
  <c r="Q43"/>
  <c r="R43"/>
  <c r="Q26"/>
  <c r="R26"/>
  <c r="Q10"/>
  <c r="R10"/>
  <c r="Q55"/>
  <c r="R55"/>
  <c r="Q73"/>
  <c r="R73"/>
  <c r="Q13"/>
  <c r="R13"/>
  <c r="Q45"/>
  <c r="R45"/>
  <c r="Q23"/>
  <c r="R23"/>
  <c r="Q67"/>
  <c r="R67"/>
  <c r="Q65"/>
  <c r="R65"/>
  <c r="Q9"/>
  <c r="R9"/>
  <c r="Q16"/>
  <c r="R16"/>
  <c r="Q24"/>
  <c r="R24"/>
  <c r="Q30"/>
  <c r="R30"/>
  <c r="Q40"/>
  <c r="R40"/>
  <c r="Q59"/>
  <c r="R59"/>
  <c r="Q39"/>
  <c r="R39"/>
  <c r="Q74"/>
  <c r="R74"/>
  <c r="Q37"/>
  <c r="R37"/>
  <c r="Q49"/>
  <c r="R49"/>
  <c r="Q68"/>
  <c r="R68"/>
  <c r="Q50"/>
  <c r="R50"/>
  <c r="Q56"/>
  <c r="R56"/>
  <c r="Q57"/>
  <c r="R57"/>
  <c r="Q62"/>
  <c r="R62"/>
  <c r="Q64"/>
  <c r="R64"/>
  <c r="Q66"/>
  <c r="R66"/>
  <c r="Q70"/>
  <c r="R70"/>
  <c r="Q63"/>
  <c r="R63"/>
  <c r="Q75"/>
  <c r="R75"/>
  <c r="Q72"/>
  <c r="R72"/>
  <c r="Q53"/>
  <c r="R53"/>
  <c r="Q5"/>
  <c r="R5"/>
  <c r="Q20"/>
  <c r="R20"/>
  <c r="Q27"/>
  <c r="R27"/>
  <c r="Q33"/>
  <c r="R33"/>
  <c r="Q44"/>
  <c r="R44"/>
  <c r="Q36"/>
  <c r="R36"/>
  <c r="Q31"/>
  <c r="R31"/>
  <c r="Q6"/>
  <c r="R6"/>
  <c r="Q14"/>
  <c r="R14"/>
  <c r="Q22"/>
  <c r="R22"/>
  <c r="Q12"/>
  <c r="R12"/>
  <c r="Q21"/>
  <c r="R21"/>
  <c r="Q51"/>
  <c r="R51"/>
  <c r="Q54"/>
  <c r="R54"/>
  <c r="Q28"/>
  <c r="R28"/>
  <c r="Q46"/>
  <c r="R46"/>
  <c r="Q69"/>
  <c r="R69"/>
  <c r="Q58"/>
  <c r="R58"/>
  <c r="Q71"/>
  <c r="R71"/>
  <c r="Q61"/>
  <c r="R61"/>
  <c r="Q2"/>
  <c r="R2"/>
  <c r="Q3"/>
  <c r="R3"/>
  <c r="Q11"/>
  <c r="R11"/>
  <c r="Q7"/>
  <c r="R7"/>
  <c r="Q8"/>
  <c r="R8"/>
  <c r="Q17"/>
  <c r="R17"/>
  <c r="Q32"/>
  <c r="R32"/>
  <c r="Q34"/>
  <c r="R34"/>
  <c r="Q35"/>
  <c r="R35"/>
  <c r="Q15"/>
  <c r="R15"/>
  <c r="Q41"/>
  <c r="R41"/>
  <c r="Q18"/>
  <c r="R18"/>
  <c r="Q25"/>
  <c r="R25"/>
  <c r="Q29"/>
  <c r="R29"/>
  <c r="Q48"/>
  <c r="R48"/>
  <c r="P48"/>
  <c r="O48"/>
  <c r="P29"/>
  <c r="O29"/>
  <c r="P25"/>
  <c r="O25"/>
  <c r="P18"/>
  <c r="O18"/>
  <c r="P41"/>
  <c r="O41"/>
  <c r="P15"/>
  <c r="O15"/>
  <c r="P35"/>
  <c r="O35"/>
  <c r="P34"/>
  <c r="O34"/>
  <c r="P32"/>
  <c r="O32"/>
  <c r="P17"/>
  <c r="O17"/>
  <c r="P8"/>
  <c r="O8"/>
  <c r="P7"/>
  <c r="O7"/>
  <c r="P11"/>
  <c r="O11"/>
  <c r="R551"/>
  <c r="R552"/>
  <c r="P3"/>
  <c r="O3"/>
  <c r="P2"/>
  <c r="O2"/>
  <c r="P61"/>
  <c r="O61"/>
  <c r="P71"/>
  <c r="O71"/>
  <c r="P58"/>
  <c r="O58"/>
  <c r="P69"/>
  <c r="O69"/>
  <c r="P46"/>
  <c r="O46"/>
  <c r="P28"/>
  <c r="O28"/>
  <c r="P54"/>
  <c r="O54"/>
  <c r="P51"/>
  <c r="O51"/>
  <c r="P21"/>
  <c r="O21"/>
  <c r="P12"/>
  <c r="O12"/>
  <c r="P22"/>
  <c r="O22"/>
  <c r="P14"/>
  <c r="O14"/>
  <c r="P6"/>
  <c r="O6"/>
  <c r="R47"/>
  <c r="O60"/>
  <c r="O42"/>
  <c r="O4"/>
  <c r="O43"/>
  <c r="O26"/>
  <c r="O10"/>
  <c r="O55"/>
  <c r="O73"/>
  <c r="O13"/>
  <c r="O45"/>
  <c r="O23"/>
  <c r="O67"/>
  <c r="O65"/>
  <c r="O9"/>
  <c r="O16"/>
  <c r="O24"/>
  <c r="O30"/>
  <c r="O40"/>
  <c r="O59"/>
  <c r="O39"/>
  <c r="O74"/>
  <c r="O37"/>
  <c r="O49"/>
  <c r="O68"/>
  <c r="O50"/>
  <c r="O56"/>
  <c r="O57"/>
  <c r="O62"/>
  <c r="O64"/>
  <c r="O66"/>
  <c r="O70"/>
  <c r="O63"/>
  <c r="O75"/>
  <c r="O72"/>
  <c r="O53"/>
  <c r="O5"/>
  <c r="O20"/>
  <c r="O27"/>
  <c r="O33"/>
  <c r="O44"/>
  <c r="O36"/>
  <c r="O31"/>
  <c r="O47"/>
  <c r="P40"/>
  <c r="Q47"/>
  <c r="P60"/>
  <c r="P42"/>
  <c r="P4"/>
  <c r="P43"/>
  <c r="P26"/>
  <c r="P10"/>
  <c r="P55"/>
  <c r="P73"/>
  <c r="P13"/>
  <c r="P45"/>
  <c r="P23"/>
  <c r="P67"/>
  <c r="P65"/>
  <c r="P9"/>
  <c r="P16"/>
  <c r="P24"/>
  <c r="P30"/>
  <c r="P59"/>
  <c r="P39"/>
  <c r="P74"/>
  <c r="P37"/>
  <c r="P49"/>
  <c r="P68"/>
  <c r="P50"/>
  <c r="P56"/>
  <c r="P57"/>
  <c r="P62"/>
  <c r="P64"/>
  <c r="P66"/>
  <c r="P70"/>
  <c r="P63"/>
  <c r="P75"/>
  <c r="P72"/>
  <c r="P53"/>
  <c r="P5"/>
  <c r="P20"/>
  <c r="P27"/>
  <c r="P33"/>
  <c r="P44"/>
  <c r="P36"/>
  <c r="P31"/>
  <c r="P47"/>
  <c r="E2" i="12"/>
  <c r="E3"/>
  <c r="E4"/>
  <c r="E5"/>
  <c r="E6"/>
  <c r="E7"/>
  <c r="E8"/>
  <c r="E9"/>
  <c r="E10"/>
  <c r="E11"/>
  <c r="E12"/>
  <c r="E13"/>
  <c r="E14"/>
  <c r="E15"/>
  <c r="E16"/>
  <c r="E17"/>
  <c r="E18"/>
  <c r="E19"/>
  <c r="E20"/>
  <c r="E21"/>
  <c r="E22"/>
  <c r="E23"/>
  <c r="E24"/>
  <c r="E25"/>
  <c r="P1"/>
  <c r="F7" s="1"/>
  <c r="U1"/>
  <c r="F2"/>
  <c r="K2"/>
  <c r="F3"/>
  <c r="K3"/>
  <c r="H4"/>
  <c r="K4"/>
  <c r="H5"/>
  <c r="K5"/>
  <c r="K6"/>
  <c r="K7"/>
  <c r="K8"/>
  <c r="K9"/>
  <c r="K10"/>
  <c r="K11"/>
  <c r="K12"/>
  <c r="F13"/>
  <c r="K13"/>
  <c r="H14"/>
  <c r="K14"/>
  <c r="L14"/>
  <c r="K15"/>
  <c r="K16"/>
  <c r="K17"/>
  <c r="K18"/>
  <c r="K19"/>
  <c r="K20"/>
  <c r="K21"/>
  <c r="K22"/>
  <c r="K23"/>
  <c r="K24"/>
  <c r="K25"/>
  <c r="G1" i="10"/>
  <c r="D1"/>
  <c r="R1" i="6"/>
  <c r="H89" s="1"/>
  <c r="W1"/>
  <c r="C2" i="1"/>
  <c r="C3"/>
  <c r="C4"/>
  <c r="C5"/>
  <c r="C6"/>
  <c r="C7"/>
  <c r="C8"/>
  <c r="C9"/>
  <c r="C10"/>
  <c r="C11"/>
  <c r="C12"/>
  <c r="C13"/>
  <c r="C14"/>
  <c r="C15"/>
  <c r="C16"/>
  <c r="C17"/>
  <c r="C18"/>
  <c r="C19"/>
  <c r="C20"/>
  <c r="C21"/>
  <c r="C22"/>
  <c r="C23"/>
  <c r="C24"/>
  <c r="C25"/>
  <c r="C26"/>
  <c r="C27"/>
  <c r="C28"/>
  <c r="E5" i="2"/>
  <c r="F7"/>
  <c r="E8"/>
  <c r="E9"/>
  <c r="F9" s="1"/>
  <c r="H9"/>
  <c r="J9"/>
  <c r="L9"/>
  <c r="E10"/>
  <c r="H8" s="1"/>
  <c r="F10"/>
  <c r="E11"/>
  <c r="F11" s="1"/>
  <c r="G11"/>
  <c r="J11"/>
  <c r="L11"/>
  <c r="E12"/>
  <c r="J8" s="1"/>
  <c r="F12"/>
  <c r="H12"/>
  <c r="E13"/>
  <c r="F13" s="1"/>
  <c r="G13"/>
  <c r="I13"/>
  <c r="L13"/>
  <c r="E14"/>
  <c r="L8" s="1"/>
  <c r="F14"/>
  <c r="H14"/>
  <c r="J14"/>
  <c r="E18"/>
  <c r="E22" s="1"/>
  <c r="F20"/>
  <c r="E21"/>
  <c r="G21" s="1"/>
  <c r="E23"/>
  <c r="F23" s="1"/>
  <c r="E25"/>
  <c r="F25" s="1"/>
  <c r="E27"/>
  <c r="F27" s="1"/>
  <c r="E31"/>
  <c r="F33"/>
  <c r="E34"/>
  <c r="E35"/>
  <c r="F35" s="1"/>
  <c r="H35"/>
  <c r="J35"/>
  <c r="L35"/>
  <c r="E36"/>
  <c r="H34" s="1"/>
  <c r="F36"/>
  <c r="E37"/>
  <c r="F37" s="1"/>
  <c r="G37"/>
  <c r="J37"/>
  <c r="L37"/>
  <c r="E38"/>
  <c r="J34" s="1"/>
  <c r="F38"/>
  <c r="H38"/>
  <c r="E39"/>
  <c r="F39" s="1"/>
  <c r="G39"/>
  <c r="I39"/>
  <c r="L39"/>
  <c r="E40"/>
  <c r="L34" s="1"/>
  <c r="F40"/>
  <c r="H40"/>
  <c r="J40"/>
  <c r="E44"/>
  <c r="E48" s="1"/>
  <c r="F46"/>
  <c r="E47"/>
  <c r="G47" s="1"/>
  <c r="E49"/>
  <c r="F49" s="1"/>
  <c r="E51"/>
  <c r="F51" s="1"/>
  <c r="E53"/>
  <c r="F53" s="1"/>
  <c r="E57"/>
  <c r="F59"/>
  <c r="E60"/>
  <c r="E61"/>
  <c r="E62"/>
  <c r="H60" s="1"/>
  <c r="F62"/>
  <c r="I62"/>
  <c r="E63"/>
  <c r="J63"/>
  <c r="E64"/>
  <c r="J60" s="1"/>
  <c r="F64"/>
  <c r="H64"/>
  <c r="E65"/>
  <c r="E66"/>
  <c r="L60" s="1"/>
  <c r="F66"/>
  <c r="H66"/>
  <c r="J66"/>
  <c r="E70"/>
  <c r="F72"/>
  <c r="E73"/>
  <c r="E83"/>
  <c r="F85"/>
  <c r="E86"/>
  <c r="G86"/>
  <c r="K86"/>
  <c r="E87"/>
  <c r="H87"/>
  <c r="J87"/>
  <c r="L87"/>
  <c r="E88"/>
  <c r="H86" s="1"/>
  <c r="F88"/>
  <c r="K88"/>
  <c r="E89"/>
  <c r="G89"/>
  <c r="J89"/>
  <c r="L89"/>
  <c r="E90"/>
  <c r="J86" s="1"/>
  <c r="F90"/>
  <c r="H90"/>
  <c r="K90"/>
  <c r="E91"/>
  <c r="G91"/>
  <c r="I91"/>
  <c r="L91"/>
  <c r="E92"/>
  <c r="L86" s="1"/>
  <c r="F92"/>
  <c r="H92"/>
  <c r="J92"/>
  <c r="G5" i="3"/>
  <c r="E9"/>
  <c r="E11"/>
  <c r="G11"/>
  <c r="G16"/>
  <c r="B27"/>
  <c r="E26" s="1"/>
  <c r="B28"/>
  <c r="G32"/>
  <c r="E35"/>
  <c r="J35"/>
  <c r="E36"/>
  <c r="F36"/>
  <c r="I36"/>
  <c r="E37"/>
  <c r="E38"/>
  <c r="F38"/>
  <c r="G38"/>
  <c r="E39"/>
  <c r="G39"/>
  <c r="I39"/>
  <c r="B54"/>
  <c r="G43" s="1"/>
  <c r="E46" s="1"/>
  <c r="B55"/>
  <c r="G59"/>
  <c r="E65"/>
  <c r="B81"/>
  <c r="E79" s="1"/>
  <c r="B82"/>
  <c r="G86"/>
  <c r="E92"/>
  <c r="B108"/>
  <c r="E107" s="1"/>
  <c r="B109"/>
  <c r="G113"/>
  <c r="E116"/>
  <c r="H116"/>
  <c r="E117"/>
  <c r="F117"/>
  <c r="I117"/>
  <c r="E118"/>
  <c r="G118"/>
  <c r="E119"/>
  <c r="F119"/>
  <c r="G119"/>
  <c r="H119"/>
  <c r="E120"/>
  <c r="I120"/>
  <c r="B135"/>
  <c r="G124" s="1"/>
  <c r="E127" s="1"/>
  <c r="B136"/>
  <c r="G142"/>
  <c r="E146"/>
  <c r="E148"/>
  <c r="G148"/>
  <c r="G153"/>
  <c r="B164"/>
  <c r="E163" s="1"/>
  <c r="B165"/>
  <c r="G169"/>
  <c r="E172"/>
  <c r="J172"/>
  <c r="E173"/>
  <c r="F173"/>
  <c r="I173"/>
  <c r="E174"/>
  <c r="J174"/>
  <c r="E175"/>
  <c r="F175"/>
  <c r="G175"/>
  <c r="H175"/>
  <c r="E176"/>
  <c r="G176"/>
  <c r="I176"/>
  <c r="B191"/>
  <c r="G180" s="1"/>
  <c r="E183" s="1"/>
  <c r="B192"/>
  <c r="G196"/>
  <c r="E199" s="1"/>
  <c r="E200"/>
  <c r="E202"/>
  <c r="F202" s="1"/>
  <c r="G202"/>
  <c r="G207"/>
  <c r="E210" s="1"/>
  <c r="B218"/>
  <c r="E217" s="1"/>
  <c r="B219"/>
  <c r="D2" i="5"/>
  <c r="I2"/>
  <c r="K2"/>
  <c r="D3"/>
  <c r="D14" s="1"/>
  <c r="I3"/>
  <c r="K3"/>
  <c r="D4"/>
  <c r="I4"/>
  <c r="K4"/>
  <c r="D5"/>
  <c r="I5"/>
  <c r="K5"/>
  <c r="D6"/>
  <c r="I6"/>
  <c r="K6"/>
  <c r="D7"/>
  <c r="I7"/>
  <c r="K7"/>
  <c r="D8"/>
  <c r="I8"/>
  <c r="K8"/>
  <c r="D9"/>
  <c r="I9"/>
  <c r="K9"/>
  <c r="D10"/>
  <c r="I10"/>
  <c r="K10"/>
  <c r="D11"/>
  <c r="I11"/>
  <c r="K11"/>
  <c r="D12"/>
  <c r="I12"/>
  <c r="K12"/>
  <c r="D13"/>
  <c r="I13"/>
  <c r="K13"/>
  <c r="B14"/>
  <c r="C14"/>
  <c r="G14"/>
  <c r="H14"/>
  <c r="I14"/>
  <c r="E2" i="7"/>
  <c r="D16" i="9"/>
  <c r="D17"/>
  <c r="D18"/>
  <c r="D19"/>
  <c r="D20"/>
  <c r="D21"/>
  <c r="D22"/>
  <c r="D23"/>
  <c r="D24"/>
  <c r="D25"/>
  <c r="D26"/>
  <c r="D27"/>
  <c r="C36"/>
  <c r="C37"/>
  <c r="C38"/>
  <c r="C45"/>
  <c r="C52"/>
  <c r="F52"/>
  <c r="C53"/>
  <c r="F53"/>
  <c r="C54"/>
  <c r="F54"/>
  <c r="C55"/>
  <c r="F55"/>
  <c r="C56"/>
  <c r="F56"/>
  <c r="C62"/>
  <c r="C69"/>
  <c r="C70"/>
  <c r="C71"/>
  <c r="C72"/>
  <c r="C73"/>
  <c r="J18" i="6" l="1"/>
  <c r="K18" s="1"/>
  <c r="J42"/>
  <c r="K42" s="1"/>
  <c r="J26"/>
  <c r="K26" s="1"/>
  <c r="J43"/>
  <c r="K43" s="1"/>
  <c r="J40"/>
  <c r="K40" s="1"/>
  <c r="L18"/>
  <c r="L17"/>
  <c r="L50"/>
  <c r="L41"/>
  <c r="L36"/>
  <c r="L45"/>
  <c r="L51"/>
  <c r="L65"/>
  <c r="L62"/>
  <c r="L9"/>
  <c r="L59"/>
  <c r="L11"/>
  <c r="L14"/>
  <c r="L23"/>
  <c r="L49"/>
  <c r="L54"/>
  <c r="L37"/>
  <c r="L57"/>
  <c r="L61"/>
  <c r="L34"/>
  <c r="L20"/>
  <c r="L53"/>
  <c r="L43"/>
  <c r="L63"/>
  <c r="L16"/>
  <c r="L22"/>
  <c r="L6"/>
  <c r="L64"/>
  <c r="L25"/>
  <c r="L39"/>
  <c r="L2"/>
  <c r="L3"/>
  <c r="M18"/>
  <c r="O18" s="1"/>
  <c r="M42"/>
  <c r="M26"/>
  <c r="O26" s="1"/>
  <c r="M43"/>
  <c r="O43" s="1"/>
  <c r="M40"/>
  <c r="O40" s="1"/>
  <c r="L56"/>
  <c r="L35"/>
  <c r="L52"/>
  <c r="L28"/>
  <c r="L47"/>
  <c r="L60"/>
  <c r="L40"/>
  <c r="L48"/>
  <c r="L5"/>
  <c r="L44"/>
  <c r="L30"/>
  <c r="L32"/>
  <c r="L29"/>
  <c r="L27"/>
  <c r="L38"/>
  <c r="L13"/>
  <c r="L42"/>
  <c r="L26"/>
  <c r="L58"/>
  <c r="L15"/>
  <c r="L24"/>
  <c r="L55"/>
  <c r="L12"/>
  <c r="L10"/>
  <c r="L21"/>
  <c r="L8"/>
  <c r="L31"/>
  <c r="L33"/>
  <c r="L7"/>
  <c r="L4"/>
  <c r="L46"/>
  <c r="L19"/>
  <c r="O42"/>
  <c r="H38"/>
  <c r="H2"/>
  <c r="H11"/>
  <c r="H64"/>
  <c r="H51"/>
  <c r="H3"/>
  <c r="H63"/>
  <c r="H57"/>
  <c r="H17"/>
  <c r="H54"/>
  <c r="H49"/>
  <c r="H9"/>
  <c r="H37"/>
  <c r="H24"/>
  <c r="H27"/>
  <c r="H31"/>
  <c r="H56"/>
  <c r="H33"/>
  <c r="H52"/>
  <c r="H7"/>
  <c r="H21"/>
  <c r="H53"/>
  <c r="H59"/>
  <c r="H35"/>
  <c r="H22"/>
  <c r="H45"/>
  <c r="H15"/>
  <c r="H5"/>
  <c r="H32"/>
  <c r="H13"/>
  <c r="H29"/>
  <c r="H39"/>
  <c r="H60"/>
  <c r="H10"/>
  <c r="H4"/>
  <c r="H36"/>
  <c r="H23"/>
  <c r="H26"/>
  <c r="H40"/>
  <c r="H55"/>
  <c r="H48"/>
  <c r="H6"/>
  <c r="H30"/>
  <c r="H25"/>
  <c r="H50"/>
  <c r="H34"/>
  <c r="H58"/>
  <c r="H46"/>
  <c r="H47"/>
  <c r="H14"/>
  <c r="H61"/>
  <c r="H12"/>
  <c r="H20"/>
  <c r="H62"/>
  <c r="H41"/>
  <c r="H65"/>
  <c r="H8"/>
  <c r="H19"/>
  <c r="H44"/>
  <c r="H16"/>
  <c r="H28"/>
  <c r="H18"/>
  <c r="H42"/>
  <c r="H43"/>
  <c r="G83"/>
  <c r="G79"/>
  <c r="G78"/>
  <c r="G86"/>
  <c r="G84"/>
  <c r="G81"/>
  <c r="G80"/>
  <c r="J5"/>
  <c r="K5" s="1"/>
  <c r="J15"/>
  <c r="K15" s="1"/>
  <c r="J37"/>
  <c r="K37" s="1"/>
  <c r="J29"/>
  <c r="K29" s="1"/>
  <c r="J36"/>
  <c r="K36" s="1"/>
  <c r="J128"/>
  <c r="K128" s="1"/>
  <c r="J90"/>
  <c r="K90" s="1"/>
  <c r="J143"/>
  <c r="K143" s="1"/>
  <c r="J82"/>
  <c r="K82" s="1"/>
  <c r="J133"/>
  <c r="K133" s="1"/>
  <c r="J117"/>
  <c r="K117" s="1"/>
  <c r="J110"/>
  <c r="K110" s="1"/>
  <c r="J116"/>
  <c r="K116" s="1"/>
  <c r="J97"/>
  <c r="K97" s="1"/>
  <c r="J96"/>
  <c r="K96" s="1"/>
  <c r="J84"/>
  <c r="K84" s="1"/>
  <c r="J135"/>
  <c r="K135" s="1"/>
  <c r="J139"/>
  <c r="K139" s="1"/>
  <c r="J103"/>
  <c r="K103" s="1"/>
  <c r="J108"/>
  <c r="K108" s="1"/>
  <c r="J119"/>
  <c r="K119" s="1"/>
  <c r="J125"/>
  <c r="K125" s="1"/>
  <c r="J149"/>
  <c r="K149" s="1"/>
  <c r="J151"/>
  <c r="K151" s="1"/>
  <c r="J113"/>
  <c r="K113" s="1"/>
  <c r="J120"/>
  <c r="K120" s="1"/>
  <c r="J145"/>
  <c r="K145" s="1"/>
  <c r="L67"/>
  <c r="L78"/>
  <c r="L66"/>
  <c r="L83"/>
  <c r="L76"/>
  <c r="L87"/>
  <c r="M46"/>
  <c r="O46" s="1"/>
  <c r="G87"/>
  <c r="H87"/>
  <c r="M148"/>
  <c r="O148" s="1"/>
  <c r="M82"/>
  <c r="O82" s="1"/>
  <c r="M134"/>
  <c r="O134" s="1"/>
  <c r="M121"/>
  <c r="O121" s="1"/>
  <c r="M74"/>
  <c r="O74" s="1"/>
  <c r="M111"/>
  <c r="O111" s="1"/>
  <c r="M77"/>
  <c r="O77" s="1"/>
  <c r="M153"/>
  <c r="O153" s="1"/>
  <c r="M22"/>
  <c r="O22" s="1"/>
  <c r="M92"/>
  <c r="O92" s="1"/>
  <c r="M100"/>
  <c r="O100" s="1"/>
  <c r="M110"/>
  <c r="O110" s="1"/>
  <c r="M10"/>
  <c r="O10" s="1"/>
  <c r="M85"/>
  <c r="O85" s="1"/>
  <c r="M76"/>
  <c r="O76" s="1"/>
  <c r="M106"/>
  <c r="O106" s="1"/>
  <c r="M86"/>
  <c r="O86" s="1"/>
  <c r="M90"/>
  <c r="O90" s="1"/>
  <c r="M117"/>
  <c r="O117" s="1"/>
  <c r="M84"/>
  <c r="O84" s="1"/>
  <c r="M114"/>
  <c r="O114" s="1"/>
  <c r="M94"/>
  <c r="O94" s="1"/>
  <c r="M140"/>
  <c r="O140" s="1"/>
  <c r="M155"/>
  <c r="O155" s="1"/>
  <c r="M124"/>
  <c r="O124" s="1"/>
  <c r="M20"/>
  <c r="O20" s="1"/>
  <c r="M37"/>
  <c r="O37" s="1"/>
  <c r="M97"/>
  <c r="O97" s="1"/>
  <c r="M95"/>
  <c r="O95" s="1"/>
  <c r="M96"/>
  <c r="O96" s="1"/>
  <c r="M113"/>
  <c r="O113" s="1"/>
  <c r="M5"/>
  <c r="O5" s="1"/>
  <c r="M91"/>
  <c r="O91" s="1"/>
  <c r="M136"/>
  <c r="O136" s="1"/>
  <c r="M66"/>
  <c r="O66" s="1"/>
  <c r="M81"/>
  <c r="O81" s="1"/>
  <c r="M78"/>
  <c r="O78" s="1"/>
  <c r="M102"/>
  <c r="O102" s="1"/>
  <c r="M147"/>
  <c r="O147" s="1"/>
  <c r="M126"/>
  <c r="O126" s="1"/>
  <c r="M23"/>
  <c r="O23" s="1"/>
  <c r="M70"/>
  <c r="O70" s="1"/>
  <c r="M68"/>
  <c r="O68" s="1"/>
  <c r="M154"/>
  <c r="O154" s="1"/>
  <c r="M27"/>
  <c r="O27" s="1"/>
  <c r="M149"/>
  <c r="O149" s="1"/>
  <c r="M72"/>
  <c r="O72" s="1"/>
  <c r="M73"/>
  <c r="O73" s="1"/>
  <c r="M16"/>
  <c r="O16" s="1"/>
  <c r="M152"/>
  <c r="O152" s="1"/>
  <c r="M137"/>
  <c r="O137" s="1"/>
  <c r="J23"/>
  <c r="K23" s="1"/>
  <c r="J30"/>
  <c r="K30" s="1"/>
  <c r="J121"/>
  <c r="K121" s="1"/>
  <c r="J134"/>
  <c r="K134" s="1"/>
  <c r="J123"/>
  <c r="K123" s="1"/>
  <c r="J129"/>
  <c r="K129" s="1"/>
  <c r="J122"/>
  <c r="K122" s="1"/>
  <c r="J93"/>
  <c r="K93" s="1"/>
  <c r="J76"/>
  <c r="K76" s="1"/>
  <c r="J94"/>
  <c r="K94" s="1"/>
  <c r="J83"/>
  <c r="K83" s="1"/>
  <c r="J95"/>
  <c r="K95" s="1"/>
  <c r="J105"/>
  <c r="K105" s="1"/>
  <c r="J71"/>
  <c r="K71" s="1"/>
  <c r="J130"/>
  <c r="K130" s="1"/>
  <c r="J102"/>
  <c r="K102" s="1"/>
  <c r="J147"/>
  <c r="K147" s="1"/>
  <c r="J106"/>
  <c r="K106" s="1"/>
  <c r="J67"/>
  <c r="K67" s="1"/>
  <c r="J69"/>
  <c r="K69" s="1"/>
  <c r="J80"/>
  <c r="K80" s="1"/>
  <c r="J72"/>
  <c r="K72" s="1"/>
  <c r="J81"/>
  <c r="K81" s="1"/>
  <c r="J155"/>
  <c r="K155" s="1"/>
  <c r="J137"/>
  <c r="K137" s="1"/>
  <c r="J10"/>
  <c r="K10" s="1"/>
  <c r="J4"/>
  <c r="K4" s="1"/>
  <c r="L88"/>
  <c r="L75"/>
  <c r="L90"/>
  <c r="L77"/>
  <c r="L89"/>
  <c r="M145"/>
  <c r="O145" s="1"/>
  <c r="M144"/>
  <c r="O144" s="1"/>
  <c r="M75"/>
  <c r="O75" s="1"/>
  <c r="M128"/>
  <c r="O128" s="1"/>
  <c r="M89"/>
  <c r="O89" s="1"/>
  <c r="M87"/>
  <c r="O87" s="1"/>
  <c r="M88"/>
  <c r="O88" s="1"/>
  <c r="M120"/>
  <c r="O120" s="1"/>
  <c r="M123"/>
  <c r="O123" s="1"/>
  <c r="M143"/>
  <c r="O143" s="1"/>
  <c r="M129"/>
  <c r="O129" s="1"/>
  <c r="M131"/>
  <c r="O131" s="1"/>
  <c r="M141"/>
  <c r="O141" s="1"/>
  <c r="M122"/>
  <c r="O122" s="1"/>
  <c r="M83"/>
  <c r="O83" s="1"/>
  <c r="M133"/>
  <c r="O133" s="1"/>
  <c r="M93"/>
  <c r="O93" s="1"/>
  <c r="M112"/>
  <c r="O112" s="1"/>
  <c r="M4"/>
  <c r="O4" s="1"/>
  <c r="M15"/>
  <c r="O15" s="1"/>
  <c r="M99"/>
  <c r="O99" s="1"/>
  <c r="M142"/>
  <c r="O142" s="1"/>
  <c r="M116"/>
  <c r="O116" s="1"/>
  <c r="M71"/>
  <c r="O71" s="1"/>
  <c r="M104"/>
  <c r="O104" s="1"/>
  <c r="M130"/>
  <c r="O130" s="1"/>
  <c r="M107"/>
  <c r="O107" s="1"/>
  <c r="M132"/>
  <c r="O132" s="1"/>
  <c r="M67"/>
  <c r="O67" s="1"/>
  <c r="M146"/>
  <c r="O146" s="1"/>
  <c r="M105"/>
  <c r="O105" s="1"/>
  <c r="M118"/>
  <c r="O118" s="1"/>
  <c r="M115"/>
  <c r="O115" s="1"/>
  <c r="M135"/>
  <c r="O135" s="1"/>
  <c r="M127"/>
  <c r="O127" s="1"/>
  <c r="M109"/>
  <c r="O109" s="1"/>
  <c r="M139"/>
  <c r="O139" s="1"/>
  <c r="M150"/>
  <c r="O150" s="1"/>
  <c r="M108"/>
  <c r="O108" s="1"/>
  <c r="M103"/>
  <c r="O103" s="1"/>
  <c r="M138"/>
  <c r="O138" s="1"/>
  <c r="M79"/>
  <c r="O79" s="1"/>
  <c r="M29"/>
  <c r="O29" s="1"/>
  <c r="M119"/>
  <c r="O119" s="1"/>
  <c r="M98"/>
  <c r="O98" s="1"/>
  <c r="M125"/>
  <c r="O125" s="1"/>
  <c r="M151"/>
  <c r="O151" s="1"/>
  <c r="M101"/>
  <c r="O101" s="1"/>
  <c r="M80"/>
  <c r="O80" s="1"/>
  <c r="M69"/>
  <c r="O69" s="1"/>
  <c r="M30"/>
  <c r="O30" s="1"/>
  <c r="M36"/>
  <c r="O36" s="1"/>
  <c r="J20"/>
  <c r="K20" s="1"/>
  <c r="J27"/>
  <c r="K27" s="1"/>
  <c r="J16"/>
  <c r="K16" s="1"/>
  <c r="J148"/>
  <c r="K148" s="1"/>
  <c r="J89"/>
  <c r="K89" s="1"/>
  <c r="J87"/>
  <c r="K87" s="1"/>
  <c r="J74"/>
  <c r="K74" s="1"/>
  <c r="J111"/>
  <c r="K111" s="1"/>
  <c r="J153"/>
  <c r="K153" s="1"/>
  <c r="J75"/>
  <c r="K75" s="1"/>
  <c r="J77"/>
  <c r="K77" s="1"/>
  <c r="J141"/>
  <c r="K141" s="1"/>
  <c r="J100"/>
  <c r="K100" s="1"/>
  <c r="J131"/>
  <c r="K131" s="1"/>
  <c r="J88"/>
  <c r="K88" s="1"/>
  <c r="J99"/>
  <c r="K99" s="1"/>
  <c r="J144"/>
  <c r="K144" s="1"/>
  <c r="J140"/>
  <c r="K140" s="1"/>
  <c r="J85"/>
  <c r="K85" s="1"/>
  <c r="J104"/>
  <c r="K104" s="1"/>
  <c r="J124"/>
  <c r="K124" s="1"/>
  <c r="J142"/>
  <c r="K142" s="1"/>
  <c r="J146"/>
  <c r="K146" s="1"/>
  <c r="J107"/>
  <c r="K107" s="1"/>
  <c r="J92"/>
  <c r="K92" s="1"/>
  <c r="J91"/>
  <c r="K91" s="1"/>
  <c r="J118"/>
  <c r="K118" s="1"/>
  <c r="J136"/>
  <c r="K136" s="1"/>
  <c r="J115"/>
  <c r="K115" s="1"/>
  <c r="J150"/>
  <c r="K150" s="1"/>
  <c r="J127"/>
  <c r="K127" s="1"/>
  <c r="J109"/>
  <c r="K109" s="1"/>
  <c r="J86"/>
  <c r="K86" s="1"/>
  <c r="J138"/>
  <c r="K138" s="1"/>
  <c r="J98"/>
  <c r="K98" s="1"/>
  <c r="J126"/>
  <c r="K126" s="1"/>
  <c r="J66"/>
  <c r="K66" s="1"/>
  <c r="J101"/>
  <c r="K101" s="1"/>
  <c r="J68"/>
  <c r="K68" s="1"/>
  <c r="J70"/>
  <c r="K70" s="1"/>
  <c r="J73"/>
  <c r="K73" s="1"/>
  <c r="J154"/>
  <c r="K154" s="1"/>
  <c r="J79"/>
  <c r="K79" s="1"/>
  <c r="J78"/>
  <c r="K78" s="1"/>
  <c r="J112"/>
  <c r="K112" s="1"/>
  <c r="J132"/>
  <c r="K132" s="1"/>
  <c r="J152"/>
  <c r="K152" s="1"/>
  <c r="J114"/>
  <c r="K114" s="1"/>
  <c r="J22"/>
  <c r="K22" s="1"/>
  <c r="L82"/>
  <c r="L86"/>
  <c r="L81"/>
  <c r="L79"/>
  <c r="L84"/>
  <c r="L80"/>
  <c r="L70"/>
  <c r="L73"/>
  <c r="L72"/>
  <c r="L69"/>
  <c r="L68"/>
  <c r="L71"/>
  <c r="L85"/>
  <c r="L74"/>
  <c r="G90"/>
  <c r="G88"/>
  <c r="H90"/>
  <c r="H88"/>
  <c r="L121"/>
  <c r="L114"/>
  <c r="L148"/>
  <c r="L112"/>
  <c r="L134"/>
  <c r="L113"/>
  <c r="L132"/>
  <c r="L131"/>
  <c r="L143"/>
  <c r="L127"/>
  <c r="L140"/>
  <c r="L119"/>
  <c r="L109"/>
  <c r="L118"/>
  <c r="L139"/>
  <c r="L117"/>
  <c r="L135"/>
  <c r="L154"/>
  <c r="L147"/>
  <c r="L101"/>
  <c r="L150"/>
  <c r="L107"/>
  <c r="L129"/>
  <c r="L104"/>
  <c r="L96"/>
  <c r="L103"/>
  <c r="L97"/>
  <c r="L105"/>
  <c r="L152"/>
  <c r="L99"/>
  <c r="L128"/>
  <c r="L111"/>
  <c r="L122"/>
  <c r="L137"/>
  <c r="L155"/>
  <c r="L144"/>
  <c r="L141"/>
  <c r="L110"/>
  <c r="L120"/>
  <c r="L92"/>
  <c r="L130"/>
  <c r="L142"/>
  <c r="L149"/>
  <c r="L100"/>
  <c r="L98"/>
  <c r="L151"/>
  <c r="L126"/>
  <c r="L91"/>
  <c r="L146"/>
  <c r="L136"/>
  <c r="L138"/>
  <c r="L125"/>
  <c r="L123"/>
  <c r="L102"/>
  <c r="L115"/>
  <c r="L108"/>
  <c r="L116"/>
  <c r="L94"/>
  <c r="L133"/>
  <c r="L95"/>
  <c r="L93"/>
  <c r="L124"/>
  <c r="L153"/>
  <c r="L145"/>
  <c r="L106"/>
  <c r="J46"/>
  <c r="K46" s="1"/>
  <c r="I82"/>
  <c r="I10"/>
  <c r="I23"/>
  <c r="I27"/>
  <c r="I37"/>
  <c r="I20"/>
  <c r="I5"/>
  <c r="I46"/>
  <c r="I77"/>
  <c r="I87"/>
  <c r="I71"/>
  <c r="I67"/>
  <c r="I69"/>
  <c r="I72"/>
  <c r="I83"/>
  <c r="I85"/>
  <c r="I78"/>
  <c r="I88"/>
  <c r="I74"/>
  <c r="I84"/>
  <c r="I117"/>
  <c r="I119"/>
  <c r="I121"/>
  <c r="I123"/>
  <c r="I125"/>
  <c r="I127"/>
  <c r="I129"/>
  <c r="I131"/>
  <c r="I133"/>
  <c r="I135"/>
  <c r="I137"/>
  <c r="I139"/>
  <c r="I141"/>
  <c r="I143"/>
  <c r="I145"/>
  <c r="I147"/>
  <c r="I149"/>
  <c r="I151"/>
  <c r="I153"/>
  <c r="I155"/>
  <c r="I91"/>
  <c r="I93"/>
  <c r="I95"/>
  <c r="I98"/>
  <c r="I100"/>
  <c r="I102"/>
  <c r="I104"/>
  <c r="I106"/>
  <c r="I108"/>
  <c r="I110"/>
  <c r="I112"/>
  <c r="I114"/>
  <c r="I116"/>
  <c r="I16"/>
  <c r="I29"/>
  <c r="I22"/>
  <c r="I36"/>
  <c r="I30"/>
  <c r="I15"/>
  <c r="I76"/>
  <c r="I66"/>
  <c r="I70"/>
  <c r="I73"/>
  <c r="I89"/>
  <c r="I68"/>
  <c r="I81"/>
  <c r="I79"/>
  <c r="I80"/>
  <c r="I86"/>
  <c r="I90"/>
  <c r="I75"/>
  <c r="I118"/>
  <c r="I120"/>
  <c r="I122"/>
  <c r="I124"/>
  <c r="I126"/>
  <c r="I128"/>
  <c r="I130"/>
  <c r="I132"/>
  <c r="I134"/>
  <c r="I136"/>
  <c r="I138"/>
  <c r="I140"/>
  <c r="I142"/>
  <c r="I144"/>
  <c r="I146"/>
  <c r="I148"/>
  <c r="I150"/>
  <c r="I152"/>
  <c r="I154"/>
  <c r="I92"/>
  <c r="I94"/>
  <c r="I96"/>
  <c r="I97"/>
  <c r="I99"/>
  <c r="I101"/>
  <c r="I103"/>
  <c r="I105"/>
  <c r="I107"/>
  <c r="I109"/>
  <c r="I111"/>
  <c r="I113"/>
  <c r="I115"/>
  <c r="I4"/>
  <c r="H116"/>
  <c r="H114"/>
  <c r="H112"/>
  <c r="H110"/>
  <c r="H108"/>
  <c r="H106"/>
  <c r="H104"/>
  <c r="H102"/>
  <c r="H100"/>
  <c r="H98"/>
  <c r="H95"/>
  <c r="H93"/>
  <c r="H91"/>
  <c r="H155"/>
  <c r="H153"/>
  <c r="H151"/>
  <c r="H149"/>
  <c r="H147"/>
  <c r="H145"/>
  <c r="H143"/>
  <c r="H141"/>
  <c r="H139"/>
  <c r="H137"/>
  <c r="H135"/>
  <c r="H133"/>
  <c r="H131"/>
  <c r="H129"/>
  <c r="H127"/>
  <c r="H125"/>
  <c r="H123"/>
  <c r="H121"/>
  <c r="H119"/>
  <c r="H117"/>
  <c r="H84"/>
  <c r="H74"/>
  <c r="H78"/>
  <c r="H85"/>
  <c r="H83"/>
  <c r="H72"/>
  <c r="H69"/>
  <c r="H67"/>
  <c r="H71"/>
  <c r="H77"/>
  <c r="H82"/>
  <c r="H115"/>
  <c r="H113"/>
  <c r="H111"/>
  <c r="H109"/>
  <c r="H107"/>
  <c r="H105"/>
  <c r="H103"/>
  <c r="H101"/>
  <c r="H99"/>
  <c r="H97"/>
  <c r="H96"/>
  <c r="H94"/>
  <c r="H92"/>
  <c r="H154"/>
  <c r="H152"/>
  <c r="H150"/>
  <c r="H148"/>
  <c r="H146"/>
  <c r="H144"/>
  <c r="H142"/>
  <c r="H140"/>
  <c r="H138"/>
  <c r="H136"/>
  <c r="H134"/>
  <c r="H132"/>
  <c r="H130"/>
  <c r="H128"/>
  <c r="H126"/>
  <c r="H124"/>
  <c r="H122"/>
  <c r="H120"/>
  <c r="H118"/>
  <c r="H75"/>
  <c r="H86"/>
  <c r="H80"/>
  <c r="H79"/>
  <c r="H81"/>
  <c r="H68"/>
  <c r="H73"/>
  <c r="H70"/>
  <c r="H66"/>
  <c r="H76"/>
  <c r="F12" i="12"/>
  <c r="H11"/>
  <c r="F25"/>
  <c r="G24"/>
  <c r="I24" s="1"/>
  <c r="F23"/>
  <c r="H22"/>
  <c r="F21"/>
  <c r="G20"/>
  <c r="H20" s="1"/>
  <c r="F19"/>
  <c r="H18"/>
  <c r="H17"/>
  <c r="F16"/>
  <c r="H15"/>
  <c r="F9"/>
  <c r="H8"/>
  <c r="I15"/>
  <c r="M14"/>
  <c r="J14"/>
  <c r="I20"/>
  <c r="F6"/>
  <c r="I5"/>
  <c r="I22"/>
  <c r="I18"/>
  <c r="L17"/>
  <c r="M17" s="1"/>
  <c r="J17"/>
  <c r="I11"/>
  <c r="L8"/>
  <c r="M8" s="1"/>
  <c r="J8"/>
  <c r="H2"/>
  <c r="J2"/>
  <c r="L2"/>
  <c r="M2" s="1"/>
  <c r="I2"/>
  <c r="G25"/>
  <c r="F24"/>
  <c r="G23"/>
  <c r="L22"/>
  <c r="M22" s="1"/>
  <c r="J22"/>
  <c r="F22"/>
  <c r="G21"/>
  <c r="L20"/>
  <c r="M20" s="1"/>
  <c r="F20"/>
  <c r="L18"/>
  <c r="M18" s="1"/>
  <c r="J18"/>
  <c r="F18"/>
  <c r="I17"/>
  <c r="F17"/>
  <c r="L15"/>
  <c r="M15" s="1"/>
  <c r="J15"/>
  <c r="F15"/>
  <c r="I14"/>
  <c r="F14"/>
  <c r="L11"/>
  <c r="M11" s="1"/>
  <c r="J11"/>
  <c r="F11"/>
  <c r="I8"/>
  <c r="F8"/>
  <c r="L6"/>
  <c r="M6" s="1"/>
  <c r="L5"/>
  <c r="M5" s="1"/>
  <c r="J5"/>
  <c r="F5"/>
  <c r="I4"/>
  <c r="F4"/>
  <c r="J6"/>
  <c r="L4"/>
  <c r="M4" s="1"/>
  <c r="J4"/>
  <c r="J210" i="3"/>
  <c r="M210"/>
  <c r="H199"/>
  <c r="G199"/>
  <c r="I199"/>
  <c r="G183"/>
  <c r="K183"/>
  <c r="H127"/>
  <c r="I46"/>
  <c r="M46"/>
  <c r="F217"/>
  <c r="H217"/>
  <c r="L217"/>
  <c r="F200"/>
  <c r="H173"/>
  <c r="F174"/>
  <c r="I174"/>
  <c r="G172"/>
  <c r="I172"/>
  <c r="E156"/>
  <c r="E157"/>
  <c r="E158"/>
  <c r="E159"/>
  <c r="E160"/>
  <c r="E161"/>
  <c r="I146"/>
  <c r="J117"/>
  <c r="J119"/>
  <c r="F120"/>
  <c r="H120"/>
  <c r="E89"/>
  <c r="E91"/>
  <c r="E93"/>
  <c r="E106"/>
  <c r="H36"/>
  <c r="F37"/>
  <c r="I37"/>
  <c r="G37"/>
  <c r="G73" i="2"/>
  <c r="K73"/>
  <c r="L73"/>
  <c r="E74"/>
  <c r="E76"/>
  <c r="E78"/>
  <c r="E75"/>
  <c r="E79"/>
  <c r="F65"/>
  <c r="H65"/>
  <c r="J65"/>
  <c r="K66"/>
  <c r="K60"/>
  <c r="K62"/>
  <c r="K64"/>
  <c r="G65"/>
  <c r="L65"/>
  <c r="F61"/>
  <c r="I61"/>
  <c r="K61"/>
  <c r="G62"/>
  <c r="G64"/>
  <c r="G66"/>
  <c r="G60"/>
  <c r="H61"/>
  <c r="L61"/>
  <c r="H48"/>
  <c r="J48"/>
  <c r="L48"/>
  <c r="F48"/>
  <c r="G49"/>
  <c r="G51"/>
  <c r="G53"/>
  <c r="H22"/>
  <c r="J22"/>
  <c r="L22"/>
  <c r="F22"/>
  <c r="G23"/>
  <c r="G25"/>
  <c r="G27"/>
  <c r="J173" i="3"/>
  <c r="J175"/>
  <c r="F176"/>
  <c r="H176"/>
  <c r="G163"/>
  <c r="K163"/>
  <c r="E145"/>
  <c r="E147"/>
  <c r="E149"/>
  <c r="E162"/>
  <c r="H117"/>
  <c r="F118"/>
  <c r="I118"/>
  <c r="G116"/>
  <c r="I116"/>
  <c r="F65"/>
  <c r="E62"/>
  <c r="E64"/>
  <c r="E66"/>
  <c r="E63"/>
  <c r="G70"/>
  <c r="G35"/>
  <c r="I35"/>
  <c r="H35"/>
  <c r="E19"/>
  <c r="E20"/>
  <c r="E21"/>
  <c r="E22"/>
  <c r="E23"/>
  <c r="E24"/>
  <c r="I9"/>
  <c r="F63" i="2"/>
  <c r="H63"/>
  <c r="K63"/>
  <c r="I64"/>
  <c r="I66"/>
  <c r="G63"/>
  <c r="L63"/>
  <c r="E190" i="3"/>
  <c r="E189"/>
  <c r="E188"/>
  <c r="E187"/>
  <c r="E186"/>
  <c r="E185"/>
  <c r="E184"/>
  <c r="E80"/>
  <c r="E216"/>
  <c r="E215"/>
  <c r="E214"/>
  <c r="E213"/>
  <c r="E212"/>
  <c r="E211"/>
  <c r="E203"/>
  <c r="H202"/>
  <c r="E201"/>
  <c r="I200"/>
  <c r="G174"/>
  <c r="H172"/>
  <c r="J163"/>
  <c r="F163"/>
  <c r="E134"/>
  <c r="E133"/>
  <c r="E132"/>
  <c r="E131"/>
  <c r="E130"/>
  <c r="E129"/>
  <c r="E128"/>
  <c r="G120"/>
  <c r="J118"/>
  <c r="J116"/>
  <c r="L107"/>
  <c r="G97"/>
  <c r="E90"/>
  <c r="E53"/>
  <c r="E52"/>
  <c r="E51"/>
  <c r="E50"/>
  <c r="E49"/>
  <c r="E48"/>
  <c r="E47"/>
  <c r="H38"/>
  <c r="J37"/>
  <c r="E77" i="2"/>
  <c r="I65"/>
  <c r="J61"/>
  <c r="I60"/>
  <c r="J36" i="3"/>
  <c r="J38"/>
  <c r="F39"/>
  <c r="H39"/>
  <c r="I26"/>
  <c r="E8"/>
  <c r="E10"/>
  <c r="E12"/>
  <c r="E25"/>
  <c r="F91" i="2"/>
  <c r="H91"/>
  <c r="J91"/>
  <c r="K92"/>
  <c r="F89"/>
  <c r="H89"/>
  <c r="K89"/>
  <c r="I90"/>
  <c r="I92"/>
  <c r="F87"/>
  <c r="I87"/>
  <c r="K87"/>
  <c r="G88"/>
  <c r="G90"/>
  <c r="G92"/>
  <c r="J26" i="3"/>
  <c r="F26"/>
  <c r="I88" i="2"/>
  <c r="I86"/>
  <c r="L51"/>
  <c r="L49"/>
  <c r="J49"/>
  <c r="L47"/>
  <c r="J47"/>
  <c r="H47"/>
  <c r="K38"/>
  <c r="K36"/>
  <c r="I36"/>
  <c r="K34"/>
  <c r="I34"/>
  <c r="G34"/>
  <c r="L25"/>
  <c r="L23"/>
  <c r="J23"/>
  <c r="L21"/>
  <c r="J21"/>
  <c r="H21"/>
  <c r="K12"/>
  <c r="K10"/>
  <c r="I10"/>
  <c r="K8"/>
  <c r="I8"/>
  <c r="G8"/>
  <c r="L90"/>
  <c r="L88"/>
  <c r="J88"/>
  <c r="L64"/>
  <c r="L62"/>
  <c r="J62"/>
  <c r="J53"/>
  <c r="H53"/>
  <c r="E52"/>
  <c r="K51"/>
  <c r="H51"/>
  <c r="E50"/>
  <c r="K49"/>
  <c r="I49"/>
  <c r="K47"/>
  <c r="I47"/>
  <c r="K40"/>
  <c r="I40"/>
  <c r="G40"/>
  <c r="J39"/>
  <c r="H39"/>
  <c r="L38"/>
  <c r="I38"/>
  <c r="G38"/>
  <c r="K37"/>
  <c r="H37"/>
  <c r="L36"/>
  <c r="J36"/>
  <c r="G36"/>
  <c r="K35"/>
  <c r="I35"/>
  <c r="J27"/>
  <c r="H27"/>
  <c r="E26"/>
  <c r="H25"/>
  <c r="E24"/>
  <c r="K23"/>
  <c r="I23"/>
  <c r="K21"/>
  <c r="I21"/>
  <c r="K14"/>
  <c r="I14"/>
  <c r="G14"/>
  <c r="J13"/>
  <c r="H13"/>
  <c r="L12"/>
  <c r="I12"/>
  <c r="G12"/>
  <c r="K11"/>
  <c r="H11"/>
  <c r="L10"/>
  <c r="J10"/>
  <c r="G10"/>
  <c r="K9"/>
  <c r="I9"/>
  <c r="J20" i="12" l="1"/>
  <c r="H24"/>
  <c r="J24"/>
  <c r="L24"/>
  <c r="M24" s="1"/>
  <c r="I7"/>
  <c r="H7"/>
  <c r="J7"/>
  <c r="L7"/>
  <c r="M7" s="1"/>
  <c r="I10"/>
  <c r="H10"/>
  <c r="J10"/>
  <c r="L10"/>
  <c r="M10" s="1"/>
  <c r="H12"/>
  <c r="J12"/>
  <c r="L12"/>
  <c r="M12" s="1"/>
  <c r="I12"/>
  <c r="I25"/>
  <c r="H25"/>
  <c r="J25"/>
  <c r="L25"/>
  <c r="M25" s="1"/>
  <c r="I3"/>
  <c r="H3"/>
  <c r="J3"/>
  <c r="L3"/>
  <c r="M3" s="1"/>
  <c r="H6"/>
  <c r="I6"/>
  <c r="I9"/>
  <c r="H9"/>
  <c r="J9"/>
  <c r="L9"/>
  <c r="M9" s="1"/>
  <c r="I13"/>
  <c r="H13"/>
  <c r="J13"/>
  <c r="L13"/>
  <c r="M13" s="1"/>
  <c r="H16"/>
  <c r="J16"/>
  <c r="L16"/>
  <c r="M16" s="1"/>
  <c r="I16"/>
  <c r="H19"/>
  <c r="J19"/>
  <c r="L19"/>
  <c r="M19" s="1"/>
  <c r="I19"/>
  <c r="H21"/>
  <c r="J21"/>
  <c r="L21"/>
  <c r="M21" s="1"/>
  <c r="I21"/>
  <c r="I23"/>
  <c r="H23"/>
  <c r="J23"/>
  <c r="L23"/>
  <c r="M23" s="1"/>
  <c r="G26" i="2"/>
  <c r="I26"/>
  <c r="L26"/>
  <c r="F26"/>
  <c r="H26"/>
  <c r="J26"/>
  <c r="K27"/>
  <c r="G50"/>
  <c r="J50"/>
  <c r="L50"/>
  <c r="F50"/>
  <c r="H50"/>
  <c r="K50"/>
  <c r="I51"/>
  <c r="I53"/>
  <c r="G12" i="3"/>
  <c r="I12"/>
  <c r="J11"/>
  <c r="H12"/>
  <c r="J9"/>
  <c r="F12"/>
  <c r="H8"/>
  <c r="J8"/>
  <c r="I8"/>
  <c r="G8"/>
  <c r="F77" i="2"/>
  <c r="H77"/>
  <c r="K77"/>
  <c r="G77"/>
  <c r="L77"/>
  <c r="I77"/>
  <c r="F48" i="3"/>
  <c r="I48"/>
  <c r="K48"/>
  <c r="M48"/>
  <c r="G48"/>
  <c r="L48"/>
  <c r="J48"/>
  <c r="F50"/>
  <c r="H50"/>
  <c r="K50"/>
  <c r="M50"/>
  <c r="G50"/>
  <c r="L50"/>
  <c r="I50"/>
  <c r="F52"/>
  <c r="H52"/>
  <c r="J52"/>
  <c r="M52"/>
  <c r="G52"/>
  <c r="K52"/>
  <c r="I52"/>
  <c r="F90"/>
  <c r="I90"/>
  <c r="J90"/>
  <c r="H90"/>
  <c r="E100"/>
  <c r="E101"/>
  <c r="E102"/>
  <c r="E103"/>
  <c r="E104"/>
  <c r="E105"/>
  <c r="F128"/>
  <c r="I128"/>
  <c r="K128"/>
  <c r="M128"/>
  <c r="J128"/>
  <c r="H128"/>
  <c r="L128"/>
  <c r="F130"/>
  <c r="H130"/>
  <c r="K130"/>
  <c r="M130"/>
  <c r="J130"/>
  <c r="G130"/>
  <c r="L130"/>
  <c r="F132"/>
  <c r="H132"/>
  <c r="J132"/>
  <c r="M132"/>
  <c r="I132"/>
  <c r="G132"/>
  <c r="L132"/>
  <c r="F134"/>
  <c r="H134"/>
  <c r="J134"/>
  <c r="L134"/>
  <c r="I134"/>
  <c r="G134"/>
  <c r="K134"/>
  <c r="H211"/>
  <c r="J211"/>
  <c r="L211"/>
  <c r="F211"/>
  <c r="I211"/>
  <c r="K211"/>
  <c r="M211"/>
  <c r="G213"/>
  <c r="J213"/>
  <c r="L213"/>
  <c r="F213"/>
  <c r="H213"/>
  <c r="K213"/>
  <c r="M213"/>
  <c r="G215"/>
  <c r="I215"/>
  <c r="L215"/>
  <c r="F215"/>
  <c r="H215"/>
  <c r="J215"/>
  <c r="M215"/>
  <c r="F80"/>
  <c r="J80"/>
  <c r="L80"/>
  <c r="F185"/>
  <c r="I185"/>
  <c r="K185"/>
  <c r="M185"/>
  <c r="G185"/>
  <c r="L185"/>
  <c r="J185"/>
  <c r="F187"/>
  <c r="H187"/>
  <c r="K187"/>
  <c r="M187"/>
  <c r="G187"/>
  <c r="I187"/>
  <c r="L187"/>
  <c r="F189"/>
  <c r="H189"/>
  <c r="J189"/>
  <c r="M189"/>
  <c r="G189"/>
  <c r="I189"/>
  <c r="K189"/>
  <c r="G24"/>
  <c r="I24"/>
  <c r="L24"/>
  <c r="F24"/>
  <c r="J24"/>
  <c r="M24"/>
  <c r="H24"/>
  <c r="G22"/>
  <c r="J22"/>
  <c r="L22"/>
  <c r="F22"/>
  <c r="K22"/>
  <c r="M22"/>
  <c r="H22"/>
  <c r="H20"/>
  <c r="J20"/>
  <c r="L20"/>
  <c r="F20"/>
  <c r="K20"/>
  <c r="M20"/>
  <c r="I20"/>
  <c r="F63"/>
  <c r="I63"/>
  <c r="J63"/>
  <c r="H63"/>
  <c r="G64"/>
  <c r="J64"/>
  <c r="I64"/>
  <c r="F64"/>
  <c r="G162"/>
  <c r="I162"/>
  <c r="K162"/>
  <c r="F162"/>
  <c r="J162"/>
  <c r="H162"/>
  <c r="M162"/>
  <c r="L163"/>
  <c r="G147"/>
  <c r="J147"/>
  <c r="F147"/>
  <c r="I147"/>
  <c r="F75" i="2"/>
  <c r="I75"/>
  <c r="K75"/>
  <c r="J75"/>
  <c r="L75"/>
  <c r="G75"/>
  <c r="G76"/>
  <c r="J76"/>
  <c r="L76"/>
  <c r="F76"/>
  <c r="K76"/>
  <c r="H76"/>
  <c r="G93" i="3"/>
  <c r="I93"/>
  <c r="F93"/>
  <c r="J92"/>
  <c r="H93"/>
  <c r="H89"/>
  <c r="J89"/>
  <c r="G89"/>
  <c r="I89"/>
  <c r="G161"/>
  <c r="I161"/>
  <c r="L161"/>
  <c r="F161"/>
  <c r="J161"/>
  <c r="H161"/>
  <c r="M161"/>
  <c r="G159"/>
  <c r="J159"/>
  <c r="L159"/>
  <c r="F159"/>
  <c r="K159"/>
  <c r="H159"/>
  <c r="M159"/>
  <c r="H157"/>
  <c r="J157"/>
  <c r="L157"/>
  <c r="F157"/>
  <c r="K157"/>
  <c r="I157"/>
  <c r="M157"/>
  <c r="G24" i="2"/>
  <c r="J24"/>
  <c r="L24"/>
  <c r="F24"/>
  <c r="H24"/>
  <c r="K24"/>
  <c r="I25"/>
  <c r="I27"/>
  <c r="G52"/>
  <c r="I52"/>
  <c r="L52"/>
  <c r="F52"/>
  <c r="H52"/>
  <c r="J52"/>
  <c r="K53"/>
  <c r="G25" i="3"/>
  <c r="I25"/>
  <c r="K25"/>
  <c r="F25"/>
  <c r="J25"/>
  <c r="M25"/>
  <c r="L26"/>
  <c r="H25"/>
  <c r="G10"/>
  <c r="J10"/>
  <c r="F10"/>
  <c r="I10"/>
  <c r="F47"/>
  <c r="I47"/>
  <c r="K47"/>
  <c r="M47"/>
  <c r="H47"/>
  <c r="L47"/>
  <c r="J47"/>
  <c r="F49"/>
  <c r="H49"/>
  <c r="K49"/>
  <c r="M49"/>
  <c r="G49"/>
  <c r="L49"/>
  <c r="J49"/>
  <c r="F51"/>
  <c r="H51"/>
  <c r="J51"/>
  <c r="M51"/>
  <c r="G51"/>
  <c r="L51"/>
  <c r="I51"/>
  <c r="F53"/>
  <c r="H53"/>
  <c r="J53"/>
  <c r="L53"/>
  <c r="G53"/>
  <c r="K53"/>
  <c r="I53"/>
  <c r="F129"/>
  <c r="I129"/>
  <c r="K129"/>
  <c r="M129"/>
  <c r="J129"/>
  <c r="G129"/>
  <c r="L129"/>
  <c r="F131"/>
  <c r="H131"/>
  <c r="K131"/>
  <c r="M131"/>
  <c r="I131"/>
  <c r="G131"/>
  <c r="L131"/>
  <c r="F133"/>
  <c r="H133"/>
  <c r="J133"/>
  <c r="M133"/>
  <c r="I133"/>
  <c r="G133"/>
  <c r="K133"/>
  <c r="G201"/>
  <c r="J201"/>
  <c r="H200"/>
  <c r="F201"/>
  <c r="I201"/>
  <c r="G203"/>
  <c r="I203"/>
  <c r="J200"/>
  <c r="J202"/>
  <c r="F203"/>
  <c r="H203"/>
  <c r="G212"/>
  <c r="J212"/>
  <c r="L212"/>
  <c r="F212"/>
  <c r="I212"/>
  <c r="K212"/>
  <c r="M212"/>
  <c r="G214"/>
  <c r="I214"/>
  <c r="L214"/>
  <c r="F214"/>
  <c r="H214"/>
  <c r="K214"/>
  <c r="M214"/>
  <c r="G216"/>
  <c r="I216"/>
  <c r="K216"/>
  <c r="F216"/>
  <c r="H216"/>
  <c r="J216"/>
  <c r="M216"/>
  <c r="F184"/>
  <c r="I184"/>
  <c r="K184"/>
  <c r="M184"/>
  <c r="H184"/>
  <c r="L184"/>
  <c r="J184"/>
  <c r="F186"/>
  <c r="H186"/>
  <c r="K186"/>
  <c r="M186"/>
  <c r="G186"/>
  <c r="J186"/>
  <c r="L186"/>
  <c r="F188"/>
  <c r="H188"/>
  <c r="J188"/>
  <c r="M188"/>
  <c r="G188"/>
  <c r="I188"/>
  <c r="L188"/>
  <c r="F190"/>
  <c r="H190"/>
  <c r="J190"/>
  <c r="L190"/>
  <c r="G190"/>
  <c r="I190"/>
  <c r="K190"/>
  <c r="G23"/>
  <c r="I23"/>
  <c r="L23"/>
  <c r="F23"/>
  <c r="K23"/>
  <c r="M23"/>
  <c r="H23"/>
  <c r="G21"/>
  <c r="J21"/>
  <c r="L21"/>
  <c r="F21"/>
  <c r="K21"/>
  <c r="M21"/>
  <c r="I21"/>
  <c r="H26"/>
  <c r="H19"/>
  <c r="J19"/>
  <c r="L19"/>
  <c r="G19"/>
  <c r="K19"/>
  <c r="M19"/>
  <c r="I19"/>
  <c r="E73"/>
  <c r="E74"/>
  <c r="E75"/>
  <c r="E76"/>
  <c r="E77"/>
  <c r="E78"/>
  <c r="G66"/>
  <c r="I66"/>
  <c r="F66"/>
  <c r="H66"/>
  <c r="J65"/>
  <c r="H62"/>
  <c r="J62"/>
  <c r="G62"/>
  <c r="I62"/>
  <c r="G149"/>
  <c r="I149"/>
  <c r="J148"/>
  <c r="H149"/>
  <c r="J146"/>
  <c r="F149"/>
  <c r="H145"/>
  <c r="J145"/>
  <c r="I145"/>
  <c r="G145"/>
  <c r="F79" i="2"/>
  <c r="H79"/>
  <c r="J79"/>
  <c r="I79"/>
  <c r="G79"/>
  <c r="K79"/>
  <c r="G78"/>
  <c r="I78"/>
  <c r="L78"/>
  <c r="H78"/>
  <c r="F78"/>
  <c r="J78"/>
  <c r="H74"/>
  <c r="J74"/>
  <c r="L74"/>
  <c r="I74"/>
  <c r="K74"/>
  <c r="F74"/>
  <c r="G106" i="3"/>
  <c r="K106"/>
  <c r="H106"/>
  <c r="M106"/>
  <c r="F106"/>
  <c r="J106"/>
  <c r="G91"/>
  <c r="J91"/>
  <c r="I91"/>
  <c r="F91"/>
  <c r="G160"/>
  <c r="I160"/>
  <c r="L160"/>
  <c r="F160"/>
  <c r="K160"/>
  <c r="H160"/>
  <c r="M160"/>
  <c r="G158"/>
  <c r="J158"/>
  <c r="L158"/>
  <c r="F158"/>
  <c r="K158"/>
  <c r="I158"/>
  <c r="M158"/>
  <c r="H163"/>
  <c r="H156"/>
  <c r="J156"/>
  <c r="L156"/>
  <c r="G156"/>
  <c r="K156"/>
  <c r="I156"/>
  <c r="M156"/>
  <c r="F11"/>
  <c r="G65"/>
  <c r="H148"/>
  <c r="K22" i="2"/>
  <c r="I48"/>
  <c r="F92" i="3"/>
  <c r="K217"/>
  <c r="G217"/>
  <c r="L46"/>
  <c r="M127"/>
  <c r="I127"/>
  <c r="J183"/>
  <c r="H183"/>
  <c r="K210"/>
  <c r="G210"/>
  <c r="K25" i="2"/>
  <c r="H11" i="3"/>
  <c r="K26"/>
  <c r="G26"/>
  <c r="J73" i="2"/>
  <c r="G92" i="3"/>
  <c r="H146"/>
  <c r="H9"/>
  <c r="F9"/>
  <c r="H65"/>
  <c r="F148"/>
  <c r="I163"/>
  <c r="I22" i="2"/>
  <c r="K48"/>
  <c r="H73"/>
  <c r="I73"/>
  <c r="H92" i="3"/>
  <c r="F146"/>
  <c r="J217"/>
  <c r="I217"/>
  <c r="J46"/>
  <c r="H46"/>
  <c r="K46"/>
  <c r="G46"/>
  <c r="M79"/>
  <c r="L127"/>
  <c r="J127"/>
  <c r="K127"/>
  <c r="G127"/>
  <c r="L183"/>
  <c r="M183"/>
  <c r="I183"/>
  <c r="J199"/>
  <c r="I210"/>
  <c r="L210"/>
  <c r="H210"/>
  <c r="F78" l="1"/>
  <c r="H78"/>
  <c r="J78"/>
  <c r="M78"/>
  <c r="G78"/>
  <c r="L78"/>
  <c r="I78"/>
  <c r="K79"/>
  <c r="F76"/>
  <c r="H76"/>
  <c r="K76"/>
  <c r="M76"/>
  <c r="G76"/>
  <c r="L76"/>
  <c r="J76"/>
  <c r="I79"/>
  <c r="F74"/>
  <c r="I74"/>
  <c r="K74"/>
  <c r="M74"/>
  <c r="H74"/>
  <c r="L74"/>
  <c r="J74"/>
  <c r="G79"/>
  <c r="G105"/>
  <c r="I105"/>
  <c r="L105"/>
  <c r="H105"/>
  <c r="M105"/>
  <c r="F105"/>
  <c r="J105"/>
  <c r="K107"/>
  <c r="G103"/>
  <c r="J103"/>
  <c r="L103"/>
  <c r="H103"/>
  <c r="M103"/>
  <c r="F103"/>
  <c r="K103"/>
  <c r="I107"/>
  <c r="H101"/>
  <c r="J101"/>
  <c r="L101"/>
  <c r="I101"/>
  <c r="M101"/>
  <c r="F101"/>
  <c r="K101"/>
  <c r="G107"/>
  <c r="F77"/>
  <c r="H77"/>
  <c r="K77"/>
  <c r="M77"/>
  <c r="G77"/>
  <c r="L77"/>
  <c r="I77"/>
  <c r="J79"/>
  <c r="F75"/>
  <c r="I75"/>
  <c r="K75"/>
  <c r="M75"/>
  <c r="G75"/>
  <c r="L75"/>
  <c r="J75"/>
  <c r="H79"/>
  <c r="G73"/>
  <c r="I73"/>
  <c r="K73"/>
  <c r="M73"/>
  <c r="H73"/>
  <c r="L73"/>
  <c r="J73"/>
  <c r="F79"/>
  <c r="G104"/>
  <c r="I104"/>
  <c r="L104"/>
  <c r="H104"/>
  <c r="M104"/>
  <c r="F104"/>
  <c r="K104"/>
  <c r="J107"/>
  <c r="G102"/>
  <c r="J102"/>
  <c r="L102"/>
  <c r="I102"/>
  <c r="M102"/>
  <c r="F102"/>
  <c r="K102"/>
  <c r="H107"/>
  <c r="H100"/>
  <c r="J100"/>
  <c r="L100"/>
  <c r="I100"/>
  <c r="M100"/>
  <c r="G100"/>
  <c r="K100"/>
  <c r="F107"/>
  <c r="I80"/>
  <c r="G80"/>
  <c r="I106"/>
  <c r="K80"/>
  <c r="H80"/>
</calcChain>
</file>

<file path=xl/comments1.xml><?xml version="1.0" encoding="utf-8"?>
<comments xmlns="http://schemas.openxmlformats.org/spreadsheetml/2006/main">
  <authors>
    <author>AsposeUser</author>
  </authors>
  <commentList>
    <comment ref="A14" authorId="0">
      <text>
        <r>
          <rPr>
            <sz val="10"/>
            <rFont val="Arial"/>
            <family val="2"/>
          </rPr>
          <t>Not sure if it's additive...but use it for now because less damage this way</t>
        </r>
      </text>
    </comment>
    <comment ref="A27" authorId="0">
      <text>
        <r>
          <rPr>
            <sz val="10"/>
            <rFont val="Arial"/>
            <family val="2"/>
          </rPr>
          <t>Not sure if it's additive...but use it for now because less damage this way</t>
        </r>
      </text>
    </comment>
    <comment ref="A40" authorId="0">
      <text>
        <r>
          <rPr>
            <sz val="10"/>
            <rFont val="Arial"/>
            <family val="2"/>
          </rPr>
          <t>Not sure if it's additive...but use it for now because less damage this way</t>
        </r>
      </text>
    </comment>
    <comment ref="A53" authorId="0">
      <text>
        <r>
          <rPr>
            <sz val="10"/>
            <rFont val="Arial"/>
            <family val="2"/>
          </rPr>
          <t>Not sure if it's additive...but use it for now because less damage this way</t>
        </r>
      </text>
    </comment>
    <comment ref="A66" authorId="0">
      <text>
        <r>
          <rPr>
            <sz val="10"/>
            <rFont val="Arial"/>
            <family val="2"/>
          </rPr>
          <t>Not sure if it's additive...but use it for now because less damage this way</t>
        </r>
      </text>
    </comment>
    <comment ref="A79" authorId="0">
      <text>
        <r>
          <rPr>
            <sz val="10"/>
            <rFont val="Arial"/>
            <family val="2"/>
          </rPr>
          <t>Not sure if it's additive...but use it for now because less damage this way</t>
        </r>
      </text>
    </comment>
    <comment ref="A92" authorId="0">
      <text>
        <r>
          <rPr>
            <sz val="10"/>
            <rFont val="Arial"/>
            <family val="2"/>
          </rPr>
          <t>Not sure if it's additive...but use it for now because less damage this way</t>
        </r>
      </text>
    </comment>
  </commentList>
</comments>
</file>

<file path=xl/comments2.xml><?xml version="1.0" encoding="utf-8"?>
<comments xmlns="http://schemas.openxmlformats.org/spreadsheetml/2006/main">
  <authors>
    <author>Mark</author>
  </authors>
  <commentList>
    <comment ref="H1" authorId="0">
      <text>
        <r>
          <rPr>
            <b/>
            <sz val="9"/>
            <color indexed="81"/>
            <rFont val="Tahoma"/>
            <family val="2"/>
          </rPr>
          <t>Mark:</t>
        </r>
        <r>
          <rPr>
            <sz val="9"/>
            <color indexed="81"/>
            <rFont val="Tahoma"/>
            <family val="2"/>
          </rPr>
          <t xml:space="preserve">
buy w/ gold, sell on paypal</t>
        </r>
      </text>
    </comment>
    <comment ref="I1" authorId="0">
      <text>
        <r>
          <rPr>
            <b/>
            <sz val="9"/>
            <color indexed="81"/>
            <rFont val="Tahoma"/>
            <family val="2"/>
          </rPr>
          <t>Mark:</t>
        </r>
        <r>
          <rPr>
            <sz val="9"/>
            <color indexed="81"/>
            <rFont val="Tahoma"/>
            <family val="2"/>
          </rPr>
          <t xml:space="preserve">
buy w/ gold, sell to bnet bal, xfer to paypal</t>
        </r>
      </text>
    </comment>
    <comment ref="J1" authorId="0">
      <text>
        <r>
          <rPr>
            <b/>
            <sz val="9"/>
            <color indexed="81"/>
            <rFont val="Tahoma"/>
            <family val="2"/>
          </rPr>
          <t>Mark:</t>
        </r>
        <r>
          <rPr>
            <sz val="9"/>
            <color indexed="81"/>
            <rFont val="Tahoma"/>
            <family val="2"/>
          </rPr>
          <t xml:space="preserve">
profits of buy using bbal over sell to paypal
</t>
        </r>
      </text>
    </comment>
    <comment ref="L1" authorId="0">
      <text>
        <r>
          <rPr>
            <b/>
            <sz val="9"/>
            <color indexed="81"/>
            <rFont val="Tahoma"/>
            <family val="2"/>
          </rPr>
          <t>Mark:</t>
        </r>
        <r>
          <rPr>
            <sz val="9"/>
            <color indexed="81"/>
            <rFont val="Tahoma"/>
            <family val="2"/>
          </rPr>
          <t xml:space="preserve">
buy with $</t>
        </r>
      </text>
    </comment>
    <comment ref="O1" authorId="0">
      <text>
        <r>
          <rPr>
            <b/>
            <sz val="9"/>
            <color indexed="81"/>
            <rFont val="Tahoma"/>
            <family val="2"/>
          </rPr>
          <t>Mark:</t>
        </r>
        <r>
          <rPr>
            <sz val="9"/>
            <color indexed="81"/>
            <rFont val="Tahoma"/>
            <family val="2"/>
          </rPr>
          <t xml:space="preserve">
profit when sold via paypal instead of GAH
</t>
        </r>
      </text>
    </comment>
  </commentList>
</comments>
</file>

<file path=xl/sharedStrings.xml><?xml version="1.0" encoding="utf-8"?>
<sst xmlns="http://schemas.openxmlformats.org/spreadsheetml/2006/main" count="1434" uniqueCount="512">
  <si>
    <t>total</t>
  </si>
  <si>
    <t>71int/15ias</t>
  </si>
  <si>
    <t>Depth Diggers</t>
  </si>
  <si>
    <t>Act IV - Rakanoth. Izual. Diablo.</t>
  </si>
  <si>
    <t>3.33M</t>
  </si>
  <si>
    <t>pants</t>
  </si>
  <si>
    <t>Equivalent Life Bonus %</t>
  </si>
  <si>
    <t>Act II - Magda. Zoltun Kulle. Belial.</t>
  </si>
  <si>
    <t>ias</t>
  </si>
  <si>
    <t>Instructions: Copy paste table in available spot below. Fill out GREEN colored cells ONLY. Results are in blue colored cells</t>
  </si>
  <si>
    <t>Boots</t>
  </si>
  <si>
    <t>111int/15ias = 6.7k</t>
  </si>
  <si>
    <t>3M</t>
  </si>
  <si>
    <t>Leoric's Signet</t>
  </si>
  <si>
    <t>Ice Climbers</t>
  </si>
  <si>
    <t>The Murlockett</t>
  </si>
  <si>
    <t>Solo'd inferno az w/ wiz using: guardian familiar, diamond skin 20k absorb, wormhole tele, prismatic armor, tap the source, venom hydra, illusionist, life regen passive, 20 extra arcane power passive</t>
  </si>
  <si>
    <t>Item</t>
  </si>
  <si>
    <t>1 for yes, 0 for no</t>
  </si>
  <si>
    <t>Rings</t>
  </si>
  <si>
    <t>Int</t>
  </si>
  <si>
    <t>DH</t>
  </si>
  <si>
    <t>Bracer</t>
  </si>
  <si>
    <t>1.2M</t>
  </si>
  <si>
    <t>70allRes</t>
  </si>
  <si>
    <t>Time/Elite (min/elite)</t>
  </si>
  <si>
    <t>Mempo of Twilight</t>
  </si>
  <si>
    <t>Alex's Wiz Damage</t>
  </si>
  <si>
    <t>Helmet: Anduriel's Visage 115+ dex, 13% atk speed</t>
  </si>
  <si>
    <t>RMAH price ($)</t>
  </si>
  <si>
    <t>335dmg/135int/135vit/10maxap</t>
  </si>
  <si>
    <t>Equivalent Dex</t>
  </si>
  <si>
    <t>2M</t>
  </si>
  <si>
    <t>price</t>
  </si>
  <si>
    <t>Deathfalcom's Pro Wiz</t>
  </si>
  <si>
    <t>Weap</t>
  </si>
  <si>
    <t>Min Block Amt</t>
  </si>
  <si>
    <t>res</t>
  </si>
  <si>
    <t>Ring</t>
  </si>
  <si>
    <t>Equivalent DR %</t>
  </si>
  <si>
    <t>Wanderlust</t>
  </si>
  <si>
    <t>armor</t>
  </si>
  <si>
    <t>Total (i+v)</t>
  </si>
  <si>
    <t>1 Dex</t>
  </si>
  <si>
    <t>70allREs</t>
  </si>
  <si>
    <t>Vitality</t>
  </si>
  <si>
    <t>Chest you want: Beckon Sail with 70+ dex, 13% atk speed, 2 slots(~2-4M on ah)</t>
  </si>
  <si>
    <t>73int/63vit/13ias/9mindmg/102lr</t>
  </si>
  <si>
    <t>Chest locations</t>
  </si>
  <si>
    <t>GAH price (Gold)</t>
  </si>
  <si>
    <t>Primary Attribute</t>
  </si>
  <si>
    <t>R</t>
  </si>
  <si>
    <t>Brimstone Cost</t>
  </si>
  <si>
    <t>Ammy</t>
  </si>
  <si>
    <t>1 Damage Reduction %</t>
  </si>
  <si>
    <t>Max Base Damage Bonus (not weapon)</t>
  </si>
  <si>
    <t>Item Type</t>
  </si>
  <si>
    <t>$ / 1k fg on d3jsp</t>
  </si>
  <si>
    <t>quiver: 140+ dex, 15+% atk speed, &gt;5% ele or hungering arrow dmg, 6% crit</t>
  </si>
  <si>
    <t>62int/92vit/14%ias/104lh/64lr</t>
  </si>
  <si>
    <t>max</t>
  </si>
  <si>
    <t>1% IAS</t>
  </si>
  <si>
    <t>1.4M</t>
  </si>
  <si>
    <t>Min Weapon Damage</t>
  </si>
  <si>
    <t>Block %</t>
  </si>
  <si>
    <t>Dodge % per dex</t>
  </si>
  <si>
    <t>another, act 3, rakkis crossing, higher levels mobs in inferno so most likely a 2 hit, not a problem if you can avoid them</t>
  </si>
  <si>
    <t>Eric's Wiz Eff Health</t>
  </si>
  <si>
    <t>Critical Hit Damage Increase %</t>
  </si>
  <si>
    <t>15mil</t>
  </si>
  <si>
    <t>381 total dmg/135int/135vit/10maxap</t>
  </si>
  <si>
    <t>1 Primary Stat</t>
  </si>
  <si>
    <t>Dodge % Bonus 5</t>
  </si>
  <si>
    <t>203arm/68str/163int/63vit/14%ias</t>
  </si>
  <si>
    <t>1.5M</t>
  </si>
  <si>
    <t>Dodge % Bonus 6</t>
  </si>
  <si>
    <t>Armor Info</t>
  </si>
  <si>
    <t>Tear Cost</t>
  </si>
  <si>
    <t>Dodge % Bonus 7</t>
  </si>
  <si>
    <t>trick is to stop attacking and constantly run when he starts making black holes. illusionist and guardian spirit good synergy to let you tele again.</t>
  </si>
  <si>
    <t>Dodge %</t>
  </si>
  <si>
    <t>1 Vitality</t>
  </si>
  <si>
    <t>Zunimassa's Plague</t>
  </si>
  <si>
    <t>Mark's DH Damage</t>
  </si>
  <si>
    <t>Brimstone item</t>
  </si>
  <si>
    <t>80int/55ARes</t>
  </si>
  <si>
    <t>2.5M</t>
  </si>
  <si>
    <t>Eric's Barb Damage</t>
  </si>
  <si>
    <t>1 Block %</t>
  </si>
  <si>
    <t>Alex's Wiz Eff Health</t>
  </si>
  <si>
    <t>Dodge % Bonus 2</t>
  </si>
  <si>
    <t>Dodge % Bonus 1</t>
  </si>
  <si>
    <t>Essence</t>
  </si>
  <si>
    <t>Dodge % Bonus 4</t>
  </si>
  <si>
    <t>Dodge % Bonus 3</t>
  </si>
  <si>
    <t>Act III - Ghom. Siegebreaker Assault Beast. Cydaea. Azmodan.</t>
  </si>
  <si>
    <t>Tzo Krin's Gaze</t>
  </si>
  <si>
    <t>Giyua</t>
  </si>
  <si>
    <t># Stats</t>
  </si>
  <si>
    <t>Waistguard</t>
  </si>
  <si>
    <t>Worth checking?</t>
  </si>
  <si>
    <t>vit/ias cheaper than vit/critDmg%</t>
  </si>
  <si>
    <t>Other Damage Reduction % from gear/skills (Don't include 30% from monks and barbs)</t>
  </si>
  <si>
    <t>cost</t>
  </si>
  <si>
    <t>Life % Bonus</t>
  </si>
  <si>
    <t>Max Block Amt</t>
  </si>
  <si>
    <t>1042dmg/103int/185int/1.42aps</t>
  </si>
  <si>
    <t>181arm/151int/154vit/58allRes/28cRes/95lr</t>
  </si>
  <si>
    <t>Kenny's Wiz Eff Health</t>
  </si>
  <si>
    <t>int/crit dmg% very good dps, but too expensive</t>
  </si>
  <si>
    <t>belt</t>
  </si>
  <si>
    <t>Effective Life Added</t>
  </si>
  <si>
    <t>cc</t>
  </si>
  <si>
    <t>cd</t>
  </si>
  <si>
    <t>Effective Health w/ dodge and block:</t>
  </si>
  <si>
    <t>1% Damage Bonus</t>
  </si>
  <si>
    <t>1.7M</t>
  </si>
  <si>
    <t>Base Resist</t>
  </si>
  <si>
    <t>Resist % Bonus</t>
  </si>
  <si>
    <t>GAH Profits (buy with $)</t>
  </si>
  <si>
    <t>Bow: Anything over 1100 DPS</t>
  </si>
  <si>
    <t>HammerA3</t>
  </si>
  <si>
    <t>Equivalent Block Amt</t>
  </si>
  <si>
    <t>Min Base Damage Bonus (not weapon)</t>
  </si>
  <si>
    <t>Boots: Anything with 170+ DEx and 12% run speed(this is important)</t>
  </si>
  <si>
    <t>526arm/132int/72vit/37lRes/50allRes</t>
  </si>
  <si>
    <t>3.5M</t>
  </si>
  <si>
    <t>Tear</t>
  </si>
  <si>
    <t>Total Dodge %</t>
  </si>
  <si>
    <t>Max Weapon Damage</t>
  </si>
  <si>
    <t>1.8M</t>
  </si>
  <si>
    <t>Weapon's attacks per second (APS)</t>
  </si>
  <si>
    <t>285k</t>
  </si>
  <si>
    <t>off</t>
  </si>
  <si>
    <t>Deathfalcom's Wiz Eff Health</t>
  </si>
  <si>
    <t>Method</t>
  </si>
  <si>
    <t>Helm of Command</t>
  </si>
  <si>
    <t>Act I - Skeleton king. Araneae. The Warden. Butcher.</t>
  </si>
  <si>
    <t>Attunement</t>
  </si>
  <si>
    <t>Glove</t>
  </si>
  <si>
    <t>Gold Cost</t>
  </si>
  <si>
    <t>Inferno Act 1, 2, 3 or 4?</t>
  </si>
  <si>
    <t>15ias/100int = 6k dmg</t>
  </si>
  <si>
    <t>Equivalent Resist</t>
  </si>
  <si>
    <t>1 Resist</t>
  </si>
  <si>
    <t>Kenny's Wiz Damage</t>
  </si>
  <si>
    <t>helm (stats)</t>
  </si>
  <si>
    <t>145int/130vit/12%ms</t>
  </si>
  <si>
    <t>140int</t>
  </si>
  <si>
    <t>Justin's Wiz Damage</t>
  </si>
  <si>
    <t>Monk/Barb Damage Reduction % (Put 30 if you're monk or barb, and 0 otherwise)</t>
  </si>
  <si>
    <t>Eric's Barb Eff Health</t>
  </si>
  <si>
    <t>Total Cost</t>
  </si>
  <si>
    <t>Pants</t>
  </si>
  <si>
    <t>Instructions: Copy paste table in open slot below and fill out GREEN colored cells ONLY. Results are in blue colored cells</t>
  </si>
  <si>
    <t>160Vit</t>
  </si>
  <si>
    <t>shoulders</t>
  </si>
  <si>
    <t>vit</t>
  </si>
  <si>
    <t>Gladiator Gauntlets</t>
  </si>
  <si>
    <t>Oculus Ring</t>
  </si>
  <si>
    <t>Price</t>
  </si>
  <si>
    <t>All the damage and speed modifiers on a weapon are already calculated and displayed on the tooltip. This includes +x-y damage, +x% damage, and +x% IAS. For AH items, +x-y damage from rubies are NOT included in tooltip.</t>
  </si>
  <si>
    <t>shield</t>
  </si>
  <si>
    <t>DH Gear</t>
  </si>
  <si>
    <t>Boss fights:</t>
  </si>
  <si>
    <t>Tome</t>
  </si>
  <si>
    <t>1% Life Bonus</t>
  </si>
  <si>
    <t>dex</t>
  </si>
  <si>
    <t>2.6M</t>
  </si>
  <si>
    <t>Dex</t>
  </si>
  <si>
    <t>Essence Cost</t>
  </si>
  <si>
    <t>Belt</t>
  </si>
  <si>
    <t>8 crit%</t>
  </si>
  <si>
    <t>70vit/15ias</t>
  </si>
  <si>
    <t>Wiz Gear</t>
  </si>
  <si>
    <t>Mark's Wiz Damage</t>
  </si>
  <si>
    <t>Off-hand</t>
  </si>
  <si>
    <t>Moonlight Ward</t>
  </si>
  <si>
    <t>def</t>
  </si>
  <si>
    <t>bracers</t>
  </si>
  <si>
    <t>Mark's DH Eff Health</t>
  </si>
  <si>
    <t>353arm/63str/147int/82vit/56allRes/136lr/2os</t>
  </si>
  <si>
    <t>Shoulder</t>
  </si>
  <si>
    <t>Ring 2</t>
  </si>
  <si>
    <t>Eric's Wiz Damage</t>
  </si>
  <si>
    <t>Gloves</t>
  </si>
  <si>
    <t>Ring 1</t>
  </si>
  <si>
    <t>400arm/154int/159vit/55phyR/273lr</t>
  </si>
  <si>
    <t>Ouroboros</t>
  </si>
  <si>
    <t>boots</t>
  </si>
  <si>
    <t>900k</t>
  </si>
  <si>
    <t># Players</t>
  </si>
  <si>
    <t>min</t>
  </si>
  <si>
    <t>1% Crit Chance</t>
  </si>
  <si>
    <t>Tome of Secrets Cost</t>
  </si>
  <si>
    <t>3.1M</t>
  </si>
  <si>
    <t>80vit/55ARes</t>
  </si>
  <si>
    <t>fg for 1 mil</t>
  </si>
  <si>
    <t>Total Time (min)</t>
  </si>
  <si>
    <t>gloves</t>
  </si>
  <si>
    <t>helm</t>
  </si>
  <si>
    <t>The Oculus</t>
  </si>
  <si>
    <t>Bosses who drop 2 rares everytime if you kill w/ 5 stacks:</t>
  </si>
  <si>
    <t>Skills</t>
  </si>
  <si>
    <t>1 Avg Block Amt</t>
  </si>
  <si>
    <t>Death's GEar</t>
  </si>
  <si>
    <t>Damage % Bonus from Skills and Items</t>
  </si>
  <si>
    <t>Bracers</t>
  </si>
  <si>
    <t>int+vit</t>
  </si>
  <si>
    <t>Shoulders</t>
  </si>
  <si>
    <t>Justin's Wiz</t>
  </si>
  <si>
    <t>Total</t>
  </si>
  <si>
    <t>Gold / $</t>
  </si>
  <si>
    <t>1 Base Dmg</t>
  </si>
  <si>
    <t>DPS Added</t>
  </si>
  <si>
    <t>Mighty Belt</t>
  </si>
  <si>
    <t>0.1 APS</t>
  </si>
  <si>
    <t>Equivalent Block %</t>
  </si>
  <si>
    <t>Attack speed increases your DPS on channeling spells WITHOUT damage over a set time (i.e. helps for Disintegrate and Venom Hydra, but not for Blizzard), at the cost of draining your resource cost faster. Also increases hydra damage.</t>
  </si>
  <si>
    <t>Equivalent Vitality</t>
  </si>
  <si>
    <t>Equivalent Armor</t>
  </si>
  <si>
    <t>act 1, quest 9. take wp, check for tower, relog if not (At the northwest part of northen highlands in the watchtower that spawns pretty much every game. And there are usually 1-4 elite packs there who will get ur buff up before the chest.)</t>
  </si>
  <si>
    <t>330arm/47str/131int/143vit/40allRes/2os</t>
  </si>
  <si>
    <t>104(i)/119(v)/59(r)</t>
  </si>
  <si>
    <t>1 Armor</t>
  </si>
  <si>
    <t>dmg</t>
  </si>
  <si>
    <t>Base Armor</t>
  </si>
  <si>
    <t>Effective Health w/o dodge and block:</t>
  </si>
  <si>
    <t>Seven Sins</t>
  </si>
  <si>
    <t>int</t>
  </si>
  <si>
    <t>1% Crit Damage</t>
  </si>
  <si>
    <t xml:space="preserve">Force Armor? </t>
  </si>
  <si>
    <t>Vit</t>
  </si>
  <si>
    <t>Brimstone</t>
  </si>
  <si>
    <t>*1 str = 1 armor, 10 int = 1 resist</t>
  </si>
  <si>
    <t>Resist vs element</t>
  </si>
  <si>
    <t>Tal Rasha's Vessel</t>
  </si>
  <si>
    <t>cheaper to go ias/int than ias/vit</t>
  </si>
  <si>
    <t>Gloves: high dex, atk speed, Crit damage</t>
  </si>
  <si>
    <t>240arm/138int/36vit/67allRes/4%life/155lr/46cRes</t>
  </si>
  <si>
    <t>Madstone</t>
  </si>
  <si>
    <t>Attack Speed Bonus %</t>
  </si>
  <si>
    <t>belt(res)</t>
  </si>
  <si>
    <t>offhand</t>
  </si>
  <si>
    <t>127(i)/</t>
  </si>
  <si>
    <t>Chest</t>
  </si>
  <si>
    <t>Deflectors</t>
  </si>
  <si>
    <t>Critical Hit Chance %</t>
  </si>
  <si>
    <t>DPS</t>
  </si>
  <si>
    <t>Elites Killed</t>
  </si>
  <si>
    <t>Ageless Might</t>
  </si>
  <si>
    <t>Helm</t>
  </si>
  <si>
    <t>Armor % Bonus</t>
  </si>
  <si>
    <t>Justice Lantern</t>
  </si>
  <si>
    <t>63int/14ias/33allRes/103lr</t>
  </si>
  <si>
    <t>armour</t>
  </si>
  <si>
    <t>Armor</t>
  </si>
  <si>
    <t>shoulder</t>
  </si>
  <si>
    <t>Mark's Wiz Eff Health</t>
  </si>
  <si>
    <t>Bnet Balance Profits (buy w/ gold)</t>
  </si>
  <si>
    <t>Paypal Profits (buy w/ gold)</t>
  </si>
  <si>
    <t>GAH Sale Price</t>
  </si>
  <si>
    <t>Paypal Sale Price</t>
  </si>
  <si>
    <t>$/mil</t>
  </si>
  <si>
    <t># Success</t>
  </si>
  <si>
    <t># Fail</t>
  </si>
  <si>
    <t>Profit</t>
  </si>
  <si>
    <t>Profit when sold via paypal instead of GAH</t>
  </si>
  <si>
    <t>Total D3 Profits:</t>
  </si>
  <si>
    <t>Gold / $via buying FG</t>
  </si>
  <si>
    <t>Total money spent on gold</t>
  </si>
  <si>
    <t>main hand</t>
  </si>
  <si>
    <t>axe/mace with 500+loh, 1 os</t>
  </si>
  <si>
    <t>Stats</t>
  </si>
  <si>
    <t>His stats</t>
  </si>
  <si>
    <t>510.5dps, 1.39aps, 536loh, 1os</t>
  </si>
  <si>
    <t>dps doesn't matter, high loh, str, crit dmg, vit</t>
  </si>
  <si>
    <t>889loh, 120str, 71cd, 14 max fury, 1os</t>
  </si>
  <si>
    <t>1os, ehp</t>
  </si>
  <si>
    <t>ias and cc, ehp</t>
  </si>
  <si>
    <t>cc, ehp</t>
  </si>
  <si>
    <t>ammy</t>
  </si>
  <si>
    <t>good ammy too expensive, so he just got cc</t>
  </si>
  <si>
    <t>7.5cc, 130vit</t>
  </si>
  <si>
    <t>71vit, 7ias</t>
  </si>
  <si>
    <t>ring 1</t>
  </si>
  <si>
    <t>ring 2</t>
  </si>
  <si>
    <t>whatever</t>
  </si>
  <si>
    <t>70vit, 40ar</t>
  </si>
  <si>
    <t>ms (more tornado), ehp</t>
  </si>
  <si>
    <t>82vit, 60ar, 12ms</t>
  </si>
  <si>
    <t>chest</t>
  </si>
  <si>
    <t>ehp</t>
  </si>
  <si>
    <t>86vit, 70ar</t>
  </si>
  <si>
    <t>95vit, 77ar</t>
  </si>
  <si>
    <t>88vit, 73ar</t>
  </si>
  <si>
    <t>50str, 66vit, 32ar, 1os</t>
  </si>
  <si>
    <t>7ias, 6.5cc, 64vit</t>
  </si>
  <si>
    <t>3.5cc, 57vit, 60ar</t>
  </si>
  <si>
    <t>88vit, 74ar</t>
  </si>
  <si>
    <t>armor prebuff</t>
  </si>
  <si>
    <t>4.6k</t>
  </si>
  <si>
    <t>resist</t>
  </si>
  <si>
    <t>hp</t>
  </si>
  <si>
    <t>43k</t>
  </si>
  <si>
    <t>life%</t>
  </si>
  <si>
    <t>loh</t>
  </si>
  <si>
    <t>1.4k</t>
  </si>
  <si>
    <t>max fury</t>
  </si>
  <si>
    <t>ms</t>
  </si>
  <si>
    <t>damage</t>
  </si>
  <si>
    <t>6k</t>
  </si>
  <si>
    <t> Stats priority : LoH, Crit chance, Attack Speed, Resist all, Armor, Vitality, Crit Damage, Strength.</t>
  </si>
  <si>
    <t>Though you can stop getting more crit chance once you are getting enough Fury.</t>
  </si>
  <si>
    <t>GAH Price</t>
  </si>
  <si>
    <t>RMAH Price</t>
  </si>
  <si>
    <t>Emerald</t>
  </si>
  <si>
    <t>Ruby</t>
  </si>
  <si>
    <t>Topaz</t>
  </si>
  <si>
    <t>Amethyst</t>
  </si>
  <si>
    <t>Radiant Star</t>
  </si>
  <si>
    <t>Perfect Star</t>
  </si>
  <si>
    <t>Flawless Star</t>
  </si>
  <si>
    <t>Star</t>
  </si>
  <si>
    <t>Radiant Square</t>
  </si>
  <si>
    <t>Perfect Square</t>
  </si>
  <si>
    <t>min GAH Price for profit</t>
  </si>
  <si>
    <t>Gem Remove Cost</t>
  </si>
  <si>
    <t>max RMAH Price (profit over selling paypal)</t>
  </si>
  <si>
    <t>Prim Stat</t>
  </si>
  <si>
    <t>Prim Stat Val</t>
  </si>
  <si>
    <t>Crit %</t>
  </si>
  <si>
    <t>LOH</t>
  </si>
  <si>
    <t>APS</t>
  </si>
  <si>
    <t>Socket?</t>
  </si>
  <si>
    <t>LL</t>
  </si>
  <si>
    <t>Hours till sold</t>
  </si>
  <si>
    <t>Sword</t>
  </si>
  <si>
    <t>Spear</t>
  </si>
  <si>
    <t>Str</t>
  </si>
  <si>
    <t>Axe</t>
  </si>
  <si>
    <t>Dagger</t>
  </si>
  <si>
    <t>LAK</t>
  </si>
  <si>
    <t>Mace</t>
  </si>
  <si>
    <t>Tyrael's Might Str</t>
  </si>
  <si>
    <t>Tyrael's Might Int</t>
  </si>
  <si>
    <t>Tyrael's Might Dex</t>
  </si>
  <si>
    <t>Dex/Str</t>
  </si>
  <si>
    <t>Wand</t>
  </si>
  <si>
    <t>Gold Price (mil)</t>
  </si>
  <si>
    <t>Int/Str</t>
  </si>
  <si>
    <t>Weapon Type</t>
  </si>
  <si>
    <t>DPS added per primary stat:</t>
  </si>
  <si>
    <t>Eff DPS</t>
  </si>
  <si>
    <t>Class</t>
  </si>
  <si>
    <t>Any</t>
  </si>
  <si>
    <t>Skill</t>
  </si>
  <si>
    <t>6% MM</t>
  </si>
  <si>
    <t>MAP</t>
  </si>
  <si>
    <t>APoC</t>
  </si>
  <si>
    <t>rs ruby</t>
  </si>
  <si>
    <t>rs emerald</t>
  </si>
  <si>
    <t>rs topaz</t>
  </si>
  <si>
    <t>rs amy</t>
  </si>
  <si>
    <t>ps amy</t>
  </si>
  <si>
    <t>ps emerald</t>
  </si>
  <si>
    <t>ps ruby</t>
  </si>
  <si>
    <t>ps topaz</t>
  </si>
  <si>
    <t>fs amy</t>
  </si>
  <si>
    <t>fs emerald</t>
  </si>
  <si>
    <t>fs ruby</t>
  </si>
  <si>
    <t>fs topaz</t>
  </si>
  <si>
    <t>Gold</t>
  </si>
  <si>
    <t>isCommodity?</t>
  </si>
  <si>
    <t>design fs amy</t>
  </si>
  <si>
    <t>design fs emerald</t>
  </si>
  <si>
    <t>design fs ruby</t>
  </si>
  <si>
    <t>design fs topaz</t>
  </si>
  <si>
    <t>design ps amy</t>
  </si>
  <si>
    <t>design ps emerald</t>
  </si>
  <si>
    <t>design ps ruby</t>
  </si>
  <si>
    <t>design ps topaz</t>
  </si>
  <si>
    <t>design rs amy</t>
  </si>
  <si>
    <t>design rs emerald</t>
  </si>
  <si>
    <t>design rs ruby</t>
  </si>
  <si>
    <t>design rs topaz</t>
  </si>
  <si>
    <t>Paypal Profits</t>
  </si>
  <si>
    <t>Launder</t>
  </si>
  <si>
    <t>GAH Profits</t>
  </si>
  <si>
    <t>Profit PP vs GAH</t>
  </si>
  <si>
    <t>BBAL &gt; PP</t>
  </si>
  <si>
    <t>uplan Ashera's Bindings</t>
  </si>
  <si>
    <t>uplan Aughlid's Treasured</t>
  </si>
  <si>
    <t>uplan Bitterness</t>
  </si>
  <si>
    <t>uplan Black Bone Arrows</t>
  </si>
  <si>
    <t>uplan blood-magic blade</t>
  </si>
  <si>
    <t>uplan born's aegis</t>
  </si>
  <si>
    <t>uplan cain's honor</t>
  </si>
  <si>
    <t>uplan captain crimson</t>
  </si>
  <si>
    <t>uplan cataclysm</t>
  </si>
  <si>
    <t>uplan deadeye</t>
  </si>
  <si>
    <t>uplan demon head</t>
  </si>
  <si>
    <t>uplan demon's carapace</t>
  </si>
  <si>
    <t>uplan earthshatter</t>
  </si>
  <si>
    <t>uplan fire brand</t>
  </si>
  <si>
    <t>uplan gehennas</t>
  </si>
  <si>
    <t>rplan grand archmage</t>
  </si>
  <si>
    <t>rplan grand conquest sword</t>
  </si>
  <si>
    <t>rplan grand crag hammer</t>
  </si>
  <si>
    <t>rplan grand doomcaster</t>
  </si>
  <si>
    <t>rplan grand dread shield</t>
  </si>
  <si>
    <t>rplan grand galraki</t>
  </si>
  <si>
    <t>rplan grand ghost sight</t>
  </si>
  <si>
    <t>rplan grand golden talon</t>
  </si>
  <si>
    <t>rplan grand heaven strand</t>
  </si>
  <si>
    <t>rplan grand heavy baldric</t>
  </si>
  <si>
    <t>rplan grand impellor</t>
  </si>
  <si>
    <t>rplan grand manitou mask</t>
  </si>
  <si>
    <t>rplan grand massacre axe</t>
  </si>
  <si>
    <t>rplan grand orbit stones</t>
  </si>
  <si>
    <t>rplan grand pallium</t>
  </si>
  <si>
    <t>rplan grand phantom bow</t>
  </si>
  <si>
    <t>rplan grand piercer</t>
  </si>
  <si>
    <t>rplan grand runic quiver</t>
  </si>
  <si>
    <t>rplan grand sov greavs</t>
  </si>
  <si>
    <t>rplan grand sov helm</t>
  </si>
  <si>
    <t>rplan grand sov mail</t>
  </si>
  <si>
    <t>rplan grand sov tassets</t>
  </si>
  <si>
    <t>rplan grand sov vambraces</t>
  </si>
  <si>
    <t>rplan grand stalker cape</t>
  </si>
  <si>
    <t>rplan grand strike wand</t>
  </si>
  <si>
    <t>uplan griswold's masterpierce</t>
  </si>
  <si>
    <t>uplan guardian's regalia</t>
  </si>
  <si>
    <t>uplan hallowed armaments</t>
  </si>
  <si>
    <t>uplan harvest moon</t>
  </si>
  <si>
    <t>uplan lai yui</t>
  </si>
  <si>
    <t>uplan longshot</t>
  </si>
  <si>
    <t>uplan lost boys</t>
  </si>
  <si>
    <t>uplan pendergrasps</t>
  </si>
  <si>
    <t>uplan quick draw belt</t>
  </si>
  <si>
    <t>uplan robes of the rydraelm</t>
  </si>
  <si>
    <t>uplan rozpedin's staff</t>
  </si>
  <si>
    <t>uplan ruinstoke</t>
  </si>
  <si>
    <t>uplan sage's wisdom</t>
  </si>
  <si>
    <t>uplan seven sins</t>
  </si>
  <si>
    <t>uplan singularity</t>
  </si>
  <si>
    <t>uplan starspine</t>
  </si>
  <si>
    <t>uplan the helm of command</t>
  </si>
  <si>
    <t>uplan the magi</t>
  </si>
  <si>
    <t>uplan the wedge</t>
  </si>
  <si>
    <t>uplan umbral oath</t>
  </si>
  <si>
    <t>uplan unending war</t>
  </si>
  <si>
    <t>uplan venomhusk</t>
  </si>
  <si>
    <t>uplan wall of bone</t>
  </si>
  <si>
    <t>uplan wondrous deflectors</t>
  </si>
  <si>
    <t>rplan grand armplates</t>
  </si>
  <si>
    <t>Dealer</t>
  </si>
  <si>
    <t>Radiant Star Ruby</t>
  </si>
  <si>
    <t>7/14 or 7/13</t>
  </si>
  <si>
    <t>PP</t>
  </si>
  <si>
    <t>on record but not on PP</t>
  </si>
  <si>
    <t>Loss/Dollar</t>
  </si>
  <si>
    <t>s</t>
  </si>
  <si>
    <t>Natalya's Sight</t>
  </si>
  <si>
    <t>Tal Rasha's Guise of Wisdom</t>
  </si>
  <si>
    <t>Inna's Temperance</t>
  </si>
  <si>
    <t>Inna's Favor</t>
  </si>
  <si>
    <t>Inna's Blessing [Legacy]</t>
  </si>
  <si>
    <t>Inna's Reach</t>
  </si>
  <si>
    <t>Inna's Vast Expanse</t>
  </si>
  <si>
    <t>Inna's Radiance</t>
  </si>
  <si>
    <t>Zunimassa's Trail</t>
  </si>
  <si>
    <t>Zunimassa's Vision</t>
  </si>
  <si>
    <t>Zunimassa's Pox</t>
  </si>
  <si>
    <t>Zunimassa's Marrow</t>
  </si>
  <si>
    <t>Zunimassa's String of Skulls</t>
  </si>
  <si>
    <t>Vile Ward</t>
  </si>
  <si>
    <t>Blackthorne's Surcoat</t>
  </si>
  <si>
    <t>Blackthorne's Jousting Mail</t>
  </si>
  <si>
    <t>Blackthorne's Duncraig Cross</t>
  </si>
  <si>
    <t>Immortal King's Soul Cage [Legacy]</t>
  </si>
  <si>
    <t>Immortal King's Stride</t>
  </si>
  <si>
    <t>Immortal King's Eternal Reign</t>
  </si>
  <si>
    <t>Immortal King's Tribal Binding</t>
  </si>
  <si>
    <t>Tal Rasha's Allegiance</t>
  </si>
  <si>
    <t>Tal Rasha's Relentless Pursuit</t>
  </si>
  <si>
    <t>Tal Rasha's Unwavering Glare</t>
  </si>
  <si>
    <t>Natalya's Embrace</t>
  </si>
  <si>
    <t>Natalya's Mark [Legacy]</t>
  </si>
  <si>
    <t>Natalya's Bloody Footprints</t>
  </si>
  <si>
    <t>Natalya's Reflection</t>
  </si>
  <si>
    <t>Lacuni Prowlers</t>
  </si>
  <si>
    <t>The Witching Hour</t>
  </si>
  <si>
    <t>Rondal's Locket</t>
  </si>
  <si>
    <t>Holy Beacon [Legacy]</t>
  </si>
  <si>
    <t>Puzzle Ring</t>
  </si>
  <si>
    <t>Justice Lantern [Legacy]</t>
  </si>
  <si>
    <t>Stone of Jordan</t>
  </si>
  <si>
    <t>Litany of the Undaunted</t>
  </si>
  <si>
    <t>The Wailing Host</t>
  </si>
  <si>
    <t>Thing of the Deep</t>
  </si>
  <si>
    <t>Manajuma's Gory Fetch</t>
  </si>
  <si>
    <t>Manajuma's Carving Knife</t>
  </si>
  <si>
    <t>Triumvirate</t>
  </si>
  <si>
    <t>Chantodo's Force</t>
  </si>
  <si>
    <t>Dead Man's Legacy</t>
  </si>
  <si>
    <t>The Compass Rose</t>
  </si>
  <si>
    <t>Immortal King's Triumph</t>
  </si>
  <si>
    <t>Oculus Ring [Legacy]</t>
  </si>
  <si>
    <t xml:space="preserve">Skull Grasp [Legacy] Dex </t>
  </si>
  <si>
    <t xml:space="preserve">Skull Grasp[Legacy] Int </t>
  </si>
  <si>
    <t xml:space="preserve">Skull Grasp [Legacy] Str </t>
  </si>
</sst>
</file>

<file path=xl/styles.xml><?xml version="1.0" encoding="utf-8"?>
<styleSheet xmlns="http://schemas.openxmlformats.org/spreadsheetml/2006/main">
  <numFmts count="1">
    <numFmt numFmtId="164" formatCode="#,##0.###############"/>
  </numFmts>
  <fonts count="8">
    <font>
      <sz val="10"/>
      <name val="Arial"/>
      <family val="2"/>
    </font>
    <font>
      <b/>
      <sz val="10"/>
      <name val="Arial"/>
      <family val="2"/>
    </font>
    <font>
      <b/>
      <sz val="10"/>
      <color indexed="11"/>
      <name val="Arial"/>
      <family val="2"/>
    </font>
    <font>
      <b/>
      <sz val="14"/>
      <name val="Arial"/>
      <family val="2"/>
    </font>
    <font>
      <sz val="12"/>
      <name val="Arial"/>
      <family val="2"/>
    </font>
    <font>
      <sz val="10"/>
      <color rgb="FF333333"/>
      <name val="Arial"/>
      <family val="2"/>
    </font>
    <font>
      <sz val="9"/>
      <color indexed="81"/>
      <name val="Tahoma"/>
      <family val="2"/>
    </font>
    <font>
      <b/>
      <sz val="9"/>
      <color indexed="81"/>
      <name val="Tahoma"/>
      <family val="2"/>
    </font>
  </fonts>
  <fills count="10">
    <fill>
      <patternFill patternType="none"/>
    </fill>
    <fill>
      <patternFill patternType="gray125"/>
    </fill>
    <fill>
      <patternFill patternType="solid">
        <fgColor indexed="35"/>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8"/>
        <bgColor indexed="64"/>
      </patternFill>
    </fill>
    <fill>
      <patternFill patternType="solid">
        <fgColor theme="0" tint="-0.249977111117893"/>
        <bgColor indexed="64"/>
      </patternFill>
    </fill>
    <fill>
      <patternFill patternType="solid">
        <fgColor rgb="FF00FF00"/>
        <bgColor indexed="64"/>
      </patternFill>
    </fill>
    <fill>
      <patternFill patternType="solid">
        <fgColor theme="8" tint="0.59999389629810485"/>
        <bgColor indexed="64"/>
      </patternFill>
    </fill>
  </fills>
  <borders count="24">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alignment vertical="center"/>
    </xf>
  </cellStyleXfs>
  <cellXfs count="145">
    <xf numFmtId="0" fontId="0" fillId="0" borderId="0" xfId="0">
      <alignment vertical="center"/>
    </xf>
    <xf numFmtId="0" fontId="0" fillId="0" borderId="1" xfId="0" applyNumberFormat="1" applyFont="1" applyFill="1" applyBorder="1" applyAlignment="1">
      <alignment horizontal="left" wrapText="1"/>
    </xf>
    <xf numFmtId="0" fontId="1" fillId="0" borderId="1" xfId="0" applyNumberFormat="1" applyFont="1" applyFill="1" applyBorder="1" applyAlignment="1">
      <alignment wrapText="1"/>
    </xf>
    <xf numFmtId="164" fontId="1" fillId="2" borderId="1" xfId="0" applyNumberFormat="1" applyFont="1" applyFill="1" applyBorder="1" applyAlignment="1">
      <alignment wrapText="1"/>
    </xf>
    <xf numFmtId="164" fontId="1" fillId="0" borderId="1" xfId="0" applyNumberFormat="1" applyFont="1" applyFill="1" applyBorder="1" applyAlignment="1">
      <alignment wrapText="1"/>
    </xf>
    <xf numFmtId="0" fontId="0" fillId="0" borderId="0" xfId="0" applyNumberFormat="1" applyFont="1" applyFill="1" applyAlignment="1">
      <alignment wrapText="1"/>
    </xf>
    <xf numFmtId="0" fontId="0" fillId="0" borderId="2" xfId="0" applyNumberFormat="1" applyFont="1" applyFill="1" applyBorder="1" applyAlignment="1">
      <alignment horizontal="left" wrapText="1"/>
    </xf>
    <xf numFmtId="0" fontId="0" fillId="0" borderId="2" xfId="0" applyNumberFormat="1" applyFont="1" applyFill="1" applyBorder="1" applyAlignment="1">
      <alignment wrapText="1"/>
    </xf>
    <xf numFmtId="164" fontId="0" fillId="2" borderId="2" xfId="0" applyNumberFormat="1" applyFont="1" applyFill="1" applyBorder="1" applyAlignment="1">
      <alignment wrapText="1"/>
    </xf>
    <xf numFmtId="164" fontId="0" fillId="0" borderId="2" xfId="0" applyNumberFormat="1" applyFont="1" applyFill="1" applyBorder="1" applyAlignment="1">
      <alignment wrapText="1"/>
    </xf>
    <xf numFmtId="0" fontId="0" fillId="0" borderId="0" xfId="0" applyNumberFormat="1" applyFont="1" applyFill="1" applyAlignment="1">
      <alignment horizontal="left" wrapText="1"/>
    </xf>
    <xf numFmtId="164" fontId="0" fillId="2" borderId="0" xfId="0" applyNumberFormat="1" applyFont="1" applyFill="1" applyAlignment="1">
      <alignment wrapText="1"/>
    </xf>
    <xf numFmtId="164" fontId="0" fillId="0" borderId="0" xfId="0" applyNumberFormat="1" applyFont="1" applyFill="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5" xfId="0" applyNumberFormat="1" applyFont="1" applyFill="1" applyBorder="1" applyAlignment="1">
      <alignment wrapText="1"/>
    </xf>
    <xf numFmtId="0" fontId="1" fillId="0" borderId="6" xfId="0" applyNumberFormat="1" applyFont="1" applyFill="1" applyBorder="1" applyAlignment="1">
      <alignment wrapText="1"/>
    </xf>
    <xf numFmtId="0" fontId="0" fillId="0" borderId="7" xfId="0" applyNumberFormat="1" applyFont="1" applyFill="1" applyBorder="1" applyAlignment="1">
      <alignment wrapText="1"/>
    </xf>
    <xf numFmtId="0" fontId="0" fillId="0" borderId="8" xfId="0" applyNumberFormat="1" applyFont="1" applyFill="1" applyBorder="1" applyAlignment="1">
      <alignment wrapText="1"/>
    </xf>
    <xf numFmtId="0" fontId="0" fillId="0" borderId="9" xfId="0" applyNumberFormat="1" applyFont="1" applyFill="1" applyBorder="1" applyAlignment="1">
      <alignment wrapText="1"/>
    </xf>
    <xf numFmtId="0" fontId="0" fillId="0" borderId="1" xfId="0" applyNumberFormat="1" applyFont="1" applyFill="1" applyBorder="1" applyAlignment="1">
      <alignment wrapText="1"/>
    </xf>
    <xf numFmtId="0" fontId="0" fillId="0" borderId="10" xfId="0" applyNumberFormat="1" applyFont="1" applyFill="1" applyBorder="1" applyAlignment="1">
      <alignment wrapText="1"/>
    </xf>
    <xf numFmtId="0" fontId="0" fillId="0" borderId="6" xfId="0" applyNumberFormat="1" applyFont="1" applyFill="1" applyBorder="1" applyAlignment="1">
      <alignment wrapText="1"/>
    </xf>
    <xf numFmtId="0" fontId="0" fillId="3" borderId="7" xfId="0" applyNumberFormat="1" applyFont="1" applyFill="1" applyBorder="1" applyAlignment="1">
      <alignment horizontal="right" wrapText="1"/>
    </xf>
    <xf numFmtId="0" fontId="0" fillId="0" borderId="11" xfId="0" applyNumberFormat="1" applyFont="1" applyFill="1" applyBorder="1" applyAlignment="1">
      <alignment wrapText="1"/>
    </xf>
    <xf numFmtId="0" fontId="1" fillId="0" borderId="3" xfId="0" applyNumberFormat="1" applyFont="1" applyFill="1" applyBorder="1" applyAlignment="1">
      <alignment horizontal="center" wrapText="1"/>
    </xf>
    <xf numFmtId="3" fontId="3" fillId="2" borderId="5" xfId="0" applyNumberFormat="1" applyFont="1" applyFill="1" applyBorder="1" applyAlignment="1">
      <alignment wrapText="1"/>
    </xf>
    <xf numFmtId="0" fontId="0" fillId="3" borderId="10" xfId="0" applyNumberFormat="1" applyFont="1" applyFill="1" applyBorder="1" applyAlignment="1">
      <alignment horizontal="right" wrapText="1"/>
    </xf>
    <xf numFmtId="0" fontId="0" fillId="0" borderId="12" xfId="0" applyNumberFormat="1" applyFont="1" applyFill="1" applyBorder="1" applyAlignment="1">
      <alignment wrapText="1"/>
    </xf>
    <xf numFmtId="0" fontId="1" fillId="0" borderId="5" xfId="0" applyNumberFormat="1" applyFont="1" applyFill="1" applyBorder="1" applyAlignment="1">
      <alignment wrapText="1"/>
    </xf>
    <xf numFmtId="3" fontId="3" fillId="2" borderId="13" xfId="0" applyNumberFormat="1" applyFont="1" applyFill="1" applyBorder="1" applyAlignment="1">
      <alignment horizontal="right" wrapText="1"/>
    </xf>
    <xf numFmtId="4" fontId="3" fillId="2" borderId="6" xfId="0" applyNumberFormat="1" applyFont="1" applyFill="1" applyBorder="1" applyAlignment="1">
      <alignment horizontal="right" wrapText="1"/>
    </xf>
    <xf numFmtId="4" fontId="3" fillId="2" borderId="2" xfId="0" applyNumberFormat="1" applyFont="1" applyFill="1" applyBorder="1" applyAlignment="1">
      <alignment horizontal="right" wrapText="1"/>
    </xf>
    <xf numFmtId="4" fontId="3" fillId="2" borderId="7" xfId="0" applyNumberFormat="1" applyFont="1" applyFill="1" applyBorder="1" applyAlignment="1">
      <alignment horizontal="right" wrapText="1"/>
    </xf>
    <xf numFmtId="3" fontId="3" fillId="2" borderId="11" xfId="0" applyNumberFormat="1" applyFont="1" applyFill="1" applyBorder="1" applyAlignment="1">
      <alignment horizontal="right" wrapText="1"/>
    </xf>
    <xf numFmtId="4" fontId="3" fillId="2" borderId="8" xfId="0" applyNumberFormat="1" applyFont="1" applyFill="1" applyBorder="1" applyAlignment="1">
      <alignment horizontal="right" wrapText="1"/>
    </xf>
    <xf numFmtId="4" fontId="3" fillId="2" borderId="0" xfId="0" applyNumberFormat="1" applyFont="1" applyFill="1" applyAlignment="1">
      <alignment horizontal="right" wrapText="1"/>
    </xf>
    <xf numFmtId="4" fontId="3" fillId="2" borderId="10" xfId="0" applyNumberFormat="1" applyFont="1" applyFill="1" applyBorder="1" applyAlignment="1">
      <alignment horizontal="right" wrapText="1"/>
    </xf>
    <xf numFmtId="3" fontId="3" fillId="2" borderId="11" xfId="0" applyNumberFormat="1" applyFont="1" applyFill="1" applyBorder="1" applyAlignment="1">
      <alignment wrapText="1"/>
    </xf>
    <xf numFmtId="0" fontId="0" fillId="3" borderId="12" xfId="0" applyNumberFormat="1" applyFont="1" applyFill="1" applyBorder="1" applyAlignment="1">
      <alignment horizontal="right" wrapText="1"/>
    </xf>
    <xf numFmtId="0" fontId="0" fillId="0" borderId="14" xfId="0" applyNumberFormat="1" applyFont="1" applyFill="1" applyBorder="1" applyAlignment="1">
      <alignment wrapText="1"/>
    </xf>
    <xf numFmtId="3" fontId="3" fillId="2" borderId="14" xfId="0" applyNumberFormat="1" applyFont="1" applyFill="1" applyBorder="1" applyAlignment="1">
      <alignment wrapText="1"/>
    </xf>
    <xf numFmtId="4" fontId="3" fillId="2" borderId="9" xfId="0" applyNumberFormat="1" applyFont="1" applyFill="1" applyBorder="1" applyAlignment="1">
      <alignment horizontal="right" wrapText="1"/>
    </xf>
    <xf numFmtId="4" fontId="3" fillId="2" borderId="1" xfId="0" applyNumberFormat="1" applyFont="1" applyFill="1" applyBorder="1" applyAlignment="1">
      <alignment horizontal="right" wrapText="1"/>
    </xf>
    <xf numFmtId="4" fontId="3" fillId="2" borderId="12" xfId="0" applyNumberFormat="1" applyFont="1" applyFill="1" applyBorder="1" applyAlignment="1">
      <alignment horizontal="right" wrapText="1"/>
    </xf>
    <xf numFmtId="3" fontId="3" fillId="0" borderId="4" xfId="0" applyNumberFormat="1" applyFont="1" applyFill="1" applyBorder="1" applyAlignment="1">
      <alignment wrapText="1"/>
    </xf>
    <xf numFmtId="3" fontId="0" fillId="0" borderId="4" xfId="0" applyNumberFormat="1" applyFont="1" applyFill="1" applyBorder="1" applyAlignment="1">
      <alignment wrapText="1"/>
    </xf>
    <xf numFmtId="0" fontId="1" fillId="0" borderId="8" xfId="0" applyNumberFormat="1" applyFont="1" applyFill="1" applyBorder="1" applyAlignment="1">
      <alignment wrapText="1"/>
    </xf>
    <xf numFmtId="3" fontId="3" fillId="2" borderId="2" xfId="0" applyNumberFormat="1" applyFont="1" applyFill="1" applyBorder="1" applyAlignment="1">
      <alignment wrapText="1"/>
    </xf>
    <xf numFmtId="0" fontId="0" fillId="3" borderId="10" xfId="0" applyNumberFormat="1" applyFont="1" applyFill="1" applyBorder="1" applyAlignment="1">
      <alignment wrapText="1"/>
    </xf>
    <xf numFmtId="3" fontId="3" fillId="2" borderId="14" xfId="0" applyNumberFormat="1" applyFont="1" applyFill="1" applyBorder="1" applyAlignment="1">
      <alignment horizontal="right" wrapText="1"/>
    </xf>
    <xf numFmtId="0" fontId="4" fillId="0" borderId="0" xfId="0" applyNumberFormat="1" applyFont="1" applyFill="1" applyAlignment="1">
      <alignment wrapText="1"/>
    </xf>
    <xf numFmtId="0" fontId="1" fillId="0" borderId="0" xfId="0" applyNumberFormat="1" applyFont="1" applyFill="1" applyAlignment="1">
      <alignment wrapText="1"/>
    </xf>
    <xf numFmtId="0" fontId="0" fillId="0" borderId="1" xfId="0" applyNumberFormat="1" applyFont="1" applyFill="1" applyBorder="1" applyAlignment="1">
      <alignment horizontal="right" wrapText="1"/>
    </xf>
    <xf numFmtId="3" fontId="0" fillId="0" borderId="6" xfId="0" applyNumberFormat="1" applyFont="1" applyFill="1" applyBorder="1" applyAlignment="1">
      <alignment horizontal="right" wrapText="1"/>
    </xf>
    <xf numFmtId="3" fontId="0" fillId="0" borderId="2" xfId="0" applyNumberFormat="1" applyFont="1" applyFill="1" applyBorder="1" applyAlignment="1">
      <alignment horizontal="right" wrapText="1"/>
    </xf>
    <xf numFmtId="3" fontId="1" fillId="0" borderId="5" xfId="0" applyNumberFormat="1" applyFont="1" applyFill="1" applyBorder="1" applyAlignment="1">
      <alignment horizontal="right" wrapText="1"/>
    </xf>
    <xf numFmtId="3" fontId="0" fillId="0" borderId="2" xfId="0" applyNumberFormat="1" applyFont="1" applyFill="1" applyBorder="1" applyAlignment="1">
      <alignment wrapText="1"/>
    </xf>
    <xf numFmtId="3" fontId="1" fillId="0" borderId="5" xfId="0" applyNumberFormat="1" applyFont="1" applyFill="1" applyBorder="1" applyAlignment="1">
      <alignment wrapText="1"/>
    </xf>
    <xf numFmtId="3" fontId="0" fillId="0" borderId="8" xfId="0" applyNumberFormat="1" applyFont="1" applyFill="1" applyBorder="1" applyAlignment="1">
      <alignment horizontal="right" wrapText="1"/>
    </xf>
    <xf numFmtId="3" fontId="0" fillId="0" borderId="0" xfId="0" applyNumberFormat="1" applyFont="1" applyFill="1" applyAlignment="1">
      <alignment horizontal="right" wrapText="1"/>
    </xf>
    <xf numFmtId="3" fontId="0" fillId="0" borderId="0" xfId="0" applyNumberFormat="1" applyFont="1" applyFill="1" applyAlignment="1">
      <alignment wrapText="1"/>
    </xf>
    <xf numFmtId="3" fontId="0" fillId="0" borderId="1" xfId="0" applyNumberFormat="1" applyFont="1" applyFill="1" applyBorder="1" applyAlignment="1">
      <alignment wrapText="1"/>
    </xf>
    <xf numFmtId="3" fontId="1" fillId="0" borderId="2" xfId="0" applyNumberFormat="1" applyFont="1" applyFill="1" applyBorder="1" applyAlignment="1">
      <alignment wrapText="1"/>
    </xf>
    <xf numFmtId="3" fontId="1" fillId="0" borderId="7" xfId="0" applyNumberFormat="1" applyFont="1" applyFill="1" applyBorder="1" applyAlignment="1">
      <alignment wrapText="1"/>
    </xf>
    <xf numFmtId="3" fontId="0" fillId="0" borderId="8" xfId="0" applyNumberFormat="1" applyFont="1" applyFill="1" applyBorder="1" applyAlignment="1">
      <alignment wrapText="1"/>
    </xf>
    <xf numFmtId="3" fontId="0" fillId="0" borderId="15" xfId="0" applyNumberFormat="1" applyFont="1" applyFill="1" applyBorder="1" applyAlignment="1">
      <alignment wrapText="1"/>
    </xf>
    <xf numFmtId="3" fontId="1" fillId="2" borderId="15" xfId="0" applyNumberFormat="1" applyFont="1" applyFill="1" applyBorder="1" applyAlignment="1">
      <alignment wrapText="1"/>
    </xf>
    <xf numFmtId="0" fontId="0" fillId="4" borderId="15" xfId="0" applyNumberFormat="1" applyFont="1" applyFill="1" applyBorder="1" applyAlignment="1">
      <alignment wrapText="1"/>
    </xf>
    <xf numFmtId="3" fontId="0" fillId="4" borderId="15" xfId="0" applyNumberFormat="1" applyFont="1" applyFill="1" applyBorder="1" applyAlignment="1">
      <alignment wrapText="1"/>
    </xf>
    <xf numFmtId="3" fontId="1" fillId="0" borderId="15" xfId="0" applyNumberFormat="1" applyFont="1" applyFill="1" applyBorder="1" applyAlignment="1">
      <alignment wrapText="1"/>
    </xf>
    <xf numFmtId="0" fontId="0" fillId="4" borderId="15" xfId="0" applyFill="1" applyBorder="1">
      <alignment vertical="center"/>
    </xf>
    <xf numFmtId="3" fontId="0" fillId="4" borderId="15" xfId="0" applyNumberFormat="1" applyFill="1" applyBorder="1">
      <alignment vertical="center"/>
    </xf>
    <xf numFmtId="0" fontId="0" fillId="0" borderId="15" xfId="0" applyBorder="1">
      <alignment vertical="center"/>
    </xf>
    <xf numFmtId="3" fontId="0" fillId="0" borderId="15" xfId="0" applyNumberFormat="1" applyFill="1" applyBorder="1" applyAlignment="1">
      <alignment wrapText="1"/>
    </xf>
    <xf numFmtId="3" fontId="0" fillId="6" borderId="15" xfId="0" applyNumberFormat="1" applyFill="1" applyBorder="1" applyAlignment="1">
      <alignment wrapText="1"/>
    </xf>
    <xf numFmtId="0" fontId="0" fillId="4" borderId="15" xfId="0" applyNumberFormat="1" applyFill="1" applyBorder="1" applyAlignment="1">
      <alignment wrapText="1"/>
    </xf>
    <xf numFmtId="0" fontId="0" fillId="0" borderId="0" xfId="0">
      <alignment vertical="center"/>
    </xf>
    <xf numFmtId="3" fontId="0" fillId="4" borderId="15" xfId="0" applyNumberFormat="1" applyFill="1" applyBorder="1" applyAlignment="1">
      <alignment wrapText="1"/>
    </xf>
    <xf numFmtId="0" fontId="0" fillId="7" borderId="18" xfId="0" applyFill="1" applyBorder="1" applyAlignment="1"/>
    <xf numFmtId="0" fontId="0" fillId="5" borderId="16" xfId="0" applyNumberFormat="1" applyFont="1" applyFill="1" applyBorder="1" applyAlignment="1">
      <alignment wrapText="1"/>
    </xf>
    <xf numFmtId="3" fontId="1" fillId="5" borderId="17" xfId="0" applyNumberFormat="1" applyFont="1" applyFill="1" applyBorder="1" applyAlignment="1">
      <alignment wrapText="1"/>
    </xf>
    <xf numFmtId="0" fontId="0" fillId="5" borderId="16" xfId="0" applyFill="1" applyBorder="1" applyAlignment="1"/>
    <xf numFmtId="0" fontId="0" fillId="7" borderId="16" xfId="0" applyNumberFormat="1" applyFont="1" applyFill="1" applyBorder="1" applyAlignment="1">
      <alignment wrapText="1"/>
    </xf>
    <xf numFmtId="0" fontId="0" fillId="7" borderId="17" xfId="0" applyFont="1" applyFill="1" applyBorder="1" applyAlignment="1"/>
    <xf numFmtId="0" fontId="0" fillId="7" borderId="18" xfId="0" applyNumberFormat="1" applyFont="1" applyFill="1" applyBorder="1" applyAlignment="1">
      <alignment wrapText="1"/>
    </xf>
    <xf numFmtId="0" fontId="0" fillId="7" borderId="17" xfId="0" applyNumberFormat="1" applyFont="1" applyFill="1" applyBorder="1" applyAlignment="1">
      <alignment wrapText="1"/>
    </xf>
    <xf numFmtId="3" fontId="1" fillId="5" borderId="18" xfId="0" applyNumberFormat="1" applyFont="1" applyFill="1" applyBorder="1" applyAlignment="1"/>
    <xf numFmtId="0" fontId="0" fillId="0" borderId="0" xfId="0">
      <alignment vertical="center"/>
    </xf>
    <xf numFmtId="0" fontId="1" fillId="0" borderId="0" xfId="0" applyFont="1">
      <alignment vertical="center"/>
    </xf>
    <xf numFmtId="0" fontId="0" fillId="0" borderId="0" xfId="0" applyFont="1">
      <alignment vertical="center"/>
    </xf>
    <xf numFmtId="0" fontId="0" fillId="0" borderId="0" xfId="0">
      <alignment vertical="center"/>
    </xf>
    <xf numFmtId="0" fontId="0" fillId="0" borderId="0" xfId="0" applyAlignment="1">
      <alignment horizontal="left" vertical="center"/>
    </xf>
    <xf numFmtId="10" fontId="0" fillId="0" borderId="0" xfId="0" applyNumberFormat="1" applyAlignment="1">
      <alignment horizontal="left" vertical="center"/>
    </xf>
    <xf numFmtId="9" fontId="0" fillId="0" borderId="0" xfId="0" applyNumberFormat="1" applyAlignment="1">
      <alignment horizontal="left" vertical="center"/>
    </xf>
    <xf numFmtId="0" fontId="0" fillId="0" borderId="0" xfId="0" applyAlignment="1">
      <alignment horizontal="center" vertical="center"/>
    </xf>
    <xf numFmtId="0" fontId="5" fillId="0" borderId="0" xfId="0" applyFont="1">
      <alignment vertical="center"/>
    </xf>
    <xf numFmtId="0" fontId="0" fillId="0" borderId="0" xfId="0">
      <alignment vertical="center"/>
    </xf>
    <xf numFmtId="4" fontId="0" fillId="4" borderId="15" xfId="0" applyNumberFormat="1" applyFill="1" applyBorder="1">
      <alignment vertical="center"/>
    </xf>
    <xf numFmtId="4" fontId="0" fillId="4" borderId="15" xfId="0" applyNumberFormat="1" applyFill="1" applyBorder="1" applyAlignment="1">
      <alignment vertical="center"/>
    </xf>
    <xf numFmtId="0" fontId="0" fillId="4" borderId="15" xfId="0" applyFill="1" applyBorder="1" applyAlignment="1">
      <alignment horizontal="right" vertical="center"/>
    </xf>
    <xf numFmtId="3" fontId="1" fillId="8" borderId="15" xfId="0" applyNumberFormat="1" applyFont="1" applyFill="1" applyBorder="1" applyAlignment="1">
      <alignment horizontal="right" vertical="center"/>
    </xf>
    <xf numFmtId="0" fontId="1" fillId="8" borderId="15" xfId="0" applyFont="1" applyFill="1" applyBorder="1" applyAlignment="1">
      <alignment horizontal="right" vertical="center"/>
    </xf>
    <xf numFmtId="0" fontId="1" fillId="8" borderId="15" xfId="0" applyNumberFormat="1" applyFont="1" applyFill="1" applyBorder="1" applyAlignment="1">
      <alignment horizontal="right" vertical="center"/>
    </xf>
    <xf numFmtId="0" fontId="0" fillId="0" borderId="0" xfId="0" applyAlignment="1">
      <alignment horizontal="right" vertical="center"/>
    </xf>
    <xf numFmtId="0" fontId="0" fillId="4" borderId="15" xfId="0" applyFill="1" applyBorder="1" applyAlignment="1">
      <alignment horizontal="left" vertical="center"/>
    </xf>
    <xf numFmtId="0" fontId="0" fillId="7" borderId="3" xfId="0" applyFill="1" applyBorder="1" applyAlignment="1">
      <alignment horizontal="left" vertical="center"/>
    </xf>
    <xf numFmtId="0" fontId="1" fillId="7" borderId="5" xfId="0" applyFont="1" applyFill="1" applyBorder="1" applyAlignment="1">
      <alignment horizontal="right" vertical="center"/>
    </xf>
    <xf numFmtId="0" fontId="0" fillId="4" borderId="3" xfId="0" applyFill="1" applyBorder="1" applyAlignment="1">
      <alignment horizontal="left" vertical="center"/>
    </xf>
    <xf numFmtId="0" fontId="0" fillId="4" borderId="3" xfId="0" applyFill="1" applyBorder="1" applyAlignment="1">
      <alignment horizontal="right" vertical="center"/>
    </xf>
    <xf numFmtId="3" fontId="1" fillId="8" borderId="20" xfId="0" applyNumberFormat="1" applyFont="1" applyFill="1" applyBorder="1" applyAlignment="1">
      <alignment horizontal="left" vertical="center"/>
    </xf>
    <xf numFmtId="0" fontId="1" fillId="8" borderId="20" xfId="0" applyFont="1" applyFill="1" applyBorder="1" applyAlignment="1">
      <alignment horizontal="left" vertical="center"/>
    </xf>
    <xf numFmtId="0" fontId="1" fillId="8" borderId="21" xfId="0" applyFont="1" applyFill="1" applyBorder="1" applyAlignment="1">
      <alignment horizontal="left" vertical="center"/>
    </xf>
    <xf numFmtId="0" fontId="1" fillId="8" borderId="23" xfId="0" applyFont="1" applyFill="1" applyBorder="1" applyAlignment="1">
      <alignment horizontal="right" vertical="center"/>
    </xf>
    <xf numFmtId="0" fontId="1" fillId="8" borderId="23" xfId="0" applyNumberFormat="1" applyFont="1" applyFill="1" applyBorder="1" applyAlignment="1">
      <alignment horizontal="right" vertical="center"/>
    </xf>
    <xf numFmtId="0" fontId="0" fillId="9" borderId="19" xfId="0" applyFill="1" applyBorder="1" applyAlignment="1">
      <alignment horizontal="left" vertical="center"/>
    </xf>
    <xf numFmtId="1" fontId="0" fillId="9" borderId="20" xfId="0" applyNumberFormat="1" applyFill="1" applyBorder="1" applyAlignment="1">
      <alignment horizontal="left" vertical="center"/>
    </xf>
    <xf numFmtId="0" fontId="0" fillId="9" borderId="20" xfId="0" applyNumberFormat="1" applyFill="1" applyBorder="1" applyAlignment="1">
      <alignment horizontal="left" vertical="center"/>
    </xf>
    <xf numFmtId="0" fontId="0" fillId="9" borderId="20" xfId="0" applyFill="1" applyBorder="1" applyAlignment="1">
      <alignment horizontal="left" vertical="center"/>
    </xf>
    <xf numFmtId="0" fontId="0" fillId="9" borderId="22" xfId="0" applyFill="1" applyBorder="1" applyAlignment="1">
      <alignment horizontal="right" vertical="center"/>
    </xf>
    <xf numFmtId="1" fontId="0" fillId="9" borderId="15" xfId="0" applyNumberFormat="1" applyFill="1" applyBorder="1" applyAlignment="1">
      <alignment horizontal="right" vertical="center"/>
    </xf>
    <xf numFmtId="0" fontId="0" fillId="9" borderId="15" xfId="0" applyNumberFormat="1" applyFill="1" applyBorder="1" applyAlignment="1">
      <alignment horizontal="right" vertical="center"/>
    </xf>
    <xf numFmtId="0" fontId="0" fillId="9" borderId="15" xfId="0" applyFill="1" applyBorder="1" applyAlignment="1">
      <alignment horizontal="right" vertical="center"/>
    </xf>
    <xf numFmtId="2" fontId="1" fillId="0" borderId="15" xfId="0" applyNumberFormat="1" applyFont="1" applyFill="1" applyBorder="1" applyAlignment="1">
      <alignment wrapText="1"/>
    </xf>
    <xf numFmtId="2" fontId="1" fillId="2" borderId="15" xfId="0" applyNumberFormat="1" applyFont="1" applyFill="1" applyBorder="1" applyAlignment="1">
      <alignment wrapText="1"/>
    </xf>
    <xf numFmtId="2" fontId="1" fillId="0" borderId="15" xfId="0" applyNumberFormat="1" applyFont="1" applyBorder="1">
      <alignment vertical="center"/>
    </xf>
    <xf numFmtId="2" fontId="0" fillId="4" borderId="15" xfId="0" applyNumberFormat="1" applyFill="1" applyBorder="1" applyAlignment="1">
      <alignment wrapText="1"/>
    </xf>
    <xf numFmtId="2" fontId="0" fillId="6" borderId="15" xfId="0" applyNumberFormat="1" applyFill="1" applyBorder="1" applyAlignment="1">
      <alignment wrapText="1"/>
    </xf>
    <xf numFmtId="2" fontId="0" fillId="4" borderId="15" xfId="0" applyNumberFormat="1" applyFill="1" applyBorder="1">
      <alignment vertical="center"/>
    </xf>
    <xf numFmtId="2" fontId="0" fillId="0" borderId="15" xfId="0" applyNumberFormat="1" applyFont="1" applyFill="1" applyBorder="1" applyAlignment="1">
      <alignment wrapText="1"/>
    </xf>
    <xf numFmtId="2" fontId="0" fillId="0" borderId="15" xfId="0" applyNumberFormat="1" applyBorder="1">
      <alignment vertical="center"/>
    </xf>
    <xf numFmtId="0" fontId="0" fillId="0" borderId="0" xfId="0">
      <alignment vertical="center"/>
    </xf>
    <xf numFmtId="16" fontId="0" fillId="0" borderId="0" xfId="0" applyNumberFormat="1">
      <alignment vertical="center"/>
    </xf>
    <xf numFmtId="0" fontId="0" fillId="0" borderId="0" xfId="0">
      <alignment vertical="center"/>
    </xf>
    <xf numFmtId="0" fontId="0" fillId="0" borderId="0" xfId="0">
      <alignment vertical="center"/>
    </xf>
    <xf numFmtId="0" fontId="2" fillId="0" borderId="3" xfId="0" applyNumberFormat="1" applyFont="1" applyFill="1" applyBorder="1" applyAlignment="1">
      <alignment wrapText="1"/>
    </xf>
    <xf numFmtId="0" fontId="0" fillId="0" borderId="3" xfId="0" applyNumberFormat="1" applyFont="1" applyFill="1" applyBorder="1" applyAlignment="1">
      <alignment wrapText="1"/>
    </xf>
    <xf numFmtId="0" fontId="0" fillId="0" borderId="4" xfId="0" applyNumberFormat="1" applyFont="1" applyFill="1" applyBorder="1" applyAlignment="1">
      <alignment wrapText="1"/>
    </xf>
    <xf numFmtId="0" fontId="0" fillId="0" borderId="5" xfId="0" applyNumberFormat="1" applyFont="1" applyFill="1" applyBorder="1" applyAlignment="1">
      <alignment wrapText="1"/>
    </xf>
    <xf numFmtId="0" fontId="2" fillId="0" borderId="0" xfId="0" applyNumberFormat="1" applyFont="1" applyFill="1" applyAlignment="1">
      <alignment wrapText="1"/>
    </xf>
    <xf numFmtId="0" fontId="0" fillId="0" borderId="0" xfId="0">
      <alignment vertical="center"/>
    </xf>
    <xf numFmtId="0" fontId="0" fillId="0" borderId="2" xfId="0" applyNumberFormat="1" applyFont="1" applyFill="1" applyBorder="1" applyAlignment="1">
      <alignment wrapText="1"/>
    </xf>
    <xf numFmtId="0" fontId="0" fillId="0" borderId="13" xfId="0" applyNumberFormat="1" applyFont="1" applyFill="1" applyBorder="1" applyAlignment="1">
      <alignment wrapText="1"/>
    </xf>
    <xf numFmtId="0" fontId="0" fillId="0" borderId="7" xfId="0" applyNumberFormat="1" applyFont="1" applyFill="1" applyBorder="1" applyAlignment="1">
      <alignment wrapText="1"/>
    </xf>
    <xf numFmtId="0" fontId="1" fillId="0" borderId="6" xfId="0" applyNumberFormat="1" applyFont="1" applyFill="1" applyBorder="1" applyAlignment="1">
      <alignment wrapText="1"/>
    </xf>
  </cellXfs>
  <cellStyles count="1">
    <cellStyle name="Normal" xfId="0" builtinId="0"/>
  </cellStyles>
  <dxfs count="8">
    <dxf>
      <fill>
        <patternFill>
          <bgColor rgb="FF00FF00"/>
        </patternFill>
      </fill>
    </dxf>
    <dxf>
      <fill>
        <patternFill>
          <bgColor rgb="FFFF0000"/>
        </patternFill>
      </fill>
    </dxf>
    <dxf>
      <fill>
        <patternFill patternType="solid">
          <bgColor indexed="11"/>
        </patternFill>
      </fill>
    </dxf>
    <dxf>
      <fill>
        <patternFill patternType="solid">
          <bgColor indexed="9"/>
        </patternFill>
      </fill>
    </dxf>
    <dxf>
      <fill>
        <patternFill patternType="solid">
          <bgColor indexed="11"/>
        </patternFill>
      </fill>
    </dxf>
    <dxf>
      <fill>
        <patternFill patternType="solid">
          <bgColor indexed="9"/>
        </patternFill>
      </fill>
    </dxf>
    <dxf>
      <fill>
        <patternFill>
          <bgColor rgb="FF00FF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FFFF"/>
      <rgbColor rgb="0000FF00"/>
      <rgbColor rgb="00D9D9D9"/>
      <rgbColor rgb="00FF0000"/>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00E616"/>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N100"/>
  <sheetViews>
    <sheetView zoomScaleNormal="100" workbookViewId="0">
      <pane ySplit="1" topLeftCell="A2" activePane="bottomLeft" state="frozen"/>
      <selection activeCell="H29" sqref="H29"/>
      <selection pane="bottomLeft" activeCell="H29" sqref="H29"/>
    </sheetView>
  </sheetViews>
  <sheetFormatPr defaultColWidth="17.140625" defaultRowHeight="12.75" customHeight="1"/>
  <cols>
    <col min="1" max="1" width="7.5703125" customWidth="1"/>
    <col min="2" max="3" width="11.28515625" customWidth="1"/>
    <col min="4" max="4" width="10.5703125" customWidth="1"/>
    <col min="5" max="5" width="14.28515625" customWidth="1"/>
    <col min="6" max="6" width="10.7109375" customWidth="1"/>
    <col min="7" max="7" width="23" customWidth="1"/>
    <col min="8" max="8" width="16.7109375" customWidth="1"/>
    <col min="9" max="9" width="17.140625" customWidth="1"/>
    <col min="10" max="10" width="10" customWidth="1"/>
    <col min="11" max="11" width="6.28515625" customWidth="1"/>
    <col min="12" max="20" width="17.140625" customWidth="1"/>
  </cols>
  <sheetData>
    <row r="1" spans="1:14" ht="12.75" customHeight="1">
      <c r="A1" s="1" t="s">
        <v>98</v>
      </c>
      <c r="B1" s="2" t="s">
        <v>56</v>
      </c>
      <c r="C1" s="3" t="s">
        <v>152</v>
      </c>
      <c r="D1" s="4" t="s">
        <v>140</v>
      </c>
      <c r="E1" s="2" t="s">
        <v>170</v>
      </c>
      <c r="F1" s="2" t="s">
        <v>77</v>
      </c>
      <c r="G1" s="2" t="s">
        <v>194</v>
      </c>
      <c r="H1" s="2" t="s">
        <v>52</v>
      </c>
      <c r="M1" s="5" t="s">
        <v>84</v>
      </c>
      <c r="N1" s="5" t="s">
        <v>100</v>
      </c>
    </row>
    <row r="2" spans="1:14" ht="12.75" customHeight="1">
      <c r="A2" s="6">
        <v>4</v>
      </c>
      <c r="B2" s="7" t="s">
        <v>110</v>
      </c>
      <c r="C2" s="8">
        <f t="shared" ref="C2:C28" si="0">(((D2+($K$3*E2))+($K$4*F2))+($K$5*G2))+($K$6*H2)</f>
        <v>80043</v>
      </c>
      <c r="D2" s="9">
        <v>49720</v>
      </c>
      <c r="E2" s="7">
        <v>14</v>
      </c>
      <c r="F2" s="7">
        <v>3</v>
      </c>
      <c r="G2" s="7">
        <v>4</v>
      </c>
      <c r="H2" s="7">
        <v>0</v>
      </c>
      <c r="K2" s="5" t="s">
        <v>160</v>
      </c>
      <c r="M2" s="5" t="s">
        <v>26</v>
      </c>
      <c r="N2" s="5">
        <v>1</v>
      </c>
    </row>
    <row r="3" spans="1:14" ht="12.75" customHeight="1">
      <c r="A3" s="10">
        <v>4</v>
      </c>
      <c r="B3" s="5" t="s">
        <v>189</v>
      </c>
      <c r="C3" s="11">
        <f t="shared" si="0"/>
        <v>80043</v>
      </c>
      <c r="D3" s="12">
        <v>49720</v>
      </c>
      <c r="E3" s="5">
        <v>14</v>
      </c>
      <c r="F3" s="5">
        <v>3</v>
      </c>
      <c r="G3" s="5">
        <v>4</v>
      </c>
      <c r="H3" s="5">
        <v>0</v>
      </c>
      <c r="J3" s="5" t="s">
        <v>92</v>
      </c>
      <c r="K3" s="5">
        <v>1675</v>
      </c>
      <c r="M3" s="5" t="s">
        <v>136</v>
      </c>
      <c r="N3" s="5">
        <v>1</v>
      </c>
    </row>
    <row r="4" spans="1:14" ht="12.75" customHeight="1">
      <c r="A4" s="10">
        <v>4</v>
      </c>
      <c r="B4" s="5" t="s">
        <v>179</v>
      </c>
      <c r="C4" s="11">
        <f t="shared" si="0"/>
        <v>80043</v>
      </c>
      <c r="D4" s="12">
        <v>49720</v>
      </c>
      <c r="E4" s="5">
        <v>14</v>
      </c>
      <c r="F4" s="5">
        <v>3</v>
      </c>
      <c r="G4" s="5">
        <v>4</v>
      </c>
      <c r="H4" s="5">
        <v>0</v>
      </c>
      <c r="J4" s="5" t="s">
        <v>127</v>
      </c>
      <c r="K4" s="5">
        <v>1759</v>
      </c>
      <c r="M4" s="5" t="s">
        <v>158</v>
      </c>
      <c r="N4" s="5">
        <v>1</v>
      </c>
    </row>
    <row r="5" spans="1:14" ht="12.75" customHeight="1">
      <c r="A5" s="10">
        <v>4</v>
      </c>
      <c r="B5" s="5" t="s">
        <v>199</v>
      </c>
      <c r="C5" s="11">
        <f t="shared" si="0"/>
        <v>80043</v>
      </c>
      <c r="D5" s="12">
        <v>49720</v>
      </c>
      <c r="E5" s="5">
        <v>14</v>
      </c>
      <c r="F5" s="5">
        <v>3</v>
      </c>
      <c r="G5" s="5">
        <v>4</v>
      </c>
      <c r="H5" s="5">
        <v>0</v>
      </c>
      <c r="J5" s="5" t="s">
        <v>165</v>
      </c>
      <c r="K5" s="5">
        <v>399</v>
      </c>
      <c r="M5" s="5" t="s">
        <v>250</v>
      </c>
      <c r="N5" s="5">
        <v>1</v>
      </c>
    </row>
    <row r="6" spans="1:14" ht="12.75" customHeight="1">
      <c r="A6" s="10">
        <v>4</v>
      </c>
      <c r="B6" s="5" t="s">
        <v>156</v>
      </c>
      <c r="C6" s="11">
        <f t="shared" si="0"/>
        <v>80043</v>
      </c>
      <c r="D6" s="12">
        <v>49720</v>
      </c>
      <c r="E6" s="5">
        <v>14</v>
      </c>
      <c r="F6" s="5">
        <v>3</v>
      </c>
      <c r="G6" s="5">
        <v>4</v>
      </c>
      <c r="H6" s="5">
        <v>0</v>
      </c>
      <c r="J6" s="5" t="s">
        <v>233</v>
      </c>
      <c r="K6" s="5">
        <v>20169</v>
      </c>
      <c r="M6" s="5" t="s">
        <v>14</v>
      </c>
      <c r="N6" s="5">
        <v>1</v>
      </c>
    </row>
    <row r="7" spans="1:14" ht="12.75" customHeight="1">
      <c r="A7" s="10">
        <v>4</v>
      </c>
      <c r="B7" s="5" t="s">
        <v>41</v>
      </c>
      <c r="C7" s="11">
        <f t="shared" si="0"/>
        <v>89402</v>
      </c>
      <c r="D7" s="12">
        <v>51980</v>
      </c>
      <c r="E7" s="5">
        <v>18</v>
      </c>
      <c r="F7" s="5">
        <v>3</v>
      </c>
      <c r="G7" s="5">
        <v>5</v>
      </c>
      <c r="H7" s="5">
        <v>0</v>
      </c>
    </row>
    <row r="8" spans="1:14" ht="12.75" customHeight="1">
      <c r="A8" s="10">
        <v>4</v>
      </c>
      <c r="B8" s="5" t="s">
        <v>200</v>
      </c>
      <c r="C8" s="11">
        <f t="shared" si="0"/>
        <v>89402</v>
      </c>
      <c r="D8" s="12">
        <v>51980</v>
      </c>
      <c r="E8" s="5">
        <v>18</v>
      </c>
      <c r="F8" s="5">
        <v>3</v>
      </c>
      <c r="G8" s="5">
        <v>5</v>
      </c>
      <c r="H8" s="5">
        <v>0</v>
      </c>
      <c r="M8" s="5" t="s">
        <v>96</v>
      </c>
      <c r="N8" s="5">
        <v>1</v>
      </c>
    </row>
    <row r="9" spans="1:14" ht="12.75" customHeight="1">
      <c r="A9" s="10">
        <v>4</v>
      </c>
      <c r="B9" s="5" t="s">
        <v>5</v>
      </c>
      <c r="C9" s="11">
        <f t="shared" si="0"/>
        <v>89402</v>
      </c>
      <c r="D9" s="12">
        <v>51980</v>
      </c>
      <c r="E9" s="5">
        <v>18</v>
      </c>
      <c r="F9" s="5">
        <v>3</v>
      </c>
      <c r="G9" s="5">
        <v>5</v>
      </c>
      <c r="H9" s="5">
        <v>0</v>
      </c>
      <c r="M9" s="5" t="s">
        <v>240</v>
      </c>
      <c r="N9" s="5">
        <v>1</v>
      </c>
    </row>
    <row r="10" spans="1:14" ht="12.75" customHeight="1">
      <c r="A10" s="10">
        <v>5</v>
      </c>
      <c r="B10" s="5" t="s">
        <v>110</v>
      </c>
      <c r="C10" s="11">
        <f t="shared" si="0"/>
        <v>111856</v>
      </c>
      <c r="D10" s="12">
        <v>68926</v>
      </c>
      <c r="E10" s="5">
        <v>20</v>
      </c>
      <c r="F10" s="5">
        <v>4</v>
      </c>
      <c r="G10" s="5">
        <v>6</v>
      </c>
      <c r="H10" s="5">
        <v>0</v>
      </c>
      <c r="M10" s="5" t="s">
        <v>97</v>
      </c>
      <c r="N10" s="5">
        <v>1</v>
      </c>
    </row>
    <row r="11" spans="1:14" ht="12.75" customHeight="1">
      <c r="A11" s="10">
        <v>5</v>
      </c>
      <c r="B11" s="5" t="s">
        <v>189</v>
      </c>
      <c r="C11" s="11">
        <f t="shared" si="0"/>
        <v>111856</v>
      </c>
      <c r="D11" s="12">
        <v>68926</v>
      </c>
      <c r="E11" s="5">
        <v>20</v>
      </c>
      <c r="F11" s="5">
        <v>4</v>
      </c>
      <c r="G11" s="5">
        <v>6</v>
      </c>
      <c r="H11" s="5">
        <v>0</v>
      </c>
      <c r="M11" s="5" t="s">
        <v>138</v>
      </c>
      <c r="N11" s="5">
        <v>1</v>
      </c>
    </row>
    <row r="12" spans="1:14" ht="12.75" customHeight="1">
      <c r="A12" s="10">
        <v>5</v>
      </c>
      <c r="B12" s="5" t="s">
        <v>179</v>
      </c>
      <c r="C12" s="11">
        <f t="shared" si="0"/>
        <v>111856</v>
      </c>
      <c r="D12" s="12">
        <v>68926</v>
      </c>
      <c r="E12" s="5">
        <v>20</v>
      </c>
      <c r="F12" s="5">
        <v>4</v>
      </c>
      <c r="G12" s="5">
        <v>6</v>
      </c>
      <c r="H12" s="5">
        <v>0</v>
      </c>
      <c r="M12" s="5" t="s">
        <v>228</v>
      </c>
      <c r="N12" s="5">
        <v>1</v>
      </c>
    </row>
    <row r="13" spans="1:14" ht="12.75" customHeight="1">
      <c r="A13" s="10">
        <v>5</v>
      </c>
      <c r="B13" s="5" t="s">
        <v>199</v>
      </c>
      <c r="C13" s="11">
        <f t="shared" si="0"/>
        <v>111856</v>
      </c>
      <c r="D13" s="12">
        <v>68926</v>
      </c>
      <c r="E13" s="5">
        <v>20</v>
      </c>
      <c r="F13" s="5">
        <v>4</v>
      </c>
      <c r="G13" s="5">
        <v>6</v>
      </c>
      <c r="H13" s="5">
        <v>0</v>
      </c>
      <c r="M13" s="5" t="s">
        <v>99</v>
      </c>
    </row>
    <row r="14" spans="1:14" ht="12.75" customHeight="1">
      <c r="A14" s="10">
        <v>5</v>
      </c>
      <c r="B14" s="5" t="s">
        <v>156</v>
      </c>
      <c r="C14" s="11">
        <f t="shared" si="0"/>
        <v>111856</v>
      </c>
      <c r="D14" s="12">
        <v>68926</v>
      </c>
      <c r="E14" s="5">
        <v>20</v>
      </c>
      <c r="F14" s="5">
        <v>4</v>
      </c>
      <c r="G14" s="5">
        <v>6</v>
      </c>
      <c r="H14" s="5">
        <v>0</v>
      </c>
    </row>
    <row r="15" spans="1:14" ht="12.75" customHeight="1">
      <c r="A15" s="10">
        <v>5</v>
      </c>
      <c r="B15" s="5" t="s">
        <v>41</v>
      </c>
      <c r="C15" s="11">
        <f t="shared" si="0"/>
        <v>123763</v>
      </c>
      <c r="D15" s="12">
        <v>72059</v>
      </c>
      <c r="E15" s="5">
        <v>25</v>
      </c>
      <c r="F15" s="5">
        <v>4</v>
      </c>
      <c r="G15" s="5">
        <v>7</v>
      </c>
      <c r="H15" s="5">
        <v>0</v>
      </c>
    </row>
    <row r="16" spans="1:14" ht="12.75" customHeight="1">
      <c r="A16" s="10">
        <v>5</v>
      </c>
      <c r="B16" s="5" t="s">
        <v>200</v>
      </c>
      <c r="C16" s="11">
        <f t="shared" si="0"/>
        <v>123763</v>
      </c>
      <c r="D16" s="12">
        <v>72059</v>
      </c>
      <c r="E16" s="5">
        <v>25</v>
      </c>
      <c r="F16" s="5">
        <v>4</v>
      </c>
      <c r="G16" s="5">
        <v>7</v>
      </c>
      <c r="H16" s="5">
        <v>0</v>
      </c>
      <c r="M16" s="5" t="s">
        <v>236</v>
      </c>
      <c r="N16" s="5">
        <v>1</v>
      </c>
    </row>
    <row r="17" spans="1:14" ht="12.75" customHeight="1">
      <c r="A17" s="10">
        <v>5</v>
      </c>
      <c r="B17" s="5" t="s">
        <v>5</v>
      </c>
      <c r="C17" s="11">
        <f t="shared" si="0"/>
        <v>123763</v>
      </c>
      <c r="D17" s="12">
        <v>72059</v>
      </c>
      <c r="E17" s="5">
        <v>25</v>
      </c>
      <c r="F17" s="5">
        <v>4</v>
      </c>
      <c r="G17" s="5">
        <v>7</v>
      </c>
      <c r="H17" s="5">
        <v>0</v>
      </c>
      <c r="M17" s="5" t="s">
        <v>246</v>
      </c>
      <c r="N17" s="5">
        <v>1</v>
      </c>
    </row>
    <row r="18" spans="1:14" ht="12.75" customHeight="1">
      <c r="A18" s="10">
        <v>6</v>
      </c>
      <c r="B18" s="5" t="s">
        <v>110</v>
      </c>
      <c r="C18" s="11">
        <f t="shared" si="0"/>
        <v>146403</v>
      </c>
      <c r="D18" s="12">
        <v>87516</v>
      </c>
      <c r="E18" s="5">
        <v>28</v>
      </c>
      <c r="F18" s="5">
        <v>5</v>
      </c>
      <c r="G18" s="5">
        <v>8</v>
      </c>
      <c r="H18" s="5">
        <v>0</v>
      </c>
    </row>
    <row r="19" spans="1:14" ht="12.75" customHeight="1">
      <c r="A19" s="10">
        <v>6</v>
      </c>
      <c r="B19" s="5" t="s">
        <v>189</v>
      </c>
      <c r="C19" s="11">
        <f t="shared" si="0"/>
        <v>146403</v>
      </c>
      <c r="D19" s="12">
        <v>87516</v>
      </c>
      <c r="E19" s="5">
        <v>28</v>
      </c>
      <c r="F19" s="5">
        <v>5</v>
      </c>
      <c r="G19" s="5">
        <v>8</v>
      </c>
      <c r="H19" s="5">
        <v>0</v>
      </c>
    </row>
    <row r="20" spans="1:14" ht="12.75" customHeight="1">
      <c r="A20" s="10">
        <v>6</v>
      </c>
      <c r="B20" s="5" t="s">
        <v>179</v>
      </c>
      <c r="C20" s="11">
        <f t="shared" si="0"/>
        <v>146403</v>
      </c>
      <c r="D20" s="12">
        <v>87516</v>
      </c>
      <c r="E20" s="5">
        <v>28</v>
      </c>
      <c r="F20" s="5">
        <v>5</v>
      </c>
      <c r="G20" s="5">
        <v>8</v>
      </c>
      <c r="H20" s="5">
        <v>0</v>
      </c>
    </row>
    <row r="21" spans="1:14" ht="12.75" customHeight="1">
      <c r="A21" s="10">
        <v>6</v>
      </c>
      <c r="B21" s="5" t="s">
        <v>199</v>
      </c>
      <c r="C21" s="11">
        <f t="shared" si="0"/>
        <v>146403</v>
      </c>
      <c r="D21" s="12">
        <v>87516</v>
      </c>
      <c r="E21" s="5">
        <v>28</v>
      </c>
      <c r="F21" s="5">
        <v>5</v>
      </c>
      <c r="G21" s="5">
        <v>8</v>
      </c>
      <c r="H21" s="5">
        <v>0</v>
      </c>
    </row>
    <row r="22" spans="1:14" ht="12.75" customHeight="1">
      <c r="A22" s="10">
        <v>6</v>
      </c>
      <c r="B22" s="5" t="s">
        <v>156</v>
      </c>
      <c r="C22" s="11">
        <f t="shared" si="0"/>
        <v>146403</v>
      </c>
      <c r="D22" s="12">
        <v>87516</v>
      </c>
      <c r="E22" s="5">
        <v>28</v>
      </c>
      <c r="F22" s="5">
        <v>5</v>
      </c>
      <c r="G22" s="5">
        <v>8</v>
      </c>
      <c r="H22" s="5">
        <v>0</v>
      </c>
    </row>
    <row r="23" spans="1:14" ht="12.75" customHeight="1">
      <c r="A23" s="10">
        <v>4</v>
      </c>
      <c r="B23" s="5" t="s">
        <v>162</v>
      </c>
      <c r="C23" s="11">
        <f t="shared" si="0"/>
        <v>155650</v>
      </c>
      <c r="D23" s="12">
        <v>94920</v>
      </c>
      <c r="E23" s="5">
        <v>27</v>
      </c>
      <c r="F23" s="5">
        <v>7</v>
      </c>
      <c r="G23" s="5">
        <v>8</v>
      </c>
      <c r="H23" s="5">
        <v>0</v>
      </c>
    </row>
    <row r="24" spans="1:14" ht="12.75" customHeight="1">
      <c r="A24" s="10">
        <v>6</v>
      </c>
      <c r="B24" s="5" t="s">
        <v>41</v>
      </c>
      <c r="C24" s="11">
        <f t="shared" si="0"/>
        <v>162904</v>
      </c>
      <c r="D24" s="12">
        <v>91494</v>
      </c>
      <c r="E24" s="5">
        <v>35</v>
      </c>
      <c r="F24" s="5">
        <v>5</v>
      </c>
      <c r="G24" s="5">
        <v>10</v>
      </c>
      <c r="H24" s="5">
        <v>0</v>
      </c>
    </row>
    <row r="25" spans="1:14" ht="12.75" customHeight="1">
      <c r="A25" s="10">
        <v>6</v>
      </c>
      <c r="B25" s="5" t="s">
        <v>200</v>
      </c>
      <c r="C25" s="11">
        <f t="shared" si="0"/>
        <v>162904</v>
      </c>
      <c r="D25" s="12">
        <v>91494</v>
      </c>
      <c r="E25" s="5">
        <v>35</v>
      </c>
      <c r="F25" s="5">
        <v>5</v>
      </c>
      <c r="G25" s="5">
        <v>10</v>
      </c>
      <c r="H25" s="5">
        <v>0</v>
      </c>
    </row>
    <row r="26" spans="1:14" ht="12.75" customHeight="1">
      <c r="A26" s="10">
        <v>6</v>
      </c>
      <c r="B26" s="5" t="s">
        <v>5</v>
      </c>
      <c r="C26" s="11">
        <f t="shared" si="0"/>
        <v>162904</v>
      </c>
      <c r="D26" s="12">
        <v>91494</v>
      </c>
      <c r="E26" s="5">
        <v>35</v>
      </c>
      <c r="F26" s="5">
        <v>5</v>
      </c>
      <c r="G26" s="5">
        <v>10</v>
      </c>
      <c r="H26" s="5">
        <v>0</v>
      </c>
    </row>
    <row r="27" spans="1:14" ht="12.75" customHeight="1">
      <c r="A27" s="10">
        <v>5</v>
      </c>
      <c r="B27" s="5" t="s">
        <v>162</v>
      </c>
      <c r="C27" s="11">
        <f t="shared" si="0"/>
        <v>213697</v>
      </c>
      <c r="D27" s="12">
        <v>131586</v>
      </c>
      <c r="E27" s="5">
        <v>38</v>
      </c>
      <c r="F27" s="5">
        <v>8</v>
      </c>
      <c r="G27" s="5">
        <v>11</v>
      </c>
      <c r="H27" s="5">
        <v>0</v>
      </c>
    </row>
    <row r="28" spans="1:14" ht="12.75" customHeight="1">
      <c r="A28" s="10">
        <v>6</v>
      </c>
      <c r="B28" s="5" t="s">
        <v>162</v>
      </c>
      <c r="C28" s="11">
        <f t="shared" si="0"/>
        <v>281185</v>
      </c>
      <c r="D28" s="12">
        <v>167076</v>
      </c>
      <c r="E28" s="5">
        <v>53</v>
      </c>
      <c r="F28" s="5">
        <v>11</v>
      </c>
      <c r="G28" s="5">
        <v>15</v>
      </c>
      <c r="H28" s="5">
        <v>0</v>
      </c>
    </row>
    <row r="29" spans="1:14" ht="12.75" customHeight="1">
      <c r="A29" s="10"/>
      <c r="C29" s="11"/>
      <c r="D29" s="12"/>
    </row>
    <row r="30" spans="1:14" ht="12.75" customHeight="1">
      <c r="A30" s="10"/>
      <c r="C30" s="11"/>
      <c r="D30" s="12"/>
    </row>
    <row r="31" spans="1:14" ht="12.75" customHeight="1">
      <c r="A31" s="10"/>
      <c r="C31" s="11"/>
      <c r="D31" s="12"/>
    </row>
    <row r="32" spans="1:14" ht="12.75" customHeight="1">
      <c r="A32" s="10"/>
      <c r="C32" s="11"/>
      <c r="D32" s="12"/>
    </row>
    <row r="33" spans="1:4" ht="12.75" customHeight="1">
      <c r="A33" s="10"/>
      <c r="C33" s="11"/>
      <c r="D33" s="12"/>
    </row>
    <row r="34" spans="1:4" ht="12.75" customHeight="1">
      <c r="A34" s="10"/>
      <c r="C34" s="11"/>
      <c r="D34" s="12"/>
    </row>
    <row r="35" spans="1:4" ht="12.75" customHeight="1">
      <c r="A35" s="10"/>
      <c r="C35" s="11"/>
      <c r="D35" s="12"/>
    </row>
    <row r="36" spans="1:4" ht="12.75" customHeight="1">
      <c r="A36" s="10"/>
      <c r="C36" s="11"/>
      <c r="D36" s="12"/>
    </row>
    <row r="37" spans="1:4" ht="12.75" customHeight="1">
      <c r="A37" s="10"/>
      <c r="C37" s="11"/>
      <c r="D37" s="12"/>
    </row>
    <row r="38" spans="1:4" ht="12.75" customHeight="1">
      <c r="A38" s="10"/>
      <c r="C38" s="11"/>
      <c r="D38" s="12"/>
    </row>
    <row r="39" spans="1:4" ht="12.75" customHeight="1">
      <c r="A39" s="10"/>
      <c r="C39" s="11"/>
      <c r="D39" s="12"/>
    </row>
    <row r="40" spans="1:4" ht="12.75" customHeight="1">
      <c r="A40" s="10"/>
      <c r="C40" s="11"/>
      <c r="D40" s="12"/>
    </row>
    <row r="41" spans="1:4" ht="12.75" customHeight="1">
      <c r="A41" s="10"/>
      <c r="C41" s="11"/>
      <c r="D41" s="12"/>
    </row>
    <row r="42" spans="1:4" ht="12.75" customHeight="1">
      <c r="A42" s="10"/>
      <c r="C42" s="11"/>
      <c r="D42" s="12"/>
    </row>
    <row r="43" spans="1:4" ht="12.75" customHeight="1">
      <c r="A43" s="10"/>
      <c r="C43" s="11"/>
      <c r="D43" s="12"/>
    </row>
    <row r="44" spans="1:4" ht="12.75" customHeight="1">
      <c r="A44" s="10"/>
      <c r="C44" s="11"/>
      <c r="D44" s="12"/>
    </row>
    <row r="45" spans="1:4" ht="12.75" customHeight="1">
      <c r="A45" s="10"/>
      <c r="C45" s="11"/>
      <c r="D45" s="12"/>
    </row>
    <row r="46" spans="1:4" ht="12.75" customHeight="1">
      <c r="A46" s="10"/>
      <c r="C46" s="11"/>
      <c r="D46" s="12"/>
    </row>
    <row r="47" spans="1:4" ht="12.75" customHeight="1">
      <c r="A47" s="10"/>
      <c r="C47" s="11"/>
      <c r="D47" s="12"/>
    </row>
    <row r="48" spans="1:4" ht="12.75" customHeight="1">
      <c r="A48" s="10"/>
      <c r="C48" s="11"/>
      <c r="D48" s="12"/>
    </row>
    <row r="49" spans="1:4" ht="12.75" customHeight="1">
      <c r="A49" s="10"/>
      <c r="C49" s="11"/>
      <c r="D49" s="12"/>
    </row>
    <row r="50" spans="1:4" ht="12.75" customHeight="1">
      <c r="A50" s="10"/>
      <c r="C50" s="11"/>
      <c r="D50" s="12"/>
    </row>
    <row r="51" spans="1:4" ht="12.75" customHeight="1">
      <c r="A51" s="10"/>
      <c r="C51" s="11"/>
      <c r="D51" s="12"/>
    </row>
    <row r="52" spans="1:4" ht="12.75" customHeight="1">
      <c r="A52" s="10"/>
      <c r="C52" s="11"/>
      <c r="D52" s="12"/>
    </row>
    <row r="53" spans="1:4" ht="12.75" customHeight="1">
      <c r="A53" s="10"/>
      <c r="C53" s="11"/>
      <c r="D53" s="12"/>
    </row>
    <row r="54" spans="1:4" ht="12.75" customHeight="1">
      <c r="A54" s="10"/>
      <c r="C54" s="11"/>
      <c r="D54" s="12"/>
    </row>
    <row r="55" spans="1:4" ht="12.75" customHeight="1">
      <c r="A55" s="10"/>
      <c r="C55" s="11"/>
      <c r="D55" s="12"/>
    </row>
    <row r="56" spans="1:4" ht="12.75" customHeight="1">
      <c r="A56" s="10"/>
      <c r="C56" s="11"/>
      <c r="D56" s="12"/>
    </row>
    <row r="57" spans="1:4" ht="12.75" customHeight="1">
      <c r="A57" s="10"/>
      <c r="C57" s="11"/>
      <c r="D57" s="12"/>
    </row>
    <row r="58" spans="1:4" ht="12.75" customHeight="1">
      <c r="A58" s="10"/>
      <c r="C58" s="11"/>
      <c r="D58" s="12"/>
    </row>
    <row r="59" spans="1:4" ht="12.75" customHeight="1">
      <c r="A59" s="10"/>
      <c r="C59" s="11"/>
      <c r="D59" s="12"/>
    </row>
    <row r="60" spans="1:4" ht="12.75" customHeight="1">
      <c r="A60" s="10"/>
      <c r="C60" s="11"/>
      <c r="D60" s="12"/>
    </row>
    <row r="61" spans="1:4" ht="12.75" customHeight="1">
      <c r="A61" s="10"/>
      <c r="C61" s="11"/>
      <c r="D61" s="12"/>
    </row>
    <row r="62" spans="1:4" ht="12.75" customHeight="1">
      <c r="A62" s="10"/>
      <c r="C62" s="11"/>
      <c r="D62" s="12"/>
    </row>
    <row r="63" spans="1:4" ht="12.75" customHeight="1">
      <c r="A63" s="10"/>
      <c r="C63" s="11"/>
      <c r="D63" s="12"/>
    </row>
    <row r="64" spans="1:4" ht="12.75" customHeight="1">
      <c r="A64" s="10"/>
      <c r="C64" s="11"/>
      <c r="D64" s="12"/>
    </row>
    <row r="65" spans="1:4" ht="12.75" customHeight="1">
      <c r="A65" s="10"/>
      <c r="C65" s="11"/>
      <c r="D65" s="12"/>
    </row>
    <row r="66" spans="1:4" ht="12.75" customHeight="1">
      <c r="A66" s="10"/>
      <c r="C66" s="11"/>
      <c r="D66" s="12"/>
    </row>
    <row r="67" spans="1:4" ht="12.75" customHeight="1">
      <c r="A67" s="10"/>
      <c r="C67" s="11"/>
      <c r="D67" s="12"/>
    </row>
    <row r="68" spans="1:4" ht="12.75" customHeight="1">
      <c r="A68" s="10"/>
      <c r="C68" s="11"/>
      <c r="D68" s="12"/>
    </row>
    <row r="69" spans="1:4" ht="12.75" customHeight="1">
      <c r="A69" s="10"/>
      <c r="C69" s="11"/>
      <c r="D69" s="12"/>
    </row>
    <row r="70" spans="1:4" ht="12.75" customHeight="1">
      <c r="A70" s="10"/>
      <c r="C70" s="11"/>
      <c r="D70" s="12"/>
    </row>
    <row r="71" spans="1:4" ht="12.75" customHeight="1">
      <c r="A71" s="10"/>
      <c r="C71" s="11"/>
      <c r="D71" s="12"/>
    </row>
    <row r="72" spans="1:4" ht="12.75" customHeight="1">
      <c r="A72" s="10"/>
      <c r="C72" s="11"/>
      <c r="D72" s="12"/>
    </row>
    <row r="73" spans="1:4" ht="12.75" customHeight="1">
      <c r="A73" s="10"/>
      <c r="C73" s="11"/>
      <c r="D73" s="12"/>
    </row>
    <row r="74" spans="1:4" ht="12.75" customHeight="1">
      <c r="A74" s="10"/>
      <c r="C74" s="11"/>
      <c r="D74" s="12"/>
    </row>
    <row r="75" spans="1:4" ht="12.75" customHeight="1">
      <c r="A75" s="10"/>
      <c r="C75" s="11"/>
      <c r="D75" s="12"/>
    </row>
    <row r="76" spans="1:4" ht="12.75" customHeight="1">
      <c r="A76" s="10"/>
      <c r="C76" s="11"/>
      <c r="D76" s="12"/>
    </row>
    <row r="77" spans="1:4" ht="12.75" customHeight="1">
      <c r="A77" s="10"/>
      <c r="C77" s="11"/>
      <c r="D77" s="12"/>
    </row>
    <row r="78" spans="1:4" ht="12.75" customHeight="1">
      <c r="A78" s="10"/>
      <c r="C78" s="11"/>
      <c r="D78" s="12"/>
    </row>
    <row r="79" spans="1:4" ht="12.75" customHeight="1">
      <c r="A79" s="10"/>
      <c r="C79" s="11"/>
      <c r="D79" s="12"/>
    </row>
    <row r="80" spans="1:4" ht="12.75" customHeight="1">
      <c r="A80" s="10"/>
      <c r="C80" s="11"/>
      <c r="D80" s="12"/>
    </row>
    <row r="81" spans="1:4" ht="12.75" customHeight="1">
      <c r="A81" s="10"/>
      <c r="C81" s="11"/>
      <c r="D81" s="12"/>
    </row>
    <row r="82" spans="1:4" ht="12.75" customHeight="1">
      <c r="A82" s="10"/>
      <c r="C82" s="11"/>
      <c r="D82" s="12"/>
    </row>
    <row r="83" spans="1:4" ht="12.75" customHeight="1">
      <c r="A83" s="10"/>
      <c r="C83" s="11"/>
      <c r="D83" s="12"/>
    </row>
    <row r="84" spans="1:4" ht="12.75" customHeight="1">
      <c r="A84" s="10"/>
      <c r="C84" s="11"/>
      <c r="D84" s="12"/>
    </row>
    <row r="85" spans="1:4" ht="12.75" customHeight="1">
      <c r="A85" s="10"/>
      <c r="C85" s="11"/>
      <c r="D85" s="12"/>
    </row>
    <row r="86" spans="1:4" ht="12.75" customHeight="1">
      <c r="A86" s="10"/>
      <c r="C86" s="11"/>
      <c r="D86" s="12"/>
    </row>
    <row r="87" spans="1:4" ht="12.75" customHeight="1">
      <c r="A87" s="10"/>
      <c r="C87" s="11"/>
      <c r="D87" s="12"/>
    </row>
    <row r="88" spans="1:4" ht="12.75" customHeight="1">
      <c r="A88" s="10"/>
      <c r="C88" s="11"/>
      <c r="D88" s="12"/>
    </row>
    <row r="89" spans="1:4" ht="12.75" customHeight="1">
      <c r="A89" s="10"/>
      <c r="C89" s="11"/>
      <c r="D89" s="12"/>
    </row>
    <row r="90" spans="1:4" ht="12.75" customHeight="1">
      <c r="A90" s="10"/>
      <c r="C90" s="11"/>
      <c r="D90" s="12"/>
    </row>
    <row r="91" spans="1:4" ht="12.75" customHeight="1">
      <c r="A91" s="10"/>
      <c r="C91" s="11"/>
      <c r="D91" s="12"/>
    </row>
    <row r="92" spans="1:4" ht="12.75" customHeight="1">
      <c r="A92" s="10"/>
      <c r="C92" s="11"/>
      <c r="D92" s="12"/>
    </row>
    <row r="93" spans="1:4" ht="12.75" customHeight="1">
      <c r="A93" s="10"/>
      <c r="C93" s="11"/>
      <c r="D93" s="12"/>
    </row>
    <row r="94" spans="1:4" ht="12.75" customHeight="1">
      <c r="A94" s="10"/>
      <c r="C94" s="11"/>
      <c r="D94" s="12"/>
    </row>
    <row r="95" spans="1:4" ht="12.75" customHeight="1">
      <c r="A95" s="10"/>
      <c r="C95" s="11"/>
      <c r="D95" s="12"/>
    </row>
    <row r="96" spans="1:4" ht="12.75" customHeight="1">
      <c r="A96" s="10"/>
      <c r="C96" s="11"/>
      <c r="D96" s="12"/>
    </row>
    <row r="97" spans="1:4" ht="12.75" customHeight="1">
      <c r="A97" s="10"/>
      <c r="C97" s="11"/>
      <c r="D97" s="12"/>
    </row>
    <row r="98" spans="1:4" ht="12.75" customHeight="1">
      <c r="A98" s="10"/>
      <c r="C98" s="11"/>
      <c r="D98" s="12"/>
    </row>
    <row r="99" spans="1:4" ht="12.75" customHeight="1">
      <c r="A99" s="10"/>
      <c r="C99" s="11"/>
      <c r="D99" s="12"/>
    </row>
    <row r="100" spans="1:4" ht="12.75" customHeight="1">
      <c r="A100" s="10"/>
      <c r="C100" s="11"/>
      <c r="D100" s="12"/>
    </row>
  </sheetData>
  <pageMargins left="0.75" right="0.75" top="1" bottom="1" header="0.5" footer="0.5"/>
  <pageSetup paperSize="9"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dimension ref="A1:Z552"/>
  <sheetViews>
    <sheetView zoomScale="85" zoomScaleNormal="85" workbookViewId="0">
      <pane ySplit="1" topLeftCell="A8" activePane="bottomLeft" state="frozen"/>
      <selection pane="bottomLeft" activeCell="D38" sqref="D38"/>
    </sheetView>
  </sheetViews>
  <sheetFormatPr defaultRowHeight="12.75"/>
  <cols>
    <col min="1" max="1" width="14.5703125" style="100" customWidth="1"/>
    <col min="2" max="2" width="7.140625" style="100" bestFit="1" customWidth="1"/>
    <col min="3" max="3" width="7.140625" style="100" customWidth="1"/>
    <col min="4" max="4" width="11" style="100" customWidth="1"/>
    <col min="5" max="5" width="14.28515625" style="109" customWidth="1"/>
    <col min="6" max="6" width="6" style="119" customWidth="1"/>
    <col min="7" max="7" width="8.140625" style="120" customWidth="1"/>
    <col min="8" max="8" width="5.85546875" style="121" customWidth="1"/>
    <col min="9" max="9" width="6.5703125" style="122" customWidth="1"/>
    <col min="10" max="10" width="6.7109375" style="121" customWidth="1"/>
    <col min="11" max="15" width="10.28515625" style="122" customWidth="1"/>
    <col min="16" max="16" width="10.28515625" style="120" customWidth="1"/>
    <col min="17" max="18" width="10.28515625" style="122" customWidth="1"/>
    <col min="19" max="19" width="17.42578125" style="101" customWidth="1"/>
    <col min="20" max="20" width="13.7109375" style="102" customWidth="1"/>
    <col min="21" max="21" width="15.85546875" style="113" customWidth="1"/>
    <col min="22" max="24" width="9.140625" style="104"/>
    <col min="25" max="25" width="23.5703125" style="104" customWidth="1"/>
    <col min="26" max="16384" width="9.140625" style="104"/>
  </cols>
  <sheetData>
    <row r="1" spans="1:26" s="92" customFormat="1">
      <c r="A1" s="105" t="s">
        <v>351</v>
      </c>
      <c r="B1" s="105" t="s">
        <v>248</v>
      </c>
      <c r="C1" s="105" t="s">
        <v>333</v>
      </c>
      <c r="D1" s="105" t="s">
        <v>329</v>
      </c>
      <c r="E1" s="108" t="s">
        <v>330</v>
      </c>
      <c r="F1" s="115" t="s">
        <v>232</v>
      </c>
      <c r="G1" s="116" t="s">
        <v>331</v>
      </c>
      <c r="H1" s="117" t="s">
        <v>335</v>
      </c>
      <c r="I1" s="118" t="s">
        <v>332</v>
      </c>
      <c r="J1" s="117" t="s">
        <v>342</v>
      </c>
      <c r="K1" s="118" t="s">
        <v>334</v>
      </c>
      <c r="L1" s="118" t="s">
        <v>356</v>
      </c>
      <c r="M1" s="118" t="s">
        <v>358</v>
      </c>
      <c r="N1" s="118" t="s">
        <v>359</v>
      </c>
      <c r="O1" s="118" t="s">
        <v>351</v>
      </c>
      <c r="P1" s="116" t="s">
        <v>353</v>
      </c>
      <c r="Q1" s="118" t="s">
        <v>354</v>
      </c>
      <c r="R1" s="118" t="s">
        <v>333</v>
      </c>
      <c r="S1" s="110" t="s">
        <v>349</v>
      </c>
      <c r="T1" s="111" t="s">
        <v>315</v>
      </c>
      <c r="U1" s="112" t="s">
        <v>336</v>
      </c>
      <c r="Y1" s="106" t="s">
        <v>352</v>
      </c>
      <c r="Z1" s="107">
        <v>0.45</v>
      </c>
    </row>
    <row r="2" spans="1:26">
      <c r="A2" s="100" t="s">
        <v>338</v>
      </c>
      <c r="B2" s="100">
        <v>1167.3</v>
      </c>
      <c r="C2" s="100">
        <v>1.2</v>
      </c>
      <c r="D2" s="100" t="s">
        <v>339</v>
      </c>
      <c r="E2" s="109">
        <v>107</v>
      </c>
      <c r="F2" s="119">
        <v>0</v>
      </c>
      <c r="G2" s="120">
        <v>0</v>
      </c>
      <c r="H2" s="121">
        <v>0</v>
      </c>
      <c r="I2" s="122">
        <v>0</v>
      </c>
      <c r="J2" s="121">
        <v>0</v>
      </c>
      <c r="K2" s="122">
        <v>1</v>
      </c>
      <c r="O2" s="122" t="str">
        <f t="shared" ref="O2:O33" si="0">A2</f>
        <v>Spear</v>
      </c>
      <c r="P2" s="120">
        <f t="shared" ref="P2:P33" si="1">B2 + E2 * $Z$1</f>
        <v>1215.45</v>
      </c>
      <c r="Q2" s="122" t="str">
        <f t="shared" ref="Q2:Q33" si="2">D2</f>
        <v>Str</v>
      </c>
      <c r="R2" s="122">
        <f t="shared" ref="R2:R33" si="3">C2</f>
        <v>1.2</v>
      </c>
      <c r="S2" s="101">
        <v>170</v>
      </c>
      <c r="U2" s="113">
        <v>1</v>
      </c>
    </row>
    <row r="3" spans="1:26">
      <c r="A3" s="100" t="s">
        <v>338</v>
      </c>
      <c r="B3" s="100">
        <v>1166.7</v>
      </c>
      <c r="C3" s="100">
        <v>1.26</v>
      </c>
      <c r="D3" s="100" t="s">
        <v>339</v>
      </c>
      <c r="E3" s="109">
        <v>101</v>
      </c>
      <c r="F3" s="119">
        <v>0</v>
      </c>
      <c r="G3" s="120">
        <v>0</v>
      </c>
      <c r="H3" s="121">
        <v>0</v>
      </c>
      <c r="I3" s="122">
        <v>0</v>
      </c>
      <c r="J3" s="121">
        <v>0</v>
      </c>
      <c r="K3" s="122">
        <v>1</v>
      </c>
      <c r="O3" s="122" t="str">
        <f t="shared" si="0"/>
        <v>Spear</v>
      </c>
      <c r="P3" s="120">
        <f t="shared" si="1"/>
        <v>1212.1500000000001</v>
      </c>
      <c r="Q3" s="122" t="str">
        <f t="shared" si="2"/>
        <v>Str</v>
      </c>
      <c r="R3" s="122">
        <f t="shared" si="3"/>
        <v>1.26</v>
      </c>
      <c r="S3" s="101">
        <v>180</v>
      </c>
      <c r="U3" s="113">
        <v>3</v>
      </c>
    </row>
    <row r="4" spans="1:26">
      <c r="A4" s="100" t="s">
        <v>338</v>
      </c>
      <c r="B4" s="100">
        <v>1157.4000000000001</v>
      </c>
      <c r="C4" s="100">
        <v>1.32</v>
      </c>
      <c r="D4" s="100" t="s">
        <v>355</v>
      </c>
      <c r="E4" s="109">
        <v>0</v>
      </c>
      <c r="F4" s="119">
        <v>0</v>
      </c>
      <c r="G4" s="120">
        <v>0</v>
      </c>
      <c r="H4" s="121">
        <v>0</v>
      </c>
      <c r="I4" s="122">
        <v>0</v>
      </c>
      <c r="J4" s="121">
        <v>0</v>
      </c>
      <c r="K4" s="122">
        <v>1</v>
      </c>
      <c r="O4" s="122" t="str">
        <f t="shared" si="0"/>
        <v>Spear</v>
      </c>
      <c r="P4" s="120">
        <f t="shared" si="1"/>
        <v>1157.4000000000001</v>
      </c>
      <c r="Q4" s="122" t="str">
        <f t="shared" si="2"/>
        <v>Any</v>
      </c>
      <c r="R4" s="122">
        <f t="shared" si="3"/>
        <v>1.32</v>
      </c>
      <c r="T4" s="102">
        <v>250</v>
      </c>
      <c r="U4" s="113">
        <v>2</v>
      </c>
    </row>
    <row r="5" spans="1:26">
      <c r="A5" s="100" t="s">
        <v>340</v>
      </c>
      <c r="B5" s="100">
        <v>1101.5999999999999</v>
      </c>
      <c r="C5" s="100">
        <v>1.2</v>
      </c>
      <c r="D5" s="100" t="s">
        <v>169</v>
      </c>
      <c r="E5" s="109">
        <v>100</v>
      </c>
      <c r="F5" s="119">
        <v>94</v>
      </c>
      <c r="G5" s="120">
        <v>0</v>
      </c>
      <c r="H5" s="121">
        <v>0</v>
      </c>
      <c r="I5" s="122">
        <v>0</v>
      </c>
      <c r="J5" s="121">
        <v>0</v>
      </c>
      <c r="K5" s="122">
        <v>1</v>
      </c>
      <c r="O5" s="122" t="str">
        <f t="shared" si="0"/>
        <v>Axe</v>
      </c>
      <c r="P5" s="120">
        <f t="shared" si="1"/>
        <v>1146.5999999999999</v>
      </c>
      <c r="Q5" s="122" t="str">
        <f t="shared" si="2"/>
        <v>Dex</v>
      </c>
      <c r="R5" s="122">
        <f t="shared" si="3"/>
        <v>1.2</v>
      </c>
      <c r="S5" s="101">
        <v>150</v>
      </c>
      <c r="U5" s="113">
        <v>21</v>
      </c>
    </row>
    <row r="6" spans="1:26">
      <c r="A6" s="100" t="s">
        <v>338</v>
      </c>
      <c r="B6" s="100">
        <v>1123.8</v>
      </c>
      <c r="C6" s="100">
        <v>1.2</v>
      </c>
      <c r="D6" s="100" t="s">
        <v>355</v>
      </c>
      <c r="E6" s="109">
        <v>0</v>
      </c>
      <c r="F6" s="119">
        <v>0</v>
      </c>
      <c r="G6" s="120">
        <v>0</v>
      </c>
      <c r="H6" s="121">
        <v>0</v>
      </c>
      <c r="I6" s="122">
        <v>0</v>
      </c>
      <c r="J6" s="121">
        <v>0</v>
      </c>
      <c r="K6" s="122">
        <v>1</v>
      </c>
      <c r="O6" s="122" t="str">
        <f t="shared" si="0"/>
        <v>Spear</v>
      </c>
      <c r="P6" s="120">
        <f t="shared" si="1"/>
        <v>1123.8</v>
      </c>
      <c r="Q6" s="122" t="str">
        <f t="shared" si="2"/>
        <v>Any</v>
      </c>
      <c r="R6" s="122">
        <f t="shared" si="3"/>
        <v>1.2</v>
      </c>
      <c r="T6" s="102">
        <v>150</v>
      </c>
      <c r="U6" s="113">
        <v>1</v>
      </c>
    </row>
    <row r="7" spans="1:26">
      <c r="A7" s="100" t="s">
        <v>338</v>
      </c>
      <c r="B7" s="100">
        <v>1123.8</v>
      </c>
      <c r="C7" s="100">
        <v>1.2</v>
      </c>
      <c r="D7" s="100" t="s">
        <v>355</v>
      </c>
      <c r="E7" s="109">
        <v>0</v>
      </c>
      <c r="F7" s="119">
        <v>0</v>
      </c>
      <c r="G7" s="120">
        <v>0</v>
      </c>
      <c r="H7" s="121">
        <v>0</v>
      </c>
      <c r="I7" s="122">
        <v>0</v>
      </c>
      <c r="J7" s="121">
        <v>0</v>
      </c>
      <c r="K7" s="122">
        <v>1</v>
      </c>
      <c r="O7" s="122" t="str">
        <f t="shared" si="0"/>
        <v>Spear</v>
      </c>
      <c r="P7" s="120">
        <f t="shared" si="1"/>
        <v>1123.8</v>
      </c>
      <c r="Q7" s="122" t="str">
        <f t="shared" si="2"/>
        <v>Any</v>
      </c>
      <c r="R7" s="122">
        <f t="shared" si="3"/>
        <v>1.2</v>
      </c>
      <c r="S7" s="101">
        <v>100</v>
      </c>
      <c r="U7" s="113">
        <v>1</v>
      </c>
    </row>
    <row r="8" spans="1:26">
      <c r="A8" s="100" t="s">
        <v>348</v>
      </c>
      <c r="B8" s="100">
        <v>1086</v>
      </c>
      <c r="C8" s="100">
        <v>1.4</v>
      </c>
      <c r="D8" s="100" t="s">
        <v>20</v>
      </c>
      <c r="E8" s="109">
        <v>83</v>
      </c>
      <c r="F8" s="119">
        <v>0</v>
      </c>
      <c r="G8" s="120">
        <v>0</v>
      </c>
      <c r="H8" s="121">
        <v>0</v>
      </c>
      <c r="I8" s="122">
        <v>0</v>
      </c>
      <c r="J8" s="121">
        <v>0</v>
      </c>
      <c r="K8" s="122">
        <v>1</v>
      </c>
      <c r="L8" s="122" t="s">
        <v>357</v>
      </c>
      <c r="M8" s="122">
        <v>11</v>
      </c>
      <c r="N8" s="122">
        <v>0</v>
      </c>
      <c r="O8" s="122" t="str">
        <f t="shared" si="0"/>
        <v>Wand</v>
      </c>
      <c r="P8" s="120">
        <f t="shared" si="1"/>
        <v>1123.3499999999999</v>
      </c>
      <c r="Q8" s="122" t="str">
        <f t="shared" si="2"/>
        <v>Int</v>
      </c>
      <c r="R8" s="122">
        <f t="shared" si="3"/>
        <v>1.4</v>
      </c>
      <c r="S8" s="101">
        <v>400</v>
      </c>
      <c r="U8" s="113">
        <v>1</v>
      </c>
    </row>
    <row r="9" spans="1:26">
      <c r="A9" s="100" t="s">
        <v>338</v>
      </c>
      <c r="B9" s="100">
        <v>1027.8</v>
      </c>
      <c r="C9" s="100">
        <v>1.27</v>
      </c>
      <c r="D9" s="100" t="s">
        <v>20</v>
      </c>
      <c r="E9" s="109">
        <v>196</v>
      </c>
      <c r="F9" s="119">
        <v>112</v>
      </c>
      <c r="G9" s="120">
        <v>0</v>
      </c>
      <c r="H9" s="121">
        <v>0</v>
      </c>
      <c r="I9" s="122">
        <v>0</v>
      </c>
      <c r="J9" s="121">
        <v>0</v>
      </c>
      <c r="K9" s="122">
        <v>1</v>
      </c>
      <c r="O9" s="122" t="str">
        <f t="shared" si="0"/>
        <v>Spear</v>
      </c>
      <c r="P9" s="120">
        <f t="shared" si="1"/>
        <v>1116</v>
      </c>
      <c r="Q9" s="122" t="str">
        <f t="shared" si="2"/>
        <v>Int</v>
      </c>
      <c r="R9" s="122">
        <f t="shared" si="3"/>
        <v>1.27</v>
      </c>
      <c r="T9" s="102">
        <v>145</v>
      </c>
      <c r="U9" s="113">
        <v>2</v>
      </c>
    </row>
    <row r="10" spans="1:26">
      <c r="A10" s="100" t="s">
        <v>340</v>
      </c>
      <c r="B10" s="100">
        <v>1068.9000000000001</v>
      </c>
      <c r="C10" s="100">
        <v>1.3</v>
      </c>
      <c r="D10" s="100" t="s">
        <v>20</v>
      </c>
      <c r="E10" s="109">
        <v>83</v>
      </c>
      <c r="F10" s="119">
        <v>65</v>
      </c>
      <c r="G10" s="120">
        <v>0</v>
      </c>
      <c r="H10" s="121">
        <v>0</v>
      </c>
      <c r="I10" s="122">
        <v>0</v>
      </c>
      <c r="J10" s="121">
        <v>0</v>
      </c>
      <c r="K10" s="122">
        <v>1</v>
      </c>
      <c r="O10" s="122" t="str">
        <f t="shared" si="0"/>
        <v>Axe</v>
      </c>
      <c r="P10" s="120">
        <f t="shared" si="1"/>
        <v>1106.25</v>
      </c>
      <c r="Q10" s="122" t="str">
        <f t="shared" si="2"/>
        <v>Int</v>
      </c>
      <c r="R10" s="122">
        <f t="shared" si="3"/>
        <v>1.3</v>
      </c>
      <c r="T10" s="102">
        <v>230</v>
      </c>
      <c r="U10" s="113">
        <v>13</v>
      </c>
    </row>
    <row r="11" spans="1:26">
      <c r="A11" s="100" t="s">
        <v>340</v>
      </c>
      <c r="B11" s="100">
        <v>1104.0999999999999</v>
      </c>
      <c r="C11" s="100">
        <v>1.3</v>
      </c>
      <c r="D11" s="100" t="s">
        <v>355</v>
      </c>
      <c r="E11" s="109">
        <v>0</v>
      </c>
      <c r="F11" s="119">
        <v>119</v>
      </c>
      <c r="G11" s="120">
        <v>0</v>
      </c>
      <c r="H11" s="121">
        <v>0</v>
      </c>
      <c r="I11" s="122">
        <v>0</v>
      </c>
      <c r="J11" s="121">
        <v>0</v>
      </c>
      <c r="K11" s="122">
        <v>1</v>
      </c>
      <c r="O11" s="122" t="str">
        <f t="shared" si="0"/>
        <v>Axe</v>
      </c>
      <c r="P11" s="120">
        <f t="shared" si="1"/>
        <v>1104.0999999999999</v>
      </c>
      <c r="Q11" s="122" t="str">
        <f t="shared" si="2"/>
        <v>Any</v>
      </c>
      <c r="R11" s="122">
        <f t="shared" si="3"/>
        <v>1.3</v>
      </c>
      <c r="S11" s="101">
        <v>150</v>
      </c>
      <c r="U11" s="113">
        <v>12</v>
      </c>
    </row>
    <row r="12" spans="1:26">
      <c r="A12" s="100" t="s">
        <v>338</v>
      </c>
      <c r="B12" s="100">
        <v>1043.9000000000001</v>
      </c>
      <c r="C12" s="100">
        <v>1.2</v>
      </c>
      <c r="D12" s="100" t="s">
        <v>20</v>
      </c>
      <c r="E12" s="109">
        <v>120</v>
      </c>
      <c r="F12" s="119">
        <v>0</v>
      </c>
      <c r="G12" s="120">
        <v>0</v>
      </c>
      <c r="H12" s="121">
        <v>0</v>
      </c>
      <c r="I12" s="122">
        <v>0</v>
      </c>
      <c r="J12" s="121">
        <v>0</v>
      </c>
      <c r="K12" s="122">
        <v>1</v>
      </c>
      <c r="O12" s="122" t="str">
        <f t="shared" si="0"/>
        <v>Spear</v>
      </c>
      <c r="P12" s="120">
        <f t="shared" si="1"/>
        <v>1097.9000000000001</v>
      </c>
      <c r="Q12" s="122" t="str">
        <f t="shared" si="2"/>
        <v>Int</v>
      </c>
      <c r="R12" s="122">
        <f t="shared" si="3"/>
        <v>1.2</v>
      </c>
      <c r="T12" s="102">
        <v>100</v>
      </c>
      <c r="U12" s="113">
        <v>1</v>
      </c>
    </row>
    <row r="13" spans="1:26">
      <c r="A13" s="100" t="s">
        <v>340</v>
      </c>
      <c r="B13" s="100">
        <v>1096.4000000000001</v>
      </c>
      <c r="C13" s="100">
        <v>1.44</v>
      </c>
      <c r="D13" s="100" t="s">
        <v>355</v>
      </c>
      <c r="E13" s="109">
        <v>0</v>
      </c>
      <c r="F13" s="119">
        <v>0</v>
      </c>
      <c r="G13" s="120">
        <v>0</v>
      </c>
      <c r="H13" s="121">
        <v>0</v>
      </c>
      <c r="I13" s="122">
        <v>0</v>
      </c>
      <c r="J13" s="121">
        <v>0</v>
      </c>
      <c r="K13" s="122">
        <v>1</v>
      </c>
      <c r="O13" s="122" t="str">
        <f t="shared" si="0"/>
        <v>Axe</v>
      </c>
      <c r="P13" s="120">
        <f t="shared" si="1"/>
        <v>1096.4000000000001</v>
      </c>
      <c r="Q13" s="122" t="str">
        <f t="shared" si="2"/>
        <v>Any</v>
      </c>
      <c r="R13" s="122">
        <f t="shared" si="3"/>
        <v>1.44</v>
      </c>
      <c r="T13" s="102">
        <v>180</v>
      </c>
      <c r="U13" s="113">
        <v>26</v>
      </c>
    </row>
    <row r="14" spans="1:26">
      <c r="A14" s="100" t="s">
        <v>338</v>
      </c>
      <c r="B14" s="100">
        <v>1093.7</v>
      </c>
      <c r="C14" s="100">
        <v>1.33</v>
      </c>
      <c r="D14" s="100" t="s">
        <v>355</v>
      </c>
      <c r="E14" s="109">
        <v>0</v>
      </c>
      <c r="F14" s="119">
        <v>0</v>
      </c>
      <c r="G14" s="120">
        <v>0</v>
      </c>
      <c r="H14" s="121">
        <v>0</v>
      </c>
      <c r="I14" s="122">
        <v>0</v>
      </c>
      <c r="J14" s="121">
        <v>0</v>
      </c>
      <c r="K14" s="122">
        <v>1</v>
      </c>
      <c r="O14" s="122" t="str">
        <f t="shared" si="0"/>
        <v>Spear</v>
      </c>
      <c r="P14" s="120">
        <f t="shared" si="1"/>
        <v>1093.7</v>
      </c>
      <c r="Q14" s="122" t="str">
        <f t="shared" si="2"/>
        <v>Any</v>
      </c>
      <c r="R14" s="122">
        <f t="shared" si="3"/>
        <v>1.33</v>
      </c>
      <c r="T14" s="102">
        <v>117</v>
      </c>
      <c r="U14" s="113">
        <v>1</v>
      </c>
    </row>
    <row r="15" spans="1:26">
      <c r="A15" s="100" t="s">
        <v>343</v>
      </c>
      <c r="B15" s="100">
        <v>1011.1</v>
      </c>
      <c r="C15" s="100">
        <v>1.2</v>
      </c>
      <c r="D15" s="100" t="s">
        <v>20</v>
      </c>
      <c r="E15" s="109">
        <v>180</v>
      </c>
      <c r="F15" s="119">
        <v>0</v>
      </c>
      <c r="G15" s="120">
        <v>0</v>
      </c>
      <c r="H15" s="121">
        <v>0</v>
      </c>
      <c r="I15" s="122">
        <v>0</v>
      </c>
      <c r="J15" s="121">
        <v>0</v>
      </c>
      <c r="K15" s="122">
        <v>1</v>
      </c>
      <c r="O15" s="122" t="str">
        <f t="shared" si="0"/>
        <v>Mace</v>
      </c>
      <c r="P15" s="120">
        <f t="shared" si="1"/>
        <v>1092.0999999999999</v>
      </c>
      <c r="Q15" s="122" t="str">
        <f t="shared" si="2"/>
        <v>Int</v>
      </c>
      <c r="R15" s="122">
        <f t="shared" si="3"/>
        <v>1.2</v>
      </c>
      <c r="S15" s="101">
        <v>90</v>
      </c>
      <c r="U15" s="113">
        <v>3</v>
      </c>
    </row>
    <row r="16" spans="1:26">
      <c r="A16" s="100" t="s">
        <v>337</v>
      </c>
      <c r="B16" s="100">
        <v>996.6</v>
      </c>
      <c r="C16" s="100">
        <v>1.4</v>
      </c>
      <c r="D16" s="100" t="s">
        <v>339</v>
      </c>
      <c r="E16" s="109">
        <v>210</v>
      </c>
      <c r="F16" s="119">
        <v>97</v>
      </c>
      <c r="G16" s="120">
        <v>0</v>
      </c>
      <c r="H16" s="121">
        <v>0</v>
      </c>
      <c r="I16" s="122">
        <v>0</v>
      </c>
      <c r="J16" s="121">
        <v>0</v>
      </c>
      <c r="K16" s="122">
        <v>1</v>
      </c>
      <c r="O16" s="122" t="str">
        <f t="shared" si="0"/>
        <v>Sword</v>
      </c>
      <c r="P16" s="120">
        <f t="shared" si="1"/>
        <v>1091.0999999999999</v>
      </c>
      <c r="Q16" s="122" t="str">
        <f t="shared" si="2"/>
        <v>Str</v>
      </c>
      <c r="R16" s="122">
        <f t="shared" si="3"/>
        <v>1.4</v>
      </c>
      <c r="T16" s="102">
        <v>140</v>
      </c>
      <c r="U16" s="113">
        <v>14</v>
      </c>
    </row>
    <row r="17" spans="1:21">
      <c r="A17" s="100" t="s">
        <v>338</v>
      </c>
      <c r="B17" s="100">
        <v>1002.8</v>
      </c>
      <c r="C17" s="100">
        <v>1.2</v>
      </c>
      <c r="D17" s="100" t="s">
        <v>169</v>
      </c>
      <c r="E17" s="109">
        <v>189</v>
      </c>
      <c r="F17" s="119">
        <v>0</v>
      </c>
      <c r="G17" s="120">
        <v>0</v>
      </c>
      <c r="H17" s="121">
        <v>0</v>
      </c>
      <c r="I17" s="122">
        <v>0</v>
      </c>
      <c r="J17" s="121">
        <v>0</v>
      </c>
      <c r="K17" s="122">
        <v>1</v>
      </c>
      <c r="O17" s="122" t="str">
        <f t="shared" si="0"/>
        <v>Spear</v>
      </c>
      <c r="P17" s="120">
        <f t="shared" si="1"/>
        <v>1087.8499999999999</v>
      </c>
      <c r="Q17" s="122" t="str">
        <f t="shared" si="2"/>
        <v>Dex</v>
      </c>
      <c r="R17" s="122">
        <f t="shared" si="3"/>
        <v>1.2</v>
      </c>
      <c r="S17" s="101">
        <v>50</v>
      </c>
      <c r="U17" s="113">
        <v>12</v>
      </c>
    </row>
    <row r="18" spans="1:21">
      <c r="A18" s="100" t="s">
        <v>343</v>
      </c>
      <c r="B18" s="100">
        <v>1009.1</v>
      </c>
      <c r="C18" s="100">
        <v>1.2</v>
      </c>
      <c r="D18" s="100" t="s">
        <v>20</v>
      </c>
      <c r="E18" s="109">
        <v>167</v>
      </c>
      <c r="F18" s="119">
        <v>0</v>
      </c>
      <c r="G18" s="120">
        <v>0</v>
      </c>
      <c r="H18" s="121">
        <v>0</v>
      </c>
      <c r="I18" s="122">
        <v>0</v>
      </c>
      <c r="J18" s="121">
        <v>0</v>
      </c>
      <c r="K18" s="122">
        <v>1</v>
      </c>
      <c r="O18" s="122" t="str">
        <f t="shared" si="0"/>
        <v>Mace</v>
      </c>
      <c r="P18" s="120">
        <f t="shared" si="1"/>
        <v>1084.25</v>
      </c>
      <c r="Q18" s="122" t="str">
        <f t="shared" si="2"/>
        <v>Int</v>
      </c>
      <c r="R18" s="122">
        <f t="shared" si="3"/>
        <v>1.2</v>
      </c>
      <c r="S18" s="101">
        <v>70</v>
      </c>
      <c r="U18" s="113">
        <v>21</v>
      </c>
    </row>
    <row r="19" spans="1:21">
      <c r="A19" s="100" t="s">
        <v>348</v>
      </c>
      <c r="B19" s="100">
        <v>987.9</v>
      </c>
      <c r="C19" s="100">
        <v>1.4</v>
      </c>
      <c r="D19" s="100" t="s">
        <v>20</v>
      </c>
      <c r="E19" s="109">
        <v>214</v>
      </c>
      <c r="F19" s="119">
        <v>116</v>
      </c>
      <c r="G19" s="120">
        <v>0</v>
      </c>
      <c r="H19" s="121">
        <v>0</v>
      </c>
      <c r="I19" s="122">
        <v>0</v>
      </c>
      <c r="J19" s="121">
        <v>0</v>
      </c>
      <c r="K19" s="122">
        <v>1</v>
      </c>
      <c r="M19" s="122">
        <v>11</v>
      </c>
      <c r="N19" s="122">
        <v>0</v>
      </c>
      <c r="O19" s="122" t="str">
        <f t="shared" si="0"/>
        <v>Wand</v>
      </c>
      <c r="P19" s="120">
        <f t="shared" si="1"/>
        <v>1084.2</v>
      </c>
      <c r="Q19" s="122" t="str">
        <f t="shared" si="2"/>
        <v>Int</v>
      </c>
      <c r="R19" s="122">
        <f t="shared" si="3"/>
        <v>1.4</v>
      </c>
      <c r="S19" s="101">
        <v>240</v>
      </c>
      <c r="U19" s="113">
        <v>4</v>
      </c>
    </row>
    <row r="20" spans="1:21">
      <c r="A20" s="100" t="s">
        <v>340</v>
      </c>
      <c r="B20" s="100">
        <v>1039.2</v>
      </c>
      <c r="C20" s="100">
        <v>1.3</v>
      </c>
      <c r="D20" s="100" t="s">
        <v>347</v>
      </c>
      <c r="E20" s="109">
        <v>90</v>
      </c>
      <c r="F20" s="119">
        <v>162</v>
      </c>
      <c r="G20" s="120">
        <v>0</v>
      </c>
      <c r="H20" s="121">
        <v>0</v>
      </c>
      <c r="I20" s="122">
        <v>0</v>
      </c>
      <c r="J20" s="121">
        <v>0</v>
      </c>
      <c r="K20" s="122">
        <v>1</v>
      </c>
      <c r="O20" s="122" t="str">
        <f t="shared" si="0"/>
        <v>Axe</v>
      </c>
      <c r="P20" s="120">
        <f t="shared" si="1"/>
        <v>1079.7</v>
      </c>
      <c r="Q20" s="122" t="str">
        <f t="shared" si="2"/>
        <v>Dex/Str</v>
      </c>
      <c r="R20" s="122">
        <f t="shared" si="3"/>
        <v>1.3</v>
      </c>
      <c r="S20" s="101">
        <v>150</v>
      </c>
      <c r="U20" s="113">
        <v>34</v>
      </c>
    </row>
    <row r="21" spans="1:21">
      <c r="A21" s="100" t="s">
        <v>343</v>
      </c>
      <c r="B21" s="100">
        <v>1025.5999999999999</v>
      </c>
      <c r="C21" s="100">
        <v>1.2</v>
      </c>
      <c r="D21" s="100" t="s">
        <v>169</v>
      </c>
      <c r="E21" s="109">
        <v>102</v>
      </c>
      <c r="F21" s="119">
        <v>0</v>
      </c>
      <c r="G21" s="120">
        <v>0</v>
      </c>
      <c r="H21" s="121">
        <v>0</v>
      </c>
      <c r="I21" s="122">
        <v>0</v>
      </c>
      <c r="J21" s="121">
        <v>0</v>
      </c>
      <c r="K21" s="122">
        <v>1</v>
      </c>
      <c r="O21" s="122" t="str">
        <f t="shared" si="0"/>
        <v>Mace</v>
      </c>
      <c r="P21" s="120">
        <f t="shared" si="1"/>
        <v>1071.5</v>
      </c>
      <c r="Q21" s="122" t="str">
        <f t="shared" si="2"/>
        <v>Dex</v>
      </c>
      <c r="R21" s="122">
        <f t="shared" si="3"/>
        <v>1.2</v>
      </c>
      <c r="T21" s="102">
        <v>100</v>
      </c>
      <c r="U21" s="113">
        <v>11</v>
      </c>
    </row>
    <row r="22" spans="1:21">
      <c r="A22" s="100" t="s">
        <v>340</v>
      </c>
      <c r="B22" s="100">
        <v>1069.5999999999999</v>
      </c>
      <c r="C22" s="100">
        <v>1.3</v>
      </c>
      <c r="D22" s="100" t="s">
        <v>355</v>
      </c>
      <c r="E22" s="109">
        <v>0</v>
      </c>
      <c r="F22" s="119">
        <v>0</v>
      </c>
      <c r="G22" s="120">
        <v>0</v>
      </c>
      <c r="H22" s="121">
        <v>0</v>
      </c>
      <c r="I22" s="122">
        <v>0</v>
      </c>
      <c r="J22" s="121">
        <v>500</v>
      </c>
      <c r="K22" s="122">
        <v>1</v>
      </c>
      <c r="O22" s="122" t="str">
        <f t="shared" si="0"/>
        <v>Axe</v>
      </c>
      <c r="P22" s="120">
        <f t="shared" si="1"/>
        <v>1069.5999999999999</v>
      </c>
      <c r="Q22" s="122" t="str">
        <f t="shared" si="2"/>
        <v>Any</v>
      </c>
      <c r="R22" s="122">
        <f t="shared" si="3"/>
        <v>1.3</v>
      </c>
      <c r="T22" s="102">
        <v>120</v>
      </c>
      <c r="U22" s="113">
        <v>1</v>
      </c>
    </row>
    <row r="23" spans="1:21">
      <c r="A23" s="100" t="s">
        <v>343</v>
      </c>
      <c r="B23" s="100">
        <v>1017.5</v>
      </c>
      <c r="C23" s="100">
        <v>1.2</v>
      </c>
      <c r="D23" s="100" t="s">
        <v>339</v>
      </c>
      <c r="E23" s="109">
        <v>99</v>
      </c>
      <c r="F23" s="119">
        <v>0</v>
      </c>
      <c r="G23" s="120">
        <v>0</v>
      </c>
      <c r="H23" s="121">
        <v>0</v>
      </c>
      <c r="I23" s="122">
        <v>0</v>
      </c>
      <c r="J23" s="121">
        <v>0</v>
      </c>
      <c r="K23" s="122">
        <v>1</v>
      </c>
      <c r="O23" s="122" t="str">
        <f t="shared" si="0"/>
        <v>Mace</v>
      </c>
      <c r="P23" s="120">
        <f t="shared" si="1"/>
        <v>1062.05</v>
      </c>
      <c r="Q23" s="122" t="str">
        <f t="shared" si="2"/>
        <v>Str</v>
      </c>
      <c r="R23" s="122">
        <f t="shared" si="3"/>
        <v>1.2</v>
      </c>
      <c r="T23" s="102">
        <v>175</v>
      </c>
      <c r="U23" s="113">
        <v>26</v>
      </c>
    </row>
    <row r="24" spans="1:21">
      <c r="A24" s="100" t="s">
        <v>337</v>
      </c>
      <c r="B24" s="100">
        <v>1012.8</v>
      </c>
      <c r="C24" s="100">
        <v>-1</v>
      </c>
      <c r="D24" s="100" t="s">
        <v>339</v>
      </c>
      <c r="E24" s="109">
        <v>105</v>
      </c>
      <c r="F24" s="119">
        <v>0</v>
      </c>
      <c r="G24" s="120">
        <v>0</v>
      </c>
      <c r="H24" s="121">
        <v>0</v>
      </c>
      <c r="I24" s="122">
        <v>0</v>
      </c>
      <c r="J24" s="121">
        <v>0</v>
      </c>
      <c r="K24" s="122">
        <v>1</v>
      </c>
      <c r="O24" s="122" t="str">
        <f t="shared" si="0"/>
        <v>Sword</v>
      </c>
      <c r="P24" s="120">
        <f t="shared" si="1"/>
        <v>1060.05</v>
      </c>
      <c r="Q24" s="122" t="str">
        <f t="shared" si="2"/>
        <v>Str</v>
      </c>
      <c r="R24" s="122">
        <f t="shared" si="3"/>
        <v>-1</v>
      </c>
      <c r="T24" s="102">
        <v>130</v>
      </c>
      <c r="U24" s="113">
        <v>14</v>
      </c>
    </row>
    <row r="25" spans="1:21">
      <c r="A25" s="100" t="s">
        <v>343</v>
      </c>
      <c r="B25" s="100">
        <v>1003.6</v>
      </c>
      <c r="C25" s="100">
        <v>1.26</v>
      </c>
      <c r="D25" s="100" t="s">
        <v>20</v>
      </c>
      <c r="E25" s="109">
        <v>107</v>
      </c>
      <c r="F25" s="119">
        <v>85</v>
      </c>
      <c r="G25" s="120">
        <v>0</v>
      </c>
      <c r="H25" s="121">
        <v>0</v>
      </c>
      <c r="I25" s="122">
        <v>0</v>
      </c>
      <c r="J25" s="121">
        <v>0</v>
      </c>
      <c r="K25" s="122">
        <v>1</v>
      </c>
      <c r="O25" s="122" t="str">
        <f t="shared" si="0"/>
        <v>Mace</v>
      </c>
      <c r="P25" s="120">
        <f t="shared" si="1"/>
        <v>1051.75</v>
      </c>
      <c r="Q25" s="122" t="str">
        <f t="shared" si="2"/>
        <v>Int</v>
      </c>
      <c r="R25" s="122">
        <f t="shared" si="3"/>
        <v>1.26</v>
      </c>
      <c r="S25" s="101">
        <v>89</v>
      </c>
      <c r="U25" s="113">
        <v>19</v>
      </c>
    </row>
    <row r="26" spans="1:21">
      <c r="A26" s="100" t="s">
        <v>338</v>
      </c>
      <c r="B26" s="100">
        <v>954.2</v>
      </c>
      <c r="C26" s="100">
        <v>-1</v>
      </c>
      <c r="D26" s="100" t="s">
        <v>339</v>
      </c>
      <c r="E26" s="109">
        <v>198</v>
      </c>
      <c r="F26" s="119">
        <v>0</v>
      </c>
      <c r="G26" s="120">
        <v>65</v>
      </c>
      <c r="H26" s="121">
        <v>0</v>
      </c>
      <c r="I26" s="122">
        <v>0</v>
      </c>
      <c r="J26" s="121">
        <v>0</v>
      </c>
      <c r="K26" s="121">
        <v>1</v>
      </c>
      <c r="L26" s="121"/>
      <c r="M26" s="121"/>
      <c r="N26" s="121"/>
      <c r="O26" s="122" t="str">
        <f t="shared" si="0"/>
        <v>Spear</v>
      </c>
      <c r="P26" s="120">
        <f t="shared" si="1"/>
        <v>1043.3</v>
      </c>
      <c r="Q26" s="122" t="str">
        <f t="shared" si="2"/>
        <v>Str</v>
      </c>
      <c r="R26" s="122">
        <f t="shared" si="3"/>
        <v>-1</v>
      </c>
      <c r="T26" s="103">
        <v>230</v>
      </c>
      <c r="U26" s="114">
        <v>1</v>
      </c>
    </row>
    <row r="27" spans="1:21">
      <c r="A27" s="100" t="s">
        <v>340</v>
      </c>
      <c r="B27" s="100">
        <v>1039.2</v>
      </c>
      <c r="C27" s="100">
        <v>1.3</v>
      </c>
      <c r="D27" s="100" t="s">
        <v>355</v>
      </c>
      <c r="E27" s="109">
        <v>0</v>
      </c>
      <c r="F27" s="119">
        <v>0</v>
      </c>
      <c r="G27" s="120">
        <v>0</v>
      </c>
      <c r="H27" s="121">
        <v>2.9</v>
      </c>
      <c r="I27" s="122">
        <v>0</v>
      </c>
      <c r="J27" s="121">
        <v>0</v>
      </c>
      <c r="K27" s="122">
        <v>1</v>
      </c>
      <c r="O27" s="122" t="str">
        <f t="shared" si="0"/>
        <v>Axe</v>
      </c>
      <c r="P27" s="120">
        <f t="shared" si="1"/>
        <v>1039.2</v>
      </c>
      <c r="Q27" s="122" t="str">
        <f t="shared" si="2"/>
        <v>Any</v>
      </c>
      <c r="R27" s="122">
        <f t="shared" si="3"/>
        <v>1.3</v>
      </c>
      <c r="S27" s="101">
        <v>80</v>
      </c>
      <c r="U27" s="113">
        <v>4</v>
      </c>
    </row>
    <row r="28" spans="1:21">
      <c r="A28" s="100" t="s">
        <v>343</v>
      </c>
      <c r="B28" s="100">
        <v>952.6</v>
      </c>
      <c r="C28" s="100">
        <v>1.3</v>
      </c>
      <c r="D28" s="100" t="s">
        <v>20</v>
      </c>
      <c r="E28" s="109">
        <v>191</v>
      </c>
      <c r="F28" s="119">
        <v>0</v>
      </c>
      <c r="G28" s="120">
        <v>45</v>
      </c>
      <c r="H28" s="121">
        <v>0</v>
      </c>
      <c r="I28" s="122">
        <v>0</v>
      </c>
      <c r="J28" s="121">
        <v>0</v>
      </c>
      <c r="K28" s="122">
        <v>1</v>
      </c>
      <c r="O28" s="122" t="str">
        <f t="shared" si="0"/>
        <v>Mace</v>
      </c>
      <c r="P28" s="120">
        <f t="shared" si="1"/>
        <v>1038.55</v>
      </c>
      <c r="Q28" s="122" t="str">
        <f t="shared" si="2"/>
        <v>Int</v>
      </c>
      <c r="R28" s="122">
        <f t="shared" si="3"/>
        <v>1.3</v>
      </c>
      <c r="T28" s="102">
        <v>220</v>
      </c>
      <c r="U28" s="113">
        <v>1</v>
      </c>
    </row>
    <row r="29" spans="1:21">
      <c r="A29" s="100" t="s">
        <v>343</v>
      </c>
      <c r="B29" s="100">
        <v>973.8</v>
      </c>
      <c r="C29" s="100">
        <v>1.2</v>
      </c>
      <c r="D29" s="100" t="s">
        <v>20</v>
      </c>
      <c r="E29" s="109">
        <v>140</v>
      </c>
      <c r="F29" s="119">
        <v>0</v>
      </c>
      <c r="G29" s="120">
        <v>0</v>
      </c>
      <c r="H29" s="121">
        <v>0</v>
      </c>
      <c r="I29" s="122">
        <v>0</v>
      </c>
      <c r="J29" s="121">
        <v>0</v>
      </c>
      <c r="K29" s="122">
        <v>1</v>
      </c>
      <c r="O29" s="122" t="str">
        <f t="shared" si="0"/>
        <v>Mace</v>
      </c>
      <c r="P29" s="120">
        <f t="shared" si="1"/>
        <v>1036.8</v>
      </c>
      <c r="Q29" s="122" t="str">
        <f t="shared" si="2"/>
        <v>Int</v>
      </c>
      <c r="R29" s="122">
        <f t="shared" si="3"/>
        <v>1.2</v>
      </c>
      <c r="S29" s="101">
        <v>31</v>
      </c>
      <c r="U29" s="113">
        <v>3</v>
      </c>
    </row>
    <row r="30" spans="1:21">
      <c r="A30" s="100" t="s">
        <v>340</v>
      </c>
      <c r="B30" s="100">
        <v>982.1</v>
      </c>
      <c r="C30" s="100">
        <v>-1</v>
      </c>
      <c r="D30" s="100" t="s">
        <v>169</v>
      </c>
      <c r="E30" s="109">
        <v>120</v>
      </c>
      <c r="F30" s="119">
        <v>0</v>
      </c>
      <c r="G30" s="120">
        <v>0</v>
      </c>
      <c r="H30" s="121">
        <v>0</v>
      </c>
      <c r="I30" s="122">
        <v>0</v>
      </c>
      <c r="J30" s="121">
        <v>0</v>
      </c>
      <c r="K30" s="121">
        <v>1</v>
      </c>
      <c r="L30" s="121"/>
      <c r="M30" s="121"/>
      <c r="N30" s="121"/>
      <c r="O30" s="122" t="str">
        <f t="shared" si="0"/>
        <v>Axe</v>
      </c>
      <c r="P30" s="120">
        <f t="shared" si="1"/>
        <v>1036.0999999999999</v>
      </c>
      <c r="Q30" s="122" t="str">
        <f t="shared" si="2"/>
        <v>Dex</v>
      </c>
      <c r="R30" s="122">
        <f t="shared" si="3"/>
        <v>-1</v>
      </c>
      <c r="T30" s="103">
        <v>85</v>
      </c>
      <c r="U30" s="114">
        <v>11</v>
      </c>
    </row>
    <row r="31" spans="1:21">
      <c r="A31" s="100" t="s">
        <v>343</v>
      </c>
      <c r="B31" s="100">
        <v>977.8</v>
      </c>
      <c r="C31" s="100">
        <v>1.2</v>
      </c>
      <c r="D31" s="100" t="s">
        <v>169</v>
      </c>
      <c r="E31" s="109">
        <v>111</v>
      </c>
      <c r="F31" s="119">
        <v>0</v>
      </c>
      <c r="G31" s="120">
        <v>0</v>
      </c>
      <c r="H31" s="121">
        <v>0</v>
      </c>
      <c r="I31" s="122">
        <v>0</v>
      </c>
      <c r="J31" s="121">
        <v>18000</v>
      </c>
      <c r="K31" s="122">
        <v>1</v>
      </c>
      <c r="O31" s="122" t="str">
        <f t="shared" si="0"/>
        <v>Mace</v>
      </c>
      <c r="P31" s="120">
        <f t="shared" si="1"/>
        <v>1027.75</v>
      </c>
      <c r="Q31" s="122" t="str">
        <f t="shared" si="2"/>
        <v>Dex</v>
      </c>
      <c r="R31" s="122">
        <f t="shared" si="3"/>
        <v>1.2</v>
      </c>
      <c r="S31" s="101">
        <v>35</v>
      </c>
      <c r="U31" s="113">
        <v>-1</v>
      </c>
    </row>
    <row r="32" spans="1:21">
      <c r="A32" s="100" t="s">
        <v>343</v>
      </c>
      <c r="B32" s="100">
        <v>1024.5999999999999</v>
      </c>
      <c r="C32" s="100">
        <v>1.2</v>
      </c>
      <c r="D32" s="100" t="s">
        <v>355</v>
      </c>
      <c r="E32" s="109">
        <v>0</v>
      </c>
      <c r="F32" s="119">
        <v>0</v>
      </c>
      <c r="G32" s="120">
        <v>0</v>
      </c>
      <c r="H32" s="121">
        <v>0</v>
      </c>
      <c r="I32" s="122">
        <v>0</v>
      </c>
      <c r="J32" s="121">
        <v>0</v>
      </c>
      <c r="K32" s="122">
        <v>1</v>
      </c>
      <c r="O32" s="122" t="str">
        <f t="shared" si="0"/>
        <v>Mace</v>
      </c>
      <c r="P32" s="120">
        <f t="shared" si="1"/>
        <v>1024.5999999999999</v>
      </c>
      <c r="Q32" s="122" t="str">
        <f t="shared" si="2"/>
        <v>Any</v>
      </c>
      <c r="R32" s="122">
        <f t="shared" si="3"/>
        <v>1.2</v>
      </c>
      <c r="S32" s="101">
        <v>52</v>
      </c>
      <c r="U32" s="113">
        <v>3</v>
      </c>
    </row>
    <row r="33" spans="1:21">
      <c r="A33" s="100" t="s">
        <v>348</v>
      </c>
      <c r="B33" s="100">
        <v>1024.5</v>
      </c>
      <c r="C33" s="100">
        <v>1.5</v>
      </c>
      <c r="D33" s="100" t="s">
        <v>355</v>
      </c>
      <c r="E33" s="109">
        <v>0</v>
      </c>
      <c r="F33" s="119">
        <v>0</v>
      </c>
      <c r="G33" s="120">
        <v>0</v>
      </c>
      <c r="H33" s="121">
        <v>0</v>
      </c>
      <c r="I33" s="122">
        <v>0</v>
      </c>
      <c r="J33" s="121">
        <v>0</v>
      </c>
      <c r="K33" s="122">
        <v>1</v>
      </c>
      <c r="O33" s="122" t="str">
        <f t="shared" si="0"/>
        <v>Wand</v>
      </c>
      <c r="P33" s="120">
        <f t="shared" si="1"/>
        <v>1024.5</v>
      </c>
      <c r="Q33" s="122" t="str">
        <f t="shared" si="2"/>
        <v>Any</v>
      </c>
      <c r="R33" s="122">
        <f t="shared" si="3"/>
        <v>1.5</v>
      </c>
      <c r="S33" s="101">
        <v>98</v>
      </c>
      <c r="U33" s="113">
        <v>12</v>
      </c>
    </row>
    <row r="34" spans="1:21">
      <c r="A34" s="100" t="s">
        <v>348</v>
      </c>
      <c r="B34" s="100">
        <v>1022.1</v>
      </c>
      <c r="C34" s="100">
        <v>1.4</v>
      </c>
      <c r="D34" s="100" t="s">
        <v>355</v>
      </c>
      <c r="E34" s="109">
        <v>0</v>
      </c>
      <c r="F34" s="119">
        <v>0</v>
      </c>
      <c r="G34" s="120">
        <v>0</v>
      </c>
      <c r="H34" s="121">
        <v>0</v>
      </c>
      <c r="I34" s="122">
        <v>760</v>
      </c>
      <c r="J34" s="121">
        <v>0</v>
      </c>
      <c r="K34" s="122">
        <v>1</v>
      </c>
      <c r="L34" s="122">
        <v>0</v>
      </c>
      <c r="M34" s="122">
        <v>13</v>
      </c>
      <c r="N34" s="122">
        <v>0</v>
      </c>
      <c r="O34" s="122" t="str">
        <f t="shared" ref="O34:O65" si="4">A34</f>
        <v>Wand</v>
      </c>
      <c r="P34" s="120">
        <f t="shared" ref="P34:P65" si="5">B34 + E34 * $Z$1</f>
        <v>1022.1</v>
      </c>
      <c r="Q34" s="122" t="str">
        <f t="shared" ref="Q34:Q65" si="6">D34</f>
        <v>Any</v>
      </c>
      <c r="R34" s="122">
        <f t="shared" ref="R34:R65" si="7">C34</f>
        <v>1.4</v>
      </c>
      <c r="S34" s="101">
        <v>250</v>
      </c>
      <c r="U34" s="113">
        <v>3</v>
      </c>
    </row>
    <row r="35" spans="1:21">
      <c r="A35" s="100" t="s">
        <v>343</v>
      </c>
      <c r="B35" s="100">
        <v>1021.8</v>
      </c>
      <c r="C35" s="100">
        <v>1.2</v>
      </c>
      <c r="D35" s="100" t="s">
        <v>355</v>
      </c>
      <c r="E35" s="109">
        <v>0</v>
      </c>
      <c r="F35" s="119">
        <v>0</v>
      </c>
      <c r="G35" s="120">
        <v>0</v>
      </c>
      <c r="H35" s="121">
        <v>0</v>
      </c>
      <c r="I35" s="122">
        <v>0</v>
      </c>
      <c r="J35" s="121">
        <v>0</v>
      </c>
      <c r="K35" s="122">
        <v>1</v>
      </c>
      <c r="O35" s="122" t="str">
        <f t="shared" si="4"/>
        <v>Mace</v>
      </c>
      <c r="P35" s="120">
        <f t="shared" si="5"/>
        <v>1021.8</v>
      </c>
      <c r="Q35" s="122" t="str">
        <f t="shared" si="6"/>
        <v>Any</v>
      </c>
      <c r="R35" s="122">
        <f t="shared" si="7"/>
        <v>1.2</v>
      </c>
      <c r="S35" s="101">
        <v>120</v>
      </c>
      <c r="U35" s="113">
        <v>16</v>
      </c>
    </row>
    <row r="36" spans="1:21">
      <c r="A36" s="100" t="s">
        <v>348</v>
      </c>
      <c r="B36" s="100">
        <v>1014</v>
      </c>
      <c r="C36" s="100">
        <v>1.4</v>
      </c>
      <c r="D36" s="100" t="s">
        <v>355</v>
      </c>
      <c r="E36" s="109">
        <v>0</v>
      </c>
      <c r="F36" s="119">
        <v>0</v>
      </c>
      <c r="G36" s="120">
        <v>0</v>
      </c>
      <c r="H36" s="121">
        <v>2.9</v>
      </c>
      <c r="I36" s="122">
        <v>0</v>
      </c>
      <c r="J36" s="121">
        <v>0</v>
      </c>
      <c r="K36" s="122">
        <v>1</v>
      </c>
      <c r="O36" s="122" t="str">
        <f t="shared" si="4"/>
        <v>Wand</v>
      </c>
      <c r="P36" s="120">
        <f t="shared" si="5"/>
        <v>1014</v>
      </c>
      <c r="Q36" s="122" t="str">
        <f t="shared" si="6"/>
        <v>Any</v>
      </c>
      <c r="R36" s="122">
        <f t="shared" si="7"/>
        <v>1.4</v>
      </c>
      <c r="S36" s="101">
        <v>55</v>
      </c>
      <c r="U36" s="113">
        <v>-1</v>
      </c>
    </row>
    <row r="37" spans="1:21">
      <c r="A37" s="100" t="s">
        <v>338</v>
      </c>
      <c r="B37" s="100">
        <v>951</v>
      </c>
      <c r="C37" s="100">
        <v>-1</v>
      </c>
      <c r="D37" s="100" t="s">
        <v>169</v>
      </c>
      <c r="E37" s="109">
        <v>138</v>
      </c>
      <c r="F37" s="119">
        <v>0</v>
      </c>
      <c r="G37" s="120">
        <v>0</v>
      </c>
      <c r="H37" s="121">
        <v>0</v>
      </c>
      <c r="I37" s="122">
        <v>0</v>
      </c>
      <c r="J37" s="121">
        <v>2100</v>
      </c>
      <c r="K37" s="121">
        <v>1</v>
      </c>
      <c r="L37" s="121"/>
      <c r="M37" s="121"/>
      <c r="N37" s="121"/>
      <c r="O37" s="122" t="str">
        <f t="shared" si="4"/>
        <v>Spear</v>
      </c>
      <c r="P37" s="120">
        <f t="shared" si="5"/>
        <v>1013.1</v>
      </c>
      <c r="Q37" s="122" t="str">
        <f t="shared" si="6"/>
        <v>Dex</v>
      </c>
      <c r="R37" s="122">
        <f t="shared" si="7"/>
        <v>-1</v>
      </c>
      <c r="T37" s="103">
        <v>40</v>
      </c>
      <c r="U37" s="114">
        <v>11</v>
      </c>
    </row>
    <row r="38" spans="1:21">
      <c r="A38" s="100" t="s">
        <v>338</v>
      </c>
      <c r="B38" s="100">
        <v>961.7</v>
      </c>
      <c r="C38" s="100">
        <v>1.2</v>
      </c>
      <c r="D38" s="100" t="s">
        <v>20</v>
      </c>
      <c r="E38" s="109">
        <v>114</v>
      </c>
      <c r="F38" s="119">
        <v>0</v>
      </c>
      <c r="G38" s="120">
        <v>0</v>
      </c>
      <c r="H38" s="121">
        <v>0</v>
      </c>
      <c r="I38" s="122">
        <v>0</v>
      </c>
      <c r="J38" s="121">
        <v>0</v>
      </c>
      <c r="K38" s="122">
        <v>1</v>
      </c>
      <c r="O38" s="122" t="str">
        <f t="shared" si="4"/>
        <v>Spear</v>
      </c>
      <c r="P38" s="120">
        <f t="shared" si="5"/>
        <v>1013</v>
      </c>
      <c r="Q38" s="122" t="str">
        <f t="shared" si="6"/>
        <v>Int</v>
      </c>
      <c r="R38" s="122">
        <f t="shared" si="7"/>
        <v>1.2</v>
      </c>
      <c r="S38" s="101">
        <v>23</v>
      </c>
      <c r="U38" s="113">
        <v>1</v>
      </c>
    </row>
    <row r="39" spans="1:21">
      <c r="A39" s="100" t="s">
        <v>338</v>
      </c>
      <c r="B39" s="100">
        <v>964.7</v>
      </c>
      <c r="C39" s="100">
        <v>1.2</v>
      </c>
      <c r="D39" s="100" t="s">
        <v>20</v>
      </c>
      <c r="E39" s="109">
        <v>105</v>
      </c>
      <c r="F39" s="119">
        <v>0</v>
      </c>
      <c r="G39" s="120">
        <v>0</v>
      </c>
      <c r="H39" s="121">
        <v>0</v>
      </c>
      <c r="I39" s="122">
        <v>0</v>
      </c>
      <c r="J39" s="121">
        <v>0</v>
      </c>
      <c r="K39" s="122">
        <v>1</v>
      </c>
      <c r="O39" s="122" t="str">
        <f t="shared" si="4"/>
        <v>Spear</v>
      </c>
      <c r="P39" s="120">
        <f t="shared" si="5"/>
        <v>1011.95</v>
      </c>
      <c r="Q39" s="122" t="str">
        <f t="shared" si="6"/>
        <v>Int</v>
      </c>
      <c r="R39" s="122">
        <f t="shared" si="7"/>
        <v>1.2</v>
      </c>
      <c r="T39" s="102">
        <v>50</v>
      </c>
      <c r="U39" s="113">
        <v>10</v>
      </c>
    </row>
    <row r="40" spans="1:21">
      <c r="A40" s="100" t="s">
        <v>343</v>
      </c>
      <c r="B40" s="100">
        <v>964.8</v>
      </c>
      <c r="C40" s="100">
        <v>1.2</v>
      </c>
      <c r="D40" s="100" t="s">
        <v>350</v>
      </c>
      <c r="E40" s="109">
        <v>100</v>
      </c>
      <c r="F40" s="119">
        <v>0</v>
      </c>
      <c r="G40" s="120">
        <v>0</v>
      </c>
      <c r="H40" s="121">
        <v>0</v>
      </c>
      <c r="I40" s="122">
        <v>0</v>
      </c>
      <c r="J40" s="121">
        <v>2000</v>
      </c>
      <c r="K40" s="122">
        <v>1</v>
      </c>
      <c r="O40" s="122" t="str">
        <f t="shared" si="4"/>
        <v>Mace</v>
      </c>
      <c r="P40" s="120">
        <f t="shared" si="5"/>
        <v>1009.8</v>
      </c>
      <c r="Q40" s="122" t="str">
        <f t="shared" si="6"/>
        <v>Int/Str</v>
      </c>
      <c r="R40" s="122">
        <f t="shared" si="7"/>
        <v>1.2</v>
      </c>
      <c r="T40" s="102">
        <v>60</v>
      </c>
      <c r="U40" s="113">
        <v>1</v>
      </c>
    </row>
    <row r="41" spans="1:21">
      <c r="A41" s="100" t="s">
        <v>343</v>
      </c>
      <c r="B41" s="100">
        <v>1009.3</v>
      </c>
      <c r="C41" s="100">
        <v>1.2</v>
      </c>
      <c r="D41" s="100" t="s">
        <v>355</v>
      </c>
      <c r="E41" s="109">
        <v>0</v>
      </c>
      <c r="F41" s="119">
        <v>0</v>
      </c>
      <c r="G41" s="120">
        <v>0</v>
      </c>
      <c r="H41" s="121">
        <v>0</v>
      </c>
      <c r="I41" s="122">
        <v>0</v>
      </c>
      <c r="J41" s="121">
        <v>0</v>
      </c>
      <c r="K41" s="122">
        <v>1</v>
      </c>
      <c r="O41" s="122" t="str">
        <f t="shared" si="4"/>
        <v>Mace</v>
      </c>
      <c r="P41" s="120">
        <f t="shared" si="5"/>
        <v>1009.3</v>
      </c>
      <c r="Q41" s="122" t="str">
        <f t="shared" si="6"/>
        <v>Any</v>
      </c>
      <c r="R41" s="122">
        <f t="shared" si="7"/>
        <v>1.2</v>
      </c>
      <c r="S41" s="101">
        <v>32</v>
      </c>
      <c r="U41" s="113">
        <v>6</v>
      </c>
    </row>
    <row r="42" spans="1:21">
      <c r="A42" s="100" t="s">
        <v>338</v>
      </c>
      <c r="B42" s="100">
        <v>935.9</v>
      </c>
      <c r="C42" s="100">
        <v>-1</v>
      </c>
      <c r="D42" s="100" t="s">
        <v>169</v>
      </c>
      <c r="E42" s="109">
        <v>150</v>
      </c>
      <c r="F42" s="119">
        <v>0</v>
      </c>
      <c r="G42" s="120">
        <v>72</v>
      </c>
      <c r="H42" s="121">
        <v>0</v>
      </c>
      <c r="I42" s="122">
        <v>0</v>
      </c>
      <c r="J42" s="121">
        <v>0</v>
      </c>
      <c r="K42" s="121">
        <v>1</v>
      </c>
      <c r="L42" s="121"/>
      <c r="M42" s="121"/>
      <c r="N42" s="121"/>
      <c r="O42" s="122" t="str">
        <f t="shared" si="4"/>
        <v>Spear</v>
      </c>
      <c r="P42" s="120">
        <f t="shared" si="5"/>
        <v>1003.4</v>
      </c>
      <c r="Q42" s="122" t="str">
        <f t="shared" si="6"/>
        <v>Dex</v>
      </c>
      <c r="R42" s="122">
        <f t="shared" si="7"/>
        <v>-1</v>
      </c>
      <c r="T42" s="103">
        <v>250</v>
      </c>
      <c r="U42" s="114">
        <v>18</v>
      </c>
    </row>
    <row r="43" spans="1:21">
      <c r="A43" s="100" t="s">
        <v>340</v>
      </c>
      <c r="B43" s="100">
        <v>935.8</v>
      </c>
      <c r="C43" s="100">
        <v>1.3</v>
      </c>
      <c r="D43" s="100" t="s">
        <v>339</v>
      </c>
      <c r="E43" s="109">
        <v>145</v>
      </c>
      <c r="F43" s="119">
        <v>0</v>
      </c>
      <c r="G43" s="120">
        <v>50</v>
      </c>
      <c r="H43" s="121">
        <v>0</v>
      </c>
      <c r="I43" s="122">
        <v>0</v>
      </c>
      <c r="J43" s="121">
        <v>0</v>
      </c>
      <c r="K43" s="122">
        <v>1</v>
      </c>
      <c r="O43" s="122" t="str">
        <f t="shared" si="4"/>
        <v>Axe</v>
      </c>
      <c r="P43" s="120">
        <f t="shared" si="5"/>
        <v>1001.05</v>
      </c>
      <c r="Q43" s="122" t="str">
        <f t="shared" si="6"/>
        <v>Str</v>
      </c>
      <c r="R43" s="122">
        <f t="shared" si="7"/>
        <v>1.3</v>
      </c>
      <c r="T43" s="102">
        <v>250</v>
      </c>
      <c r="U43" s="113">
        <v>4</v>
      </c>
    </row>
    <row r="44" spans="1:21">
      <c r="A44" s="100" t="s">
        <v>340</v>
      </c>
      <c r="B44" s="100">
        <v>998.7</v>
      </c>
      <c r="C44" s="100">
        <v>1.2</v>
      </c>
      <c r="D44" s="100" t="s">
        <v>355</v>
      </c>
      <c r="E44" s="109">
        <v>0</v>
      </c>
      <c r="F44" s="119">
        <v>136</v>
      </c>
      <c r="G44" s="120">
        <v>0</v>
      </c>
      <c r="H44" s="121">
        <v>0</v>
      </c>
      <c r="I44" s="122">
        <v>0</v>
      </c>
      <c r="J44" s="121">
        <v>0</v>
      </c>
      <c r="K44" s="122">
        <v>1</v>
      </c>
      <c r="O44" s="122" t="str">
        <f t="shared" si="4"/>
        <v>Axe</v>
      </c>
      <c r="P44" s="120">
        <f t="shared" si="5"/>
        <v>998.7</v>
      </c>
      <c r="Q44" s="122" t="str">
        <f t="shared" si="6"/>
        <v>Any</v>
      </c>
      <c r="R44" s="122">
        <f t="shared" si="7"/>
        <v>1.2</v>
      </c>
      <c r="S44" s="101">
        <v>48</v>
      </c>
      <c r="U44" s="113">
        <v>-1</v>
      </c>
    </row>
    <row r="45" spans="1:21">
      <c r="A45" s="100" t="s">
        <v>341</v>
      </c>
      <c r="B45" s="100">
        <v>964.7</v>
      </c>
      <c r="C45" s="100">
        <v>1.5</v>
      </c>
      <c r="D45" s="100" t="s">
        <v>20</v>
      </c>
      <c r="E45" s="109">
        <v>68</v>
      </c>
      <c r="F45" s="119">
        <v>52</v>
      </c>
      <c r="G45" s="120">
        <v>0</v>
      </c>
      <c r="H45" s="121">
        <v>0</v>
      </c>
      <c r="I45" s="122">
        <v>555</v>
      </c>
      <c r="J45" s="121">
        <v>0</v>
      </c>
      <c r="K45" s="121">
        <v>1</v>
      </c>
      <c r="L45" s="121"/>
      <c r="M45" s="121"/>
      <c r="N45" s="121"/>
      <c r="O45" s="122" t="str">
        <f t="shared" si="4"/>
        <v>Dagger</v>
      </c>
      <c r="P45" s="120">
        <f t="shared" si="5"/>
        <v>995.30000000000007</v>
      </c>
      <c r="Q45" s="122" t="str">
        <f t="shared" si="6"/>
        <v>Int</v>
      </c>
      <c r="R45" s="122">
        <f t="shared" si="7"/>
        <v>1.5</v>
      </c>
      <c r="T45" s="103">
        <v>175</v>
      </c>
      <c r="U45" s="114">
        <v>2</v>
      </c>
    </row>
    <row r="46" spans="1:21">
      <c r="A46" s="100" t="s">
        <v>343</v>
      </c>
      <c r="B46" s="100">
        <v>941.4</v>
      </c>
      <c r="C46" s="100">
        <v>1.2</v>
      </c>
      <c r="D46" s="100" t="s">
        <v>169</v>
      </c>
      <c r="E46" s="109">
        <v>116</v>
      </c>
      <c r="F46" s="119">
        <v>150</v>
      </c>
      <c r="G46" s="120">
        <v>55</v>
      </c>
      <c r="H46" s="121">
        <v>0</v>
      </c>
      <c r="I46" s="122">
        <v>0</v>
      </c>
      <c r="J46" s="121">
        <v>0</v>
      </c>
      <c r="K46" s="122">
        <v>1</v>
      </c>
      <c r="O46" s="122" t="str">
        <f t="shared" si="4"/>
        <v>Mace</v>
      </c>
      <c r="P46" s="120">
        <f t="shared" si="5"/>
        <v>993.6</v>
      </c>
      <c r="Q46" s="122" t="str">
        <f t="shared" si="6"/>
        <v>Dex</v>
      </c>
      <c r="R46" s="122">
        <f t="shared" si="7"/>
        <v>1.2</v>
      </c>
      <c r="T46" s="102">
        <v>200</v>
      </c>
      <c r="U46" s="113">
        <v>1</v>
      </c>
    </row>
    <row r="47" spans="1:21">
      <c r="A47" s="100" t="s">
        <v>338</v>
      </c>
      <c r="B47" s="100">
        <v>992.1</v>
      </c>
      <c r="C47" s="100">
        <v>-1</v>
      </c>
      <c r="D47" s="100" t="s">
        <v>355</v>
      </c>
      <c r="E47" s="109">
        <v>0</v>
      </c>
      <c r="F47" s="119">
        <v>0</v>
      </c>
      <c r="G47" s="120">
        <v>50</v>
      </c>
      <c r="H47" s="121">
        <v>2.8</v>
      </c>
      <c r="I47" s="122">
        <v>0</v>
      </c>
      <c r="J47" s="121">
        <v>0</v>
      </c>
      <c r="K47" s="122">
        <v>1</v>
      </c>
      <c r="O47" s="122" t="str">
        <f t="shared" si="4"/>
        <v>Spear</v>
      </c>
      <c r="P47" s="120">
        <f t="shared" si="5"/>
        <v>992.1</v>
      </c>
      <c r="Q47" s="122" t="str">
        <f t="shared" si="6"/>
        <v>Any</v>
      </c>
      <c r="R47" s="122">
        <f t="shared" si="7"/>
        <v>-1</v>
      </c>
      <c r="T47" s="102">
        <v>250</v>
      </c>
      <c r="U47" s="113">
        <v>1</v>
      </c>
    </row>
    <row r="48" spans="1:21">
      <c r="A48" s="100" t="s">
        <v>338</v>
      </c>
      <c r="B48" s="100">
        <v>992</v>
      </c>
      <c r="C48" s="100">
        <v>1.2</v>
      </c>
      <c r="D48" s="100" t="s">
        <v>355</v>
      </c>
      <c r="E48" s="109">
        <v>0</v>
      </c>
      <c r="F48" s="119">
        <v>0</v>
      </c>
      <c r="G48" s="120">
        <v>75</v>
      </c>
      <c r="H48" s="121">
        <v>0</v>
      </c>
      <c r="I48" s="122">
        <v>0</v>
      </c>
      <c r="J48" s="121">
        <v>0</v>
      </c>
      <c r="K48" s="122">
        <v>1</v>
      </c>
      <c r="O48" s="122" t="str">
        <f t="shared" si="4"/>
        <v>Spear</v>
      </c>
      <c r="P48" s="120">
        <f t="shared" si="5"/>
        <v>992</v>
      </c>
      <c r="Q48" s="122" t="str">
        <f t="shared" si="6"/>
        <v>Any</v>
      </c>
      <c r="R48" s="122">
        <f t="shared" si="7"/>
        <v>1.2</v>
      </c>
      <c r="S48" s="101">
        <v>135</v>
      </c>
      <c r="U48" s="113">
        <v>5</v>
      </c>
    </row>
    <row r="49" spans="1:21">
      <c r="A49" s="100" t="s">
        <v>343</v>
      </c>
      <c r="B49" s="100">
        <v>991.9</v>
      </c>
      <c r="C49" s="100">
        <v>1.2</v>
      </c>
      <c r="D49" s="100" t="s">
        <v>355</v>
      </c>
      <c r="E49" s="109">
        <v>0</v>
      </c>
      <c r="F49" s="119">
        <v>0</v>
      </c>
      <c r="G49" s="120">
        <v>0</v>
      </c>
      <c r="H49" s="121">
        <v>0</v>
      </c>
      <c r="I49" s="122">
        <v>0</v>
      </c>
      <c r="J49" s="121">
        <v>0</v>
      </c>
      <c r="K49" s="122">
        <v>1</v>
      </c>
      <c r="O49" s="122" t="str">
        <f t="shared" si="4"/>
        <v>Mace</v>
      </c>
      <c r="P49" s="120">
        <f t="shared" si="5"/>
        <v>991.9</v>
      </c>
      <c r="Q49" s="122" t="str">
        <f t="shared" si="6"/>
        <v>Any</v>
      </c>
      <c r="R49" s="122">
        <f t="shared" si="7"/>
        <v>1.2</v>
      </c>
      <c r="T49" s="102">
        <v>40</v>
      </c>
      <c r="U49" s="113">
        <v>16</v>
      </c>
    </row>
    <row r="50" spans="1:21">
      <c r="A50" s="100" t="s">
        <v>338</v>
      </c>
      <c r="B50" s="100">
        <v>991.5</v>
      </c>
      <c r="C50" s="100">
        <v>1.2</v>
      </c>
      <c r="D50" s="100" t="s">
        <v>355</v>
      </c>
      <c r="E50" s="109">
        <v>0</v>
      </c>
      <c r="F50" s="119">
        <v>0</v>
      </c>
      <c r="G50" s="120">
        <v>0</v>
      </c>
      <c r="H50" s="121">
        <v>0</v>
      </c>
      <c r="I50" s="122">
        <v>0</v>
      </c>
      <c r="J50" s="121">
        <v>0</v>
      </c>
      <c r="K50" s="122">
        <v>1</v>
      </c>
      <c r="O50" s="122" t="str">
        <f t="shared" si="4"/>
        <v>Spear</v>
      </c>
      <c r="P50" s="120">
        <f t="shared" si="5"/>
        <v>991.5</v>
      </c>
      <c r="Q50" s="122" t="str">
        <f t="shared" si="6"/>
        <v>Any</v>
      </c>
      <c r="R50" s="122">
        <f t="shared" si="7"/>
        <v>1.2</v>
      </c>
      <c r="T50" s="102">
        <v>36</v>
      </c>
      <c r="U50" s="113">
        <v>26</v>
      </c>
    </row>
    <row r="51" spans="1:21">
      <c r="A51" s="100" t="s">
        <v>340</v>
      </c>
      <c r="B51" s="100">
        <v>991.2</v>
      </c>
      <c r="C51" s="100">
        <v>1.43</v>
      </c>
      <c r="D51" s="100" t="s">
        <v>355</v>
      </c>
      <c r="E51" s="109">
        <v>0</v>
      </c>
      <c r="F51" s="119">
        <v>0</v>
      </c>
      <c r="G51" s="120">
        <v>52</v>
      </c>
      <c r="H51" s="121">
        <v>0</v>
      </c>
      <c r="I51" s="122">
        <v>0</v>
      </c>
      <c r="J51" s="121">
        <v>1000</v>
      </c>
      <c r="K51" s="122">
        <v>1</v>
      </c>
      <c r="O51" s="122" t="str">
        <f t="shared" si="4"/>
        <v>Axe</v>
      </c>
      <c r="P51" s="120">
        <f t="shared" si="5"/>
        <v>991.2</v>
      </c>
      <c r="Q51" s="122" t="str">
        <f t="shared" si="6"/>
        <v>Any</v>
      </c>
      <c r="R51" s="122">
        <f t="shared" si="7"/>
        <v>1.43</v>
      </c>
      <c r="T51" s="102">
        <v>250</v>
      </c>
      <c r="U51" s="113">
        <v>1</v>
      </c>
    </row>
    <row r="52" spans="1:21">
      <c r="A52" s="100" t="s">
        <v>340</v>
      </c>
      <c r="B52" s="100">
        <v>988</v>
      </c>
      <c r="C52" s="100">
        <v>1.3</v>
      </c>
      <c r="D52" s="100" t="s">
        <v>355</v>
      </c>
      <c r="E52" s="109">
        <v>0</v>
      </c>
      <c r="F52" s="119">
        <v>0</v>
      </c>
      <c r="G52" s="120">
        <v>0</v>
      </c>
      <c r="H52" s="121">
        <v>0</v>
      </c>
      <c r="I52" s="122">
        <v>0</v>
      </c>
      <c r="J52" s="121">
        <v>0</v>
      </c>
      <c r="K52" s="122">
        <v>1</v>
      </c>
      <c r="O52" s="122" t="str">
        <f t="shared" si="4"/>
        <v>Axe</v>
      </c>
      <c r="P52" s="120">
        <f t="shared" si="5"/>
        <v>988</v>
      </c>
      <c r="Q52" s="122" t="str">
        <f t="shared" si="6"/>
        <v>Any</v>
      </c>
      <c r="R52" s="122">
        <f t="shared" si="7"/>
        <v>1.3</v>
      </c>
      <c r="S52" s="101">
        <v>30</v>
      </c>
      <c r="U52" s="113">
        <v>16</v>
      </c>
    </row>
    <row r="53" spans="1:21">
      <c r="A53" s="100" t="s">
        <v>337</v>
      </c>
      <c r="B53" s="100">
        <v>987</v>
      </c>
      <c r="C53" s="100">
        <v>1.55</v>
      </c>
      <c r="D53" s="100" t="s">
        <v>355</v>
      </c>
      <c r="E53" s="109">
        <v>0</v>
      </c>
      <c r="F53" s="119">
        <v>0</v>
      </c>
      <c r="G53" s="120">
        <v>0</v>
      </c>
      <c r="H53" s="121">
        <v>0</v>
      </c>
      <c r="I53" s="122">
        <v>0</v>
      </c>
      <c r="J53" s="121">
        <v>0</v>
      </c>
      <c r="K53" s="121">
        <v>1</v>
      </c>
      <c r="L53" s="121"/>
      <c r="M53" s="121"/>
      <c r="N53" s="121"/>
      <c r="O53" s="122" t="str">
        <f t="shared" si="4"/>
        <v>Sword</v>
      </c>
      <c r="P53" s="120">
        <f t="shared" si="5"/>
        <v>987</v>
      </c>
      <c r="Q53" s="122" t="str">
        <f t="shared" si="6"/>
        <v>Any</v>
      </c>
      <c r="R53" s="122">
        <f t="shared" si="7"/>
        <v>1.55</v>
      </c>
      <c r="S53" s="101">
        <v>23.5</v>
      </c>
      <c r="U53" s="114">
        <v>2</v>
      </c>
    </row>
    <row r="54" spans="1:21">
      <c r="A54" s="100" t="s">
        <v>340</v>
      </c>
      <c r="B54" s="100">
        <v>986.3</v>
      </c>
      <c r="C54" s="100">
        <v>1.3</v>
      </c>
      <c r="D54" s="100" t="s">
        <v>355</v>
      </c>
      <c r="E54" s="109">
        <v>0</v>
      </c>
      <c r="F54" s="119">
        <v>0</v>
      </c>
      <c r="G54" s="120">
        <v>0</v>
      </c>
      <c r="H54" s="121">
        <v>0</v>
      </c>
      <c r="I54" s="122">
        <v>0</v>
      </c>
      <c r="J54" s="121">
        <v>2000</v>
      </c>
      <c r="K54" s="122">
        <v>1</v>
      </c>
      <c r="O54" s="122" t="str">
        <f t="shared" si="4"/>
        <v>Axe</v>
      </c>
      <c r="P54" s="120">
        <f t="shared" si="5"/>
        <v>986.3</v>
      </c>
      <c r="Q54" s="122" t="str">
        <f t="shared" si="6"/>
        <v>Any</v>
      </c>
      <c r="R54" s="122">
        <f t="shared" si="7"/>
        <v>1.3</v>
      </c>
      <c r="T54" s="102">
        <v>50</v>
      </c>
      <c r="U54" s="113">
        <v>9</v>
      </c>
    </row>
    <row r="55" spans="1:21">
      <c r="A55" s="100" t="s">
        <v>343</v>
      </c>
      <c r="B55" s="100">
        <v>983.5</v>
      </c>
      <c r="C55" s="100">
        <v>1.2</v>
      </c>
      <c r="D55" s="100" t="s">
        <v>355</v>
      </c>
      <c r="E55" s="109">
        <v>0</v>
      </c>
      <c r="F55" s="119">
        <v>119</v>
      </c>
      <c r="G55" s="120">
        <v>0</v>
      </c>
      <c r="H55" s="121">
        <v>0</v>
      </c>
      <c r="I55" s="122">
        <v>513</v>
      </c>
      <c r="J55" s="121">
        <v>0</v>
      </c>
      <c r="K55" s="122">
        <v>1</v>
      </c>
      <c r="O55" s="122" t="str">
        <f t="shared" si="4"/>
        <v>Mace</v>
      </c>
      <c r="P55" s="120">
        <f t="shared" si="5"/>
        <v>983.5</v>
      </c>
      <c r="Q55" s="122" t="str">
        <f t="shared" si="6"/>
        <v>Any</v>
      </c>
      <c r="R55" s="122">
        <f t="shared" si="7"/>
        <v>1.2</v>
      </c>
      <c r="T55" s="102">
        <v>200</v>
      </c>
      <c r="U55" s="113">
        <v>12</v>
      </c>
    </row>
    <row r="56" spans="1:21">
      <c r="A56" s="100" t="s">
        <v>343</v>
      </c>
      <c r="B56" s="100">
        <v>983.4</v>
      </c>
      <c r="C56" s="100">
        <v>1.2</v>
      </c>
      <c r="D56" s="100" t="s">
        <v>355</v>
      </c>
      <c r="E56" s="109">
        <v>0</v>
      </c>
      <c r="F56" s="119">
        <v>0</v>
      </c>
      <c r="G56" s="120">
        <v>0</v>
      </c>
      <c r="H56" s="121">
        <v>0</v>
      </c>
      <c r="I56" s="122">
        <v>0</v>
      </c>
      <c r="J56" s="121">
        <v>0</v>
      </c>
      <c r="K56" s="122">
        <v>1</v>
      </c>
      <c r="O56" s="122" t="str">
        <f t="shared" si="4"/>
        <v>Mace</v>
      </c>
      <c r="P56" s="120">
        <f t="shared" si="5"/>
        <v>983.4</v>
      </c>
      <c r="Q56" s="122" t="str">
        <f t="shared" si="6"/>
        <v>Any</v>
      </c>
      <c r="R56" s="122">
        <f t="shared" si="7"/>
        <v>1.2</v>
      </c>
      <c r="T56" s="102">
        <v>35</v>
      </c>
      <c r="U56" s="113">
        <v>2</v>
      </c>
    </row>
    <row r="57" spans="1:21">
      <c r="A57" s="100" t="s">
        <v>340</v>
      </c>
      <c r="B57" s="100">
        <v>981.8</v>
      </c>
      <c r="C57" s="100">
        <v>1.3</v>
      </c>
      <c r="D57" s="100" t="s">
        <v>355</v>
      </c>
      <c r="E57" s="109">
        <v>0</v>
      </c>
      <c r="F57" s="119">
        <v>0</v>
      </c>
      <c r="G57" s="120">
        <v>0</v>
      </c>
      <c r="H57" s="121">
        <v>0</v>
      </c>
      <c r="I57" s="122">
        <v>0</v>
      </c>
      <c r="J57" s="121">
        <v>0</v>
      </c>
      <c r="K57" s="122">
        <v>1</v>
      </c>
      <c r="O57" s="122" t="str">
        <f t="shared" si="4"/>
        <v>Axe</v>
      </c>
      <c r="P57" s="120">
        <f t="shared" si="5"/>
        <v>981.8</v>
      </c>
      <c r="Q57" s="122" t="str">
        <f t="shared" si="6"/>
        <v>Any</v>
      </c>
      <c r="R57" s="122">
        <f t="shared" si="7"/>
        <v>1.3</v>
      </c>
      <c r="T57" s="102">
        <v>35</v>
      </c>
      <c r="U57" s="113">
        <v>6</v>
      </c>
    </row>
    <row r="58" spans="1:21">
      <c r="A58" s="100" t="s">
        <v>343</v>
      </c>
      <c r="B58" s="100">
        <v>931.7</v>
      </c>
      <c r="C58" s="100">
        <v>1.2</v>
      </c>
      <c r="D58" s="100" t="s">
        <v>20</v>
      </c>
      <c r="E58" s="109">
        <v>109</v>
      </c>
      <c r="F58" s="119">
        <v>0</v>
      </c>
      <c r="G58" s="120">
        <v>0</v>
      </c>
      <c r="H58" s="121">
        <v>2.2999999999999998</v>
      </c>
      <c r="I58" s="122">
        <v>0</v>
      </c>
      <c r="J58" s="121">
        <v>0</v>
      </c>
      <c r="K58" s="122">
        <v>1</v>
      </c>
      <c r="O58" s="122" t="str">
        <f t="shared" si="4"/>
        <v>Mace</v>
      </c>
      <c r="P58" s="120">
        <f t="shared" si="5"/>
        <v>980.75</v>
      </c>
      <c r="Q58" s="122" t="str">
        <f t="shared" si="6"/>
        <v>Int</v>
      </c>
      <c r="R58" s="122">
        <f t="shared" si="7"/>
        <v>1.2</v>
      </c>
      <c r="T58" s="102">
        <v>39</v>
      </c>
      <c r="U58" s="113">
        <v>2</v>
      </c>
    </row>
    <row r="59" spans="1:21">
      <c r="A59" s="100" t="s">
        <v>338</v>
      </c>
      <c r="B59" s="100">
        <v>942.8</v>
      </c>
      <c r="C59" s="100">
        <v>1.2</v>
      </c>
      <c r="D59" s="100" t="s">
        <v>20</v>
      </c>
      <c r="E59" s="109">
        <v>78</v>
      </c>
      <c r="F59" s="119">
        <v>147</v>
      </c>
      <c r="G59" s="120">
        <v>0</v>
      </c>
      <c r="H59" s="121">
        <v>0</v>
      </c>
      <c r="I59" s="122">
        <v>0</v>
      </c>
      <c r="J59" s="121">
        <v>0</v>
      </c>
      <c r="K59" s="121">
        <v>1</v>
      </c>
      <c r="L59" s="121"/>
      <c r="M59" s="121"/>
      <c r="N59" s="121"/>
      <c r="O59" s="122" t="str">
        <f t="shared" si="4"/>
        <v>Spear</v>
      </c>
      <c r="P59" s="120">
        <f t="shared" si="5"/>
        <v>977.9</v>
      </c>
      <c r="Q59" s="122" t="str">
        <f t="shared" si="6"/>
        <v>Int</v>
      </c>
      <c r="R59" s="122">
        <f t="shared" si="7"/>
        <v>1.2</v>
      </c>
      <c r="T59" s="103">
        <v>50</v>
      </c>
      <c r="U59" s="114">
        <v>7</v>
      </c>
    </row>
    <row r="60" spans="1:21">
      <c r="A60" s="100" t="s">
        <v>340</v>
      </c>
      <c r="B60" s="100">
        <v>977.5</v>
      </c>
      <c r="C60" s="100">
        <v>-1</v>
      </c>
      <c r="D60" s="100" t="s">
        <v>355</v>
      </c>
      <c r="E60" s="109">
        <v>0</v>
      </c>
      <c r="F60" s="119">
        <v>0</v>
      </c>
      <c r="G60" s="120">
        <v>56</v>
      </c>
      <c r="H60" s="121">
        <v>0</v>
      </c>
      <c r="I60" s="122">
        <v>0</v>
      </c>
      <c r="J60" s="121">
        <v>0</v>
      </c>
      <c r="K60" s="121">
        <v>1</v>
      </c>
      <c r="L60" s="121"/>
      <c r="M60" s="121"/>
      <c r="N60" s="121"/>
      <c r="O60" s="122" t="str">
        <f t="shared" si="4"/>
        <v>Axe</v>
      </c>
      <c r="P60" s="120">
        <f t="shared" si="5"/>
        <v>977.5</v>
      </c>
      <c r="Q60" s="122" t="str">
        <f t="shared" si="6"/>
        <v>Any</v>
      </c>
      <c r="R60" s="122">
        <f t="shared" si="7"/>
        <v>-1</v>
      </c>
      <c r="T60" s="103">
        <v>250</v>
      </c>
      <c r="U60" s="114">
        <v>30</v>
      </c>
    </row>
    <row r="61" spans="1:21">
      <c r="A61" s="100" t="s">
        <v>343</v>
      </c>
      <c r="B61" s="100">
        <v>926.5</v>
      </c>
      <c r="C61" s="100">
        <v>1.2</v>
      </c>
      <c r="D61" s="100" t="s">
        <v>20</v>
      </c>
      <c r="E61" s="109">
        <v>110</v>
      </c>
      <c r="F61" s="119">
        <v>0</v>
      </c>
      <c r="G61" s="120">
        <v>0</v>
      </c>
      <c r="H61" s="121">
        <v>2.8</v>
      </c>
      <c r="I61" s="122">
        <v>0</v>
      </c>
      <c r="J61" s="121">
        <v>0</v>
      </c>
      <c r="K61" s="122">
        <v>1</v>
      </c>
      <c r="O61" s="122" t="str">
        <f t="shared" si="4"/>
        <v>Mace</v>
      </c>
      <c r="P61" s="120">
        <f t="shared" si="5"/>
        <v>976</v>
      </c>
      <c r="Q61" s="122" t="str">
        <f t="shared" si="6"/>
        <v>Int</v>
      </c>
      <c r="R61" s="122">
        <f t="shared" si="7"/>
        <v>1.2</v>
      </c>
      <c r="T61" s="102">
        <v>35</v>
      </c>
      <c r="U61" s="113">
        <v>1</v>
      </c>
    </row>
    <row r="62" spans="1:21">
      <c r="A62" s="100" t="s">
        <v>337</v>
      </c>
      <c r="B62" s="100">
        <v>945.9</v>
      </c>
      <c r="C62" s="100">
        <v>1.4</v>
      </c>
      <c r="D62" s="100" t="s">
        <v>20</v>
      </c>
      <c r="E62" s="109">
        <v>55</v>
      </c>
      <c r="F62" s="119">
        <v>75</v>
      </c>
      <c r="G62" s="120">
        <v>0</v>
      </c>
      <c r="H62" s="121">
        <v>0</v>
      </c>
      <c r="I62" s="122">
        <v>0</v>
      </c>
      <c r="J62" s="121">
        <v>0</v>
      </c>
      <c r="K62" s="122">
        <v>1</v>
      </c>
      <c r="O62" s="122" t="str">
        <f t="shared" si="4"/>
        <v>Sword</v>
      </c>
      <c r="P62" s="120">
        <f t="shared" si="5"/>
        <v>970.65</v>
      </c>
      <c r="Q62" s="122" t="str">
        <f t="shared" si="6"/>
        <v>Int</v>
      </c>
      <c r="R62" s="122">
        <f t="shared" si="7"/>
        <v>1.4</v>
      </c>
      <c r="T62" s="102">
        <v>35</v>
      </c>
      <c r="U62" s="113">
        <v>11</v>
      </c>
    </row>
    <row r="63" spans="1:21">
      <c r="A63" s="100" t="s">
        <v>343</v>
      </c>
      <c r="B63" s="100">
        <v>932.7</v>
      </c>
      <c r="C63" s="100">
        <v>1.2</v>
      </c>
      <c r="D63" s="100" t="s">
        <v>20</v>
      </c>
      <c r="E63" s="109">
        <v>61</v>
      </c>
      <c r="F63" s="119">
        <v>0</v>
      </c>
      <c r="G63" s="120">
        <v>0</v>
      </c>
      <c r="H63" s="121">
        <v>0</v>
      </c>
      <c r="I63" s="122">
        <v>0</v>
      </c>
      <c r="J63" s="121">
        <v>0</v>
      </c>
      <c r="K63" s="122">
        <v>1</v>
      </c>
      <c r="O63" s="122" t="str">
        <f t="shared" si="4"/>
        <v>Mace</v>
      </c>
      <c r="P63" s="120">
        <f t="shared" si="5"/>
        <v>960.15000000000009</v>
      </c>
      <c r="Q63" s="122" t="str">
        <f t="shared" si="6"/>
        <v>Int</v>
      </c>
      <c r="R63" s="122">
        <f t="shared" si="7"/>
        <v>1.2</v>
      </c>
      <c r="T63" s="102">
        <v>17</v>
      </c>
      <c r="U63" s="113">
        <v>13</v>
      </c>
    </row>
    <row r="64" spans="1:21">
      <c r="A64" s="100" t="s">
        <v>340</v>
      </c>
      <c r="B64" s="100">
        <v>953.3</v>
      </c>
      <c r="C64" s="100">
        <v>-1</v>
      </c>
      <c r="D64" s="100" t="s">
        <v>355</v>
      </c>
      <c r="E64" s="109">
        <v>0</v>
      </c>
      <c r="F64" s="119">
        <v>0</v>
      </c>
      <c r="G64" s="120">
        <v>0</v>
      </c>
      <c r="H64" s="121">
        <v>0</v>
      </c>
      <c r="I64" s="122">
        <v>0</v>
      </c>
      <c r="J64" s="121">
        <v>0</v>
      </c>
      <c r="K64" s="121">
        <v>1</v>
      </c>
      <c r="L64" s="121"/>
      <c r="M64" s="121"/>
      <c r="N64" s="121"/>
      <c r="O64" s="122" t="str">
        <f t="shared" si="4"/>
        <v>Axe</v>
      </c>
      <c r="P64" s="120">
        <f t="shared" si="5"/>
        <v>953.3</v>
      </c>
      <c r="Q64" s="122" t="str">
        <f t="shared" si="6"/>
        <v>Any</v>
      </c>
      <c r="R64" s="122">
        <f t="shared" si="7"/>
        <v>-1</v>
      </c>
      <c r="T64" s="103">
        <v>22</v>
      </c>
      <c r="U64" s="114">
        <v>3</v>
      </c>
    </row>
    <row r="65" spans="1:21">
      <c r="A65" s="100" t="s">
        <v>338</v>
      </c>
      <c r="B65" s="100">
        <v>905.8</v>
      </c>
      <c r="C65" s="100">
        <v>1.2</v>
      </c>
      <c r="D65" s="100" t="s">
        <v>20</v>
      </c>
      <c r="E65" s="109">
        <v>102</v>
      </c>
      <c r="F65" s="119">
        <v>0</v>
      </c>
      <c r="G65" s="120">
        <v>0</v>
      </c>
      <c r="H65" s="121">
        <v>0</v>
      </c>
      <c r="I65" s="122">
        <v>730</v>
      </c>
      <c r="J65" s="121">
        <v>0</v>
      </c>
      <c r="K65" s="121">
        <v>1</v>
      </c>
      <c r="L65" s="121"/>
      <c r="M65" s="121"/>
      <c r="N65" s="121"/>
      <c r="O65" s="122" t="str">
        <f t="shared" si="4"/>
        <v>Spear</v>
      </c>
      <c r="P65" s="120">
        <f t="shared" si="5"/>
        <v>951.69999999999993</v>
      </c>
      <c r="Q65" s="122" t="str">
        <f t="shared" si="6"/>
        <v>Int</v>
      </c>
      <c r="R65" s="122">
        <f t="shared" si="7"/>
        <v>1.2</v>
      </c>
      <c r="T65" s="103">
        <v>150</v>
      </c>
      <c r="U65" s="114">
        <v>8</v>
      </c>
    </row>
    <row r="66" spans="1:21">
      <c r="A66" s="100" t="s">
        <v>340</v>
      </c>
      <c r="B66" s="100">
        <v>949.1</v>
      </c>
      <c r="C66" s="100">
        <v>1.3</v>
      </c>
      <c r="D66" s="100" t="s">
        <v>355</v>
      </c>
      <c r="E66" s="109">
        <v>0</v>
      </c>
      <c r="F66" s="119">
        <v>0</v>
      </c>
      <c r="G66" s="120">
        <v>0</v>
      </c>
      <c r="H66" s="121">
        <v>0</v>
      </c>
      <c r="I66" s="122">
        <v>0</v>
      </c>
      <c r="J66" s="121">
        <v>0</v>
      </c>
      <c r="K66" s="122">
        <v>1</v>
      </c>
      <c r="O66" s="122" t="str">
        <f t="shared" ref="O66:O75" si="8">A66</f>
        <v>Axe</v>
      </c>
      <c r="P66" s="120">
        <f t="shared" ref="P66:P75" si="9">B66 + E66 * $Z$1</f>
        <v>949.1</v>
      </c>
      <c r="Q66" s="122" t="str">
        <f t="shared" ref="Q66:Q75" si="10">D66</f>
        <v>Any</v>
      </c>
      <c r="R66" s="122">
        <f t="shared" ref="R66:R75" si="11">C66</f>
        <v>1.3</v>
      </c>
      <c r="T66" s="102">
        <v>20</v>
      </c>
      <c r="U66" s="113">
        <v>14</v>
      </c>
    </row>
    <row r="67" spans="1:21">
      <c r="A67" s="100" t="s">
        <v>338</v>
      </c>
      <c r="B67" s="100">
        <v>945.1</v>
      </c>
      <c r="C67" s="100">
        <v>1.2</v>
      </c>
      <c r="D67" s="100" t="s">
        <v>355</v>
      </c>
      <c r="E67" s="109">
        <v>0</v>
      </c>
      <c r="F67" s="119">
        <v>0</v>
      </c>
      <c r="G67" s="120">
        <v>51</v>
      </c>
      <c r="H67" s="121">
        <v>0</v>
      </c>
      <c r="I67" s="122">
        <v>0</v>
      </c>
      <c r="J67" s="121">
        <v>0</v>
      </c>
      <c r="K67" s="122">
        <v>1</v>
      </c>
      <c r="O67" s="122" t="str">
        <f t="shared" si="8"/>
        <v>Spear</v>
      </c>
      <c r="P67" s="120">
        <f t="shared" si="9"/>
        <v>945.1</v>
      </c>
      <c r="Q67" s="122" t="str">
        <f t="shared" si="10"/>
        <v>Any</v>
      </c>
      <c r="R67" s="122">
        <f t="shared" si="11"/>
        <v>1.2</v>
      </c>
      <c r="T67" s="102">
        <v>165</v>
      </c>
      <c r="U67" s="113">
        <v>35</v>
      </c>
    </row>
    <row r="68" spans="1:21">
      <c r="A68" s="100" t="s">
        <v>337</v>
      </c>
      <c r="B68" s="100">
        <v>942.8</v>
      </c>
      <c r="C68" s="100">
        <v>1.4</v>
      </c>
      <c r="D68" s="100" t="s">
        <v>355</v>
      </c>
      <c r="E68" s="109">
        <v>0</v>
      </c>
      <c r="F68" s="119">
        <v>0</v>
      </c>
      <c r="G68" s="120">
        <v>0</v>
      </c>
      <c r="H68" s="121">
        <v>2.9</v>
      </c>
      <c r="I68" s="122">
        <v>0</v>
      </c>
      <c r="J68" s="121">
        <v>0</v>
      </c>
      <c r="K68" s="122">
        <v>1</v>
      </c>
      <c r="O68" s="122" t="str">
        <f t="shared" si="8"/>
        <v>Sword</v>
      </c>
      <c r="P68" s="120">
        <f t="shared" si="9"/>
        <v>942.8</v>
      </c>
      <c r="Q68" s="122" t="str">
        <f t="shared" si="10"/>
        <v>Any</v>
      </c>
      <c r="R68" s="122">
        <f t="shared" si="11"/>
        <v>1.4</v>
      </c>
      <c r="T68" s="102">
        <v>40</v>
      </c>
      <c r="U68" s="113">
        <v>2</v>
      </c>
    </row>
    <row r="69" spans="1:21">
      <c r="A69" s="100" t="s">
        <v>340</v>
      </c>
      <c r="B69" s="100">
        <v>937.2</v>
      </c>
      <c r="C69" s="100">
        <v>1.44</v>
      </c>
      <c r="D69" s="100" t="s">
        <v>355</v>
      </c>
      <c r="E69" s="109">
        <v>0</v>
      </c>
      <c r="F69" s="119">
        <v>0</v>
      </c>
      <c r="G69" s="120">
        <v>42</v>
      </c>
      <c r="H69" s="121">
        <v>0</v>
      </c>
      <c r="I69" s="122">
        <v>0</v>
      </c>
      <c r="J69" s="121">
        <v>0</v>
      </c>
      <c r="K69" s="122">
        <v>1</v>
      </c>
      <c r="O69" s="122" t="str">
        <f t="shared" si="8"/>
        <v>Axe</v>
      </c>
      <c r="P69" s="120">
        <f t="shared" si="9"/>
        <v>937.2</v>
      </c>
      <c r="Q69" s="122" t="str">
        <f t="shared" si="10"/>
        <v>Any</v>
      </c>
      <c r="R69" s="122">
        <f t="shared" si="11"/>
        <v>1.44</v>
      </c>
      <c r="T69" s="102">
        <v>75</v>
      </c>
      <c r="U69" s="113">
        <v>2</v>
      </c>
    </row>
    <row r="70" spans="1:21">
      <c r="A70" s="100" t="s">
        <v>338</v>
      </c>
      <c r="B70" s="100">
        <v>936.7</v>
      </c>
      <c r="C70" s="100">
        <v>1.2</v>
      </c>
      <c r="D70" s="100" t="s">
        <v>355</v>
      </c>
      <c r="E70" s="109">
        <v>0</v>
      </c>
      <c r="F70" s="119">
        <v>0</v>
      </c>
      <c r="G70" s="120">
        <v>0</v>
      </c>
      <c r="H70" s="121">
        <v>0</v>
      </c>
      <c r="I70" s="122">
        <v>0</v>
      </c>
      <c r="J70" s="121">
        <v>0</v>
      </c>
      <c r="K70" s="122">
        <v>1</v>
      </c>
      <c r="O70" s="122" t="str">
        <f t="shared" si="8"/>
        <v>Spear</v>
      </c>
      <c r="P70" s="120">
        <f t="shared" si="9"/>
        <v>936.7</v>
      </c>
      <c r="Q70" s="122" t="str">
        <f t="shared" si="10"/>
        <v>Any</v>
      </c>
      <c r="R70" s="122">
        <f t="shared" si="11"/>
        <v>1.2</v>
      </c>
      <c r="T70" s="102">
        <v>20</v>
      </c>
      <c r="U70" s="113">
        <v>6</v>
      </c>
    </row>
    <row r="71" spans="1:21">
      <c r="A71" s="100" t="s">
        <v>338</v>
      </c>
      <c r="B71" s="100">
        <v>931.3</v>
      </c>
      <c r="C71" s="100">
        <v>1.2</v>
      </c>
      <c r="D71" s="100" t="s">
        <v>355</v>
      </c>
      <c r="E71" s="109">
        <v>0</v>
      </c>
      <c r="F71" s="119">
        <v>0</v>
      </c>
      <c r="G71" s="120">
        <v>45</v>
      </c>
      <c r="H71" s="121">
        <v>2.2000000000000002</v>
      </c>
      <c r="I71" s="122">
        <v>0</v>
      </c>
      <c r="J71" s="121">
        <v>0</v>
      </c>
      <c r="K71" s="122">
        <v>1</v>
      </c>
      <c r="O71" s="122" t="str">
        <f t="shared" si="8"/>
        <v>Spear</v>
      </c>
      <c r="P71" s="120">
        <f t="shared" si="9"/>
        <v>931.3</v>
      </c>
      <c r="Q71" s="122" t="str">
        <f t="shared" si="10"/>
        <v>Any</v>
      </c>
      <c r="R71" s="122">
        <f t="shared" si="11"/>
        <v>1.2</v>
      </c>
      <c r="T71" s="102">
        <v>150</v>
      </c>
      <c r="U71" s="113">
        <v>2</v>
      </c>
    </row>
    <row r="72" spans="1:21">
      <c r="A72" s="100" t="s">
        <v>338</v>
      </c>
      <c r="B72" s="100">
        <v>928</v>
      </c>
      <c r="C72" s="100">
        <v>1.2</v>
      </c>
      <c r="D72" s="100" t="s">
        <v>355</v>
      </c>
      <c r="E72" s="109">
        <v>0</v>
      </c>
      <c r="F72" s="119">
        <v>0</v>
      </c>
      <c r="G72" s="120">
        <v>0</v>
      </c>
      <c r="H72" s="121">
        <v>0</v>
      </c>
      <c r="I72" s="122">
        <v>0</v>
      </c>
      <c r="J72" s="121">
        <v>0</v>
      </c>
      <c r="K72" s="122">
        <v>1</v>
      </c>
      <c r="O72" s="122" t="str">
        <f t="shared" si="8"/>
        <v>Spear</v>
      </c>
      <c r="P72" s="120">
        <f t="shared" si="9"/>
        <v>928</v>
      </c>
      <c r="Q72" s="122" t="str">
        <f t="shared" si="10"/>
        <v>Any</v>
      </c>
      <c r="R72" s="122">
        <f t="shared" si="11"/>
        <v>1.2</v>
      </c>
      <c r="T72" s="102">
        <v>12</v>
      </c>
      <c r="U72" s="113">
        <v>4</v>
      </c>
    </row>
    <row r="73" spans="1:21">
      <c r="A73" s="100" t="s">
        <v>343</v>
      </c>
      <c r="B73" s="100">
        <v>927.9</v>
      </c>
      <c r="C73" s="100">
        <v>1.2</v>
      </c>
      <c r="D73" s="100" t="s">
        <v>355</v>
      </c>
      <c r="E73" s="109">
        <v>0</v>
      </c>
      <c r="F73" s="119">
        <v>0</v>
      </c>
      <c r="G73" s="120">
        <v>73</v>
      </c>
      <c r="H73" s="121">
        <v>0</v>
      </c>
      <c r="I73" s="122">
        <v>0</v>
      </c>
      <c r="J73" s="121">
        <v>0</v>
      </c>
      <c r="K73" s="121">
        <v>1</v>
      </c>
      <c r="L73" s="121"/>
      <c r="M73" s="121"/>
      <c r="N73" s="121"/>
      <c r="O73" s="122" t="str">
        <f t="shared" si="8"/>
        <v>Mace</v>
      </c>
      <c r="P73" s="120">
        <f t="shared" si="9"/>
        <v>927.9</v>
      </c>
      <c r="Q73" s="122" t="str">
        <f t="shared" si="10"/>
        <v>Any</v>
      </c>
      <c r="R73" s="122">
        <f t="shared" si="11"/>
        <v>1.2</v>
      </c>
      <c r="T73" s="103">
        <v>190</v>
      </c>
      <c r="U73" s="114">
        <v>32</v>
      </c>
    </row>
    <row r="74" spans="1:21">
      <c r="A74" s="100" t="s">
        <v>340</v>
      </c>
      <c r="B74" s="100">
        <v>926.7</v>
      </c>
      <c r="C74" s="100">
        <v>1.38</v>
      </c>
      <c r="D74" s="100" t="s">
        <v>355</v>
      </c>
      <c r="E74" s="109">
        <v>0</v>
      </c>
      <c r="F74" s="119">
        <v>0</v>
      </c>
      <c r="G74" s="120">
        <v>0</v>
      </c>
      <c r="H74" s="121">
        <v>2.4</v>
      </c>
      <c r="I74" s="122">
        <v>0</v>
      </c>
      <c r="J74" s="121">
        <v>0</v>
      </c>
      <c r="K74" s="122">
        <v>1</v>
      </c>
      <c r="O74" s="122" t="str">
        <f t="shared" si="8"/>
        <v>Axe</v>
      </c>
      <c r="P74" s="120">
        <f t="shared" si="9"/>
        <v>926.7</v>
      </c>
      <c r="Q74" s="122" t="str">
        <f t="shared" si="10"/>
        <v>Any</v>
      </c>
      <c r="R74" s="122">
        <f t="shared" si="11"/>
        <v>1.38</v>
      </c>
      <c r="T74" s="102">
        <v>45</v>
      </c>
      <c r="U74" s="113">
        <v>1</v>
      </c>
    </row>
    <row r="75" spans="1:21">
      <c r="A75" s="100" t="s">
        <v>343</v>
      </c>
      <c r="B75" s="100">
        <v>916.9</v>
      </c>
      <c r="C75" s="100">
        <v>1.2</v>
      </c>
      <c r="D75" s="100" t="s">
        <v>355</v>
      </c>
      <c r="E75" s="109">
        <v>0</v>
      </c>
      <c r="F75" s="119">
        <v>0</v>
      </c>
      <c r="G75" s="120">
        <v>0</v>
      </c>
      <c r="H75" s="121">
        <v>0</v>
      </c>
      <c r="I75" s="122">
        <v>0</v>
      </c>
      <c r="J75" s="121">
        <v>1800</v>
      </c>
      <c r="K75" s="121">
        <v>1</v>
      </c>
      <c r="L75" s="121"/>
      <c r="M75" s="121"/>
      <c r="N75" s="121"/>
      <c r="O75" s="122" t="str">
        <f t="shared" si="8"/>
        <v>Mace</v>
      </c>
      <c r="P75" s="120">
        <f t="shared" si="9"/>
        <v>916.9</v>
      </c>
      <c r="Q75" s="122" t="str">
        <f t="shared" si="10"/>
        <v>Any</v>
      </c>
      <c r="R75" s="122">
        <f t="shared" si="11"/>
        <v>1.2</v>
      </c>
      <c r="T75" s="103">
        <v>13</v>
      </c>
      <c r="U75" s="114">
        <v>14</v>
      </c>
    </row>
    <row r="551" spans="18:18">
      <c r="R551" s="122">
        <f>C551</f>
        <v>0</v>
      </c>
    </row>
    <row r="552" spans="18:18">
      <c r="R552" s="122">
        <f>C552</f>
        <v>0</v>
      </c>
    </row>
  </sheetData>
  <autoFilter ref="A1:U75">
    <filterColumn colId="6"/>
    <filterColumn colId="11"/>
    <filterColumn colId="12"/>
    <filterColumn colId="13"/>
    <filterColumn colId="14"/>
    <filterColumn colId="15"/>
    <filterColumn colId="16"/>
    <filterColumn colId="17"/>
    <sortState ref="A2:U75">
      <sortCondition descending="1" ref="P13"/>
    </sortState>
  </autoFilter>
  <sortState ref="A2:U75">
    <sortCondition descending="1" ref="T15"/>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Y25"/>
  <sheetViews>
    <sheetView zoomScale="85" zoomScaleNormal="85" workbookViewId="0">
      <pane ySplit="1" topLeftCell="A2" activePane="bottomLeft" state="frozen"/>
      <selection pane="bottomLeft" activeCell="G13" sqref="G13"/>
    </sheetView>
  </sheetViews>
  <sheetFormatPr defaultRowHeight="12.75"/>
  <cols>
    <col min="1" max="1" width="13.85546875" style="71" bestFit="1" customWidth="1"/>
    <col min="2" max="2" width="9" style="71" bestFit="1" customWidth="1"/>
    <col min="3" max="3" width="8" style="71" hidden="1" customWidth="1"/>
    <col min="4" max="4" width="10.28515625" style="72" bestFit="1" customWidth="1"/>
    <col min="5" max="5" width="20.85546875" style="72" hidden="1" customWidth="1"/>
    <col min="6" max="6" width="13.7109375" style="98" hidden="1" customWidth="1"/>
    <col min="7" max="7" width="11.28515625" style="98" bestFit="1" customWidth="1"/>
    <col min="8" max="8" width="24.140625" style="73" bestFit="1" customWidth="1"/>
    <col min="9" max="9" width="29.85546875" style="73" bestFit="1" customWidth="1"/>
    <col min="10" max="10" width="21.42578125" style="73" bestFit="1" customWidth="1"/>
    <col min="11" max="11" width="14.28515625" style="73" bestFit="1" customWidth="1"/>
    <col min="12" max="12" width="16" style="73" bestFit="1" customWidth="1"/>
    <col min="13" max="13" width="36.85546875" style="73" bestFit="1" customWidth="1"/>
    <col min="15" max="15" width="7.5703125" bestFit="1" customWidth="1"/>
    <col min="16" max="16" width="11" customWidth="1"/>
    <col min="17" max="17" width="5" bestFit="1" customWidth="1"/>
    <col min="18" max="18" width="4" bestFit="1" customWidth="1"/>
    <col min="20" max="20" width="19.140625" bestFit="1" customWidth="1"/>
    <col min="21" max="21" width="7.5703125" bestFit="1" customWidth="1"/>
    <col min="22" max="22" width="6.5703125" bestFit="1" customWidth="1"/>
    <col min="23" max="23" width="4" bestFit="1" customWidth="1"/>
    <col min="24" max="24" width="8" bestFit="1" customWidth="1"/>
    <col min="25" max="25" width="3" bestFit="1" customWidth="1"/>
  </cols>
  <sheetData>
    <row r="1" spans="1:25" ht="42" customHeight="1" thickBot="1">
      <c r="A1" s="71" t="s">
        <v>17</v>
      </c>
      <c r="B1" s="71" t="s">
        <v>17</v>
      </c>
      <c r="C1" s="71" t="s">
        <v>327</v>
      </c>
      <c r="D1" s="72" t="s">
        <v>314</v>
      </c>
      <c r="E1" s="72" t="s">
        <v>326</v>
      </c>
      <c r="F1" s="99" t="s">
        <v>328</v>
      </c>
      <c r="G1" s="98" t="s">
        <v>315</v>
      </c>
      <c r="H1" s="74" t="s">
        <v>260</v>
      </c>
      <c r="I1" s="74" t="s">
        <v>259</v>
      </c>
      <c r="J1" s="66" t="s">
        <v>119</v>
      </c>
      <c r="K1" s="78" t="s">
        <v>261</v>
      </c>
      <c r="L1" s="78" t="s">
        <v>262</v>
      </c>
      <c r="M1" s="75" t="s">
        <v>267</v>
      </c>
      <c r="O1" s="80" t="s">
        <v>212</v>
      </c>
      <c r="P1" s="81">
        <f xml:space="preserve"> 1 / R$1 * 1000000</f>
        <v>1000000</v>
      </c>
      <c r="Q1" s="79" t="s">
        <v>263</v>
      </c>
      <c r="R1" s="84">
        <v>1</v>
      </c>
      <c r="S1" s="97"/>
      <c r="T1" s="82" t="s">
        <v>269</v>
      </c>
      <c r="U1" s="87">
        <f>1000 / Y1 / W1 *1000000</f>
        <v>408163.26530612248</v>
      </c>
      <c r="V1" s="83" t="s">
        <v>197</v>
      </c>
      <c r="W1" s="85">
        <v>245</v>
      </c>
      <c r="X1" s="83" t="s">
        <v>57</v>
      </c>
      <c r="Y1" s="86">
        <v>10</v>
      </c>
    </row>
    <row r="2" spans="1:25">
      <c r="A2" s="71" t="s">
        <v>320</v>
      </c>
      <c r="B2" s="71" t="s">
        <v>316</v>
      </c>
      <c r="C2" s="71">
        <v>0</v>
      </c>
      <c r="D2" s="72">
        <v>23200000</v>
      </c>
      <c r="E2" s="72">
        <f t="shared" ref="E2:E25" si="0">D2 * 0.85 - C2</f>
        <v>19720000</v>
      </c>
      <c r="F2" s="98">
        <f t="shared" ref="F2:F9" si="1">D2 / $P$1 - C2 / 0.85 / $P$1</f>
        <v>23.2</v>
      </c>
      <c r="G2" s="98">
        <v>36.75</v>
      </c>
      <c r="H2" s="67">
        <f t="shared" ref="H2:H25" si="2">(((G2-1)*0.85)*P$1)-D2</f>
        <v>7187500</v>
      </c>
      <c r="I2" s="67">
        <f t="shared" ref="I2:I25" si="3">((G2-1)*P$1)-D2</f>
        <v>12550000</v>
      </c>
      <c r="J2" s="70">
        <f t="shared" ref="J2:J25" si="4">(0.85*D2)-(G2*P$1)</f>
        <v>-17030000</v>
      </c>
      <c r="K2" s="78">
        <f t="shared" ref="K2:K25" si="5">0.85 * D2</f>
        <v>19720000</v>
      </c>
      <c r="L2" s="72">
        <f t="shared" ref="L2:L25" si="6">0.85 * (G2 - 1) * P$1</f>
        <v>30387500</v>
      </c>
      <c r="M2" s="66">
        <f t="shared" ref="M2:M25" si="7" xml:space="preserve"> L2 - K2</f>
        <v>10667500</v>
      </c>
    </row>
    <row r="3" spans="1:25">
      <c r="A3" s="71" t="s">
        <v>320</v>
      </c>
      <c r="B3" s="71" t="s">
        <v>318</v>
      </c>
      <c r="C3" s="71">
        <v>0</v>
      </c>
      <c r="D3" s="72">
        <v>21816652</v>
      </c>
      <c r="E3" s="72">
        <f t="shared" si="0"/>
        <v>18544154.199999999</v>
      </c>
      <c r="F3" s="98">
        <f t="shared" si="1"/>
        <v>21.816652000000001</v>
      </c>
      <c r="G3" s="98">
        <v>49.19</v>
      </c>
      <c r="H3" s="67">
        <f t="shared" si="2"/>
        <v>19144847.999999993</v>
      </c>
      <c r="I3" s="67">
        <f t="shared" si="3"/>
        <v>26373348</v>
      </c>
      <c r="J3" s="70">
        <f t="shared" si="4"/>
        <v>-30645845.800000001</v>
      </c>
      <c r="K3" s="78">
        <f t="shared" si="5"/>
        <v>18544154.199999999</v>
      </c>
      <c r="L3" s="72">
        <f t="shared" si="6"/>
        <v>40961499.999999993</v>
      </c>
      <c r="M3" s="66">
        <f t="shared" si="7"/>
        <v>22417345.799999993</v>
      </c>
    </row>
    <row r="4" spans="1:25">
      <c r="A4" s="71" t="s">
        <v>320</v>
      </c>
      <c r="B4" s="71" t="s">
        <v>319</v>
      </c>
      <c r="C4" s="71">
        <v>0</v>
      </c>
      <c r="D4" s="72">
        <v>21500000</v>
      </c>
      <c r="E4" s="72">
        <f t="shared" si="0"/>
        <v>18275000</v>
      </c>
      <c r="F4" s="98">
        <f t="shared" si="1"/>
        <v>21.5</v>
      </c>
      <c r="G4" s="98">
        <v>40.409999999999997</v>
      </c>
      <c r="H4" s="67">
        <f t="shared" si="2"/>
        <v>11998499.999999993</v>
      </c>
      <c r="I4" s="67">
        <f t="shared" si="3"/>
        <v>17910000</v>
      </c>
      <c r="J4" s="70">
        <f t="shared" si="4"/>
        <v>-22135000</v>
      </c>
      <c r="K4" s="78">
        <f t="shared" si="5"/>
        <v>18275000</v>
      </c>
      <c r="L4" s="72">
        <f t="shared" si="6"/>
        <v>33498499.999999993</v>
      </c>
      <c r="M4" s="66">
        <f t="shared" si="7"/>
        <v>15223499.999999993</v>
      </c>
    </row>
    <row r="5" spans="1:25">
      <c r="A5" s="71" t="s">
        <v>320</v>
      </c>
      <c r="B5" s="71" t="s">
        <v>317</v>
      </c>
      <c r="C5" s="71">
        <v>0</v>
      </c>
      <c r="D5" s="72">
        <v>21989128</v>
      </c>
      <c r="E5" s="72">
        <f t="shared" si="0"/>
        <v>18690758.800000001</v>
      </c>
      <c r="F5" s="98">
        <f t="shared" si="1"/>
        <v>21.989128000000001</v>
      </c>
      <c r="G5" s="98">
        <v>55</v>
      </c>
      <c r="H5" s="67">
        <f t="shared" si="2"/>
        <v>23910872</v>
      </c>
      <c r="I5" s="67">
        <f t="shared" si="3"/>
        <v>32010872</v>
      </c>
      <c r="J5" s="70">
        <f t="shared" si="4"/>
        <v>-36309241.200000003</v>
      </c>
      <c r="K5" s="78">
        <f t="shared" si="5"/>
        <v>18690758.800000001</v>
      </c>
      <c r="L5" s="72">
        <f t="shared" si="6"/>
        <v>45900000</v>
      </c>
      <c r="M5" s="66">
        <f t="shared" si="7"/>
        <v>27209241.199999999</v>
      </c>
    </row>
    <row r="6" spans="1:25">
      <c r="A6" s="71" t="s">
        <v>321</v>
      </c>
      <c r="B6" s="71" t="s">
        <v>316</v>
      </c>
      <c r="C6" s="71">
        <v>0</v>
      </c>
      <c r="D6" s="72">
        <v>7066277</v>
      </c>
      <c r="E6" s="72">
        <f t="shared" si="0"/>
        <v>6006335.4500000002</v>
      </c>
      <c r="F6" s="98">
        <f t="shared" si="1"/>
        <v>7.0662770000000004</v>
      </c>
      <c r="G6" s="98">
        <v>13.2</v>
      </c>
      <c r="H6" s="67">
        <f t="shared" si="2"/>
        <v>3303723</v>
      </c>
      <c r="I6" s="67">
        <f t="shared" si="3"/>
        <v>5133723</v>
      </c>
      <c r="J6" s="70">
        <f t="shared" si="4"/>
        <v>-7193664.5499999998</v>
      </c>
      <c r="K6" s="78">
        <f t="shared" si="5"/>
        <v>6006335.4500000002</v>
      </c>
      <c r="L6" s="72">
        <f t="shared" si="6"/>
        <v>10370000</v>
      </c>
      <c r="M6" s="66">
        <f t="shared" si="7"/>
        <v>4363664.55</v>
      </c>
    </row>
    <row r="7" spans="1:25">
      <c r="A7" s="71" t="s">
        <v>321</v>
      </c>
      <c r="B7" s="71" t="s">
        <v>319</v>
      </c>
      <c r="C7" s="71">
        <v>0</v>
      </c>
      <c r="D7" s="72">
        <v>6988222</v>
      </c>
      <c r="E7" s="72">
        <f t="shared" si="0"/>
        <v>5939988.7000000002</v>
      </c>
      <c r="F7" s="98">
        <f t="shared" si="1"/>
        <v>6.9882220000000004</v>
      </c>
      <c r="G7" s="98">
        <v>12.98</v>
      </c>
      <c r="H7" s="67">
        <f t="shared" si="2"/>
        <v>3194778</v>
      </c>
      <c r="I7" s="67">
        <f t="shared" si="3"/>
        <v>4991778</v>
      </c>
      <c r="J7" s="70">
        <f t="shared" si="4"/>
        <v>-7040011.2999999998</v>
      </c>
      <c r="K7" s="78">
        <f t="shared" si="5"/>
        <v>5939988.7000000002</v>
      </c>
      <c r="L7" s="72">
        <f t="shared" si="6"/>
        <v>10183000</v>
      </c>
      <c r="M7" s="66">
        <f t="shared" si="7"/>
        <v>4243011.3</v>
      </c>
    </row>
    <row r="8" spans="1:25">
      <c r="A8" s="71" t="s">
        <v>321</v>
      </c>
      <c r="B8" s="71" t="s">
        <v>318</v>
      </c>
      <c r="C8" s="71">
        <v>0</v>
      </c>
      <c r="D8" s="72">
        <v>6916953</v>
      </c>
      <c r="E8" s="72">
        <f t="shared" si="0"/>
        <v>5879410.0499999998</v>
      </c>
      <c r="F8" s="98">
        <f t="shared" si="1"/>
        <v>6.9169530000000004</v>
      </c>
      <c r="G8" s="98">
        <v>12.99</v>
      </c>
      <c r="H8" s="67">
        <f t="shared" si="2"/>
        <v>3274547</v>
      </c>
      <c r="I8" s="67">
        <f t="shared" si="3"/>
        <v>5073047</v>
      </c>
      <c r="J8" s="70">
        <f t="shared" si="4"/>
        <v>-7110589.9500000002</v>
      </c>
      <c r="K8" s="78">
        <f t="shared" si="5"/>
        <v>5879410.0499999998</v>
      </c>
      <c r="L8" s="72">
        <f t="shared" si="6"/>
        <v>10191500</v>
      </c>
      <c r="M8" s="66">
        <f t="shared" si="7"/>
        <v>4312089.95</v>
      </c>
    </row>
    <row r="9" spans="1:25">
      <c r="A9" s="71" t="s">
        <v>321</v>
      </c>
      <c r="B9" s="71" t="s">
        <v>317</v>
      </c>
      <c r="C9" s="71">
        <v>0</v>
      </c>
      <c r="D9" s="72">
        <v>6950000</v>
      </c>
      <c r="E9" s="72">
        <f t="shared" si="0"/>
        <v>5907500</v>
      </c>
      <c r="F9" s="98">
        <f t="shared" si="1"/>
        <v>6.95</v>
      </c>
      <c r="G9" s="98">
        <v>17.13</v>
      </c>
      <c r="H9" s="67">
        <f t="shared" si="2"/>
        <v>6760499.9999999981</v>
      </c>
      <c r="I9" s="67">
        <f t="shared" si="3"/>
        <v>9179999.9999999981</v>
      </c>
      <c r="J9" s="70">
        <f t="shared" si="4"/>
        <v>-11222500</v>
      </c>
      <c r="K9" s="78">
        <f t="shared" si="5"/>
        <v>5907500</v>
      </c>
      <c r="L9" s="72">
        <f t="shared" si="6"/>
        <v>13710499.999999998</v>
      </c>
      <c r="M9" s="66">
        <f t="shared" si="7"/>
        <v>7802999.9999999981</v>
      </c>
    </row>
    <row r="10" spans="1:25">
      <c r="A10" s="71" t="s">
        <v>322</v>
      </c>
      <c r="B10" s="71" t="s">
        <v>316</v>
      </c>
      <c r="C10" s="71">
        <v>0</v>
      </c>
      <c r="D10" s="72">
        <v>2240000</v>
      </c>
      <c r="E10" s="72">
        <f t="shared" si="0"/>
        <v>1904000</v>
      </c>
      <c r="F10" s="98">
        <v>4.75</v>
      </c>
      <c r="G10" s="98">
        <v>4.46</v>
      </c>
      <c r="H10" s="67">
        <f t="shared" si="2"/>
        <v>701000</v>
      </c>
      <c r="I10" s="67">
        <f t="shared" si="3"/>
        <v>1220000</v>
      </c>
      <c r="J10" s="70">
        <f t="shared" si="4"/>
        <v>-2556000</v>
      </c>
      <c r="K10" s="78">
        <f t="shared" si="5"/>
        <v>1904000</v>
      </c>
      <c r="L10" s="72">
        <f t="shared" si="6"/>
        <v>2941000</v>
      </c>
      <c r="M10" s="66">
        <f t="shared" si="7"/>
        <v>1037000</v>
      </c>
    </row>
    <row r="11" spans="1:25">
      <c r="A11" s="71" t="s">
        <v>322</v>
      </c>
      <c r="B11" s="71" t="s">
        <v>317</v>
      </c>
      <c r="C11" s="71">
        <v>0</v>
      </c>
      <c r="D11" s="72">
        <v>2200786</v>
      </c>
      <c r="E11" s="72">
        <f t="shared" si="0"/>
        <v>1870668.0999999999</v>
      </c>
      <c r="F11" s="98">
        <f t="shared" ref="F11:F25" si="8">D11 / $P$1 - C11 / 0.85 / $P$1</f>
        <v>2.2007859999999999</v>
      </c>
      <c r="G11" s="98">
        <v>4.2300000000000004</v>
      </c>
      <c r="H11" s="67">
        <f t="shared" si="2"/>
        <v>544714.00000000047</v>
      </c>
      <c r="I11" s="67">
        <f t="shared" si="3"/>
        <v>1029214.0000000005</v>
      </c>
      <c r="J11" s="70">
        <f t="shared" si="4"/>
        <v>-2359331.9000000004</v>
      </c>
      <c r="K11" s="78">
        <f t="shared" si="5"/>
        <v>1870668.0999999999</v>
      </c>
      <c r="L11" s="72">
        <f t="shared" si="6"/>
        <v>2745500.0000000005</v>
      </c>
      <c r="M11" s="66">
        <f t="shared" si="7"/>
        <v>874831.90000000061</v>
      </c>
    </row>
    <row r="12" spans="1:25">
      <c r="A12" s="71" t="s">
        <v>322</v>
      </c>
      <c r="B12" s="71" t="s">
        <v>319</v>
      </c>
      <c r="C12" s="71">
        <v>0</v>
      </c>
      <c r="D12" s="72">
        <v>2132000</v>
      </c>
      <c r="E12" s="72">
        <f t="shared" si="0"/>
        <v>1812200</v>
      </c>
      <c r="F12" s="98">
        <f t="shared" si="8"/>
        <v>2.1320000000000001</v>
      </c>
      <c r="G12" s="98">
        <v>4.21</v>
      </c>
      <c r="H12" s="67">
        <f t="shared" si="2"/>
        <v>596500</v>
      </c>
      <c r="I12" s="67">
        <f t="shared" si="3"/>
        <v>1078000</v>
      </c>
      <c r="J12" s="70">
        <f t="shared" si="4"/>
        <v>-2397800</v>
      </c>
      <c r="K12" s="78">
        <f t="shared" si="5"/>
        <v>1812200</v>
      </c>
      <c r="L12" s="72">
        <f t="shared" si="6"/>
        <v>2728500</v>
      </c>
      <c r="M12" s="66">
        <f t="shared" si="7"/>
        <v>916300</v>
      </c>
    </row>
    <row r="13" spans="1:25">
      <c r="A13" s="71" t="s">
        <v>322</v>
      </c>
      <c r="B13" s="71" t="s">
        <v>318</v>
      </c>
      <c r="C13" s="71">
        <v>0</v>
      </c>
      <c r="D13" s="72">
        <v>2080000</v>
      </c>
      <c r="E13" s="72">
        <f t="shared" si="0"/>
        <v>1768000</v>
      </c>
      <c r="F13" s="98">
        <f t="shared" si="8"/>
        <v>2.08</v>
      </c>
      <c r="G13" s="98">
        <v>4.26</v>
      </c>
      <c r="H13" s="67">
        <f t="shared" si="2"/>
        <v>691000</v>
      </c>
      <c r="I13" s="67">
        <f t="shared" si="3"/>
        <v>1180000</v>
      </c>
      <c r="J13" s="70">
        <f t="shared" si="4"/>
        <v>-2492000</v>
      </c>
      <c r="K13" s="78">
        <f t="shared" si="5"/>
        <v>1768000</v>
      </c>
      <c r="L13" s="72">
        <f t="shared" si="6"/>
        <v>2771000</v>
      </c>
      <c r="M13" s="66">
        <f t="shared" si="7"/>
        <v>1003000</v>
      </c>
    </row>
    <row r="14" spans="1:25">
      <c r="A14" s="71" t="s">
        <v>323</v>
      </c>
      <c r="B14" s="71" t="s">
        <v>319</v>
      </c>
      <c r="C14" s="71">
        <v>0</v>
      </c>
      <c r="D14" s="72">
        <v>682417</v>
      </c>
      <c r="E14" s="72">
        <f t="shared" si="0"/>
        <v>580054.44999999995</v>
      </c>
      <c r="F14" s="98">
        <f t="shared" si="8"/>
        <v>0.68241700000000005</v>
      </c>
      <c r="G14" s="98">
        <v>1.38</v>
      </c>
      <c r="H14" s="67">
        <f t="shared" si="2"/>
        <v>-359417.00000000012</v>
      </c>
      <c r="I14" s="67">
        <f t="shared" si="3"/>
        <v>-302417.00000000012</v>
      </c>
      <c r="J14" s="70">
        <f t="shared" si="4"/>
        <v>-799945.55</v>
      </c>
      <c r="K14" s="78">
        <f t="shared" si="5"/>
        <v>580054.44999999995</v>
      </c>
      <c r="L14" s="72">
        <f t="shared" si="6"/>
        <v>322999.99999999988</v>
      </c>
      <c r="M14" s="66">
        <f t="shared" si="7"/>
        <v>-257054.45000000007</v>
      </c>
    </row>
    <row r="15" spans="1:25">
      <c r="A15" s="71" t="s">
        <v>323</v>
      </c>
      <c r="B15" s="71" t="s">
        <v>316</v>
      </c>
      <c r="C15" s="71">
        <v>0</v>
      </c>
      <c r="D15" s="72">
        <v>673435</v>
      </c>
      <c r="E15" s="72">
        <f t="shared" si="0"/>
        <v>572419.75</v>
      </c>
      <c r="F15" s="98">
        <f t="shared" si="8"/>
        <v>0.67343500000000001</v>
      </c>
      <c r="G15" s="98">
        <v>1.3</v>
      </c>
      <c r="H15" s="67">
        <f t="shared" si="2"/>
        <v>-418435</v>
      </c>
      <c r="I15" s="67">
        <f t="shared" si="3"/>
        <v>-373434.99999999994</v>
      </c>
      <c r="J15" s="70">
        <f t="shared" si="4"/>
        <v>-727580.25</v>
      </c>
      <c r="K15" s="78">
        <f t="shared" si="5"/>
        <v>572419.75</v>
      </c>
      <c r="L15" s="72">
        <f t="shared" si="6"/>
        <v>255000</v>
      </c>
      <c r="M15" s="66">
        <f t="shared" si="7"/>
        <v>-317419.75</v>
      </c>
    </row>
    <row r="16" spans="1:25">
      <c r="A16" s="71" t="s">
        <v>323</v>
      </c>
      <c r="B16" s="71" t="s">
        <v>318</v>
      </c>
      <c r="C16" s="71">
        <v>0</v>
      </c>
      <c r="D16" s="72">
        <v>637028</v>
      </c>
      <c r="E16" s="72">
        <f t="shared" si="0"/>
        <v>541473.79999999993</v>
      </c>
      <c r="F16" s="98">
        <f t="shared" si="8"/>
        <v>0.63702800000000004</v>
      </c>
      <c r="G16" s="98">
        <v>1.37</v>
      </c>
      <c r="H16" s="67">
        <f t="shared" si="2"/>
        <v>-322527.99999999994</v>
      </c>
      <c r="I16" s="67">
        <f t="shared" si="3"/>
        <v>-267027.99999999988</v>
      </c>
      <c r="J16" s="70">
        <f t="shared" si="4"/>
        <v>-828526.20000000007</v>
      </c>
      <c r="K16" s="78">
        <f t="shared" si="5"/>
        <v>541473.79999999993</v>
      </c>
      <c r="L16" s="72">
        <f t="shared" si="6"/>
        <v>314500.00000000006</v>
      </c>
      <c r="M16" s="66">
        <f t="shared" si="7"/>
        <v>-226973.79999999987</v>
      </c>
    </row>
    <row r="17" spans="1:13">
      <c r="A17" s="71" t="s">
        <v>323</v>
      </c>
      <c r="B17" s="71" t="s">
        <v>317</v>
      </c>
      <c r="C17" s="71">
        <v>0</v>
      </c>
      <c r="D17" s="72">
        <v>622000</v>
      </c>
      <c r="E17" s="72">
        <f t="shared" si="0"/>
        <v>528700</v>
      </c>
      <c r="F17" s="98">
        <f t="shared" si="8"/>
        <v>0.622</v>
      </c>
      <c r="G17" s="98">
        <v>1.38</v>
      </c>
      <c r="H17" s="67">
        <f t="shared" si="2"/>
        <v>-299000.00000000012</v>
      </c>
      <c r="I17" s="67">
        <f t="shared" si="3"/>
        <v>-242000.00000000012</v>
      </c>
      <c r="J17" s="70">
        <f t="shared" si="4"/>
        <v>-851300</v>
      </c>
      <c r="K17" s="78">
        <f t="shared" si="5"/>
        <v>528700</v>
      </c>
      <c r="L17" s="72">
        <f t="shared" si="6"/>
        <v>322999.99999999988</v>
      </c>
      <c r="M17" s="66">
        <f t="shared" si="7"/>
        <v>-205700.00000000012</v>
      </c>
    </row>
    <row r="18" spans="1:13">
      <c r="A18" s="71" t="s">
        <v>324</v>
      </c>
      <c r="B18" s="71" t="s">
        <v>316</v>
      </c>
      <c r="C18" s="71">
        <v>2850</v>
      </c>
      <c r="D18" s="72">
        <v>195200</v>
      </c>
      <c r="E18" s="72">
        <f t="shared" si="0"/>
        <v>163070</v>
      </c>
      <c r="F18" s="98">
        <f t="shared" si="8"/>
        <v>0.19184705882352943</v>
      </c>
      <c r="G18" s="98">
        <v>0.49</v>
      </c>
      <c r="H18" s="67">
        <f t="shared" si="2"/>
        <v>-628700</v>
      </c>
      <c r="I18" s="67">
        <f t="shared" si="3"/>
        <v>-705200</v>
      </c>
      <c r="J18" s="70">
        <f t="shared" si="4"/>
        <v>-324080</v>
      </c>
      <c r="K18" s="78">
        <f t="shared" si="5"/>
        <v>165920</v>
      </c>
      <c r="L18" s="72">
        <f t="shared" si="6"/>
        <v>-433500</v>
      </c>
      <c r="M18" s="66">
        <f t="shared" si="7"/>
        <v>-599420</v>
      </c>
    </row>
    <row r="19" spans="1:13">
      <c r="A19" s="71" t="s">
        <v>324</v>
      </c>
      <c r="B19" s="71" t="s">
        <v>319</v>
      </c>
      <c r="C19" s="71">
        <v>2850</v>
      </c>
      <c r="D19" s="72">
        <v>185667</v>
      </c>
      <c r="E19" s="72">
        <f t="shared" si="0"/>
        <v>154966.94999999998</v>
      </c>
      <c r="F19" s="98">
        <f t="shared" si="8"/>
        <v>0.18231405882352941</v>
      </c>
      <c r="G19" s="98">
        <v>0.44</v>
      </c>
      <c r="H19" s="67">
        <f t="shared" si="2"/>
        <v>-661667</v>
      </c>
      <c r="I19" s="67">
        <f t="shared" si="3"/>
        <v>-745667</v>
      </c>
      <c r="J19" s="70">
        <f t="shared" si="4"/>
        <v>-282183.05000000005</v>
      </c>
      <c r="K19" s="78">
        <f t="shared" si="5"/>
        <v>157816.94999999998</v>
      </c>
      <c r="L19" s="72">
        <f t="shared" si="6"/>
        <v>-476000.00000000006</v>
      </c>
      <c r="M19" s="66">
        <f t="shared" si="7"/>
        <v>-633816.95000000007</v>
      </c>
    </row>
    <row r="20" spans="1:13">
      <c r="A20" s="71" t="s">
        <v>324</v>
      </c>
      <c r="B20" s="71" t="s">
        <v>317</v>
      </c>
      <c r="C20" s="71">
        <v>2850</v>
      </c>
      <c r="D20" s="72">
        <v>185000</v>
      </c>
      <c r="E20" s="72">
        <f t="shared" si="0"/>
        <v>154400</v>
      </c>
      <c r="F20" s="98">
        <f t="shared" si="8"/>
        <v>0.18164705882352941</v>
      </c>
      <c r="G20" s="98">
        <f t="shared" ref="G20:G25" si="9">D20 / P$1 / 0.85 + 1</f>
        <v>1.2176470588235295</v>
      </c>
      <c r="H20" s="67">
        <f t="shared" si="2"/>
        <v>0</v>
      </c>
      <c r="I20" s="67">
        <f t="shared" si="3"/>
        <v>32647.058823529514</v>
      </c>
      <c r="J20" s="70">
        <f t="shared" si="4"/>
        <v>-1060397.0588235296</v>
      </c>
      <c r="K20" s="78">
        <f t="shared" si="5"/>
        <v>157250</v>
      </c>
      <c r="L20" s="72">
        <f t="shared" si="6"/>
        <v>185000.00000000009</v>
      </c>
      <c r="M20" s="66">
        <f t="shared" si="7"/>
        <v>27750.000000000087</v>
      </c>
    </row>
    <row r="21" spans="1:13">
      <c r="A21" s="71" t="s">
        <v>324</v>
      </c>
      <c r="B21" s="71" t="s">
        <v>318</v>
      </c>
      <c r="C21" s="71">
        <v>2850</v>
      </c>
      <c r="D21" s="72">
        <v>183029</v>
      </c>
      <c r="E21" s="72">
        <f t="shared" si="0"/>
        <v>152724.65</v>
      </c>
      <c r="F21" s="98">
        <f t="shared" si="8"/>
        <v>0.17967605882352941</v>
      </c>
      <c r="G21" s="98">
        <f t="shared" si="9"/>
        <v>1.2153282352941177</v>
      </c>
      <c r="H21" s="67">
        <f t="shared" si="2"/>
        <v>0</v>
      </c>
      <c r="I21" s="67">
        <f t="shared" si="3"/>
        <v>32299.235294117709</v>
      </c>
      <c r="J21" s="70">
        <f t="shared" si="4"/>
        <v>-1059753.5852941179</v>
      </c>
      <c r="K21" s="78">
        <f t="shared" si="5"/>
        <v>155574.65</v>
      </c>
      <c r="L21" s="72">
        <f t="shared" si="6"/>
        <v>183029.00000000006</v>
      </c>
      <c r="M21" s="66">
        <f t="shared" si="7"/>
        <v>27454.350000000064</v>
      </c>
    </row>
    <row r="22" spans="1:13">
      <c r="A22" s="71" t="s">
        <v>325</v>
      </c>
      <c r="B22" s="71" t="s">
        <v>316</v>
      </c>
      <c r="C22" s="71">
        <v>2195</v>
      </c>
      <c r="D22" s="72">
        <v>42400</v>
      </c>
      <c r="E22" s="72">
        <f t="shared" si="0"/>
        <v>33845</v>
      </c>
      <c r="F22" s="98">
        <f t="shared" si="8"/>
        <v>3.9817647058823527E-2</v>
      </c>
      <c r="G22" s="98">
        <v>0.26</v>
      </c>
      <c r="H22" s="67">
        <f t="shared" si="2"/>
        <v>-671400</v>
      </c>
      <c r="I22" s="67">
        <f t="shared" si="3"/>
        <v>-782400</v>
      </c>
      <c r="J22" s="70">
        <f t="shared" si="4"/>
        <v>-223960</v>
      </c>
      <c r="K22" s="78">
        <f t="shared" si="5"/>
        <v>36040</v>
      </c>
      <c r="L22" s="72">
        <f t="shared" si="6"/>
        <v>-629000</v>
      </c>
      <c r="M22" s="66">
        <f t="shared" si="7"/>
        <v>-665040</v>
      </c>
    </row>
    <row r="23" spans="1:13">
      <c r="A23" s="71" t="s">
        <v>325</v>
      </c>
      <c r="B23" s="71" t="s">
        <v>318</v>
      </c>
      <c r="C23" s="71">
        <v>2195</v>
      </c>
      <c r="D23" s="72">
        <v>39000</v>
      </c>
      <c r="E23" s="72">
        <f t="shared" si="0"/>
        <v>30955</v>
      </c>
      <c r="F23" s="98">
        <f t="shared" si="8"/>
        <v>3.6417647058823527E-2</v>
      </c>
      <c r="G23" s="98">
        <f t="shared" si="9"/>
        <v>1.0458823529411765</v>
      </c>
      <c r="H23" s="67">
        <f t="shared" si="2"/>
        <v>0</v>
      </c>
      <c r="I23" s="67">
        <f t="shared" si="3"/>
        <v>6882.352941176483</v>
      </c>
      <c r="J23" s="70">
        <f t="shared" si="4"/>
        <v>-1012732.3529411765</v>
      </c>
      <c r="K23" s="78">
        <f t="shared" si="5"/>
        <v>33150</v>
      </c>
      <c r="L23" s="72">
        <f t="shared" si="6"/>
        <v>39000.000000000015</v>
      </c>
      <c r="M23" s="66">
        <f t="shared" si="7"/>
        <v>5850.0000000000146</v>
      </c>
    </row>
    <row r="24" spans="1:13">
      <c r="A24" s="71" t="s">
        <v>325</v>
      </c>
      <c r="B24" s="71" t="s">
        <v>319</v>
      </c>
      <c r="C24" s="71">
        <v>2195</v>
      </c>
      <c r="D24" s="72">
        <v>38728</v>
      </c>
      <c r="E24" s="72">
        <f t="shared" si="0"/>
        <v>30723.799999999996</v>
      </c>
      <c r="F24" s="98">
        <f t="shared" si="8"/>
        <v>3.6145647058823525E-2</v>
      </c>
      <c r="G24" s="98">
        <f t="shared" si="9"/>
        <v>1.0455623529411764</v>
      </c>
      <c r="H24" s="67">
        <f t="shared" si="2"/>
        <v>-7.2759576141834259E-11</v>
      </c>
      <c r="I24" s="67">
        <f t="shared" si="3"/>
        <v>6834.3529411763884</v>
      </c>
      <c r="J24" s="70">
        <f t="shared" si="4"/>
        <v>-1012643.5529411763</v>
      </c>
      <c r="K24" s="78">
        <f t="shared" si="5"/>
        <v>32918.799999999996</v>
      </c>
      <c r="L24" s="72">
        <f t="shared" si="6"/>
        <v>38727.999999999927</v>
      </c>
      <c r="M24" s="66">
        <f t="shared" si="7"/>
        <v>5809.1999999999316</v>
      </c>
    </row>
    <row r="25" spans="1:13">
      <c r="A25" s="71" t="s">
        <v>325</v>
      </c>
      <c r="B25" s="71" t="s">
        <v>317</v>
      </c>
      <c r="C25" s="71">
        <v>2195</v>
      </c>
      <c r="D25" s="72">
        <v>38680</v>
      </c>
      <c r="E25" s="72">
        <f t="shared" si="0"/>
        <v>30683</v>
      </c>
      <c r="F25" s="98">
        <f t="shared" si="8"/>
        <v>3.6097647058823526E-2</v>
      </c>
      <c r="G25" s="98">
        <f t="shared" si="9"/>
        <v>1.0455058823529413</v>
      </c>
      <c r="H25" s="67">
        <f t="shared" si="2"/>
        <v>8.7311491370201111E-11</v>
      </c>
      <c r="I25" s="67">
        <f t="shared" si="3"/>
        <v>6825.8823529412839</v>
      </c>
      <c r="J25" s="70">
        <f t="shared" si="4"/>
        <v>-1012627.8823529413</v>
      </c>
      <c r="K25" s="78">
        <f t="shared" si="5"/>
        <v>32878</v>
      </c>
      <c r="L25" s="72">
        <f t="shared" si="6"/>
        <v>38680.000000000087</v>
      </c>
      <c r="M25" s="66">
        <f t="shared" si="7"/>
        <v>5802.0000000000873</v>
      </c>
    </row>
  </sheetData>
  <sortState ref="A2:M25">
    <sortCondition descending="1" ref="D9"/>
  </sortState>
  <dataConsolidate/>
  <conditionalFormatting sqref="H1:J25">
    <cfRule type="cellIs" dxfId="3" priority="3" stopIfTrue="1" operator="greaterThan">
      <formula>0</formula>
    </cfRule>
    <cfRule type="cellIs" dxfId="2" priority="4" stopIfTrue="1" operator="lessThanOrEqual">
      <formula>0</formula>
    </cfRule>
  </conditionalFormatting>
  <conditionalFormatting sqref="M1:M25">
    <cfRule type="cellIs" dxfId="1" priority="1" operator="lessThanOrEqual">
      <formula>0</formula>
    </cfRule>
    <cfRule type="cellIs" dxfId="0" priority="2" operator="greaterThan">
      <formula>0</formula>
    </cfRule>
  </conditionalFormatting>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dimension ref="A1:G331"/>
  <sheetViews>
    <sheetView workbookViewId="0">
      <pane ySplit="1" topLeftCell="A3" activePane="bottomLeft" state="frozen"/>
      <selection pane="bottomLeft" activeCell="G1" sqref="G1"/>
    </sheetView>
  </sheetViews>
  <sheetFormatPr defaultRowHeight="12.75"/>
  <cols>
    <col min="3" max="3" width="14.28515625" customWidth="1"/>
    <col min="6" max="6" width="23" customWidth="1"/>
    <col min="7" max="7" width="6.7109375" customWidth="1"/>
  </cols>
  <sheetData>
    <row r="1" spans="1:7">
      <c r="A1" s="77" t="s">
        <v>266</v>
      </c>
      <c r="C1" s="88" t="s">
        <v>268</v>
      </c>
      <c r="D1" s="89">
        <f>SUM(A2:A99998)</f>
        <v>1689.1999999999994</v>
      </c>
      <c r="F1" s="91" t="s">
        <v>270</v>
      </c>
      <c r="G1" s="89">
        <f>-1 * SUMIF(A2:A999997, "&lt;0")</f>
        <v>2506.73</v>
      </c>
    </row>
    <row r="2" spans="1:7">
      <c r="A2">
        <v>175</v>
      </c>
    </row>
    <row r="3" spans="1:7">
      <c r="A3">
        <v>-44</v>
      </c>
    </row>
    <row r="4" spans="1:7">
      <c r="A4">
        <v>-22</v>
      </c>
    </row>
    <row r="5" spans="1:7">
      <c r="A5">
        <v>-22.5</v>
      </c>
    </row>
    <row r="6" spans="1:7">
      <c r="A6">
        <v>-25</v>
      </c>
    </row>
    <row r="7" spans="1:7">
      <c r="A7">
        <v>13.95</v>
      </c>
    </row>
    <row r="8" spans="1:7">
      <c r="A8">
        <v>12.25</v>
      </c>
    </row>
    <row r="9" spans="1:7">
      <c r="A9">
        <v>8.75</v>
      </c>
    </row>
    <row r="10" spans="1:7">
      <c r="A10">
        <v>11.38</v>
      </c>
    </row>
    <row r="11" spans="1:7">
      <c r="A11">
        <v>4.62</v>
      </c>
    </row>
    <row r="12" spans="1:7">
      <c r="A12">
        <v>12.83</v>
      </c>
    </row>
    <row r="13" spans="1:7">
      <c r="A13">
        <v>11.22</v>
      </c>
    </row>
    <row r="14" spans="1:7">
      <c r="A14">
        <v>7.06</v>
      </c>
    </row>
    <row r="15" spans="1:7">
      <c r="A15">
        <v>17.350000000000001</v>
      </c>
    </row>
    <row r="16" spans="1:7">
      <c r="A16">
        <v>16.97</v>
      </c>
    </row>
    <row r="17" spans="1:1">
      <c r="A17">
        <v>17.809999999999999</v>
      </c>
    </row>
    <row r="18" spans="1:1">
      <c r="A18">
        <v>5.79</v>
      </c>
    </row>
    <row r="19" spans="1:1">
      <c r="A19">
        <v>7.13</v>
      </c>
    </row>
    <row r="20" spans="1:1">
      <c r="A20">
        <v>-25</v>
      </c>
    </row>
    <row r="21" spans="1:1">
      <c r="A21">
        <v>2.54</v>
      </c>
    </row>
    <row r="22" spans="1:1">
      <c r="A22">
        <v>-24.24</v>
      </c>
    </row>
    <row r="23" spans="1:1">
      <c r="A23">
        <v>4.24</v>
      </c>
    </row>
    <row r="24" spans="1:1">
      <c r="A24">
        <v>17.829999999999998</v>
      </c>
    </row>
    <row r="25" spans="1:1">
      <c r="A25">
        <v>6.79</v>
      </c>
    </row>
    <row r="26" spans="1:1">
      <c r="A26">
        <v>11.04</v>
      </c>
    </row>
    <row r="27" spans="1:1">
      <c r="A27">
        <v>-30.8</v>
      </c>
    </row>
    <row r="28" spans="1:1">
      <c r="A28">
        <v>18.54</v>
      </c>
    </row>
    <row r="29" spans="1:1">
      <c r="A29">
        <v>12.83</v>
      </c>
    </row>
    <row r="30" spans="1:1">
      <c r="A30" s="90">
        <v>6.71</v>
      </c>
    </row>
    <row r="31" spans="1:1">
      <c r="A31">
        <v>14.2</v>
      </c>
    </row>
    <row r="32" spans="1:1">
      <c r="A32">
        <v>-45.45</v>
      </c>
    </row>
    <row r="33" spans="1:1">
      <c r="A33">
        <v>11.79</v>
      </c>
    </row>
    <row r="34" spans="1:1">
      <c r="A34">
        <v>20.350000000000001</v>
      </c>
    </row>
    <row r="35" spans="1:1">
      <c r="A35">
        <v>7</v>
      </c>
    </row>
    <row r="36" spans="1:1">
      <c r="A36">
        <v>9.77</v>
      </c>
    </row>
    <row r="37" spans="1:1">
      <c r="A37">
        <v>23.78</v>
      </c>
    </row>
    <row r="38" spans="1:1">
      <c r="A38">
        <v>10.62</v>
      </c>
    </row>
    <row r="39" spans="1:1">
      <c r="A39">
        <v>11.02</v>
      </c>
    </row>
    <row r="40" spans="1:1">
      <c r="A40">
        <v>-84</v>
      </c>
    </row>
    <row r="41" spans="1:1">
      <c r="A41">
        <v>14.87</v>
      </c>
    </row>
    <row r="42" spans="1:1">
      <c r="A42">
        <v>9.33</v>
      </c>
    </row>
    <row r="43" spans="1:1">
      <c r="A43">
        <v>6.75</v>
      </c>
    </row>
    <row r="44" spans="1:1">
      <c r="A44">
        <v>6.02</v>
      </c>
    </row>
    <row r="45" spans="1:1">
      <c r="A45">
        <v>10.19</v>
      </c>
    </row>
    <row r="46" spans="1:1">
      <c r="A46">
        <v>13.49</v>
      </c>
    </row>
    <row r="47" spans="1:1">
      <c r="A47">
        <v>10.15</v>
      </c>
    </row>
    <row r="48" spans="1:1">
      <c r="A48">
        <v>4.09</v>
      </c>
    </row>
    <row r="49" spans="1:1">
      <c r="A49">
        <v>11.06</v>
      </c>
    </row>
    <row r="50" spans="1:1">
      <c r="A50">
        <v>28.89</v>
      </c>
    </row>
    <row r="51" spans="1:1">
      <c r="A51">
        <v>11.57</v>
      </c>
    </row>
    <row r="52" spans="1:1">
      <c r="A52">
        <v>6.98</v>
      </c>
    </row>
    <row r="53" spans="1:1">
      <c r="A53">
        <v>9.33</v>
      </c>
    </row>
    <row r="54" spans="1:1">
      <c r="A54">
        <v>9.3000000000000007</v>
      </c>
    </row>
    <row r="55" spans="1:1">
      <c r="A55">
        <v>26.98</v>
      </c>
    </row>
    <row r="56" spans="1:1">
      <c r="A56">
        <v>6.74</v>
      </c>
    </row>
    <row r="57" spans="1:1">
      <c r="A57">
        <v>-10</v>
      </c>
    </row>
    <row r="58" spans="1:1">
      <c r="A58">
        <v>9.34</v>
      </c>
    </row>
    <row r="59" spans="1:1">
      <c r="A59">
        <v>-10</v>
      </c>
    </row>
    <row r="60" spans="1:1">
      <c r="A60">
        <v>-10</v>
      </c>
    </row>
    <row r="61" spans="1:1">
      <c r="A61">
        <v>-28.5</v>
      </c>
    </row>
    <row r="62" spans="1:1">
      <c r="A62">
        <v>11.04</v>
      </c>
    </row>
    <row r="63" spans="1:1">
      <c r="A63">
        <v>45.89</v>
      </c>
    </row>
    <row r="64" spans="1:1">
      <c r="A64">
        <v>-20</v>
      </c>
    </row>
    <row r="65" spans="1:1">
      <c r="A65">
        <v>-12</v>
      </c>
    </row>
    <row r="66" spans="1:1">
      <c r="A66">
        <v>39.9</v>
      </c>
    </row>
    <row r="67" spans="1:1">
      <c r="A67">
        <v>19.05</v>
      </c>
    </row>
    <row r="68" spans="1:1">
      <c r="A68">
        <v>8.7100000000000009</v>
      </c>
    </row>
    <row r="69" spans="1:1">
      <c r="A69">
        <v>16.14</v>
      </c>
    </row>
    <row r="70" spans="1:1">
      <c r="A70">
        <v>10.18</v>
      </c>
    </row>
    <row r="71" spans="1:1">
      <c r="A71">
        <v>18.27</v>
      </c>
    </row>
    <row r="72" spans="1:1">
      <c r="A72">
        <v>24.63</v>
      </c>
    </row>
    <row r="73" spans="1:1">
      <c r="A73">
        <v>-19.190000000000001</v>
      </c>
    </row>
    <row r="74" spans="1:1">
      <c r="A74">
        <v>-24.95</v>
      </c>
    </row>
    <row r="75" spans="1:1">
      <c r="A75">
        <v>14.02</v>
      </c>
    </row>
    <row r="76" spans="1:1">
      <c r="A76">
        <v>11.2</v>
      </c>
    </row>
    <row r="77" spans="1:1">
      <c r="A77">
        <v>14.76</v>
      </c>
    </row>
    <row r="78" spans="1:1">
      <c r="A78">
        <v>3.32</v>
      </c>
    </row>
    <row r="79" spans="1:1">
      <c r="A79">
        <v>13.58</v>
      </c>
    </row>
    <row r="80" spans="1:1">
      <c r="A80">
        <v>13.58</v>
      </c>
    </row>
    <row r="81" spans="1:1">
      <c r="A81">
        <v>18.27</v>
      </c>
    </row>
    <row r="82" spans="1:1">
      <c r="A82">
        <v>16.22</v>
      </c>
    </row>
    <row r="83" spans="1:1">
      <c r="A83">
        <v>13.16</v>
      </c>
    </row>
    <row r="84" spans="1:1">
      <c r="A84">
        <v>41.51</v>
      </c>
    </row>
    <row r="85" spans="1:1">
      <c r="A85">
        <v>11.68</v>
      </c>
    </row>
    <row r="86" spans="1:1">
      <c r="A86">
        <v>-22.1</v>
      </c>
    </row>
    <row r="87" spans="1:1">
      <c r="A87">
        <v>-22.1</v>
      </c>
    </row>
    <row r="88" spans="1:1">
      <c r="A88">
        <v>-45.9</v>
      </c>
    </row>
    <row r="89" spans="1:1">
      <c r="A89">
        <v>15.72</v>
      </c>
    </row>
    <row r="90" spans="1:1">
      <c r="A90">
        <v>-31.31</v>
      </c>
    </row>
    <row r="91" spans="1:1">
      <c r="A91">
        <v>-34</v>
      </c>
    </row>
    <row r="92" spans="1:1">
      <c r="A92">
        <v>-8</v>
      </c>
    </row>
    <row r="93" spans="1:1">
      <c r="A93">
        <v>-8</v>
      </c>
    </row>
    <row r="94" spans="1:1">
      <c r="A94">
        <v>-15</v>
      </c>
    </row>
    <row r="95" spans="1:1">
      <c r="A95">
        <v>-1.6</v>
      </c>
    </row>
    <row r="96" spans="1:1">
      <c r="A96">
        <v>-14.4</v>
      </c>
    </row>
    <row r="97" spans="1:1">
      <c r="A97">
        <v>-22.11</v>
      </c>
    </row>
    <row r="98" spans="1:1">
      <c r="A98">
        <v>14.86</v>
      </c>
    </row>
    <row r="99" spans="1:1">
      <c r="A99">
        <v>16.13</v>
      </c>
    </row>
    <row r="100" spans="1:1">
      <c r="A100">
        <v>7.22</v>
      </c>
    </row>
    <row r="101" spans="1:1">
      <c r="A101">
        <v>12.53</v>
      </c>
    </row>
    <row r="102" spans="1:1">
      <c r="A102">
        <v>9.33</v>
      </c>
    </row>
    <row r="103" spans="1:1">
      <c r="A103">
        <v>-15.29</v>
      </c>
    </row>
    <row r="104" spans="1:1">
      <c r="A104">
        <v>-16.579999999999998</v>
      </c>
    </row>
    <row r="105" spans="1:1">
      <c r="A105">
        <v>-15</v>
      </c>
    </row>
    <row r="106" spans="1:1">
      <c r="A106">
        <v>7.64</v>
      </c>
    </row>
    <row r="107" spans="1:1">
      <c r="A107">
        <v>37.39</v>
      </c>
    </row>
    <row r="108" spans="1:1">
      <c r="A108">
        <v>6.79</v>
      </c>
    </row>
    <row r="109" spans="1:1">
      <c r="A109">
        <v>8.49</v>
      </c>
    </row>
    <row r="110" spans="1:1">
      <c r="A110">
        <v>9.33</v>
      </c>
    </row>
    <row r="111" spans="1:1">
      <c r="A111">
        <v>45.88</v>
      </c>
    </row>
    <row r="112" spans="1:1">
      <c r="A112">
        <v>25.49</v>
      </c>
    </row>
    <row r="113" spans="1:1">
      <c r="A113">
        <v>7.64</v>
      </c>
    </row>
    <row r="114" spans="1:1">
      <c r="A114">
        <v>8.06</v>
      </c>
    </row>
    <row r="115" spans="1:1">
      <c r="A115">
        <v>8.07</v>
      </c>
    </row>
    <row r="116" spans="1:1">
      <c r="A116">
        <v>13.38</v>
      </c>
    </row>
    <row r="117" spans="1:1">
      <c r="A117">
        <v>7.62</v>
      </c>
    </row>
    <row r="118" spans="1:1">
      <c r="A118">
        <v>9.77</v>
      </c>
    </row>
    <row r="119" spans="1:1">
      <c r="A119">
        <v>8.49</v>
      </c>
    </row>
    <row r="120" spans="1:1">
      <c r="A120">
        <v>10.19</v>
      </c>
    </row>
    <row r="121" spans="1:1">
      <c r="A121">
        <v>-7.8</v>
      </c>
    </row>
    <row r="122" spans="1:1">
      <c r="A122">
        <v>44.62</v>
      </c>
    </row>
    <row r="123" spans="1:1">
      <c r="A123">
        <v>-9.1</v>
      </c>
    </row>
    <row r="124" spans="1:1">
      <c r="A124">
        <v>-33</v>
      </c>
    </row>
    <row r="125" spans="1:1">
      <c r="A125">
        <v>8.49</v>
      </c>
    </row>
    <row r="126" spans="1:1">
      <c r="A126">
        <v>6.96</v>
      </c>
    </row>
    <row r="127" spans="1:1">
      <c r="A127">
        <v>6.94</v>
      </c>
    </row>
    <row r="128" spans="1:1">
      <c r="A128">
        <v>-18.2</v>
      </c>
    </row>
    <row r="129" spans="1:1">
      <c r="A129">
        <v>8.39</v>
      </c>
    </row>
    <row r="130" spans="1:1">
      <c r="A130">
        <v>11.46</v>
      </c>
    </row>
    <row r="131" spans="1:1">
      <c r="A131">
        <v>-4.2</v>
      </c>
    </row>
    <row r="132" spans="1:1">
      <c r="A132">
        <v>-14</v>
      </c>
    </row>
    <row r="133" spans="1:1">
      <c r="A133">
        <v>-14</v>
      </c>
    </row>
    <row r="134" spans="1:1">
      <c r="A134">
        <v>-19.600000000000001</v>
      </c>
    </row>
    <row r="135" spans="1:1">
      <c r="A135">
        <v>7.06</v>
      </c>
    </row>
    <row r="136" spans="1:1">
      <c r="A136">
        <v>-13</v>
      </c>
    </row>
    <row r="137" spans="1:1">
      <c r="A137">
        <v>-14</v>
      </c>
    </row>
    <row r="138" spans="1:1">
      <c r="A138">
        <v>7.63</v>
      </c>
    </row>
    <row r="139" spans="1:1">
      <c r="A139">
        <v>-21</v>
      </c>
    </row>
    <row r="140" spans="1:1">
      <c r="A140">
        <v>-11.05</v>
      </c>
    </row>
    <row r="141" spans="1:1">
      <c r="A141">
        <v>15.28</v>
      </c>
    </row>
    <row r="142" spans="1:1">
      <c r="A142">
        <v>-13</v>
      </c>
    </row>
    <row r="143" spans="1:1">
      <c r="A143">
        <v>-1.3</v>
      </c>
    </row>
    <row r="144" spans="1:1">
      <c r="A144">
        <v>-11.7</v>
      </c>
    </row>
    <row r="145" spans="1:1">
      <c r="A145">
        <v>-13</v>
      </c>
    </row>
    <row r="146" spans="1:1">
      <c r="A146">
        <v>11.03</v>
      </c>
    </row>
    <row r="147" spans="1:1">
      <c r="A147">
        <v>6.79</v>
      </c>
    </row>
    <row r="148" spans="1:1">
      <c r="A148">
        <v>24.21</v>
      </c>
    </row>
    <row r="149" spans="1:1">
      <c r="A149">
        <v>-26</v>
      </c>
    </row>
    <row r="150" spans="1:1">
      <c r="A150">
        <v>-13</v>
      </c>
    </row>
    <row r="151" spans="1:1">
      <c r="A151">
        <v>10.43</v>
      </c>
    </row>
    <row r="152" spans="1:1">
      <c r="A152">
        <v>11.01</v>
      </c>
    </row>
    <row r="153" spans="1:1">
      <c r="A153">
        <v>-32.5</v>
      </c>
    </row>
    <row r="154" spans="1:1">
      <c r="A154">
        <v>-32.5</v>
      </c>
    </row>
    <row r="155" spans="1:1">
      <c r="A155">
        <v>11.89</v>
      </c>
    </row>
    <row r="156" spans="1:1">
      <c r="A156">
        <v>11.88</v>
      </c>
    </row>
    <row r="157" spans="1:1">
      <c r="A157">
        <v>11.88</v>
      </c>
    </row>
    <row r="158" spans="1:1">
      <c r="A158">
        <v>8.92</v>
      </c>
    </row>
    <row r="159" spans="1:1">
      <c r="A159">
        <v>4.2300000000000004</v>
      </c>
    </row>
    <row r="160" spans="1:1">
      <c r="A160">
        <v>8.8699999999999992</v>
      </c>
    </row>
    <row r="161" spans="1:1">
      <c r="A161">
        <v>126.64</v>
      </c>
    </row>
    <row r="162" spans="1:1">
      <c r="A162">
        <v>7.64</v>
      </c>
    </row>
    <row r="163" spans="1:1">
      <c r="A163">
        <v>7.6</v>
      </c>
    </row>
    <row r="164" spans="1:1">
      <c r="A164">
        <v>39.090000000000003</v>
      </c>
    </row>
    <row r="165" spans="1:1">
      <c r="A165">
        <v>7.51</v>
      </c>
    </row>
    <row r="166" spans="1:1">
      <c r="A166">
        <v>8.66</v>
      </c>
    </row>
    <row r="167" spans="1:1">
      <c r="A167">
        <v>7.64</v>
      </c>
    </row>
    <row r="168" spans="1:1">
      <c r="A168">
        <v>33.99</v>
      </c>
    </row>
    <row r="169" spans="1:1">
      <c r="A169">
        <v>10.87</v>
      </c>
    </row>
    <row r="170" spans="1:1">
      <c r="A170">
        <v>33.99</v>
      </c>
    </row>
    <row r="171" spans="1:1">
      <c r="A171">
        <v>7.64</v>
      </c>
    </row>
    <row r="172" spans="1:1">
      <c r="A172">
        <v>12.53</v>
      </c>
    </row>
    <row r="173" spans="1:1">
      <c r="A173">
        <v>12.53</v>
      </c>
    </row>
    <row r="174" spans="1:1">
      <c r="A174">
        <v>6.24</v>
      </c>
    </row>
    <row r="175" spans="1:1">
      <c r="A175">
        <v>10.19</v>
      </c>
    </row>
    <row r="176" spans="1:1">
      <c r="A176">
        <v>33.99</v>
      </c>
    </row>
    <row r="177" spans="1:1">
      <c r="A177">
        <v>12.53</v>
      </c>
    </row>
    <row r="178" spans="1:1">
      <c r="A178">
        <v>11.82</v>
      </c>
    </row>
    <row r="179" spans="1:1">
      <c r="A179">
        <v>7.54</v>
      </c>
    </row>
    <row r="180" spans="1:1">
      <c r="A180">
        <v>7.4</v>
      </c>
    </row>
    <row r="181" spans="1:1">
      <c r="A181">
        <v>50.13</v>
      </c>
    </row>
    <row r="182" spans="1:1">
      <c r="A182">
        <v>11.85</v>
      </c>
    </row>
    <row r="183" spans="1:1">
      <c r="A183">
        <v>-12</v>
      </c>
    </row>
    <row r="184" spans="1:1">
      <c r="A184">
        <v>-5.28</v>
      </c>
    </row>
    <row r="185" spans="1:1">
      <c r="A185">
        <v>-11.06</v>
      </c>
    </row>
    <row r="186" spans="1:1">
      <c r="A186">
        <v>-12</v>
      </c>
    </row>
    <row r="187" spans="1:1">
      <c r="A187">
        <v>5.26</v>
      </c>
    </row>
    <row r="188" spans="1:1">
      <c r="A188">
        <v>9.9499999999999993</v>
      </c>
    </row>
    <row r="189" spans="1:1">
      <c r="A189">
        <v>-14</v>
      </c>
    </row>
    <row r="190" spans="1:1">
      <c r="A190">
        <v>-12</v>
      </c>
    </row>
    <row r="191" spans="1:1">
      <c r="A191">
        <v>-22.11</v>
      </c>
    </row>
    <row r="192" spans="1:1">
      <c r="A192">
        <v>9.34</v>
      </c>
    </row>
    <row r="193" spans="1:1">
      <c r="A193">
        <v>-22.5</v>
      </c>
    </row>
    <row r="194" spans="1:1">
      <c r="A194">
        <v>-10.67</v>
      </c>
    </row>
    <row r="195" spans="1:1">
      <c r="A195">
        <v>11.89</v>
      </c>
    </row>
    <row r="196" spans="1:1">
      <c r="A196">
        <v>7.6</v>
      </c>
    </row>
    <row r="197" spans="1:1">
      <c r="A197">
        <v>11.8</v>
      </c>
    </row>
    <row r="198" spans="1:1">
      <c r="A198">
        <v>-15.48</v>
      </c>
    </row>
    <row r="199" spans="1:1">
      <c r="A199">
        <v>20.39</v>
      </c>
    </row>
    <row r="200" spans="1:1">
      <c r="A200">
        <v>-11.5</v>
      </c>
    </row>
    <row r="201" spans="1:1">
      <c r="A201">
        <v>-11.5</v>
      </c>
    </row>
    <row r="202" spans="1:1">
      <c r="A202">
        <v>-34.5</v>
      </c>
    </row>
    <row r="203" spans="1:1">
      <c r="A203">
        <v>11.47</v>
      </c>
    </row>
    <row r="204" spans="1:1">
      <c r="A204">
        <v>-100</v>
      </c>
    </row>
    <row r="205" spans="1:1">
      <c r="A205">
        <v>15.9</v>
      </c>
    </row>
    <row r="206" spans="1:1">
      <c r="A206">
        <v>8.06</v>
      </c>
    </row>
    <row r="207" spans="1:1">
      <c r="A207">
        <v>37.15</v>
      </c>
    </row>
    <row r="208" spans="1:1">
      <c r="A208">
        <v>20.39</v>
      </c>
    </row>
    <row r="209" spans="1:1">
      <c r="A209">
        <v>8.76</v>
      </c>
    </row>
    <row r="210" spans="1:1">
      <c r="A210">
        <v>-51</v>
      </c>
    </row>
    <row r="211" spans="1:1">
      <c r="A211">
        <v>-27</v>
      </c>
    </row>
    <row r="212" spans="1:1">
      <c r="A212">
        <v>14.97</v>
      </c>
    </row>
    <row r="213" spans="1:1">
      <c r="A213">
        <v>14.8</v>
      </c>
    </row>
    <row r="214" spans="1:1">
      <c r="A214">
        <v>6.7</v>
      </c>
    </row>
    <row r="215" spans="1:1">
      <c r="A215">
        <v>6.7</v>
      </c>
    </row>
    <row r="216" spans="1:1">
      <c r="A216">
        <v>-13.57</v>
      </c>
    </row>
    <row r="217" spans="1:1">
      <c r="A217">
        <v>10.99</v>
      </c>
    </row>
    <row r="218" spans="1:1">
      <c r="A218">
        <v>-36</v>
      </c>
    </row>
    <row r="219" spans="1:1">
      <c r="A219">
        <v>11.88</v>
      </c>
    </row>
    <row r="220" spans="1:1">
      <c r="A220">
        <v>11.46</v>
      </c>
    </row>
    <row r="221" spans="1:1">
      <c r="A221">
        <v>11.46</v>
      </c>
    </row>
    <row r="222" spans="1:1">
      <c r="A222">
        <v>11.88</v>
      </c>
    </row>
    <row r="223" spans="1:1">
      <c r="A223">
        <v>7.22</v>
      </c>
    </row>
    <row r="224" spans="1:1">
      <c r="A224">
        <v>14.1</v>
      </c>
    </row>
    <row r="225" spans="1:1">
      <c r="A225">
        <v>11.87</v>
      </c>
    </row>
    <row r="226" spans="1:1">
      <c r="A226">
        <v>6.78</v>
      </c>
    </row>
    <row r="227" spans="1:1">
      <c r="A227">
        <v>8.27</v>
      </c>
    </row>
    <row r="228" spans="1:1">
      <c r="A228">
        <v>7.15</v>
      </c>
    </row>
    <row r="229" spans="1:1">
      <c r="A229">
        <v>20.39</v>
      </c>
    </row>
    <row r="230" spans="1:1">
      <c r="A230">
        <v>10.38</v>
      </c>
    </row>
    <row r="231" spans="1:1">
      <c r="A231">
        <v>29.33</v>
      </c>
    </row>
    <row r="232" spans="1:1">
      <c r="A232">
        <v>28.89</v>
      </c>
    </row>
    <row r="233" spans="1:1">
      <c r="A233">
        <v>13.55</v>
      </c>
    </row>
    <row r="234" spans="1:1">
      <c r="A234">
        <v>-15.6</v>
      </c>
    </row>
    <row r="235" spans="1:1">
      <c r="A235">
        <v>-14.4</v>
      </c>
    </row>
    <row r="236" spans="1:1">
      <c r="A236">
        <v>-30.65</v>
      </c>
    </row>
    <row r="237" spans="1:1">
      <c r="A237">
        <v>-11.05</v>
      </c>
    </row>
    <row r="238" spans="1:1">
      <c r="A238">
        <v>-75.38</v>
      </c>
    </row>
    <row r="239" spans="1:1">
      <c r="A239">
        <v>-15</v>
      </c>
    </row>
    <row r="240" spans="1:1">
      <c r="A240">
        <v>-45</v>
      </c>
    </row>
    <row r="241" spans="1:1">
      <c r="A241">
        <v>7.83</v>
      </c>
    </row>
    <row r="242" spans="1:1">
      <c r="A242">
        <v>11.47</v>
      </c>
    </row>
    <row r="243" spans="1:1">
      <c r="A243">
        <v>-8</v>
      </c>
    </row>
    <row r="244" spans="1:1">
      <c r="A244">
        <v>-8</v>
      </c>
    </row>
    <row r="245" spans="1:1">
      <c r="A245">
        <v>-8</v>
      </c>
    </row>
    <row r="246" spans="1:1">
      <c r="A246">
        <v>-43.2</v>
      </c>
    </row>
    <row r="247" spans="1:1">
      <c r="A247">
        <v>-48.24</v>
      </c>
    </row>
    <row r="248" spans="1:1">
      <c r="A248">
        <v>4.67</v>
      </c>
    </row>
    <row r="249" spans="1:1">
      <c r="A249">
        <v>34.42</v>
      </c>
    </row>
    <row r="250" spans="1:1">
      <c r="A250">
        <v>14.34</v>
      </c>
    </row>
    <row r="251" spans="1:1">
      <c r="A251">
        <v>28.89</v>
      </c>
    </row>
    <row r="252" spans="1:1">
      <c r="A252">
        <v>-24.12</v>
      </c>
    </row>
    <row r="253" spans="1:1">
      <c r="A253">
        <v>-36.799999999999997</v>
      </c>
    </row>
    <row r="254" spans="1:1">
      <c r="A254">
        <v>-8</v>
      </c>
    </row>
    <row r="255" spans="1:1">
      <c r="A255">
        <v>-16</v>
      </c>
    </row>
    <row r="256" spans="1:1">
      <c r="A256">
        <v>-16</v>
      </c>
    </row>
    <row r="257" spans="1:1">
      <c r="A257">
        <v>-16</v>
      </c>
    </row>
    <row r="258" spans="1:1">
      <c r="A258">
        <v>13.36</v>
      </c>
    </row>
    <row r="259" spans="1:1">
      <c r="A259">
        <v>30.18</v>
      </c>
    </row>
    <row r="260" spans="1:1">
      <c r="A260">
        <v>13.42</v>
      </c>
    </row>
    <row r="261" spans="1:1">
      <c r="A261">
        <v>8.85</v>
      </c>
    </row>
    <row r="262" spans="1:1">
      <c r="A262">
        <v>-24</v>
      </c>
    </row>
    <row r="263" spans="1:1">
      <c r="A263">
        <v>8.84</v>
      </c>
    </row>
    <row r="264" spans="1:1">
      <c r="A264">
        <v>-1.6</v>
      </c>
    </row>
    <row r="265" spans="1:1">
      <c r="A265">
        <v>-36.799999999999997</v>
      </c>
    </row>
    <row r="266" spans="1:1">
      <c r="A266">
        <v>-8</v>
      </c>
    </row>
    <row r="267" spans="1:1">
      <c r="A267">
        <v>-17.600000000000001</v>
      </c>
    </row>
    <row r="268" spans="1:1">
      <c r="A268">
        <v>-16</v>
      </c>
    </row>
    <row r="269" spans="1:1">
      <c r="A269">
        <v>-16</v>
      </c>
    </row>
    <row r="270" spans="1:1">
      <c r="A270">
        <v>-30.4</v>
      </c>
    </row>
    <row r="271" spans="1:1">
      <c r="A271">
        <v>-16</v>
      </c>
    </row>
    <row r="272" spans="1:1">
      <c r="A272">
        <v>-17.600000000000001</v>
      </c>
    </row>
    <row r="273" spans="1:1">
      <c r="A273">
        <v>-12.8</v>
      </c>
    </row>
    <row r="274" spans="1:1">
      <c r="A274">
        <v>-12.8</v>
      </c>
    </row>
    <row r="275" spans="1:1">
      <c r="A275">
        <v>-86.8</v>
      </c>
    </row>
    <row r="276" spans="1:1">
      <c r="A276">
        <v>8.34</v>
      </c>
    </row>
    <row r="277" spans="1:1">
      <c r="A277">
        <v>37.44</v>
      </c>
    </row>
    <row r="278" spans="1:1">
      <c r="A278">
        <v>-48.29</v>
      </c>
    </row>
    <row r="279" spans="1:1">
      <c r="A279">
        <v>-7.79</v>
      </c>
    </row>
    <row r="280" spans="1:1">
      <c r="A280">
        <v>-15.63</v>
      </c>
    </row>
    <row r="281" spans="1:1">
      <c r="A281">
        <v>-17.14</v>
      </c>
    </row>
    <row r="282" spans="1:1">
      <c r="A282">
        <v>-46.5</v>
      </c>
    </row>
    <row r="283" spans="1:1">
      <c r="A283">
        <v>16.78</v>
      </c>
    </row>
    <row r="284" spans="1:1">
      <c r="A284">
        <v>11.73</v>
      </c>
    </row>
    <row r="285" spans="1:1">
      <c r="A285">
        <v>31.99</v>
      </c>
    </row>
    <row r="286" spans="1:1">
      <c r="A286">
        <v>38.130000000000003</v>
      </c>
    </row>
    <row r="287" spans="1:1">
      <c r="A287">
        <v>35.56</v>
      </c>
    </row>
    <row r="288" spans="1:1">
      <c r="A288">
        <v>32.49</v>
      </c>
    </row>
    <row r="289" spans="1:1">
      <c r="A289">
        <v>11.76</v>
      </c>
    </row>
    <row r="290" spans="1:1">
      <c r="A290">
        <v>38.020000000000003</v>
      </c>
    </row>
    <row r="291" spans="1:1">
      <c r="A291">
        <v>32.47</v>
      </c>
    </row>
    <row r="292" spans="1:1">
      <c r="A292">
        <v>36.03</v>
      </c>
    </row>
    <row r="293" spans="1:1">
      <c r="A293">
        <v>5.39</v>
      </c>
    </row>
    <row r="294" spans="1:1">
      <c r="A294">
        <v>2.39</v>
      </c>
    </row>
    <row r="295" spans="1:1">
      <c r="A295">
        <v>35.909999999999997</v>
      </c>
    </row>
    <row r="296" spans="1:1">
      <c r="A296">
        <v>21.3</v>
      </c>
    </row>
    <row r="297" spans="1:1">
      <c r="A297">
        <v>17.03</v>
      </c>
    </row>
    <row r="298" spans="1:1">
      <c r="A298">
        <v>33.21</v>
      </c>
    </row>
    <row r="299" spans="1:1">
      <c r="A299">
        <v>18.73</v>
      </c>
    </row>
    <row r="300" spans="1:1">
      <c r="A300">
        <v>-84</v>
      </c>
    </row>
    <row r="301" spans="1:1">
      <c r="A301">
        <v>36.119999999999997</v>
      </c>
    </row>
    <row r="302" spans="1:1">
      <c r="A302">
        <v>18.73</v>
      </c>
    </row>
    <row r="303" spans="1:1">
      <c r="A303">
        <v>22.33</v>
      </c>
    </row>
    <row r="304" spans="1:1">
      <c r="A304">
        <v>20.91</v>
      </c>
    </row>
    <row r="305" spans="1:6">
      <c r="A305">
        <v>34.840000000000003</v>
      </c>
    </row>
    <row r="306" spans="1:6">
      <c r="A306">
        <v>33.229999999999997</v>
      </c>
    </row>
    <row r="307" spans="1:6">
      <c r="A307">
        <v>34.85</v>
      </c>
    </row>
    <row r="308" spans="1:6">
      <c r="A308">
        <v>33.229999999999997</v>
      </c>
    </row>
    <row r="309" spans="1:6">
      <c r="A309">
        <v>34.31</v>
      </c>
    </row>
    <row r="310" spans="1:6">
      <c r="A310">
        <v>28.89</v>
      </c>
    </row>
    <row r="311" spans="1:6">
      <c r="A311">
        <v>11.89</v>
      </c>
    </row>
    <row r="312" spans="1:6">
      <c r="A312">
        <v>70.55</v>
      </c>
    </row>
    <row r="313" spans="1:6">
      <c r="A313">
        <v>101.13</v>
      </c>
    </row>
    <row r="314" spans="1:6">
      <c r="A314">
        <v>66.290000000000006</v>
      </c>
    </row>
    <row r="315" spans="1:6">
      <c r="A315">
        <v>96.89</v>
      </c>
    </row>
    <row r="316" spans="1:6">
      <c r="A316">
        <v>35.33</v>
      </c>
    </row>
    <row r="317" spans="1:6">
      <c r="A317">
        <v>4.2300000000000004</v>
      </c>
    </row>
    <row r="318" spans="1:6">
      <c r="A318">
        <v>67.14</v>
      </c>
    </row>
    <row r="319" spans="1:6">
      <c r="A319">
        <v>11.62</v>
      </c>
    </row>
    <row r="320" spans="1:6">
      <c r="A320">
        <v>-40</v>
      </c>
      <c r="F320" s="133" t="s">
        <v>462</v>
      </c>
    </row>
    <row r="321" spans="1:1">
      <c r="A321">
        <v>-38.4</v>
      </c>
    </row>
    <row r="322" spans="1:1">
      <c r="A322">
        <v>36.049999999999997</v>
      </c>
    </row>
    <row r="323" spans="1:1">
      <c r="A323">
        <v>34.82</v>
      </c>
    </row>
    <row r="324" spans="1:1">
      <c r="A324">
        <v>5.96</v>
      </c>
    </row>
    <row r="325" spans="1:1">
      <c r="A325">
        <v>11.3</v>
      </c>
    </row>
    <row r="326" spans="1:1">
      <c r="A326">
        <v>62.46</v>
      </c>
    </row>
    <row r="327" spans="1:1">
      <c r="A327">
        <v>12.48</v>
      </c>
    </row>
    <row r="328" spans="1:1">
      <c r="A328">
        <v>7.64</v>
      </c>
    </row>
    <row r="329" spans="1:1">
      <c r="A329">
        <v>31.89</v>
      </c>
    </row>
    <row r="330" spans="1:1">
      <c r="A330">
        <v>68.06</v>
      </c>
    </row>
    <row r="331" spans="1:1">
      <c r="A331">
        <v>17.7</v>
      </c>
    </row>
  </sheetData>
  <autoFilter ref="A1:A312"/>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C34"/>
  <sheetViews>
    <sheetView workbookViewId="0">
      <selection activeCell="C30" sqref="C30"/>
    </sheetView>
  </sheetViews>
  <sheetFormatPr defaultRowHeight="12.75"/>
  <cols>
    <col min="1" max="1" width="21.5703125" customWidth="1"/>
    <col min="2" max="2" width="39.28515625" customWidth="1"/>
    <col min="3" max="3" width="34" customWidth="1"/>
  </cols>
  <sheetData>
    <row r="1" spans="1:3" s="91" customFormat="1">
      <c r="A1" s="91" t="s">
        <v>17</v>
      </c>
      <c r="B1" s="91" t="s">
        <v>273</v>
      </c>
      <c r="C1" s="91" t="s">
        <v>274</v>
      </c>
    </row>
    <row r="2" spans="1:3">
      <c r="A2" s="91" t="s">
        <v>271</v>
      </c>
      <c r="B2" s="91" t="s">
        <v>272</v>
      </c>
      <c r="C2" s="91" t="s">
        <v>275</v>
      </c>
    </row>
    <row r="3" spans="1:3">
      <c r="A3" s="91" t="s">
        <v>243</v>
      </c>
      <c r="B3" s="91" t="s">
        <v>276</v>
      </c>
      <c r="C3" s="91" t="s">
        <v>277</v>
      </c>
    </row>
    <row r="4" spans="1:3">
      <c r="A4" s="91" t="s">
        <v>200</v>
      </c>
      <c r="B4" s="91" t="s">
        <v>278</v>
      </c>
      <c r="C4" s="91" t="s">
        <v>296</v>
      </c>
    </row>
    <row r="5" spans="1:3">
      <c r="A5" s="91" t="s">
        <v>199</v>
      </c>
      <c r="B5" s="91" t="s">
        <v>279</v>
      </c>
      <c r="C5" s="91" t="s">
        <v>297</v>
      </c>
    </row>
    <row r="6" spans="1:3">
      <c r="A6" s="91" t="s">
        <v>179</v>
      </c>
      <c r="B6" s="91" t="s">
        <v>280</v>
      </c>
      <c r="C6" s="91" t="s">
        <v>298</v>
      </c>
    </row>
    <row r="7" spans="1:3">
      <c r="A7" s="91" t="s">
        <v>281</v>
      </c>
      <c r="B7" s="91" t="s">
        <v>282</v>
      </c>
      <c r="C7" s="91" t="s">
        <v>283</v>
      </c>
    </row>
    <row r="8" spans="1:3">
      <c r="A8" s="91" t="s">
        <v>285</v>
      </c>
      <c r="B8" s="91" t="s">
        <v>8</v>
      </c>
      <c r="C8" s="91" t="s">
        <v>284</v>
      </c>
    </row>
    <row r="9" spans="1:3">
      <c r="A9" s="91" t="s">
        <v>286</v>
      </c>
      <c r="B9" s="91" t="s">
        <v>287</v>
      </c>
      <c r="C9" s="91" t="s">
        <v>288</v>
      </c>
    </row>
    <row r="10" spans="1:3">
      <c r="A10" s="91" t="s">
        <v>189</v>
      </c>
      <c r="B10" s="91" t="s">
        <v>289</v>
      </c>
      <c r="C10" s="91" t="s">
        <v>290</v>
      </c>
    </row>
    <row r="11" spans="1:3">
      <c r="A11" s="91" t="s">
        <v>291</v>
      </c>
      <c r="B11" s="91" t="s">
        <v>292</v>
      </c>
      <c r="C11" s="91" t="s">
        <v>293</v>
      </c>
    </row>
    <row r="12" spans="1:3">
      <c r="A12" s="91" t="s">
        <v>5</v>
      </c>
      <c r="B12" s="91" t="s">
        <v>292</v>
      </c>
      <c r="C12" s="91" t="s">
        <v>294</v>
      </c>
    </row>
    <row r="13" spans="1:3">
      <c r="A13" s="91" t="s">
        <v>110</v>
      </c>
      <c r="B13" s="91" t="s">
        <v>292</v>
      </c>
      <c r="C13" s="91" t="s">
        <v>295</v>
      </c>
    </row>
    <row r="14" spans="1:3">
      <c r="A14" s="91" t="s">
        <v>257</v>
      </c>
      <c r="B14" s="91" t="s">
        <v>292</v>
      </c>
      <c r="C14" s="91" t="s">
        <v>299</v>
      </c>
    </row>
    <row r="17" spans="1:2">
      <c r="A17" s="91" t="s">
        <v>274</v>
      </c>
      <c r="B17" s="92"/>
    </row>
    <row r="19" spans="1:2">
      <c r="A19" s="95" t="s">
        <v>310</v>
      </c>
      <c r="B19" s="91" t="s">
        <v>311</v>
      </c>
    </row>
    <row r="20" spans="1:2">
      <c r="A20" s="95" t="s">
        <v>112</v>
      </c>
      <c r="B20" s="93">
        <v>0.375</v>
      </c>
    </row>
    <row r="21" spans="1:2">
      <c r="A21" s="95" t="s">
        <v>113</v>
      </c>
      <c r="B21" s="94">
        <v>2.71</v>
      </c>
    </row>
    <row r="22" spans="1:2">
      <c r="A22" s="95"/>
      <c r="B22" s="92"/>
    </row>
    <row r="23" spans="1:2">
      <c r="A23" s="95" t="s">
        <v>300</v>
      </c>
      <c r="B23" s="92" t="s">
        <v>301</v>
      </c>
    </row>
    <row r="24" spans="1:2">
      <c r="A24" s="95" t="s">
        <v>302</v>
      </c>
      <c r="B24" s="92">
        <v>497</v>
      </c>
    </row>
    <row r="25" spans="1:2">
      <c r="A25" s="95" t="s">
        <v>303</v>
      </c>
      <c r="B25" s="92" t="s">
        <v>304</v>
      </c>
    </row>
    <row r="26" spans="1:2">
      <c r="A26" s="95" t="s">
        <v>305</v>
      </c>
      <c r="B26" s="92">
        <v>13</v>
      </c>
    </row>
    <row r="27" spans="1:2">
      <c r="A27" s="95" t="s">
        <v>306</v>
      </c>
      <c r="B27" s="92" t="s">
        <v>307</v>
      </c>
    </row>
    <row r="28" spans="1:2">
      <c r="A28" s="95"/>
      <c r="B28" s="92"/>
    </row>
    <row r="29" spans="1:2">
      <c r="A29" s="95" t="s">
        <v>308</v>
      </c>
      <c r="B29" s="92">
        <v>114</v>
      </c>
    </row>
    <row r="30" spans="1:2">
      <c r="A30" s="95" t="s">
        <v>309</v>
      </c>
      <c r="B30" s="94">
        <v>0.12</v>
      </c>
    </row>
    <row r="31" spans="1:2">
      <c r="B31" s="92"/>
    </row>
    <row r="33" spans="1:1">
      <c r="A33" s="96" t="s">
        <v>312</v>
      </c>
    </row>
    <row r="34" spans="1:1">
      <c r="A34" s="96" t="s">
        <v>313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E2"/>
  <sheetViews>
    <sheetView workbookViewId="0">
      <selection activeCell="A3" sqref="A3:XFD3"/>
    </sheetView>
  </sheetViews>
  <sheetFormatPr defaultRowHeight="12.75"/>
  <cols>
    <col min="1" max="1" width="14.7109375" customWidth="1"/>
    <col min="2" max="2" width="23.85546875" customWidth="1"/>
    <col min="3" max="3" width="15.5703125" customWidth="1"/>
  </cols>
  <sheetData>
    <row r="1" spans="1:5">
      <c r="A1">
        <v>12.93</v>
      </c>
      <c r="B1" s="131" t="s">
        <v>457</v>
      </c>
      <c r="C1" s="132">
        <v>41103</v>
      </c>
      <c r="D1" s="131" t="s">
        <v>459</v>
      </c>
      <c r="E1" s="131" t="s">
        <v>460</v>
      </c>
    </row>
    <row r="2" spans="1:5">
      <c r="A2">
        <v>33.21</v>
      </c>
      <c r="B2" s="131" t="s">
        <v>457</v>
      </c>
      <c r="C2" s="131" t="s">
        <v>458</v>
      </c>
      <c r="D2" s="131" t="s">
        <v>459</v>
      </c>
      <c r="E2" t="str">
        <f>E1</f>
        <v>on record but not on PP</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53"/>
  <sheetViews>
    <sheetView topLeftCell="A31" workbookViewId="0">
      <selection activeCell="C68" sqref="C68"/>
    </sheetView>
  </sheetViews>
  <sheetFormatPr defaultRowHeight="12.75"/>
  <sheetData>
    <row r="1" spans="1:1">
      <c r="A1">
        <v>13.13</v>
      </c>
    </row>
    <row r="2" spans="1:1">
      <c r="A2">
        <v>3.59</v>
      </c>
    </row>
    <row r="3" spans="1:1" s="131" customFormat="1">
      <c r="A3" s="131">
        <v>3</v>
      </c>
    </row>
    <row r="4" spans="1:1">
      <c r="A4">
        <v>7.5</v>
      </c>
    </row>
    <row r="5" spans="1:1">
      <c r="A5">
        <v>3.79</v>
      </c>
    </row>
    <row r="6" spans="1:1">
      <c r="A6">
        <v>13.49</v>
      </c>
    </row>
    <row r="7" spans="1:1">
      <c r="A7">
        <v>-12</v>
      </c>
    </row>
    <row r="8" spans="1:1">
      <c r="A8">
        <v>-3</v>
      </c>
    </row>
    <row r="9" spans="1:1">
      <c r="A9">
        <v>15.44</v>
      </c>
    </row>
    <row r="10" spans="1:1">
      <c r="A10">
        <v>5.99</v>
      </c>
    </row>
    <row r="11" spans="1:1">
      <c r="A11">
        <v>8.69</v>
      </c>
    </row>
    <row r="12" spans="1:1">
      <c r="A12">
        <v>48.49</v>
      </c>
    </row>
    <row r="13" spans="1:1">
      <c r="A13">
        <v>3.99</v>
      </c>
    </row>
    <row r="14" spans="1:1">
      <c r="A14">
        <v>10.49</v>
      </c>
    </row>
    <row r="15" spans="1:1">
      <c r="A15">
        <v>-6.99</v>
      </c>
    </row>
    <row r="16" spans="1:1">
      <c r="A16">
        <v>-42</v>
      </c>
    </row>
    <row r="17" spans="1:1">
      <c r="A17">
        <v>11.5</v>
      </c>
    </row>
    <row r="18" spans="1:1">
      <c r="A18">
        <v>8.19</v>
      </c>
    </row>
    <row r="19" spans="1:1">
      <c r="A19">
        <v>3.89</v>
      </c>
    </row>
    <row r="20" spans="1:1">
      <c r="A20">
        <v>-65</v>
      </c>
    </row>
    <row r="21" spans="1:1">
      <c r="A21">
        <v>8.39</v>
      </c>
    </row>
    <row r="22" spans="1:1">
      <c r="A22">
        <v>3.99</v>
      </c>
    </row>
    <row r="23" spans="1:1">
      <c r="A23">
        <v>8.2899999999999991</v>
      </c>
    </row>
    <row r="24" spans="1:1">
      <c r="A24">
        <v>-9</v>
      </c>
    </row>
    <row r="25" spans="1:1">
      <c r="A25">
        <v>-12</v>
      </c>
    </row>
    <row r="26" spans="1:1">
      <c r="A26">
        <v>-10</v>
      </c>
    </row>
    <row r="27" spans="1:1">
      <c r="A27">
        <v>5.83</v>
      </c>
    </row>
    <row r="28" spans="1:1">
      <c r="A28">
        <v>-22.99</v>
      </c>
    </row>
    <row r="29" spans="1:1">
      <c r="A29">
        <v>18.57</v>
      </c>
    </row>
    <row r="30" spans="1:1">
      <c r="A30">
        <v>12.69</v>
      </c>
    </row>
    <row r="31" spans="1:1">
      <c r="A31">
        <v>-6.5</v>
      </c>
    </row>
    <row r="32" spans="1:1">
      <c r="A32">
        <v>-40.950000000000003</v>
      </c>
    </row>
    <row r="33" spans="1:1">
      <c r="A33">
        <v>11.98</v>
      </c>
    </row>
    <row r="34" spans="1:1">
      <c r="A34">
        <v>13.49</v>
      </c>
    </row>
    <row r="35" spans="1:1">
      <c r="A35">
        <v>24.49</v>
      </c>
    </row>
    <row r="36" spans="1:1">
      <c r="A36">
        <v>7.59</v>
      </c>
    </row>
    <row r="37" spans="1:1">
      <c r="A37">
        <v>6.81</v>
      </c>
    </row>
    <row r="38" spans="1:1">
      <c r="A38">
        <v>6.98</v>
      </c>
    </row>
    <row r="39" spans="1:1">
      <c r="A39">
        <v>7.71</v>
      </c>
    </row>
    <row r="40" spans="1:1">
      <c r="A40">
        <v>6.62</v>
      </c>
    </row>
    <row r="41" spans="1:1">
      <c r="A41">
        <v>-8.35</v>
      </c>
    </row>
    <row r="42" spans="1:1">
      <c r="A42">
        <v>36.64</v>
      </c>
    </row>
    <row r="43" spans="1:1">
      <c r="A43">
        <v>23.71</v>
      </c>
    </row>
    <row r="44" spans="1:1">
      <c r="A44">
        <v>8.92</v>
      </c>
    </row>
    <row r="45" spans="1:1">
      <c r="A45">
        <v>15.19</v>
      </c>
    </row>
    <row r="46" spans="1:1">
      <c r="A46">
        <v>7.11</v>
      </c>
    </row>
    <row r="47" spans="1:1">
      <c r="A47">
        <v>15.21</v>
      </c>
    </row>
    <row r="48" spans="1:1">
      <c r="A48">
        <v>15.21</v>
      </c>
    </row>
    <row r="49" spans="1:1">
      <c r="A49">
        <v>20.03</v>
      </c>
    </row>
    <row r="50" spans="1:1">
      <c r="A50">
        <v>29.04</v>
      </c>
    </row>
    <row r="51" spans="1:1">
      <c r="A51">
        <v>-60</v>
      </c>
    </row>
    <row r="53" spans="1:1">
      <c r="A53">
        <f>SUM(A1:A51)</f>
        <v>176.88000000000002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93"/>
  <sheetViews>
    <sheetView zoomScaleNormal="100" workbookViewId="0">
      <selection activeCell="H29" sqref="H29"/>
    </sheetView>
  </sheetViews>
  <sheetFormatPr defaultColWidth="17.140625" defaultRowHeight="12.75" customHeight="1"/>
  <cols>
    <col min="1" max="1" width="34.5703125" customWidth="1"/>
    <col min="2" max="2" width="6.7109375" customWidth="1"/>
    <col min="3" max="3" width="4" customWidth="1"/>
    <col min="4" max="4" width="17.28515625" customWidth="1"/>
    <col min="5" max="5" width="11.140625" customWidth="1"/>
    <col min="6" max="6" width="10.85546875" customWidth="1"/>
    <col min="7" max="7" width="9.85546875" customWidth="1"/>
    <col min="8" max="8" width="7" customWidth="1"/>
    <col min="9" max="9" width="7.28515625" customWidth="1"/>
    <col min="10" max="10" width="8.7109375" customWidth="1"/>
    <col min="11" max="11" width="9" customWidth="1"/>
    <col min="12" max="12" width="9.42578125" customWidth="1"/>
    <col min="13" max="13" width="11.85546875" customWidth="1"/>
    <col min="14" max="14" width="10" customWidth="1"/>
    <col min="15" max="15" width="9.85546875" customWidth="1"/>
    <col min="16" max="17" width="9.5703125" customWidth="1"/>
    <col min="18" max="18" width="9.28515625" customWidth="1"/>
    <col min="19" max="19" width="13" customWidth="1"/>
    <col min="20" max="20" width="17.140625" customWidth="1"/>
  </cols>
  <sheetData>
    <row r="1" spans="1:13">
      <c r="A1" s="135" t="s">
        <v>9</v>
      </c>
      <c r="B1" s="136"/>
      <c r="C1" s="137"/>
      <c r="D1" s="137"/>
      <c r="E1" s="137"/>
      <c r="F1" s="138"/>
      <c r="G1" s="136"/>
      <c r="H1" s="137"/>
      <c r="I1" s="137"/>
      <c r="J1" s="137"/>
      <c r="K1" s="137"/>
      <c r="L1" s="137"/>
    </row>
    <row r="2" spans="1:13">
      <c r="A2" s="14"/>
      <c r="B2" s="14"/>
      <c r="C2" s="14"/>
      <c r="D2" s="14"/>
      <c r="E2" s="14"/>
      <c r="F2" s="14"/>
      <c r="G2" s="14"/>
      <c r="H2" s="14"/>
      <c r="I2" s="14"/>
      <c r="J2" s="14"/>
      <c r="K2" s="14"/>
      <c r="L2" s="14"/>
    </row>
    <row r="3" spans="1:13">
      <c r="A3" s="16" t="s">
        <v>145</v>
      </c>
      <c r="B3" s="7"/>
      <c r="C3" s="7"/>
      <c r="D3" s="7"/>
      <c r="E3" s="7"/>
      <c r="F3" s="7"/>
      <c r="G3" s="7"/>
      <c r="H3" s="7"/>
      <c r="I3" s="7"/>
      <c r="J3" s="7"/>
      <c r="K3" s="7"/>
      <c r="L3" s="17"/>
      <c r="M3" s="18"/>
    </row>
    <row r="4" spans="1:13">
      <c r="A4" s="19"/>
      <c r="B4" s="20"/>
      <c r="D4" s="20"/>
      <c r="E4" s="20"/>
      <c r="L4" s="21"/>
      <c r="M4" s="18"/>
    </row>
    <row r="5" spans="1:13" ht="18">
      <c r="A5" s="22" t="s">
        <v>50</v>
      </c>
      <c r="B5" s="23">
        <v>1227</v>
      </c>
      <c r="C5" s="24"/>
      <c r="D5" s="25" t="s">
        <v>248</v>
      </c>
      <c r="E5" s="26">
        <f>((((((((B6+B7)+B9)+B10)/2)*B8)*(1+(B11/100)))*(1+(B5/100)))*(1+(((B12/100)*B13)/100)))*(1+(B14/100))</f>
        <v>22397.359722399993</v>
      </c>
      <c r="F5" s="18"/>
      <c r="L5" s="21"/>
      <c r="M5" s="18"/>
    </row>
    <row r="6" spans="1:13">
      <c r="A6" s="18" t="s">
        <v>63</v>
      </c>
      <c r="B6" s="27">
        <v>418</v>
      </c>
      <c r="C6" s="18"/>
      <c r="D6" s="14"/>
      <c r="E6" s="14"/>
      <c r="F6" s="20"/>
      <c r="G6" s="20"/>
      <c r="H6" s="20"/>
      <c r="I6" s="20"/>
      <c r="J6" s="20"/>
      <c r="K6" s="20"/>
      <c r="L6" s="28"/>
      <c r="M6" s="18"/>
    </row>
    <row r="7" spans="1:13" ht="38.25">
      <c r="A7" s="18" t="s">
        <v>129</v>
      </c>
      <c r="B7" s="27">
        <v>846</v>
      </c>
      <c r="C7" s="24"/>
      <c r="D7" s="22"/>
      <c r="E7" s="29" t="s">
        <v>214</v>
      </c>
      <c r="F7" s="13" t="str">
        <f>TRANSPOSE(D8:D14)</f>
        <v>1 Primary Stat</v>
      </c>
      <c r="G7" s="14" t="s">
        <v>213</v>
      </c>
      <c r="H7" s="14" t="s">
        <v>216</v>
      </c>
      <c r="I7" s="14" t="s">
        <v>61</v>
      </c>
      <c r="J7" s="14" t="s">
        <v>193</v>
      </c>
      <c r="K7" s="14" t="s">
        <v>230</v>
      </c>
      <c r="L7" s="15" t="s">
        <v>115</v>
      </c>
      <c r="M7" s="18"/>
    </row>
    <row r="8" spans="1:13" ht="18">
      <c r="A8" s="18" t="s">
        <v>131</v>
      </c>
      <c r="B8" s="27">
        <v>1.3</v>
      </c>
      <c r="C8" s="24"/>
      <c r="D8" s="24" t="s">
        <v>71</v>
      </c>
      <c r="E8" s="30">
        <f>(0.01*E5)/(1+(B5/100))</f>
        <v>16.878191199999996</v>
      </c>
      <c r="F8" s="31"/>
      <c r="G8" s="32">
        <f>E8/E9</f>
        <v>1.2969103240391864</v>
      </c>
      <c r="H8" s="32">
        <f>E8/E10</f>
        <v>9.7965335342878688E-3</v>
      </c>
      <c r="I8" s="32">
        <f>E8/E11</f>
        <v>9.6458176337603632E-2</v>
      </c>
      <c r="J8" s="32">
        <f>E8/E12</f>
        <v>0.15448379804069329</v>
      </c>
      <c r="K8" s="32">
        <f>E8/E13</f>
        <v>1.544837980406933</v>
      </c>
      <c r="L8" s="33">
        <f>E8/E14</f>
        <v>8.6661642803315744E-2</v>
      </c>
      <c r="M8" s="18"/>
    </row>
    <row r="9" spans="1:13" ht="18">
      <c r="A9" s="18" t="s">
        <v>123</v>
      </c>
      <c r="B9" s="27">
        <v>97</v>
      </c>
      <c r="C9" s="24"/>
      <c r="D9" s="24" t="s">
        <v>213</v>
      </c>
      <c r="E9" s="34">
        <f>(0.5*E5)/((((B6+B7)+B9)+B10)/2)</f>
        <v>13.014154399999995</v>
      </c>
      <c r="F9" s="35">
        <f>E9/E8</f>
        <v>0.77106333527019166</v>
      </c>
      <c r="G9" s="36"/>
      <c r="H9" s="36">
        <f>E9/E10</f>
        <v>7.5537478210342826E-3</v>
      </c>
      <c r="I9" s="36">
        <f>E9/E11</f>
        <v>7.4375363160952931E-2</v>
      </c>
      <c r="J9" s="36">
        <f>E9/E12</f>
        <v>0.11911679256246366</v>
      </c>
      <c r="K9" s="36">
        <f>E9/E13</f>
        <v>1.1911679256246366</v>
      </c>
      <c r="L9" s="37">
        <f>E9/E14</f>
        <v>6.6821615339918636E-2</v>
      </c>
      <c r="M9" s="18"/>
    </row>
    <row r="10" spans="1:13" ht="26.25">
      <c r="A10" s="18" t="s">
        <v>55</v>
      </c>
      <c r="B10" s="27">
        <v>360</v>
      </c>
      <c r="C10" s="24"/>
      <c r="D10" s="24" t="s">
        <v>216</v>
      </c>
      <c r="E10" s="34">
        <f>(0.1*E5)/B8</f>
        <v>1722.8738247999993</v>
      </c>
      <c r="F10" s="35">
        <f>E10/E8</f>
        <v>102.07692307692305</v>
      </c>
      <c r="G10" s="36">
        <f>E10/E9</f>
        <v>132.38461538461539</v>
      </c>
      <c r="H10" s="36"/>
      <c r="I10" s="36">
        <f>E10/E11</f>
        <v>9.8461538461538449</v>
      </c>
      <c r="J10" s="36">
        <f>E10/E12</f>
        <v>15.769230769230765</v>
      </c>
      <c r="K10" s="36">
        <f>E10/E13</f>
        <v>157.69230769230765</v>
      </c>
      <c r="L10" s="37">
        <f>E10/E14</f>
        <v>8.8461538461538431</v>
      </c>
      <c r="M10" s="18"/>
    </row>
    <row r="11" spans="1:13" ht="18">
      <c r="A11" s="18" t="s">
        <v>241</v>
      </c>
      <c r="B11" s="27">
        <v>28</v>
      </c>
      <c r="C11" s="24"/>
      <c r="D11" s="24" t="s">
        <v>61</v>
      </c>
      <c r="E11" s="34">
        <f>(0.01*E5)/(1+(B11/100))</f>
        <v>174.97937283124995</v>
      </c>
      <c r="F11" s="35">
        <f>E11/E8</f>
        <v>10.3671875</v>
      </c>
      <c r="G11" s="36">
        <f>E11/E9</f>
        <v>13.4453125</v>
      </c>
      <c r="H11" s="36">
        <f>E11/E10</f>
        <v>0.10156250000000001</v>
      </c>
      <c r="I11" s="36"/>
      <c r="J11" s="36">
        <f>E11/E12</f>
        <v>1.6015624999999998</v>
      </c>
      <c r="K11" s="36">
        <f>E11/E13</f>
        <v>16.015625</v>
      </c>
      <c r="L11" s="37">
        <f>E11/E14</f>
        <v>0.89843749999999989</v>
      </c>
      <c r="M11" s="18"/>
    </row>
    <row r="12" spans="1:13" ht="18">
      <c r="A12" s="18" t="s">
        <v>247</v>
      </c>
      <c r="B12" s="27">
        <v>5</v>
      </c>
      <c r="C12" s="24"/>
      <c r="D12" s="24" t="s">
        <v>193</v>
      </c>
      <c r="E12" s="34">
        <f>(((0.01*B13)/100)*E5)/(1+(((B12/100)*B13)/100))</f>
        <v>109.25541327999998</v>
      </c>
      <c r="F12" s="35">
        <f>E12/E8</f>
        <v>6.4731707317073175</v>
      </c>
      <c r="G12" s="36">
        <f>E12/E9</f>
        <v>8.3951219512195134</v>
      </c>
      <c r="H12" s="36">
        <f>E12/E10</f>
        <v>6.3414634146341478E-2</v>
      </c>
      <c r="I12" s="36">
        <f>E12/E11</f>
        <v>0.62439024390243913</v>
      </c>
      <c r="J12" s="36"/>
      <c r="K12" s="36">
        <f>E12/E13</f>
        <v>10</v>
      </c>
      <c r="L12" s="37">
        <f>E12/E14</f>
        <v>0.5609756097560975</v>
      </c>
      <c r="M12" s="18"/>
    </row>
    <row r="13" spans="1:13" ht="18">
      <c r="A13" s="18" t="s">
        <v>68</v>
      </c>
      <c r="B13" s="27">
        <v>50</v>
      </c>
      <c r="C13" s="24"/>
      <c r="D13" s="24" t="s">
        <v>230</v>
      </c>
      <c r="E13" s="38">
        <f>(((0.01*B12)/100)*E5)/(1+(((B12/100)*B13)/100))</f>
        <v>10.925541327999998</v>
      </c>
      <c r="F13" s="35">
        <f>E13/E8</f>
        <v>0.64731707317073173</v>
      </c>
      <c r="G13" s="36">
        <f>E13/E9</f>
        <v>0.8395121951219513</v>
      </c>
      <c r="H13" s="36">
        <f>E13/E10</f>
        <v>6.3414634146341476E-3</v>
      </c>
      <c r="I13" s="36">
        <f>E13/E11</f>
        <v>6.2439024390243909E-2</v>
      </c>
      <c r="J13" s="36">
        <f>E13/E12</f>
        <v>9.9999999999999992E-2</v>
      </c>
      <c r="K13" s="36"/>
      <c r="L13" s="37">
        <f>E13/E14</f>
        <v>5.609756097560975E-2</v>
      </c>
      <c r="M13" s="18"/>
    </row>
    <row r="14" spans="1:13" ht="26.25">
      <c r="A14" s="19" t="s">
        <v>206</v>
      </c>
      <c r="B14" s="39">
        <v>15</v>
      </c>
      <c r="C14" s="40"/>
      <c r="D14" s="40" t="s">
        <v>115</v>
      </c>
      <c r="E14" s="41">
        <f>(0.01*E5)/(1+(B14/100))</f>
        <v>194.75964975999997</v>
      </c>
      <c r="F14" s="42">
        <f>E14/E8</f>
        <v>11.53913043478261</v>
      </c>
      <c r="G14" s="43">
        <f>E14/E9</f>
        <v>14.965217391304352</v>
      </c>
      <c r="H14" s="43">
        <f>E14/E10</f>
        <v>0.11304347826086959</v>
      </c>
      <c r="I14" s="43">
        <f>E14/E11</f>
        <v>1.1130434782608698</v>
      </c>
      <c r="J14" s="43">
        <f>E14/E12</f>
        <v>1.7826086956521738</v>
      </c>
      <c r="K14" s="43">
        <f>E14/E13</f>
        <v>17.826086956521742</v>
      </c>
      <c r="L14" s="44"/>
      <c r="M14" s="18"/>
    </row>
    <row r="15" spans="1:13">
      <c r="A15" s="14"/>
      <c r="B15" s="14"/>
      <c r="C15" s="14"/>
      <c r="D15" s="14"/>
      <c r="E15" s="14"/>
      <c r="F15" s="14"/>
      <c r="G15" s="14"/>
      <c r="H15" s="14"/>
      <c r="I15" s="14"/>
      <c r="J15" s="14"/>
      <c r="K15" s="14"/>
      <c r="L15" s="14"/>
    </row>
    <row r="16" spans="1:13">
      <c r="A16" s="16" t="s">
        <v>175</v>
      </c>
      <c r="B16" s="7"/>
      <c r="C16" s="7"/>
      <c r="D16" s="7"/>
      <c r="E16" s="7"/>
      <c r="F16" s="7"/>
      <c r="G16" s="7"/>
      <c r="H16" s="7"/>
      <c r="I16" s="7"/>
      <c r="J16" s="7"/>
      <c r="K16" s="7"/>
      <c r="L16" s="17"/>
      <c r="M16" s="18"/>
    </row>
    <row r="17" spans="1:13">
      <c r="A17" s="19"/>
      <c r="B17" s="20"/>
      <c r="D17" s="20"/>
      <c r="E17" s="20"/>
      <c r="L17" s="21"/>
      <c r="M17" s="18"/>
    </row>
    <row r="18" spans="1:13" ht="18">
      <c r="A18" s="22" t="s">
        <v>50</v>
      </c>
      <c r="B18" s="23">
        <v>1368</v>
      </c>
      <c r="C18" s="24"/>
      <c r="D18" s="25" t="s">
        <v>248</v>
      </c>
      <c r="E18" s="26">
        <f>((((((((B19+B20)+B22)+B23)/2)*B21)*(1+(B24/100)))*(1+(B18/100)))*(1+(((B25/100)*B26)/100)))*(1+(B27/100))</f>
        <v>41095.013843519999</v>
      </c>
      <c r="F18" s="18"/>
      <c r="L18" s="21"/>
      <c r="M18" s="18"/>
    </row>
    <row r="19" spans="1:13">
      <c r="A19" s="18" t="s">
        <v>63</v>
      </c>
      <c r="B19" s="27">
        <v>351</v>
      </c>
      <c r="C19" s="18"/>
      <c r="D19" s="14"/>
      <c r="E19" s="14"/>
      <c r="F19" s="20"/>
      <c r="G19" s="20"/>
      <c r="H19" s="20"/>
      <c r="I19" s="20"/>
      <c r="J19" s="20"/>
      <c r="K19" s="20"/>
      <c r="L19" s="28"/>
      <c r="M19" s="18"/>
    </row>
    <row r="20" spans="1:13" ht="38.25">
      <c r="A20" s="18" t="s">
        <v>129</v>
      </c>
      <c r="B20" s="27">
        <v>871</v>
      </c>
      <c r="C20" s="24"/>
      <c r="D20" s="22"/>
      <c r="E20" s="29" t="s">
        <v>214</v>
      </c>
      <c r="F20" s="13" t="str">
        <f>TRANSPOSE(D21:D27)</f>
        <v>1 Primary Stat</v>
      </c>
      <c r="G20" s="14" t="s">
        <v>213</v>
      </c>
      <c r="H20" s="14" t="s">
        <v>216</v>
      </c>
      <c r="I20" s="14" t="s">
        <v>61</v>
      </c>
      <c r="J20" s="14" t="s">
        <v>193</v>
      </c>
      <c r="K20" s="14" t="s">
        <v>230</v>
      </c>
      <c r="L20" s="15" t="s">
        <v>115</v>
      </c>
      <c r="M20" s="18"/>
    </row>
    <row r="21" spans="1:13" ht="18">
      <c r="A21" s="18" t="s">
        <v>131</v>
      </c>
      <c r="B21" s="27">
        <v>1.4</v>
      </c>
      <c r="C21" s="24"/>
      <c r="D21" s="24" t="s">
        <v>71</v>
      </c>
      <c r="E21" s="30">
        <f>(0.01*E18)/(1+(B18/100))</f>
        <v>27.993878640000002</v>
      </c>
      <c r="F21" s="31"/>
      <c r="G21" s="32">
        <f>E21/E22</f>
        <v>1.1151226158038148</v>
      </c>
      <c r="H21" s="32">
        <f>E21/E23</f>
        <v>9.5367847411444145E-3</v>
      </c>
      <c r="I21" s="32">
        <f>E21/E24</f>
        <v>9.8773841961852862E-2</v>
      </c>
      <c r="J21" s="32">
        <f>E21/E25</f>
        <v>4.7720745268429197E-2</v>
      </c>
      <c r="K21" s="32">
        <f>E21/E26</f>
        <v>0.55177111716621263</v>
      </c>
      <c r="L21" s="33">
        <f>E21/E27</f>
        <v>8.8555858310626706E-2</v>
      </c>
      <c r="M21" s="18"/>
    </row>
    <row r="22" spans="1:13" ht="18">
      <c r="A22" s="18" t="s">
        <v>123</v>
      </c>
      <c r="B22" s="27">
        <v>78</v>
      </c>
      <c r="C22" s="24"/>
      <c r="D22" s="24" t="s">
        <v>213</v>
      </c>
      <c r="E22" s="34">
        <f>(0.5*E18)/((((B19+B20)+B22)+B23)/2)</f>
        <v>25.103856959999998</v>
      </c>
      <c r="F22" s="35">
        <f>E22/E21</f>
        <v>0.89676237018937066</v>
      </c>
      <c r="G22" s="36"/>
      <c r="H22" s="36">
        <f>E22/E23</f>
        <v>8.5522296884544893E-3</v>
      </c>
      <c r="I22" s="36">
        <f>E22/E24</f>
        <v>8.8576664630421492E-2</v>
      </c>
      <c r="J22" s="36">
        <f>E22/E25</f>
        <v>4.2794168634119757E-2</v>
      </c>
      <c r="K22" s="36">
        <f>E22/E26</f>
        <v>0.49480757483200977</v>
      </c>
      <c r="L22" s="37">
        <f>E22/E27</f>
        <v>7.9413561392791682E-2</v>
      </c>
      <c r="M22" s="18"/>
    </row>
    <row r="23" spans="1:13" ht="26.25">
      <c r="A23" s="18" t="s">
        <v>55</v>
      </c>
      <c r="B23" s="27">
        <v>337</v>
      </c>
      <c r="C23" s="24"/>
      <c r="D23" s="24" t="s">
        <v>216</v>
      </c>
      <c r="E23" s="34">
        <f>(0.1*E18)/B21</f>
        <v>2935.35813168</v>
      </c>
      <c r="F23" s="35">
        <f>E23/E21</f>
        <v>104.85714285714285</v>
      </c>
      <c r="G23" s="36">
        <f>E23/E22</f>
        <v>116.92857142857144</v>
      </c>
      <c r="H23" s="36"/>
      <c r="I23" s="36">
        <f>E23/E24</f>
        <v>10.357142857142856</v>
      </c>
      <c r="J23" s="36">
        <f>E23/E25</f>
        <v>5.0038610038610036</v>
      </c>
      <c r="K23" s="36">
        <f>E23/E26</f>
        <v>57.857142857142861</v>
      </c>
      <c r="L23" s="37">
        <f>E23/E27</f>
        <v>9.2857142857142865</v>
      </c>
      <c r="M23" s="18"/>
    </row>
    <row r="24" spans="1:13" ht="18">
      <c r="A24" s="18" t="s">
        <v>241</v>
      </c>
      <c r="B24" s="27">
        <v>45</v>
      </c>
      <c r="C24" s="24"/>
      <c r="D24" s="24" t="s">
        <v>61</v>
      </c>
      <c r="E24" s="34">
        <f>(0.01*E18)/(1+(B24/100))</f>
        <v>283.41388857600003</v>
      </c>
      <c r="F24" s="35">
        <f>E24/E21</f>
        <v>10.124137931034483</v>
      </c>
      <c r="G24" s="36">
        <f>E24/E22</f>
        <v>11.289655172413795</v>
      </c>
      <c r="H24" s="36">
        <f>E24/E23</f>
        <v>9.6551724137931047E-2</v>
      </c>
      <c r="I24" s="36"/>
      <c r="J24" s="36">
        <f>E24/E25</f>
        <v>0.48313140726933834</v>
      </c>
      <c r="K24" s="36">
        <f>E24/E26</f>
        <v>5.5862068965517251</v>
      </c>
      <c r="L24" s="37">
        <f>E24/E27</f>
        <v>0.89655172413793116</v>
      </c>
      <c r="M24" s="18"/>
    </row>
    <row r="25" spans="1:13" ht="18">
      <c r="A25" s="18" t="s">
        <v>247</v>
      </c>
      <c r="B25" s="27">
        <v>16</v>
      </c>
      <c r="C25" s="24"/>
      <c r="D25" s="24" t="s">
        <v>193</v>
      </c>
      <c r="E25" s="34">
        <f>(((0.01*B26)/100)*E18)/(1+(((B25/100)*B26)/100))</f>
        <v>586.61863897000001</v>
      </c>
      <c r="F25" s="35">
        <f>E25/E21</f>
        <v>20.955246913580247</v>
      </c>
      <c r="G25" s="36">
        <f>E25/E22</f>
        <v>23.367669753086421</v>
      </c>
      <c r="H25" s="36">
        <f>E25/E23</f>
        <v>0.19984567901234568</v>
      </c>
      <c r="I25" s="36">
        <f>E25/E24</f>
        <v>2.0698302469135799</v>
      </c>
      <c r="J25" s="36"/>
      <c r="K25" s="36">
        <f>E25/E26</f>
        <v>11.562500000000002</v>
      </c>
      <c r="L25" s="37">
        <f>E25/E27</f>
        <v>1.8557098765432098</v>
      </c>
      <c r="M25" s="18"/>
    </row>
    <row r="26" spans="1:13" ht="18">
      <c r="A26" s="18" t="s">
        <v>68</v>
      </c>
      <c r="B26" s="27">
        <v>185</v>
      </c>
      <c r="C26" s="24"/>
      <c r="D26" s="24" t="s">
        <v>230</v>
      </c>
      <c r="E26" s="38">
        <f>(((0.01*B25)/100)*E18)/(1+(((B25/100)*B26)/100))</f>
        <v>50.734584991999995</v>
      </c>
      <c r="F26" s="35">
        <f>E26/E21</f>
        <v>1.8123456790123453</v>
      </c>
      <c r="G26" s="36">
        <f>E26/E22</f>
        <v>2.0209876543209875</v>
      </c>
      <c r="H26" s="36">
        <f>E26/E23</f>
        <v>1.7283950617283949E-2</v>
      </c>
      <c r="I26" s="36">
        <f>E26/E24</f>
        <v>0.17901234567901231</v>
      </c>
      <c r="J26" s="36">
        <f>E26/E25</f>
        <v>8.6486486486486477E-2</v>
      </c>
      <c r="K26" s="36"/>
      <c r="L26" s="37">
        <f>E26/E27</f>
        <v>0.16049382716049382</v>
      </c>
      <c r="M26" s="18"/>
    </row>
    <row r="27" spans="1:13" ht="26.25">
      <c r="A27" s="19" t="s">
        <v>206</v>
      </c>
      <c r="B27" s="39">
        <v>30</v>
      </c>
      <c r="C27" s="40"/>
      <c r="D27" s="40" t="s">
        <v>115</v>
      </c>
      <c r="E27" s="41">
        <f>(0.01*E18)/(1+(B27/100))</f>
        <v>316.115491104</v>
      </c>
      <c r="F27" s="42">
        <f>E27/E21</f>
        <v>11.292307692307691</v>
      </c>
      <c r="G27" s="43">
        <f>E27/E22</f>
        <v>12.592307692307694</v>
      </c>
      <c r="H27" s="43">
        <f>E27/E23</f>
        <v>0.10769230769230768</v>
      </c>
      <c r="I27" s="43">
        <f>E27/E24</f>
        <v>1.1153846153846152</v>
      </c>
      <c r="J27" s="43">
        <f>E27/E25</f>
        <v>0.53887733887733891</v>
      </c>
      <c r="K27" s="43">
        <f>E27/E26</f>
        <v>6.2307692307692317</v>
      </c>
      <c r="L27" s="44"/>
      <c r="M27" s="18"/>
    </row>
    <row r="28" spans="1:13" ht="18">
      <c r="A28" s="14"/>
      <c r="B28" s="45"/>
      <c r="C28" s="46"/>
      <c r="D28" s="46"/>
      <c r="E28" s="46"/>
      <c r="F28" s="14"/>
      <c r="G28" s="14"/>
      <c r="H28" s="14"/>
      <c r="I28" s="14"/>
      <c r="J28" s="14"/>
      <c r="K28" s="14"/>
      <c r="L28" s="14"/>
    </row>
    <row r="29" spans="1:13">
      <c r="A29" s="16" t="s">
        <v>184</v>
      </c>
      <c r="B29" s="7"/>
      <c r="C29" s="7"/>
      <c r="D29" s="7"/>
      <c r="E29" s="7"/>
      <c r="F29" s="7"/>
      <c r="G29" s="7"/>
      <c r="H29" s="7"/>
      <c r="I29" s="7"/>
      <c r="J29" s="7"/>
      <c r="K29" s="7"/>
      <c r="L29" s="17"/>
      <c r="M29" s="18"/>
    </row>
    <row r="30" spans="1:13">
      <c r="A30" s="19"/>
      <c r="B30" s="20"/>
      <c r="D30" s="20"/>
      <c r="E30" s="20"/>
      <c r="L30" s="21"/>
      <c r="M30" s="18"/>
    </row>
    <row r="31" spans="1:13" ht="18">
      <c r="A31" s="22" t="s">
        <v>50</v>
      </c>
      <c r="B31" s="23">
        <v>1303</v>
      </c>
      <c r="C31" s="24"/>
      <c r="D31" s="25" t="s">
        <v>248</v>
      </c>
      <c r="E31" s="26">
        <f>((((((((B32+B33)+B35)+B36)/2)*B34)*(1+(B37/100)))*(1+(B31/100)))*(1+(((B38/100)*B39)/100)))*(1+(B40/100))</f>
        <v>35763.235152356239</v>
      </c>
      <c r="F31" s="18"/>
      <c r="L31" s="21"/>
      <c r="M31" s="18"/>
    </row>
    <row r="32" spans="1:13">
      <c r="A32" s="18" t="s">
        <v>63</v>
      </c>
      <c r="B32" s="27">
        <v>376</v>
      </c>
      <c r="C32" s="18"/>
      <c r="D32" s="14"/>
      <c r="E32" s="14"/>
      <c r="F32" s="20"/>
      <c r="G32" s="20"/>
      <c r="H32" s="20"/>
      <c r="I32" s="20"/>
      <c r="J32" s="20"/>
      <c r="K32" s="20"/>
      <c r="L32" s="28"/>
      <c r="M32" s="18"/>
    </row>
    <row r="33" spans="1:13" ht="38.25">
      <c r="A33" s="18" t="s">
        <v>129</v>
      </c>
      <c r="B33" s="27">
        <v>821</v>
      </c>
      <c r="C33" s="24"/>
      <c r="D33" s="22"/>
      <c r="E33" s="29" t="s">
        <v>214</v>
      </c>
      <c r="F33" s="13" t="str">
        <f>TRANSPOSE(D34:D40)</f>
        <v>1 Primary Stat</v>
      </c>
      <c r="G33" s="14" t="s">
        <v>213</v>
      </c>
      <c r="H33" s="14" t="s">
        <v>216</v>
      </c>
      <c r="I33" s="14" t="s">
        <v>61</v>
      </c>
      <c r="J33" s="14" t="s">
        <v>193</v>
      </c>
      <c r="K33" s="14" t="s">
        <v>230</v>
      </c>
      <c r="L33" s="15" t="s">
        <v>115</v>
      </c>
      <c r="M33" s="18"/>
    </row>
    <row r="34" spans="1:13" ht="18">
      <c r="A34" s="18" t="s">
        <v>131</v>
      </c>
      <c r="B34" s="27">
        <v>1.65</v>
      </c>
      <c r="C34" s="24"/>
      <c r="D34" s="24" t="s">
        <v>71</v>
      </c>
      <c r="E34" s="30">
        <f>(0.01*E31)/(1+(B31/100))</f>
        <v>25.490545368749995</v>
      </c>
      <c r="F34" s="31"/>
      <c r="G34" s="32">
        <f>E34/E35</f>
        <v>1.182466143977192</v>
      </c>
      <c r="H34" s="32">
        <f>E34/E36</f>
        <v>1.1760513186029936E-2</v>
      </c>
      <c r="I34" s="32">
        <f>E34/E37</f>
        <v>0.11261582323592303</v>
      </c>
      <c r="J34" s="32">
        <f>E34/E38</f>
        <v>0.14611546685673554</v>
      </c>
      <c r="K34" s="32">
        <f>E34/E39</f>
        <v>1.4611546685673558</v>
      </c>
      <c r="L34" s="33">
        <f>E34/E40</f>
        <v>8.1967213114754106E-2</v>
      </c>
      <c r="M34" s="18"/>
    </row>
    <row r="35" spans="1:13" ht="18">
      <c r="A35" s="18" t="s">
        <v>123</v>
      </c>
      <c r="B35" s="27">
        <v>90</v>
      </c>
      <c r="C35" s="24"/>
      <c r="D35" s="24" t="s">
        <v>213</v>
      </c>
      <c r="E35" s="34">
        <f>(0.5*E31)/((((B32+B33)+B35)+B36)/2)</f>
        <v>21.557103768749993</v>
      </c>
      <c r="F35" s="35">
        <f>E35/E34</f>
        <v>0.8456901748040988</v>
      </c>
      <c r="G35" s="36"/>
      <c r="H35" s="36">
        <f>E35/E36</f>
        <v>9.9457504520795645E-3</v>
      </c>
      <c r="I35" s="36">
        <f>E35/E37</f>
        <v>9.5238095238095233E-2</v>
      </c>
      <c r="J35" s="36">
        <f>E35/E38</f>
        <v>0.12356841470765519</v>
      </c>
      <c r="K35" s="36">
        <f>E35/E39</f>
        <v>1.2356841470765521</v>
      </c>
      <c r="L35" s="37">
        <f>E35/E40</f>
        <v>6.9318866787221212E-2</v>
      </c>
      <c r="M35" s="18"/>
    </row>
    <row r="36" spans="1:13" ht="26.25">
      <c r="A36" s="18" t="s">
        <v>55</v>
      </c>
      <c r="B36" s="27">
        <v>372</v>
      </c>
      <c r="C36" s="24"/>
      <c r="D36" s="24" t="s">
        <v>216</v>
      </c>
      <c r="E36" s="34">
        <f>(0.1*E31)/B34</f>
        <v>2167.4687971124995</v>
      </c>
      <c r="F36" s="35">
        <f>E36/E34</f>
        <v>85.030303030303031</v>
      </c>
      <c r="G36" s="36">
        <f>E36/E35</f>
        <v>100.54545454545455</v>
      </c>
      <c r="H36" s="36"/>
      <c r="I36" s="36">
        <f>E36/E37</f>
        <v>9.5757575757575761</v>
      </c>
      <c r="J36" s="36">
        <f>E36/E38</f>
        <v>12.424242424242422</v>
      </c>
      <c r="K36" s="36">
        <f>E36/E39</f>
        <v>124.24242424242425</v>
      </c>
      <c r="L36" s="37">
        <f>E36/E40</f>
        <v>6.9696969696969697</v>
      </c>
      <c r="M36" s="18"/>
    </row>
    <row r="37" spans="1:13" ht="18">
      <c r="A37" s="18" t="s">
        <v>241</v>
      </c>
      <c r="B37" s="27">
        <v>58</v>
      </c>
      <c r="C37" s="24"/>
      <c r="D37" s="24" t="s">
        <v>61</v>
      </c>
      <c r="E37" s="34">
        <f>(0.01*E31)/(1+(B37/100))</f>
        <v>226.34958957187493</v>
      </c>
      <c r="F37" s="35">
        <f>E37/E34</f>
        <v>8.8797468354430364</v>
      </c>
      <c r="G37" s="36">
        <f>E37/E35</f>
        <v>10.5</v>
      </c>
      <c r="H37" s="36">
        <f>E37/E36</f>
        <v>0.10443037974683543</v>
      </c>
      <c r="I37" s="36"/>
      <c r="J37" s="36">
        <f>E37/E38</f>
        <v>1.2974683544303793</v>
      </c>
      <c r="K37" s="36">
        <f>E37/E39</f>
        <v>12.974683544303797</v>
      </c>
      <c r="L37" s="37">
        <f>E37/E40</f>
        <v>0.72784810126582267</v>
      </c>
      <c r="M37" s="18"/>
    </row>
    <row r="38" spans="1:13" ht="18">
      <c r="A38" s="18" t="s">
        <v>247</v>
      </c>
      <c r="B38" s="27">
        <v>5</v>
      </c>
      <c r="C38" s="24"/>
      <c r="D38" s="24" t="s">
        <v>193</v>
      </c>
      <c r="E38" s="34">
        <f>(((0.01*B39)/100)*E31)/(1+(((B38/100)*B39)/100))</f>
        <v>174.45480562124999</v>
      </c>
      <c r="F38" s="35">
        <f>E38/E34</f>
        <v>6.843902439024391</v>
      </c>
      <c r="G38" s="36">
        <f>E38/E35</f>
        <v>8.092682926829271</v>
      </c>
      <c r="H38" s="36">
        <f>E38/E36</f>
        <v>8.0487804878048796E-2</v>
      </c>
      <c r="I38" s="36">
        <f>E38/E37</f>
        <v>0.77073170731707341</v>
      </c>
      <c r="J38" s="36"/>
      <c r="K38" s="36">
        <f>E38/E39</f>
        <v>10.000000000000002</v>
      </c>
      <c r="L38" s="37">
        <f>E38/E40</f>
        <v>0.56097560975609762</v>
      </c>
      <c r="M38" s="18"/>
    </row>
    <row r="39" spans="1:13" ht="18">
      <c r="A39" s="18" t="s">
        <v>68</v>
      </c>
      <c r="B39" s="27">
        <v>50</v>
      </c>
      <c r="C39" s="24"/>
      <c r="D39" s="24" t="s">
        <v>230</v>
      </c>
      <c r="E39" s="38">
        <f>(((0.01*B38)/100)*E31)/(1+(((B38/100)*B39)/100))</f>
        <v>17.445480562124995</v>
      </c>
      <c r="F39" s="35">
        <f>E39/E34</f>
        <v>0.68439024390243897</v>
      </c>
      <c r="G39" s="36">
        <f>E39/E35</f>
        <v>0.80926829268292688</v>
      </c>
      <c r="H39" s="36">
        <f>E39/E36</f>
        <v>8.0487804878048783E-3</v>
      </c>
      <c r="I39" s="36">
        <f>E39/E37</f>
        <v>7.7073170731707316E-2</v>
      </c>
      <c r="J39" s="36">
        <f>E39/E38</f>
        <v>9.9999999999999978E-2</v>
      </c>
      <c r="K39" s="36"/>
      <c r="L39" s="37">
        <f>E39/E40</f>
        <v>5.609756097560975E-2</v>
      </c>
      <c r="M39" s="18"/>
    </row>
    <row r="40" spans="1:13" ht="26.25">
      <c r="A40" s="19" t="s">
        <v>206</v>
      </c>
      <c r="B40" s="39">
        <v>15</v>
      </c>
      <c r="C40" s="40"/>
      <c r="D40" s="40" t="s">
        <v>115</v>
      </c>
      <c r="E40" s="41">
        <f>(0.01*E31)/(1+(B40/100))</f>
        <v>310.98465349874994</v>
      </c>
      <c r="F40" s="42">
        <f>E40/E34</f>
        <v>12.2</v>
      </c>
      <c r="G40" s="43">
        <f>E40/E35</f>
        <v>14.426086956521742</v>
      </c>
      <c r="H40" s="43">
        <f>E40/E36</f>
        <v>0.14347826086956522</v>
      </c>
      <c r="I40" s="43">
        <f>E40/E37</f>
        <v>1.3739130434782609</v>
      </c>
      <c r="J40" s="43">
        <f>E40/E38</f>
        <v>1.7826086956521736</v>
      </c>
      <c r="K40" s="43">
        <f>E40/E39</f>
        <v>17.826086956521742</v>
      </c>
      <c r="L40" s="44"/>
      <c r="M40" s="18"/>
    </row>
    <row r="41" spans="1:13">
      <c r="A41" s="14"/>
      <c r="B41" s="14"/>
      <c r="C41" s="14"/>
      <c r="D41" s="14"/>
      <c r="E41" s="14"/>
      <c r="F41" s="14"/>
      <c r="G41" s="14"/>
      <c r="H41" s="14"/>
      <c r="I41" s="14"/>
      <c r="J41" s="14"/>
      <c r="K41" s="14"/>
      <c r="L41" s="14"/>
    </row>
    <row r="42" spans="1:13">
      <c r="A42" s="16" t="s">
        <v>149</v>
      </c>
      <c r="B42" s="7"/>
      <c r="C42" s="7"/>
      <c r="D42" s="7"/>
      <c r="E42" s="7"/>
      <c r="F42" s="7"/>
      <c r="G42" s="7"/>
      <c r="H42" s="7"/>
      <c r="I42" s="7"/>
      <c r="J42" s="7"/>
      <c r="K42" s="7"/>
      <c r="L42" s="17"/>
      <c r="M42" s="18"/>
    </row>
    <row r="43" spans="1:13">
      <c r="A43" s="19"/>
      <c r="B43" s="20"/>
      <c r="D43" s="20"/>
      <c r="E43" s="20"/>
      <c r="L43" s="21"/>
      <c r="M43" s="18"/>
    </row>
    <row r="44" spans="1:13" ht="18">
      <c r="A44" s="22" t="s">
        <v>50</v>
      </c>
      <c r="B44" s="23">
        <v>1690</v>
      </c>
      <c r="C44" s="24"/>
      <c r="D44" s="25" t="s">
        <v>248</v>
      </c>
      <c r="E44" s="26">
        <f>((((((((B45+B46)+B48)+B49)/2)*B47)*(1+(B50/100)))*(1+(B44/100)))*(1+(((B51/100)*B52)/100)))*(1+(B53/100))</f>
        <v>30803.764529999993</v>
      </c>
      <c r="F44" s="18"/>
      <c r="L44" s="21"/>
      <c r="M44" s="18"/>
    </row>
    <row r="45" spans="1:13">
      <c r="A45" s="18" t="s">
        <v>63</v>
      </c>
      <c r="B45" s="27">
        <v>363</v>
      </c>
      <c r="C45" s="18"/>
      <c r="D45" s="14"/>
      <c r="E45" s="14"/>
      <c r="F45" s="20"/>
      <c r="G45" s="20"/>
      <c r="H45" s="20"/>
      <c r="I45" s="20"/>
      <c r="J45" s="20"/>
      <c r="K45" s="20"/>
      <c r="L45" s="28"/>
      <c r="M45" s="18"/>
    </row>
    <row r="46" spans="1:13" ht="38.25">
      <c r="A46" s="18" t="s">
        <v>129</v>
      </c>
      <c r="B46" s="27">
        <v>1155</v>
      </c>
      <c r="C46" s="24"/>
      <c r="D46" s="22"/>
      <c r="E46" s="29" t="s">
        <v>214</v>
      </c>
      <c r="F46" s="13" t="str">
        <f>TRANSPOSE(D47:D53)</f>
        <v>1 Primary Stat</v>
      </c>
      <c r="G46" s="14" t="s">
        <v>213</v>
      </c>
      <c r="H46" s="14" t="s">
        <v>216</v>
      </c>
      <c r="I46" s="14" t="s">
        <v>61</v>
      </c>
      <c r="J46" s="14" t="s">
        <v>193</v>
      </c>
      <c r="K46" s="14" t="s">
        <v>230</v>
      </c>
      <c r="L46" s="15" t="s">
        <v>115</v>
      </c>
      <c r="M46" s="18"/>
    </row>
    <row r="47" spans="1:13" ht="18">
      <c r="A47" s="18" t="s">
        <v>131</v>
      </c>
      <c r="B47" s="27">
        <v>1.4</v>
      </c>
      <c r="C47" s="24"/>
      <c r="D47" s="24" t="s">
        <v>71</v>
      </c>
      <c r="E47" s="30">
        <f>(0.01*E44)/(1+(B44/100))</f>
        <v>17.208807</v>
      </c>
      <c r="F47" s="31"/>
      <c r="G47" s="32">
        <f>E47/E48</f>
        <v>0.84804469273743044</v>
      </c>
      <c r="H47" s="32">
        <f>E47/E49</f>
        <v>7.82122905027933E-3</v>
      </c>
      <c r="I47" s="32">
        <f>E47/E50</f>
        <v>8.8268156424581024E-2</v>
      </c>
      <c r="J47" s="32">
        <f>E47/E51</f>
        <v>0.11452513966480449</v>
      </c>
      <c r="K47" s="32">
        <f>E47/E52</f>
        <v>1.1452513966480447</v>
      </c>
      <c r="L47" s="33">
        <f>E47/E53</f>
        <v>5.5865921787709508E-2</v>
      </c>
      <c r="M47" s="18"/>
    </row>
    <row r="48" spans="1:13" ht="18">
      <c r="A48" s="18" t="s">
        <v>123</v>
      </c>
      <c r="B48" s="27">
        <v>0</v>
      </c>
      <c r="C48" s="24"/>
      <c r="D48" s="24" t="s">
        <v>213</v>
      </c>
      <c r="E48" s="34">
        <f>(0.5*E44)/((((B45+B46)+B48)+B49)/2)</f>
        <v>20.292334999999994</v>
      </c>
      <c r="F48" s="35">
        <f>E48/E47</f>
        <v>1.1791831357048745</v>
      </c>
      <c r="G48" s="36"/>
      <c r="H48" s="36">
        <f>E48/E49</f>
        <v>9.2226613965744383E-3</v>
      </c>
      <c r="I48" s="36">
        <f>E48/E50</f>
        <v>0.10408432147562581</v>
      </c>
      <c r="J48" s="36">
        <f>E48/E51</f>
        <v>0.13504611330698285</v>
      </c>
      <c r="K48" s="36">
        <f>E48/E52</f>
        <v>1.3504611330698284</v>
      </c>
      <c r="L48" s="37">
        <f>E48/E53</f>
        <v>6.5876152832674562E-2</v>
      </c>
      <c r="M48" s="18"/>
    </row>
    <row r="49" spans="1:13" ht="26.25">
      <c r="A49" s="18" t="s">
        <v>55</v>
      </c>
      <c r="B49" s="27">
        <v>0</v>
      </c>
      <c r="C49" s="24"/>
      <c r="D49" s="24" t="s">
        <v>216</v>
      </c>
      <c r="E49" s="34">
        <f>(0.1*E44)/B47</f>
        <v>2200.2688949999997</v>
      </c>
      <c r="F49" s="35">
        <f>E49/E47</f>
        <v>127.85714285714283</v>
      </c>
      <c r="G49" s="36">
        <f>E49/E48</f>
        <v>108.42857142857144</v>
      </c>
      <c r="H49" s="36"/>
      <c r="I49" s="36">
        <f>E49/E50</f>
        <v>11.285714285714286</v>
      </c>
      <c r="J49" s="36">
        <f>E49/E51</f>
        <v>14.642857142857142</v>
      </c>
      <c r="K49" s="36">
        <f>E49/E52</f>
        <v>146.42857142857142</v>
      </c>
      <c r="L49" s="37">
        <f>E49/E53</f>
        <v>7.1428571428571432</v>
      </c>
      <c r="M49" s="18"/>
    </row>
    <row r="50" spans="1:13" ht="18">
      <c r="A50" s="18" t="s">
        <v>241</v>
      </c>
      <c r="B50" s="27">
        <v>58</v>
      </c>
      <c r="C50" s="24"/>
      <c r="D50" s="24" t="s">
        <v>61</v>
      </c>
      <c r="E50" s="34">
        <f>(0.01*E44)/(1+(B50/100))</f>
        <v>194.96053499999996</v>
      </c>
      <c r="F50" s="35">
        <f>E50/E47</f>
        <v>11.329113924050631</v>
      </c>
      <c r="G50" s="36">
        <f>E50/E48</f>
        <v>9.6075949367088622</v>
      </c>
      <c r="H50" s="36">
        <f>E50/E49</f>
        <v>8.8607594936708861E-2</v>
      </c>
      <c r="I50" s="36"/>
      <c r="J50" s="36">
        <f>E50/E51</f>
        <v>1.2974683544303796</v>
      </c>
      <c r="K50" s="36">
        <f>E50/E52</f>
        <v>12.974683544303796</v>
      </c>
      <c r="L50" s="37">
        <f>E50/E53</f>
        <v>0.63291139240506322</v>
      </c>
      <c r="M50" s="18"/>
    </row>
    <row r="51" spans="1:13" ht="18">
      <c r="A51" s="18" t="s">
        <v>247</v>
      </c>
      <c r="B51" s="27">
        <v>5</v>
      </c>
      <c r="C51" s="24"/>
      <c r="D51" s="24" t="s">
        <v>193</v>
      </c>
      <c r="E51" s="34">
        <f>(((0.01*B52)/100)*E44)/(1+(((B51/100)*B52)/100))</f>
        <v>150.26226599999998</v>
      </c>
      <c r="F51" s="35">
        <f>E51/E47</f>
        <v>8.7317073170731696</v>
      </c>
      <c r="G51" s="36">
        <f>E51/E48</f>
        <v>7.4048780487804891</v>
      </c>
      <c r="H51" s="36">
        <f>E51/E49</f>
        <v>6.8292682926829273E-2</v>
      </c>
      <c r="I51" s="36">
        <f>E51/E50</f>
        <v>0.77073170731707319</v>
      </c>
      <c r="J51" s="36"/>
      <c r="K51" s="36">
        <f>E51/E52</f>
        <v>10</v>
      </c>
      <c r="L51" s="37">
        <f>E51/E53</f>
        <v>0.48780487804878053</v>
      </c>
      <c r="M51" s="18"/>
    </row>
    <row r="52" spans="1:13" ht="18">
      <c r="A52" s="18" t="s">
        <v>68</v>
      </c>
      <c r="B52" s="27">
        <v>50</v>
      </c>
      <c r="C52" s="24"/>
      <c r="D52" s="24" t="s">
        <v>230</v>
      </c>
      <c r="E52" s="38">
        <f>(((0.01*B51)/100)*E44)/(1+(((B51/100)*B52)/100))</f>
        <v>15.026226599999999</v>
      </c>
      <c r="F52" s="35">
        <f>E52/E47</f>
        <v>0.87317073170731707</v>
      </c>
      <c r="G52" s="36">
        <f>E52/E48</f>
        <v>0.74048780487804899</v>
      </c>
      <c r="H52" s="36">
        <f>E52/E49</f>
        <v>6.8292682926829277E-3</v>
      </c>
      <c r="I52" s="36">
        <f>E52/E50</f>
        <v>7.707317073170733E-2</v>
      </c>
      <c r="J52" s="36">
        <f>E52/E51</f>
        <v>0.1</v>
      </c>
      <c r="K52" s="36"/>
      <c r="L52" s="37">
        <f>E52/E53</f>
        <v>4.8780487804878057E-2</v>
      </c>
      <c r="M52" s="18"/>
    </row>
    <row r="53" spans="1:13" ht="26.25">
      <c r="A53" s="19" t="s">
        <v>206</v>
      </c>
      <c r="B53" s="39">
        <v>0</v>
      </c>
      <c r="C53" s="40"/>
      <c r="D53" s="40" t="s">
        <v>115</v>
      </c>
      <c r="E53" s="41">
        <f>(0.01*E44)/(1+(B53/100))</f>
        <v>308.03764529999995</v>
      </c>
      <c r="F53" s="42">
        <f>E53/E47</f>
        <v>17.899999999999999</v>
      </c>
      <c r="G53" s="43">
        <f>E53/E48</f>
        <v>15.180000000000001</v>
      </c>
      <c r="H53" s="43">
        <f>E53/E49</f>
        <v>0.13999999999999999</v>
      </c>
      <c r="I53" s="43">
        <f>E53/E50</f>
        <v>1.58</v>
      </c>
      <c r="J53" s="43">
        <f>E53/E51</f>
        <v>2.0499999999999998</v>
      </c>
      <c r="K53" s="43">
        <f>E53/E52</f>
        <v>20.499999999999996</v>
      </c>
      <c r="L53" s="44"/>
      <c r="M53" s="18"/>
    </row>
    <row r="54" spans="1:13">
      <c r="A54" s="14"/>
      <c r="B54" s="14"/>
      <c r="C54" s="14"/>
      <c r="D54" s="14"/>
      <c r="E54" s="14"/>
      <c r="F54" s="14"/>
      <c r="G54" s="14"/>
      <c r="H54" s="14"/>
      <c r="I54" s="14"/>
      <c r="J54" s="14"/>
      <c r="K54" s="14"/>
      <c r="L54" s="14"/>
    </row>
    <row r="55" spans="1:13">
      <c r="A55" s="16" t="s">
        <v>27</v>
      </c>
      <c r="B55" s="7"/>
      <c r="C55" s="7"/>
      <c r="D55" s="7"/>
      <c r="E55" s="7"/>
      <c r="F55" s="7"/>
      <c r="G55" s="7"/>
      <c r="H55" s="7"/>
      <c r="I55" s="7"/>
      <c r="J55" s="7"/>
      <c r="K55" s="7"/>
      <c r="L55" s="17"/>
      <c r="M55" s="18"/>
    </row>
    <row r="56" spans="1:13">
      <c r="A56" s="19"/>
      <c r="B56" s="20"/>
      <c r="D56" s="20"/>
      <c r="E56" s="20"/>
      <c r="L56" s="21"/>
      <c r="M56" s="18"/>
    </row>
    <row r="57" spans="1:13" ht="18">
      <c r="A57" s="22" t="s">
        <v>50</v>
      </c>
      <c r="B57" s="23">
        <v>1152</v>
      </c>
      <c r="C57" s="24"/>
      <c r="D57" s="25" t="s">
        <v>248</v>
      </c>
      <c r="E57" s="26">
        <f>((((((((B58+B59)+B61)+B62)/2)*B60)*(1+(B63/100)))*(1+(B57/100)))*(1+(((B64/100)*B65)/100)))*(1+(B66/100))</f>
        <v>37303.88269192</v>
      </c>
      <c r="F57" s="18"/>
      <c r="L57" s="21"/>
      <c r="M57" s="18"/>
    </row>
    <row r="58" spans="1:13">
      <c r="A58" s="18" t="s">
        <v>63</v>
      </c>
      <c r="B58" s="27">
        <v>424</v>
      </c>
      <c r="C58" s="18"/>
      <c r="D58" s="14"/>
      <c r="E58" s="14"/>
      <c r="F58" s="20"/>
      <c r="G58" s="20"/>
      <c r="H58" s="20"/>
      <c r="I58" s="20"/>
      <c r="J58" s="20"/>
      <c r="K58" s="20"/>
      <c r="L58" s="28"/>
      <c r="M58" s="18"/>
    </row>
    <row r="59" spans="1:13" ht="38.25">
      <c r="A59" s="18" t="s">
        <v>129</v>
      </c>
      <c r="B59" s="27">
        <v>968</v>
      </c>
      <c r="C59" s="24"/>
      <c r="D59" s="22"/>
      <c r="E59" s="29" t="s">
        <v>214</v>
      </c>
      <c r="F59" s="13" t="str">
        <f>TRANSPOSE(D60:D66)</f>
        <v>1 Primary Stat</v>
      </c>
      <c r="G59" s="14" t="s">
        <v>213</v>
      </c>
      <c r="H59" s="14" t="s">
        <v>216</v>
      </c>
      <c r="I59" s="14" t="s">
        <v>61</v>
      </c>
      <c r="J59" s="14" t="s">
        <v>193</v>
      </c>
      <c r="K59" s="14" t="s">
        <v>230</v>
      </c>
      <c r="L59" s="15" t="s">
        <v>115</v>
      </c>
      <c r="M59" s="18"/>
    </row>
    <row r="60" spans="1:13" ht="18">
      <c r="A60" s="18" t="s">
        <v>131</v>
      </c>
      <c r="B60" s="27">
        <v>1.3</v>
      </c>
      <c r="C60" s="24"/>
      <c r="D60" s="24" t="s">
        <v>71</v>
      </c>
      <c r="E60" s="30">
        <f>(0.01*E57)/(1+(B57/100))</f>
        <v>29.795433460000002</v>
      </c>
      <c r="F60" s="31"/>
      <c r="G60" s="32">
        <f>E60/E61</f>
        <v>1.4345047923322682</v>
      </c>
      <c r="H60" s="32">
        <f>E60/E62</f>
        <v>1.038338658146965E-2</v>
      </c>
      <c r="I60" s="32">
        <f>E60/E63</f>
        <v>0.11581469648562301</v>
      </c>
      <c r="J60" s="32">
        <f>E60/E64</f>
        <v>6.1099980144762742E-2</v>
      </c>
      <c r="K60" s="32">
        <f>E60/E65</f>
        <v>0.54073482428115016</v>
      </c>
      <c r="L60" s="33">
        <f>E60/E66</f>
        <v>0.10383386581469649</v>
      </c>
      <c r="M60" s="18"/>
    </row>
    <row r="61" spans="1:13" ht="18">
      <c r="A61" s="18" t="s">
        <v>123</v>
      </c>
      <c r="B61" s="27">
        <v>63</v>
      </c>
      <c r="C61" s="24"/>
      <c r="D61" s="24" t="s">
        <v>213</v>
      </c>
      <c r="E61" s="34">
        <f>(0.5*E57)/((((B58+B59)+B61)+B62)/2)</f>
        <v>20.770536020000002</v>
      </c>
      <c r="F61" s="35">
        <f>E61/E60</f>
        <v>0.69710467706013368</v>
      </c>
      <c r="G61" s="36"/>
      <c r="H61" s="36">
        <f>E61/E62</f>
        <v>7.2383073496659249E-3</v>
      </c>
      <c r="I61" s="36">
        <f>E61/E63</f>
        <v>8.0734966592427612E-2</v>
      </c>
      <c r="J61" s="36">
        <f>E61/E64</f>
        <v>4.2593081927195409E-2</v>
      </c>
      <c r="K61" s="36">
        <f>E61/E65</f>
        <v>0.37694877505567931</v>
      </c>
      <c r="L61" s="37">
        <f>E61/E66</f>
        <v>7.2383073496659248E-2</v>
      </c>
      <c r="M61" s="18"/>
    </row>
    <row r="62" spans="1:13" ht="26.25">
      <c r="A62" s="18" t="s">
        <v>55</v>
      </c>
      <c r="B62" s="27">
        <v>341</v>
      </c>
      <c r="C62" s="24"/>
      <c r="D62" s="24" t="s">
        <v>216</v>
      </c>
      <c r="E62" s="34">
        <f>(0.1*E57)/B60</f>
        <v>2869.5294378399999</v>
      </c>
      <c r="F62" s="35">
        <f>E62/E60</f>
        <v>96.307692307692292</v>
      </c>
      <c r="G62" s="36">
        <f>E62/E61</f>
        <v>138.15384615384613</v>
      </c>
      <c r="H62" s="36"/>
      <c r="I62" s="36">
        <f>E62/E63</f>
        <v>11.153846153846153</v>
      </c>
      <c r="J62" s="36">
        <f>E62/E64</f>
        <v>5.8843980877879183</v>
      </c>
      <c r="K62" s="36">
        <f>E62/E65</f>
        <v>52.076923076923073</v>
      </c>
      <c r="L62" s="37">
        <f>E62/E66</f>
        <v>10</v>
      </c>
      <c r="M62" s="18"/>
    </row>
    <row r="63" spans="1:13" ht="18">
      <c r="A63" s="18" t="s">
        <v>241</v>
      </c>
      <c r="B63" s="27">
        <v>45</v>
      </c>
      <c r="C63" s="24"/>
      <c r="D63" s="24" t="s">
        <v>61</v>
      </c>
      <c r="E63" s="34">
        <f>(0.01*E57)/(1+(B63/100))</f>
        <v>257.26815649600002</v>
      </c>
      <c r="F63" s="35">
        <f>E63/E60</f>
        <v>8.63448275862069</v>
      </c>
      <c r="G63" s="36">
        <f>E63/E61</f>
        <v>12.386206896551725</v>
      </c>
      <c r="H63" s="36">
        <f>E63/E62</f>
        <v>8.9655172413793116E-2</v>
      </c>
      <c r="I63" s="36"/>
      <c r="J63" s="36">
        <f>E63/E64</f>
        <v>0.5275667251120203</v>
      </c>
      <c r="K63" s="36">
        <f>E63/E65</f>
        <v>4.6689655172413795</v>
      </c>
      <c r="L63" s="37">
        <f>E63/E66</f>
        <v>0.89655172413793105</v>
      </c>
      <c r="M63" s="18"/>
    </row>
    <row r="64" spans="1:13" ht="18">
      <c r="A64" s="18" t="s">
        <v>247</v>
      </c>
      <c r="B64" s="27">
        <v>20</v>
      </c>
      <c r="C64" s="24"/>
      <c r="D64" s="24" t="s">
        <v>193</v>
      </c>
      <c r="E64" s="34">
        <f>(((0.01*B65)/100)*E57)/(1+(((B64/100)*B65)/100))</f>
        <v>487.65046059599996</v>
      </c>
      <c r="F64" s="35">
        <f>E64/E60</f>
        <v>16.366617429837515</v>
      </c>
      <c r="G64" s="36">
        <f>E64/E61</f>
        <v>23.477991137370751</v>
      </c>
      <c r="H64" s="36">
        <f>E64/E62</f>
        <v>0.16994091580502216</v>
      </c>
      <c r="I64" s="36">
        <f>E64/E63</f>
        <v>1.8954948301329391</v>
      </c>
      <c r="J64" s="36"/>
      <c r="K64" s="36">
        <f>E64/E65</f>
        <v>8.85</v>
      </c>
      <c r="L64" s="37">
        <f>E64/E66</f>
        <v>1.6994091580502213</v>
      </c>
      <c r="M64" s="18"/>
    </row>
    <row r="65" spans="1:13" ht="18">
      <c r="A65" s="18" t="s">
        <v>68</v>
      </c>
      <c r="B65" s="27">
        <v>177</v>
      </c>
      <c r="C65" s="24"/>
      <c r="D65" s="24" t="s">
        <v>230</v>
      </c>
      <c r="E65" s="38">
        <f>(((0.01*B64)/100)*E57)/(1+(((B64/100)*B65)/100))</f>
        <v>55.10174696</v>
      </c>
      <c r="F65" s="35">
        <f>E65/E60</f>
        <v>1.8493353028064992</v>
      </c>
      <c r="G65" s="36">
        <f>E65/E61</f>
        <v>2.6528803545051698</v>
      </c>
      <c r="H65" s="36">
        <f>E65/E62</f>
        <v>1.9202363367799114E-2</v>
      </c>
      <c r="I65" s="36">
        <f>E65/E63</f>
        <v>0.21418020679468242</v>
      </c>
      <c r="J65" s="36">
        <f>E65/E64</f>
        <v>0.11299435028248589</v>
      </c>
      <c r="K65" s="36"/>
      <c r="L65" s="37">
        <f>E65/E66</f>
        <v>0.19202363367799113</v>
      </c>
      <c r="M65" s="18"/>
    </row>
    <row r="66" spans="1:13" ht="26.25">
      <c r="A66" s="19" t="s">
        <v>206</v>
      </c>
      <c r="B66" s="39">
        <v>30</v>
      </c>
      <c r="C66" s="40">
        <v>0</v>
      </c>
      <c r="D66" s="40" t="s">
        <v>115</v>
      </c>
      <c r="E66" s="41">
        <f>(0.01*E57)/(1+(B66/100))</f>
        <v>286.95294378400001</v>
      </c>
      <c r="F66" s="42">
        <f>E66/E60</f>
        <v>9.6307692307692303</v>
      </c>
      <c r="G66" s="43">
        <f>E66/E61</f>
        <v>13.815384615384614</v>
      </c>
      <c r="H66" s="43">
        <f>E66/E62</f>
        <v>0.1</v>
      </c>
      <c r="I66" s="43">
        <f>E66/E63</f>
        <v>1.1153846153846154</v>
      </c>
      <c r="J66" s="43">
        <f>E66/E64</f>
        <v>0.58843980877879187</v>
      </c>
      <c r="K66" s="43">
        <f>E66/E65</f>
        <v>5.2076923076923078</v>
      </c>
      <c r="L66" s="44"/>
      <c r="M66" s="18"/>
    </row>
    <row r="67" spans="1:13">
      <c r="A67" s="14"/>
      <c r="B67" s="14"/>
      <c r="C67" s="14"/>
      <c r="D67" s="14"/>
      <c r="E67" s="14"/>
      <c r="F67" s="14"/>
      <c r="G67" s="14"/>
      <c r="H67" s="14"/>
      <c r="I67" s="14"/>
      <c r="J67" s="14"/>
      <c r="K67" s="14"/>
      <c r="L67" s="14"/>
    </row>
    <row r="68" spans="1:13">
      <c r="A68" s="16" t="s">
        <v>83</v>
      </c>
      <c r="B68" s="7"/>
      <c r="C68" s="7"/>
      <c r="D68" s="7"/>
      <c r="E68" s="7"/>
      <c r="F68" s="7"/>
      <c r="G68" s="7"/>
      <c r="H68" s="7"/>
      <c r="I68" s="7"/>
      <c r="J68" s="7"/>
      <c r="K68" s="7"/>
      <c r="L68" s="17"/>
      <c r="M68" s="18"/>
    </row>
    <row r="69" spans="1:13">
      <c r="A69" s="19"/>
      <c r="B69" s="20"/>
      <c r="D69" s="20"/>
      <c r="E69" s="20"/>
      <c r="L69" s="21"/>
      <c r="M69" s="18"/>
    </row>
    <row r="70" spans="1:13" ht="18">
      <c r="A70" s="22" t="s">
        <v>50</v>
      </c>
      <c r="B70" s="23">
        <v>1943</v>
      </c>
      <c r="C70" s="24"/>
      <c r="D70" s="25" t="s">
        <v>248</v>
      </c>
      <c r="E70" s="26">
        <f>((((((((B71+B72)+B74)+B75)/2)*B73)*(1+(B76/100)))*(1+(B70/100)))*(1+(((B77/100)*B78)/100)))*(1+(B79/100))</f>
        <v>50309.801939949306</v>
      </c>
      <c r="F70" s="18"/>
      <c r="L70" s="21"/>
      <c r="M70" s="18"/>
    </row>
    <row r="71" spans="1:13">
      <c r="A71" s="18" t="s">
        <v>63</v>
      </c>
      <c r="B71" s="27">
        <v>326</v>
      </c>
      <c r="C71" s="18"/>
      <c r="D71" s="14"/>
      <c r="E71" s="14"/>
      <c r="F71" s="20"/>
      <c r="G71" s="20"/>
      <c r="H71" s="20"/>
      <c r="I71" s="20"/>
      <c r="J71" s="20"/>
      <c r="K71" s="20"/>
      <c r="L71" s="28"/>
      <c r="M71" s="18"/>
    </row>
    <row r="72" spans="1:13" ht="38.25">
      <c r="A72" s="18" t="s">
        <v>129</v>
      </c>
      <c r="B72" s="27">
        <v>1081</v>
      </c>
      <c r="C72" s="24"/>
      <c r="D72" s="22"/>
      <c r="E72" s="29" t="s">
        <v>214</v>
      </c>
      <c r="F72" s="13" t="str">
        <f>TRANSPOSE(D73:D79)</f>
        <v>1 Primary Stat</v>
      </c>
      <c r="G72" s="14" t="s">
        <v>213</v>
      </c>
      <c r="H72" s="14" t="s">
        <v>216</v>
      </c>
      <c r="I72" s="14" t="s">
        <v>61</v>
      </c>
      <c r="J72" s="14" t="s">
        <v>193</v>
      </c>
      <c r="K72" s="14" t="s">
        <v>230</v>
      </c>
      <c r="L72" s="15" t="s">
        <v>115</v>
      </c>
      <c r="M72" s="18"/>
    </row>
    <row r="73" spans="1:13" ht="18">
      <c r="A73" s="18" t="s">
        <v>131</v>
      </c>
      <c r="B73" s="27">
        <v>1.4</v>
      </c>
      <c r="C73" s="24"/>
      <c r="D73" s="24" t="s">
        <v>71</v>
      </c>
      <c r="E73" s="30">
        <f>(0.01*E70)/(1+(B70/100))</f>
        <v>24.625453715100004</v>
      </c>
      <c r="F73" s="31"/>
      <c r="G73" s="32">
        <f>E73/E74</f>
        <v>0.68869309838472836</v>
      </c>
      <c r="H73" s="32">
        <f>E73/E75</f>
        <v>6.8526676456191864E-3</v>
      </c>
      <c r="I73" s="32">
        <f>E73/E76</f>
        <v>6.1674008810572688E-2</v>
      </c>
      <c r="J73" s="32">
        <f>E73/E77</f>
        <v>5.6652059461730291E-2</v>
      </c>
      <c r="K73" s="32">
        <f>E73/E78</f>
        <v>0.19445436626053367</v>
      </c>
      <c r="L73" s="33">
        <f>E73/E79</f>
        <v>6.6079295154185022E-2</v>
      </c>
      <c r="M73" s="18"/>
    </row>
    <row r="74" spans="1:13" ht="18">
      <c r="A74" s="18" t="s">
        <v>123</v>
      </c>
      <c r="B74" s="27">
        <v>0</v>
      </c>
      <c r="C74" s="24"/>
      <c r="D74" s="24" t="s">
        <v>213</v>
      </c>
      <c r="E74" s="34">
        <f>(0.5*E70)/((((B71+B72)+B74)+B75)/2)</f>
        <v>35.756788869900006</v>
      </c>
      <c r="F74" s="35">
        <f>E74/E73</f>
        <v>1.4520255863539446</v>
      </c>
      <c r="G74" s="36"/>
      <c r="H74" s="36">
        <f>E74/E75</f>
        <v>9.9502487562189035E-3</v>
      </c>
      <c r="I74" s="36">
        <f>E74/E76</f>
        <v>8.9552238805970144E-2</v>
      </c>
      <c r="J74" s="36">
        <f>E74/E77</f>
        <v>8.2260239858077455E-2</v>
      </c>
      <c r="K74" s="36">
        <f>E74/E78</f>
        <v>0.28235271518853611</v>
      </c>
      <c r="L74" s="37">
        <f>E74/E79</f>
        <v>9.5948827292110878E-2</v>
      </c>
      <c r="M74" s="18"/>
    </row>
    <row r="75" spans="1:13" ht="26.25">
      <c r="A75" s="18" t="s">
        <v>55</v>
      </c>
      <c r="B75" s="27">
        <v>0</v>
      </c>
      <c r="C75" s="24"/>
      <c r="D75" s="24" t="s">
        <v>216</v>
      </c>
      <c r="E75" s="34">
        <f>(0.1*E70)/B73</f>
        <v>3593.5572814249513</v>
      </c>
      <c r="F75" s="35">
        <f>E75/E73</f>
        <v>145.92857142857144</v>
      </c>
      <c r="G75" s="36">
        <f>E75/E74</f>
        <v>100.50000000000001</v>
      </c>
      <c r="H75" s="36"/>
      <c r="I75" s="36">
        <f>E75/E76</f>
        <v>9.0000000000000018</v>
      </c>
      <c r="J75" s="36">
        <f>E75/E77</f>
        <v>8.2671541057367861</v>
      </c>
      <c r="K75" s="36">
        <f>E75/E78</f>
        <v>28.376447876447884</v>
      </c>
      <c r="L75" s="37">
        <f>E75/E79</f>
        <v>9.6428571428571459</v>
      </c>
      <c r="M75" s="18"/>
    </row>
    <row r="76" spans="1:13" ht="18">
      <c r="A76" s="18" t="s">
        <v>241</v>
      </c>
      <c r="B76" s="27">
        <v>26</v>
      </c>
      <c r="C76" s="24"/>
      <c r="D76" s="24" t="s">
        <v>61</v>
      </c>
      <c r="E76" s="34">
        <f>(0.01*E70)/(1+(B76/100))</f>
        <v>399.28414238055007</v>
      </c>
      <c r="F76" s="35">
        <f>E76/E73</f>
        <v>16.214285714285715</v>
      </c>
      <c r="G76" s="36">
        <f>E76/E74</f>
        <v>11.166666666666666</v>
      </c>
      <c r="H76" s="36">
        <f>E76/E75</f>
        <v>0.11111111111111109</v>
      </c>
      <c r="I76" s="36"/>
      <c r="J76" s="36">
        <f>E76/E77</f>
        <v>0.9185726784151983</v>
      </c>
      <c r="K76" s="36">
        <f>E76/E78</f>
        <v>3.1529386529386532</v>
      </c>
      <c r="L76" s="37">
        <f>E76/E79</f>
        <v>1.0714285714285714</v>
      </c>
      <c r="M76" s="18"/>
    </row>
    <row r="77" spans="1:13" ht="18">
      <c r="A77" s="18" t="s">
        <v>247</v>
      </c>
      <c r="B77" s="27">
        <v>37</v>
      </c>
      <c r="C77" s="24"/>
      <c r="D77" s="24" t="s">
        <v>193</v>
      </c>
      <c r="E77" s="34">
        <f>(((0.01*B78)/100)*E70)/(1+(((B77/100)*B78)/100))</f>
        <v>434.6788792689</v>
      </c>
      <c r="F77" s="35">
        <f>E77/E73</f>
        <v>17.651608952989996</v>
      </c>
      <c r="G77" s="36">
        <f>E77/E74</f>
        <v>12.156541261310291</v>
      </c>
      <c r="H77" s="36">
        <f>E77/E75</f>
        <v>0.1209606095652765</v>
      </c>
      <c r="I77" s="36">
        <f>E77/E76</f>
        <v>1.0886454860874888</v>
      </c>
      <c r="J77" s="36"/>
      <c r="K77" s="36">
        <f>E77/E78</f>
        <v>3.432432432432432</v>
      </c>
      <c r="L77" s="37">
        <f>E77/E79</f>
        <v>1.1664058779508808</v>
      </c>
      <c r="M77" s="18"/>
    </row>
    <row r="78" spans="1:13" ht="18">
      <c r="A78" s="18" t="s">
        <v>68</v>
      </c>
      <c r="B78" s="27">
        <v>127</v>
      </c>
      <c r="C78" s="24"/>
      <c r="D78" s="24" t="s">
        <v>230</v>
      </c>
      <c r="E78" s="38">
        <f>(((0.01*B77)/100)*E70)/(1+(((B77/100)*B78)/100))</f>
        <v>126.63872860590001</v>
      </c>
      <c r="F78" s="35">
        <f>E78/E73</f>
        <v>5.1425947343356686</v>
      </c>
      <c r="G78" s="36">
        <f>E78/E74</f>
        <v>3.5416695013266204</v>
      </c>
      <c r="H78" s="36">
        <f>E78/E75</f>
        <v>3.5240492550513633E-2</v>
      </c>
      <c r="I78" s="36">
        <f>E78/E76</f>
        <v>0.31716443295462277</v>
      </c>
      <c r="J78" s="36">
        <f>E78/E77</f>
        <v>0.29133858267716539</v>
      </c>
      <c r="K78" s="36"/>
      <c r="L78" s="37">
        <f>E78/E79</f>
        <v>0.33981903530852436</v>
      </c>
      <c r="M78" s="18"/>
    </row>
    <row r="79" spans="1:13" ht="26.25">
      <c r="A79" s="19" t="s">
        <v>206</v>
      </c>
      <c r="B79" s="39">
        <v>35</v>
      </c>
      <c r="C79" s="40"/>
      <c r="D79" s="40" t="s">
        <v>115</v>
      </c>
      <c r="E79" s="41">
        <f>(0.01*E70)/(1+(B79/100))</f>
        <v>372.66519955518004</v>
      </c>
      <c r="F79" s="42">
        <f>E79/E73</f>
        <v>15.133333333333333</v>
      </c>
      <c r="G79" s="43">
        <f>E79/E74</f>
        <v>10.422222222222221</v>
      </c>
      <c r="H79" s="43">
        <f>E79/E75</f>
        <v>0.10370370370370367</v>
      </c>
      <c r="I79" s="43">
        <f>E79/E76</f>
        <v>0.93333333333333324</v>
      </c>
      <c r="J79" s="43">
        <f>E79/E77</f>
        <v>0.85733449985418497</v>
      </c>
      <c r="K79" s="43">
        <f>E79/E78</f>
        <v>2.9427427427427428</v>
      </c>
      <c r="L79" s="44"/>
      <c r="M79" s="18"/>
    </row>
    <row r="80" spans="1:13">
      <c r="A80" s="14"/>
      <c r="B80" s="14"/>
      <c r="C80" s="14"/>
      <c r="D80" s="14"/>
      <c r="E80" s="14"/>
      <c r="F80" s="14"/>
      <c r="G80" s="14"/>
      <c r="H80" s="14"/>
      <c r="I80" s="14"/>
      <c r="J80" s="14"/>
      <c r="K80" s="14"/>
      <c r="L80" s="14"/>
    </row>
    <row r="81" spans="1:13">
      <c r="A81" s="16" t="s">
        <v>87</v>
      </c>
      <c r="B81" s="7"/>
      <c r="C81" s="7"/>
      <c r="D81" s="7"/>
      <c r="E81" s="7"/>
      <c r="F81" s="7"/>
      <c r="G81" s="7"/>
      <c r="H81" s="7"/>
      <c r="I81" s="7"/>
      <c r="J81" s="7"/>
      <c r="K81" s="7"/>
      <c r="L81" s="17"/>
      <c r="M81" s="18"/>
    </row>
    <row r="82" spans="1:13">
      <c r="A82" s="19"/>
      <c r="B82" s="20"/>
      <c r="D82" s="20"/>
      <c r="E82" s="20"/>
      <c r="L82" s="21"/>
      <c r="M82" s="18"/>
    </row>
    <row r="83" spans="1:13" ht="18">
      <c r="A83" s="22" t="s">
        <v>50</v>
      </c>
      <c r="B83" s="23">
        <v>1248</v>
      </c>
      <c r="C83" s="24"/>
      <c r="D83" s="25" t="s">
        <v>248</v>
      </c>
      <c r="E83" s="26">
        <f>((((((((B84+B85)+B87)+B88)/2)*B86)*(1+(B89/100)))*(1+(B83/100)))*(1+(((B90/100)*B91)/100)))*(1+(B92/100))</f>
        <v>14071.772000000001</v>
      </c>
      <c r="F83" s="18"/>
      <c r="L83" s="21"/>
      <c r="M83" s="18"/>
    </row>
    <row r="84" spans="1:13">
      <c r="A84" s="18" t="s">
        <v>63</v>
      </c>
      <c r="B84" s="27">
        <v>483</v>
      </c>
      <c r="C84" s="18"/>
      <c r="D84" s="14"/>
      <c r="E84" s="14"/>
      <c r="F84" s="20"/>
      <c r="G84" s="20"/>
      <c r="H84" s="20"/>
      <c r="I84" s="20"/>
      <c r="J84" s="20"/>
      <c r="K84" s="20"/>
      <c r="L84" s="28"/>
      <c r="M84" s="18"/>
    </row>
    <row r="85" spans="1:13" ht="38.25">
      <c r="A85" s="18" t="s">
        <v>129</v>
      </c>
      <c r="B85" s="27">
        <v>966</v>
      </c>
      <c r="C85" s="24"/>
      <c r="D85" s="22"/>
      <c r="E85" s="29" t="s">
        <v>214</v>
      </c>
      <c r="F85" s="13" t="str">
        <f>TRANSPOSE(D86:D92)</f>
        <v>1 Primary Stat</v>
      </c>
      <c r="G85" s="14" t="s">
        <v>213</v>
      </c>
      <c r="H85" s="14" t="s">
        <v>216</v>
      </c>
      <c r="I85" s="14" t="s">
        <v>61</v>
      </c>
      <c r="J85" s="14" t="s">
        <v>193</v>
      </c>
      <c r="K85" s="14" t="s">
        <v>230</v>
      </c>
      <c r="L85" s="15" t="s">
        <v>115</v>
      </c>
      <c r="M85" s="18"/>
    </row>
    <row r="86" spans="1:13" ht="18">
      <c r="A86" s="18" t="s">
        <v>131</v>
      </c>
      <c r="B86" s="27">
        <v>1.3</v>
      </c>
      <c r="C86" s="24"/>
      <c r="D86" s="24" t="s">
        <v>71</v>
      </c>
      <c r="E86" s="30">
        <f>(0.01*E83)/(1+(B83/100))</f>
        <v>10.439</v>
      </c>
      <c r="F86" s="31"/>
      <c r="G86" s="32">
        <f>E86/E87</f>
        <v>1.0830860534124627</v>
      </c>
      <c r="H86" s="32">
        <f>E86/E88</f>
        <v>9.6439169139465875E-3</v>
      </c>
      <c r="I86" s="32">
        <f>E86/E89</f>
        <v>7.418397626112759E-2</v>
      </c>
      <c r="J86" s="32">
        <f>E86/E90</f>
        <v>8.1602373887240356E-2</v>
      </c>
      <c r="K86" s="32">
        <f>E86/E91</f>
        <v>0.81602373887240354</v>
      </c>
      <c r="L86" s="33">
        <f>E86/E92</f>
        <v>7.418397626112759E-2</v>
      </c>
      <c r="M86" s="18"/>
    </row>
    <row r="87" spans="1:13" ht="18">
      <c r="A87" s="18" t="s">
        <v>123</v>
      </c>
      <c r="B87" s="27">
        <v>11</v>
      </c>
      <c r="C87" s="24"/>
      <c r="D87" s="24" t="s">
        <v>213</v>
      </c>
      <c r="E87" s="34">
        <f>(0.5*E83)/((((B84+B85)+B87)+B88)/2)</f>
        <v>9.6382000000000012</v>
      </c>
      <c r="F87" s="35">
        <f>E87/E86</f>
        <v>0.92328767123287681</v>
      </c>
      <c r="G87" s="36"/>
      <c r="H87" s="36">
        <f>E87/E88</f>
        <v>8.9041095890410975E-3</v>
      </c>
      <c r="I87" s="36">
        <f>E87/E89</f>
        <v>6.8493150684931503E-2</v>
      </c>
      <c r="J87" s="36">
        <f>E87/E90</f>
        <v>7.5342465753424667E-2</v>
      </c>
      <c r="K87" s="36">
        <f>E87/E91</f>
        <v>0.7534246575342467</v>
      </c>
      <c r="L87" s="37">
        <f>E87/E92</f>
        <v>6.8493150684931503E-2</v>
      </c>
      <c r="M87" s="18"/>
    </row>
    <row r="88" spans="1:13" ht="26.25">
      <c r="A88" s="18" t="s">
        <v>55</v>
      </c>
      <c r="B88" s="27">
        <v>0</v>
      </c>
      <c r="C88" s="24"/>
      <c r="D88" s="24" t="s">
        <v>216</v>
      </c>
      <c r="E88" s="34">
        <f>(0.1*E83)/B86</f>
        <v>1082.444</v>
      </c>
      <c r="F88" s="35">
        <f>E88/E86</f>
        <v>103.69230769230769</v>
      </c>
      <c r="G88" s="36">
        <f>E88/E87</f>
        <v>112.30769230769229</v>
      </c>
      <c r="H88" s="36"/>
      <c r="I88" s="36">
        <f>E88/E89</f>
        <v>7.6923076923076916</v>
      </c>
      <c r="J88" s="36">
        <f>E88/E90</f>
        <v>8.4615384615384617</v>
      </c>
      <c r="K88" s="36">
        <f>E88/E91</f>
        <v>84.615384615384613</v>
      </c>
      <c r="L88" s="37">
        <f>E88/E92</f>
        <v>7.6923076923076916</v>
      </c>
      <c r="M88" s="18"/>
    </row>
    <row r="89" spans="1:13" ht="18">
      <c r="A89" s="18" t="s">
        <v>241</v>
      </c>
      <c r="B89" s="27">
        <v>0</v>
      </c>
      <c r="C89" s="24"/>
      <c r="D89" s="24" t="s">
        <v>61</v>
      </c>
      <c r="E89" s="34">
        <f>(0.01*E83)/(1+(B89/100))</f>
        <v>140.71772000000001</v>
      </c>
      <c r="F89" s="35">
        <f>E89/E86</f>
        <v>13.48</v>
      </c>
      <c r="G89" s="36">
        <f>E89/E87</f>
        <v>14.6</v>
      </c>
      <c r="H89" s="36">
        <f>E89/E88</f>
        <v>0.13</v>
      </c>
      <c r="I89" s="36"/>
      <c r="J89" s="36">
        <f>E89/E90</f>
        <v>1.1000000000000001</v>
      </c>
      <c r="K89" s="36">
        <f>E89/E91</f>
        <v>11.000000000000002</v>
      </c>
      <c r="L89" s="37">
        <f>E89/E92</f>
        <v>1</v>
      </c>
      <c r="M89" s="18"/>
    </row>
    <row r="90" spans="1:13" ht="18">
      <c r="A90" s="18" t="s">
        <v>247</v>
      </c>
      <c r="B90" s="27">
        <v>10</v>
      </c>
      <c r="C90" s="24"/>
      <c r="D90" s="24" t="s">
        <v>193</v>
      </c>
      <c r="E90" s="34">
        <f>(((0.01*B91)/100)*E83)/(1+(((B90/100)*B91)/100))</f>
        <v>127.9252</v>
      </c>
      <c r="F90" s="35">
        <f>E90/E86</f>
        <v>12.254545454545454</v>
      </c>
      <c r="G90" s="36">
        <f>E90/E87</f>
        <v>13.272727272727272</v>
      </c>
      <c r="H90" s="36">
        <f>E90/E88</f>
        <v>0.11818181818181819</v>
      </c>
      <c r="I90" s="36">
        <f>E90/E89</f>
        <v>0.90909090909090906</v>
      </c>
      <c r="J90" s="36"/>
      <c r="K90" s="36">
        <f>E90/E91</f>
        <v>10</v>
      </c>
      <c r="L90" s="37">
        <f>E90/E92</f>
        <v>0.90909090909090906</v>
      </c>
      <c r="M90" s="18"/>
    </row>
    <row r="91" spans="1:13" ht="18">
      <c r="A91" s="18" t="s">
        <v>68</v>
      </c>
      <c r="B91" s="27">
        <v>100</v>
      </c>
      <c r="C91" s="24"/>
      <c r="D91" s="24" t="s">
        <v>230</v>
      </c>
      <c r="E91" s="38">
        <f>(((0.01*B90)/100)*E83)/(1+(((B90/100)*B91)/100))</f>
        <v>12.79252</v>
      </c>
      <c r="F91" s="35">
        <f>E91/E86</f>
        <v>1.2254545454545454</v>
      </c>
      <c r="G91" s="36">
        <f>E91/E87</f>
        <v>1.3272727272727272</v>
      </c>
      <c r="H91" s="36">
        <f>E91/E88</f>
        <v>1.1818181818181818E-2</v>
      </c>
      <c r="I91" s="36">
        <f>E91/E89</f>
        <v>9.0909090909090898E-2</v>
      </c>
      <c r="J91" s="36">
        <f>E91/E90</f>
        <v>9.9999999999999992E-2</v>
      </c>
      <c r="K91" s="36"/>
      <c r="L91" s="37">
        <f>E91/E92</f>
        <v>9.0909090909090898E-2</v>
      </c>
      <c r="M91" s="18"/>
    </row>
    <row r="92" spans="1:13" ht="26.25">
      <c r="A92" s="19" t="s">
        <v>206</v>
      </c>
      <c r="B92" s="39">
        <v>0</v>
      </c>
      <c r="C92" s="40"/>
      <c r="D92" s="40" t="s">
        <v>115</v>
      </c>
      <c r="E92" s="41">
        <f>(0.01*E83)/(1+(B92/100))</f>
        <v>140.71772000000001</v>
      </c>
      <c r="F92" s="42">
        <f>E92/E86</f>
        <v>13.48</v>
      </c>
      <c r="G92" s="43">
        <f>E92/E87</f>
        <v>14.6</v>
      </c>
      <c r="H92" s="43">
        <f>E92/E88</f>
        <v>0.13</v>
      </c>
      <c r="I92" s="43">
        <f>E92/E89</f>
        <v>1</v>
      </c>
      <c r="J92" s="43">
        <f>E92/E90</f>
        <v>1.1000000000000001</v>
      </c>
      <c r="K92" s="43">
        <f>E92/E91</f>
        <v>11.000000000000002</v>
      </c>
      <c r="L92" s="44"/>
      <c r="M92" s="18"/>
    </row>
    <row r="93" spans="1:13">
      <c r="A93" s="7"/>
      <c r="B93" s="7"/>
      <c r="C93" s="7"/>
      <c r="D93" s="7"/>
      <c r="E93" s="7"/>
      <c r="F93" s="7"/>
      <c r="G93" s="7"/>
      <c r="H93" s="7"/>
      <c r="I93" s="7"/>
      <c r="J93" s="7"/>
      <c r="K93" s="7"/>
      <c r="L93" s="7"/>
    </row>
  </sheetData>
  <mergeCells count="1">
    <mergeCell ref="A1:L1"/>
  </mergeCells>
  <pageMargins left="0.75" right="0.75" top="1" bottom="1" header="0.5" footer="0.5"/>
  <pageSetup paperSize="9" orientation="portrait" horizontalDpi="300" verticalDpi="300"/>
  <headerFooter alignWithMargins="0"/>
  <legacyDrawing r:id="rId1"/>
</worksheet>
</file>

<file path=xl/worksheets/sheet3.xml><?xml version="1.0" encoding="utf-8"?>
<worksheet xmlns="http://schemas.openxmlformats.org/spreadsheetml/2006/main" xmlns:r="http://schemas.openxmlformats.org/officeDocument/2006/relationships">
  <dimension ref="A1:N309"/>
  <sheetViews>
    <sheetView zoomScaleNormal="100" workbookViewId="0">
      <selection activeCell="H29" sqref="H29"/>
    </sheetView>
  </sheetViews>
  <sheetFormatPr defaultColWidth="17.140625" defaultRowHeight="12.75" customHeight="1"/>
  <cols>
    <col min="1" max="1" width="28.140625" customWidth="1"/>
    <col min="2" max="3" width="17.140625" customWidth="1"/>
    <col min="4" max="4" width="16.42578125" customWidth="1"/>
    <col min="5" max="5" width="11.7109375" customWidth="1"/>
    <col min="6" max="6" width="10.85546875" customWidth="1"/>
    <col min="7" max="7" width="13" customWidth="1"/>
    <col min="8" max="8" width="10.85546875" customWidth="1"/>
    <col min="9" max="10" width="10.7109375" customWidth="1"/>
    <col min="11" max="11" width="9.42578125" customWidth="1"/>
    <col min="12" max="12" width="9.28515625" customWidth="1"/>
    <col min="13" max="13" width="11" customWidth="1"/>
    <col min="14" max="20" width="17.140625" customWidth="1"/>
  </cols>
  <sheetData>
    <row r="1" spans="1:14">
      <c r="A1" s="139" t="s">
        <v>154</v>
      </c>
      <c r="B1" s="140"/>
      <c r="C1" s="140"/>
      <c r="D1" s="140"/>
      <c r="E1" s="140"/>
      <c r="F1" s="140"/>
      <c r="G1" s="140"/>
      <c r="H1" s="140"/>
      <c r="I1" s="140"/>
      <c r="J1" s="140"/>
      <c r="K1" s="140"/>
      <c r="L1" s="140"/>
    </row>
    <row r="2" spans="1:14">
      <c r="A2" s="20"/>
      <c r="B2" s="20"/>
      <c r="C2" s="20"/>
      <c r="D2" s="20"/>
      <c r="E2" s="20"/>
      <c r="F2" s="20"/>
      <c r="G2" s="20"/>
      <c r="H2" s="20"/>
      <c r="I2" s="20"/>
      <c r="J2" s="20"/>
      <c r="K2" s="20"/>
      <c r="L2" s="20"/>
      <c r="M2" s="20"/>
    </row>
    <row r="3" spans="1:14">
      <c r="A3" s="16" t="s">
        <v>258</v>
      </c>
      <c r="B3" s="141" t="s">
        <v>234</v>
      </c>
      <c r="C3" s="141"/>
      <c r="D3" s="141"/>
      <c r="E3" s="141"/>
      <c r="F3" s="141"/>
      <c r="G3" s="141"/>
      <c r="H3" s="7"/>
      <c r="I3" s="7"/>
      <c r="J3" s="7"/>
      <c r="K3" s="17"/>
      <c r="L3" s="142" t="s">
        <v>18</v>
      </c>
      <c r="M3" s="143"/>
      <c r="N3" s="18"/>
    </row>
    <row r="4" spans="1:14">
      <c r="A4" s="19"/>
      <c r="B4" s="20"/>
      <c r="D4" s="20"/>
      <c r="E4" s="20"/>
      <c r="F4" s="20"/>
      <c r="G4" s="20"/>
      <c r="H4" s="20"/>
      <c r="I4" s="20"/>
      <c r="J4" s="20"/>
      <c r="K4" s="21"/>
      <c r="L4" s="47" t="s">
        <v>203</v>
      </c>
      <c r="M4" s="21"/>
      <c r="N4" s="18"/>
    </row>
    <row r="5" spans="1:14" ht="26.25">
      <c r="A5" s="22" t="s">
        <v>141</v>
      </c>
      <c r="B5" s="23">
        <v>3</v>
      </c>
      <c r="C5" s="24"/>
      <c r="D5" s="144" t="s">
        <v>227</v>
      </c>
      <c r="E5" s="141"/>
      <c r="F5" s="141"/>
      <c r="G5" s="48">
        <f>((((((1+M5)*(276+(35*B6)))*(1+(B7/100)))*(1+((((1+(B9/100))*B8)/50)/(60+B5))))*(1+((((1+(B13/100))*B12)/5)/(60+B5))))/(1-(B10/100)))/(1-(B11/100))</f>
        <v>311497.35602875112</v>
      </c>
      <c r="H5" s="7"/>
      <c r="I5" s="7"/>
      <c r="J5" s="17"/>
      <c r="K5" s="24"/>
      <c r="L5" s="18" t="s">
        <v>231</v>
      </c>
      <c r="M5" s="49">
        <v>1</v>
      </c>
      <c r="N5" s="18"/>
    </row>
    <row r="6" spans="1:14">
      <c r="A6" s="18" t="s">
        <v>45</v>
      </c>
      <c r="B6" s="27">
        <v>1031</v>
      </c>
      <c r="C6" s="24"/>
      <c r="D6" s="18"/>
      <c r="J6" s="21"/>
      <c r="K6" s="24"/>
      <c r="L6" s="18"/>
      <c r="M6" s="21"/>
      <c r="N6" s="18"/>
    </row>
    <row r="7" spans="1:14" ht="25.5">
      <c r="A7" s="18" t="s">
        <v>104</v>
      </c>
      <c r="B7" s="27">
        <v>23</v>
      </c>
      <c r="C7" s="24"/>
      <c r="D7" s="18"/>
      <c r="E7" s="2" t="s">
        <v>111</v>
      </c>
      <c r="F7" s="20" t="s">
        <v>219</v>
      </c>
      <c r="G7" s="20" t="s">
        <v>6</v>
      </c>
      <c r="H7" s="20" t="s">
        <v>220</v>
      </c>
      <c r="I7" s="20" t="s">
        <v>143</v>
      </c>
      <c r="J7" s="28" t="s">
        <v>39</v>
      </c>
      <c r="K7" s="24"/>
      <c r="L7" s="18"/>
      <c r="M7" s="21"/>
      <c r="N7" s="18"/>
    </row>
    <row r="8" spans="1:14" ht="18">
      <c r="A8" s="18" t="s">
        <v>226</v>
      </c>
      <c r="B8" s="27">
        <v>2713</v>
      </c>
      <c r="C8" s="24"/>
      <c r="D8" s="24" t="s">
        <v>81</v>
      </c>
      <c r="E8" s="30">
        <f>(35*G5)/(276+(35*B6))</f>
        <v>299.83794342857152</v>
      </c>
      <c r="F8" s="31"/>
      <c r="G8" s="32">
        <f>E8/E9</f>
        <v>0.11839608371606941</v>
      </c>
      <c r="H8" s="32">
        <f>E8/E10</f>
        <v>4.5676420411447571</v>
      </c>
      <c r="I8" s="32">
        <f>E8/E11</f>
        <v>0.5024614284535629</v>
      </c>
      <c r="J8" s="33">
        <f>E8/E12</f>
        <v>9.5294408844641243E-2</v>
      </c>
      <c r="K8" s="24"/>
      <c r="L8" s="18"/>
      <c r="M8" s="21"/>
      <c r="N8" s="18"/>
    </row>
    <row r="9" spans="1:14" ht="18">
      <c r="A9" s="18" t="s">
        <v>252</v>
      </c>
      <c r="B9" s="27">
        <v>55</v>
      </c>
      <c r="C9" s="24"/>
      <c r="D9" s="24" t="s">
        <v>166</v>
      </c>
      <c r="E9" s="34">
        <f>(0.01*G5)/(1+(B7/100))</f>
        <v>2532.4988295020416</v>
      </c>
      <c r="F9" s="35">
        <f>E9/E8</f>
        <v>8.446225319396051</v>
      </c>
      <c r="G9" s="36"/>
      <c r="H9" s="36">
        <f>E9/E10</f>
        <v>38.579333857854706</v>
      </c>
      <c r="I9" s="36">
        <f>E9/E11</f>
        <v>4.2439024390243905</v>
      </c>
      <c r="J9" s="37">
        <f>E9/E12</f>
        <v>0.80487804878048785</v>
      </c>
      <c r="K9" s="24"/>
      <c r="L9" s="18"/>
      <c r="M9" s="21"/>
      <c r="N9" s="18"/>
    </row>
    <row r="10" spans="1:14" ht="39">
      <c r="A10" s="18" t="s">
        <v>150</v>
      </c>
      <c r="B10" s="27">
        <v>0</v>
      </c>
      <c r="C10" s="24"/>
      <c r="D10" s="24" t="s">
        <v>224</v>
      </c>
      <c r="E10" s="34">
        <f>((((1+(B9/100))/50)/(60+B5))*G5)/(1+((((1+(B9/100))*B8)/50)/(60+B5)))</f>
        <v>65.643923216326556</v>
      </c>
      <c r="F10" s="35">
        <f>E10/E8</f>
        <v>0.21893134159641303</v>
      </c>
      <c r="G10" s="36">
        <f>E10/E9</f>
        <v>2.5920613447720307E-2</v>
      </c>
      <c r="H10" s="36"/>
      <c r="I10" s="36">
        <f>E10/E11</f>
        <v>0.11000455463178863</v>
      </c>
      <c r="J10" s="37">
        <f>E10/E12</f>
        <v>2.0862932774994392E-2</v>
      </c>
      <c r="K10" s="24"/>
      <c r="L10" s="18"/>
      <c r="M10" s="21"/>
      <c r="N10" s="18"/>
    </row>
    <row r="11" spans="1:14" ht="39">
      <c r="A11" s="18" t="s">
        <v>102</v>
      </c>
      <c r="B11" s="27">
        <v>0</v>
      </c>
      <c r="C11" s="24"/>
      <c r="D11" s="24" t="s">
        <v>144</v>
      </c>
      <c r="E11" s="34">
        <f>((((1+(B13/100))/5)/(60+B5))*G5)/(1+((((1+(B13/100))*B12)/5)/(60+B5)))</f>
        <v>596.73822994013619</v>
      </c>
      <c r="F11" s="35">
        <f>E11/E8</f>
        <v>1.9902025177887246</v>
      </c>
      <c r="G11" s="36">
        <f>E11/E9</f>
        <v>0.23563218390804597</v>
      </c>
      <c r="H11" s="36">
        <f>E11/E10</f>
        <v>9.0905326906439239</v>
      </c>
      <c r="I11" s="36"/>
      <c r="J11" s="37">
        <f>E11/E12</f>
        <v>0.18965517241379309</v>
      </c>
      <c r="K11" s="24"/>
      <c r="L11" s="18"/>
      <c r="M11" s="21"/>
      <c r="N11" s="18"/>
    </row>
    <row r="12" spans="1:14" ht="26.25">
      <c r="A12" s="18" t="s">
        <v>117</v>
      </c>
      <c r="B12" s="27">
        <v>172</v>
      </c>
      <c r="C12" s="24"/>
      <c r="D12" s="40" t="s">
        <v>54</v>
      </c>
      <c r="E12" s="50">
        <f>(G5*0.01)/(0.99-(B11/100))</f>
        <v>3146.4379396843547</v>
      </c>
      <c r="F12" s="42">
        <f>E12/E8</f>
        <v>10.493795093795093</v>
      </c>
      <c r="G12" s="43">
        <f>E12/E9</f>
        <v>1.2424242424242424</v>
      </c>
      <c r="H12" s="43">
        <f>E12/E10</f>
        <v>47.931899641577054</v>
      </c>
      <c r="I12" s="43">
        <f>E12/E11</f>
        <v>5.2727272727272734</v>
      </c>
      <c r="J12" s="44"/>
      <c r="K12" s="24"/>
      <c r="L12" s="18"/>
      <c r="M12" s="21"/>
      <c r="N12" s="18"/>
    </row>
    <row r="13" spans="1:14">
      <c r="A13" s="18" t="s">
        <v>118</v>
      </c>
      <c r="B13" s="27">
        <v>-10</v>
      </c>
      <c r="C13" s="18"/>
      <c r="D13" s="7"/>
      <c r="E13" s="7"/>
      <c r="F13" s="7"/>
      <c r="G13" s="7"/>
      <c r="H13" s="7"/>
      <c r="I13" s="7"/>
      <c r="J13" s="7"/>
      <c r="K13" s="21"/>
      <c r="L13" s="18"/>
      <c r="M13" s="21"/>
      <c r="N13" s="18"/>
    </row>
    <row r="14" spans="1:14">
      <c r="A14" s="18" t="s">
        <v>169</v>
      </c>
      <c r="B14" s="27">
        <v>119</v>
      </c>
      <c r="C14" s="18"/>
      <c r="K14" s="21"/>
      <c r="L14" s="19"/>
      <c r="M14" s="28"/>
      <c r="N14" s="18"/>
    </row>
    <row r="15" spans="1:14">
      <c r="A15" s="18" t="s">
        <v>80</v>
      </c>
      <c r="B15" s="27">
        <v>10.5</v>
      </c>
      <c r="C15" s="18"/>
      <c r="D15" s="20"/>
      <c r="E15" s="20"/>
      <c r="F15" s="20"/>
      <c r="G15" s="20"/>
      <c r="H15" s="20"/>
      <c r="I15" s="20"/>
      <c r="J15" s="20"/>
      <c r="K15" s="20"/>
      <c r="L15" s="14"/>
      <c r="M15" s="15"/>
      <c r="N15" s="18"/>
    </row>
    <row r="16" spans="1:14" ht="39">
      <c r="A16" s="18" t="s">
        <v>91</v>
      </c>
      <c r="B16" s="27">
        <v>0</v>
      </c>
      <c r="C16" s="24"/>
      <c r="D16" s="16" t="s">
        <v>114</v>
      </c>
      <c r="E16" s="7"/>
      <c r="F16" s="7"/>
      <c r="G16" s="48">
        <f>(((((((((B23/100)*(1+M5))*((276+(35*B6))+((B24+B25)/2)))*(1+(B7/100)))*(1+((((1+(B9/100))*B8)/50)/(60+B5))))*(1+((((1+(B13/100))*B12)/5)/(60+B5))))/(1-(B10/100)))/(1-(B11/100)))+((1-(B23/100))*G5))/(1-(B27/100))</f>
        <v>348041.73857961019</v>
      </c>
      <c r="H16" s="7"/>
      <c r="I16" s="7"/>
      <c r="J16" s="7"/>
      <c r="K16" s="7"/>
      <c r="L16" s="7"/>
      <c r="M16" s="17"/>
      <c r="N16" s="18"/>
    </row>
    <row r="17" spans="1:14">
      <c r="A17" s="18" t="s">
        <v>90</v>
      </c>
      <c r="B17" s="27">
        <v>0</v>
      </c>
      <c r="C17" s="24"/>
      <c r="D17" s="18"/>
      <c r="M17" s="21"/>
      <c r="N17" s="18"/>
    </row>
    <row r="18" spans="1:14" ht="25.5">
      <c r="A18" s="18" t="s">
        <v>94</v>
      </c>
      <c r="B18" s="27">
        <v>0</v>
      </c>
      <c r="C18" s="24"/>
      <c r="D18" s="18"/>
      <c r="E18" s="2" t="s">
        <v>111</v>
      </c>
      <c r="F18" s="20" t="s">
        <v>219</v>
      </c>
      <c r="G18" s="20" t="s">
        <v>6</v>
      </c>
      <c r="H18" s="20" t="s">
        <v>220</v>
      </c>
      <c r="I18" s="20" t="s">
        <v>143</v>
      </c>
      <c r="J18" s="20" t="s">
        <v>39</v>
      </c>
      <c r="K18" s="20" t="s">
        <v>31</v>
      </c>
      <c r="L18" s="20" t="s">
        <v>217</v>
      </c>
      <c r="M18" s="28" t="s">
        <v>122</v>
      </c>
      <c r="N18" s="18"/>
    </row>
    <row r="19" spans="1:14" ht="18">
      <c r="A19" s="18" t="s">
        <v>93</v>
      </c>
      <c r="B19" s="27">
        <v>0</v>
      </c>
      <c r="C19" s="24"/>
      <c r="D19" s="24" t="s">
        <v>81</v>
      </c>
      <c r="E19" s="30">
        <f>(35*G16)/(276+(35*B6))</f>
        <v>335.01446193136485</v>
      </c>
      <c r="F19" s="31"/>
      <c r="G19" s="32">
        <f>E19/E20</f>
        <v>0.11839608371606943</v>
      </c>
      <c r="H19" s="32">
        <f>E19/E21</f>
        <v>4.5676420411447571</v>
      </c>
      <c r="I19" s="32">
        <f>E19/E22</f>
        <v>0.50246142845356301</v>
      </c>
      <c r="J19" s="32">
        <f>E19/E23</f>
        <v>9.5294408844641243E-2</v>
      </c>
      <c r="K19" s="32">
        <f>E19/E24</f>
        <v>3.4450372652017274</v>
      </c>
      <c r="L19" s="32">
        <f>E19/E25</f>
        <v>-659350610496313.87</v>
      </c>
      <c r="M19" s="33" t="e">
        <f>E19/E26</f>
        <v>#DIV/0!</v>
      </c>
      <c r="N19" s="18"/>
    </row>
    <row r="20" spans="1:14" ht="18">
      <c r="A20" s="18" t="s">
        <v>72</v>
      </c>
      <c r="B20" s="27">
        <v>0</v>
      </c>
      <c r="C20" s="24"/>
      <c r="D20" s="24" t="s">
        <v>166</v>
      </c>
      <c r="E20" s="34">
        <f>(0.01*G16)/(1+(B7/100))</f>
        <v>2829.607630728538</v>
      </c>
      <c r="F20" s="35">
        <f>E20/E19</f>
        <v>8.446225319396051</v>
      </c>
      <c r="G20" s="36"/>
      <c r="H20" s="36">
        <f>E20/E21</f>
        <v>38.579333857854706</v>
      </c>
      <c r="I20" s="36">
        <f>E20/E22</f>
        <v>4.2439024390243905</v>
      </c>
      <c r="J20" s="36">
        <f>E20/E23</f>
        <v>0.80487804878048785</v>
      </c>
      <c r="K20" s="36">
        <f>E20/E24</f>
        <v>29.097560975609756</v>
      </c>
      <c r="L20" s="36">
        <f>E20/E25</f>
        <v>-5569023820733209</v>
      </c>
      <c r="M20" s="37" t="e">
        <f>E20/E26</f>
        <v>#DIV/0!</v>
      </c>
      <c r="N20" s="18"/>
    </row>
    <row r="21" spans="1:14" ht="18">
      <c r="A21" s="18" t="s">
        <v>75</v>
      </c>
      <c r="B21" s="27">
        <v>0</v>
      </c>
      <c r="C21" s="24"/>
      <c r="D21" s="24" t="s">
        <v>224</v>
      </c>
      <c r="E21" s="34">
        <f>((((1+(B9/100))/50)/(60+B5))*G16)/(1+((((1+(B9/100))*B8)/50)/(60+B5)))</f>
        <v>73.345165604834136</v>
      </c>
      <c r="F21" s="35">
        <f>E21/E19</f>
        <v>0.218931341596413</v>
      </c>
      <c r="G21" s="36">
        <f>E21/E20</f>
        <v>2.5920613447720307E-2</v>
      </c>
      <c r="H21" s="36"/>
      <c r="I21" s="36">
        <f>E21/E22</f>
        <v>0.11000455463178863</v>
      </c>
      <c r="J21" s="36">
        <f>E21/E23</f>
        <v>2.0862932774994392E-2</v>
      </c>
      <c r="K21" s="36">
        <f>E21/E24</f>
        <v>0.75422663032025183</v>
      </c>
      <c r="L21" s="36">
        <f>E21/E25</f>
        <v>-144352513738371.94</v>
      </c>
      <c r="M21" s="37" t="e">
        <f>E21/E26</f>
        <v>#DIV/0!</v>
      </c>
      <c r="N21" s="18"/>
    </row>
    <row r="22" spans="1:14" ht="18">
      <c r="A22" s="18" t="s">
        <v>78</v>
      </c>
      <c r="B22" s="27">
        <v>0</v>
      </c>
      <c r="C22" s="24"/>
      <c r="D22" s="24" t="s">
        <v>144</v>
      </c>
      <c r="E22" s="34">
        <f>((((1+(B13/100))/5)/(60+B5))*G16)/(1+((((1+(B13/100))*B12)/5)/(60+B5)))</f>
        <v>666.74662563143704</v>
      </c>
      <c r="F22" s="35">
        <f>E22/E19</f>
        <v>1.9902025177887244</v>
      </c>
      <c r="G22" s="36">
        <f>E22/E20</f>
        <v>0.23563218390804597</v>
      </c>
      <c r="H22" s="36">
        <f>E22/E21</f>
        <v>9.0905326906439239</v>
      </c>
      <c r="I22" s="36"/>
      <c r="J22" s="36">
        <f>E22/E23</f>
        <v>0.18965517241379309</v>
      </c>
      <c r="K22" s="36">
        <f>E22/E24</f>
        <v>6.8563218390804588</v>
      </c>
      <c r="L22" s="36">
        <f>E22/E25</f>
        <v>-1312241245115296.2</v>
      </c>
      <c r="M22" s="37" t="e">
        <f>E22/E26</f>
        <v>#DIV/0!</v>
      </c>
      <c r="N22" s="18"/>
    </row>
    <row r="23" spans="1:14" ht="26.25">
      <c r="A23" s="18" t="s">
        <v>64</v>
      </c>
      <c r="B23" s="27">
        <v>0</v>
      </c>
      <c r="C23" s="24"/>
      <c r="D23" s="24" t="s">
        <v>54</v>
      </c>
      <c r="E23" s="34">
        <f>(G16*0.01)/(0.99-(B11/100))</f>
        <v>3515.5731169657593</v>
      </c>
      <c r="F23" s="35">
        <f>E23/E19</f>
        <v>10.493795093795093</v>
      </c>
      <c r="G23" s="36">
        <f>E23/E20</f>
        <v>1.2424242424242424</v>
      </c>
      <c r="H23" s="36">
        <f>E23/E21</f>
        <v>47.931899641577054</v>
      </c>
      <c r="I23" s="36">
        <f>E23/E22</f>
        <v>5.2727272727272734</v>
      </c>
      <c r="J23" s="36"/>
      <c r="K23" s="36">
        <f>E23/E24</f>
        <v>36.151515151515149</v>
      </c>
      <c r="L23" s="36">
        <f>E23/E25</f>
        <v>-6919090201517017</v>
      </c>
      <c r="M23" s="37" t="e">
        <f>E23/E26</f>
        <v>#DIV/0!</v>
      </c>
      <c r="N23" s="18"/>
    </row>
    <row r="24" spans="1:14" ht="18">
      <c r="A24" s="18" t="s">
        <v>36</v>
      </c>
      <c r="B24" s="27">
        <v>0</v>
      </c>
      <c r="C24" s="24"/>
      <c r="D24" s="24" t="s">
        <v>43</v>
      </c>
      <c r="E24" s="34">
        <f>((G16*B28)/100)/((1-(B27/100))-(B28/100))</f>
        <v>97.245526286563333</v>
      </c>
      <c r="F24" s="35">
        <f>E24/E19</f>
        <v>0.29027262204127247</v>
      </c>
      <c r="G24" s="36">
        <f>E24/E20</f>
        <v>3.4367141659681473E-2</v>
      </c>
      <c r="H24" s="36">
        <f>E24/E21</f>
        <v>1.3258614318290385</v>
      </c>
      <c r="I24" s="36">
        <f>E24/E22</f>
        <v>0.14585079631181896</v>
      </c>
      <c r="J24" s="36">
        <f>E24/E23</f>
        <v>2.7661357921207042E-2</v>
      </c>
      <c r="K24" s="36"/>
      <c r="L24" s="36">
        <f>E24/E25</f>
        <v>-191391430553278.75</v>
      </c>
      <c r="M24" s="37" t="e">
        <f>E24/E26</f>
        <v>#DIV/0!</v>
      </c>
      <c r="N24" s="18"/>
    </row>
    <row r="25" spans="1:14" ht="18">
      <c r="A25" s="19" t="s">
        <v>105</v>
      </c>
      <c r="B25" s="39">
        <v>0</v>
      </c>
      <c r="C25" s="24"/>
      <c r="D25" s="24" t="s">
        <v>88</v>
      </c>
      <c r="E25" s="34">
        <f>((((((((0.01*(1+M5))*((276+(35*B6))+((B24+B25)/2)))*(1+(B7/100)))*(1+((((1+(B9/100))*B8)/50)/(60+B5))))*(1+((((1+(B13/100))*B12)/5)/(60+B5))))/(1-(B10/100)))/(1-(B11/100)))-(0.01*G5))/(1-(B27/100))</f>
        <v>-5.080975987558258E-13</v>
      </c>
      <c r="F25" s="35">
        <f>E25/E19</f>
        <v>-1.516643776589922E-15</v>
      </c>
      <c r="G25" s="36">
        <f>E25/E20</f>
        <v>-1.7956468354059608E-16</v>
      </c>
      <c r="H25" s="36">
        <f>E25/E21</f>
        <v>-6.9274858753926839E-15</v>
      </c>
      <c r="I25" s="36">
        <f>E25/E22</f>
        <v>-7.6205499844057859E-16</v>
      </c>
      <c r="J25" s="36">
        <f>E25/E23</f>
        <v>-1.4452767211804075E-16</v>
      </c>
      <c r="K25" s="36">
        <f>E25/E24</f>
        <v>-5.2248943283885642E-15</v>
      </c>
      <c r="L25" s="36"/>
      <c r="M25" s="37" t="e">
        <f>E25/E26</f>
        <v>#DIV/0!</v>
      </c>
      <c r="N25" s="18"/>
    </row>
    <row r="26" spans="1:14" ht="18">
      <c r="A26" s="22"/>
      <c r="B26" s="7"/>
      <c r="C26" s="21"/>
      <c r="D26" s="40" t="s">
        <v>204</v>
      </c>
      <c r="E26" s="50">
        <f>((((((B23/100)/(1-(B27/100)))*(1+(B7/100)))*(1+((((1+(B9/100))*B8)/50)/(60+B5))))*(1+((((1+(B13/100))*B12)/5)/(60+B5))))/(1-(B10/100)))/(1-(B11/100))</f>
        <v>0</v>
      </c>
      <c r="F26" s="42">
        <f>E26/E19</f>
        <v>0</v>
      </c>
      <c r="G26" s="43">
        <f>E26/E20</f>
        <v>0</v>
      </c>
      <c r="H26" s="43">
        <f>E26/E21</f>
        <v>0</v>
      </c>
      <c r="I26" s="43">
        <f>E26/E22</f>
        <v>0</v>
      </c>
      <c r="J26" s="43">
        <f>E26/E23</f>
        <v>0</v>
      </c>
      <c r="K26" s="43">
        <f>E26/E24</f>
        <v>0</v>
      </c>
      <c r="L26" s="43">
        <f>E26/E25</f>
        <v>0</v>
      </c>
      <c r="M26" s="44"/>
      <c r="N26" s="18"/>
    </row>
    <row r="27" spans="1:14">
      <c r="A27" s="18" t="s">
        <v>128</v>
      </c>
      <c r="B27" s="5">
        <f>100*(1-((((((((1-(B15/100))*(1-(B16/100)))*(1-(B17/100)))*(1-(B18/100)))*(1-(B19/100)))*(1-(B20/100)))*(1-(B21/100)))*(1-(B22/100))))</f>
        <v>10.499999999999998</v>
      </c>
      <c r="D27" s="7"/>
      <c r="E27" s="7"/>
      <c r="F27" s="7"/>
      <c r="G27" s="7"/>
      <c r="H27" s="7"/>
      <c r="I27" s="7"/>
      <c r="J27" s="7"/>
      <c r="K27" s="7"/>
      <c r="L27" s="7"/>
      <c r="M27" s="17"/>
      <c r="N27" s="18"/>
    </row>
    <row r="28" spans="1:14">
      <c r="A28" s="19" t="s">
        <v>65</v>
      </c>
      <c r="B28" s="20">
        <f>IF((B14&lt;101),0.1,IF((B14&lt;501),0.025,IF((B14&lt;1001),0.02,0.01)))</f>
        <v>2.5000000000000001E-2</v>
      </c>
      <c r="C28" s="20"/>
      <c r="D28" s="20"/>
      <c r="E28" s="20"/>
      <c r="F28" s="20"/>
      <c r="G28" s="20"/>
      <c r="H28" s="20"/>
      <c r="I28" s="20"/>
      <c r="J28" s="20"/>
      <c r="K28" s="20"/>
      <c r="L28" s="20"/>
      <c r="M28" s="28"/>
      <c r="N28" s="18"/>
    </row>
    <row r="29" spans="1:14">
      <c r="A29" s="14"/>
      <c r="B29" s="14"/>
      <c r="C29" s="14"/>
      <c r="D29" s="14"/>
      <c r="E29" s="14"/>
      <c r="F29" s="14"/>
      <c r="G29" s="14"/>
      <c r="H29" s="14"/>
      <c r="I29" s="14"/>
      <c r="J29" s="14"/>
      <c r="K29" s="14"/>
      <c r="L29" s="14"/>
      <c r="M29" s="14"/>
    </row>
    <row r="30" spans="1:14">
      <c r="A30" s="16" t="s">
        <v>151</v>
      </c>
      <c r="B30" s="141" t="s">
        <v>234</v>
      </c>
      <c r="C30" s="141"/>
      <c r="D30" s="141"/>
      <c r="E30" s="141"/>
      <c r="F30" s="141"/>
      <c r="G30" s="141"/>
      <c r="H30" s="7"/>
      <c r="I30" s="7"/>
      <c r="J30" s="7"/>
      <c r="K30" s="17"/>
      <c r="L30" s="142" t="s">
        <v>18</v>
      </c>
      <c r="M30" s="143"/>
      <c r="N30" s="18"/>
    </row>
    <row r="31" spans="1:14">
      <c r="A31" s="19"/>
      <c r="B31" s="20"/>
      <c r="D31" s="20"/>
      <c r="E31" s="20"/>
      <c r="F31" s="20"/>
      <c r="G31" s="20"/>
      <c r="H31" s="20"/>
      <c r="I31" s="20"/>
      <c r="J31" s="20"/>
      <c r="K31" s="21"/>
      <c r="L31" s="47" t="s">
        <v>203</v>
      </c>
      <c r="M31" s="21"/>
      <c r="N31" s="18"/>
    </row>
    <row r="32" spans="1:14" ht="26.25">
      <c r="A32" s="22" t="s">
        <v>141</v>
      </c>
      <c r="B32" s="23">
        <v>2</v>
      </c>
      <c r="C32" s="24"/>
      <c r="D32" s="144" t="s">
        <v>227</v>
      </c>
      <c r="E32" s="141"/>
      <c r="F32" s="141"/>
      <c r="G32" s="48">
        <f>((((((1+M32)*(276+(35*B33)))*(1+(B34/100)))*(1+((((1+(B36/100))*B35)/50)/(60+B32))))*(1+((((1+(B40/100))*B39)/5)/(60+B32))))/(1-(B37/100)))/(1-(B38/100))</f>
        <v>1315934.3738325913</v>
      </c>
      <c r="H32" s="7"/>
      <c r="I32" s="7"/>
      <c r="J32" s="17"/>
      <c r="K32" s="24"/>
      <c r="L32" s="18" t="s">
        <v>231</v>
      </c>
      <c r="M32" s="49">
        <v>0</v>
      </c>
      <c r="N32" s="18"/>
    </row>
    <row r="33" spans="1:14">
      <c r="A33" s="18" t="s">
        <v>45</v>
      </c>
      <c r="B33" s="27">
        <v>1396</v>
      </c>
      <c r="C33" s="24"/>
      <c r="D33" s="18"/>
      <c r="J33" s="21"/>
      <c r="K33" s="24"/>
      <c r="L33" s="18"/>
      <c r="M33" s="21"/>
      <c r="N33" s="18"/>
    </row>
    <row r="34" spans="1:14" ht="25.5">
      <c r="A34" s="18" t="s">
        <v>104</v>
      </c>
      <c r="B34" s="27">
        <v>12</v>
      </c>
      <c r="C34" s="24"/>
      <c r="D34" s="18"/>
      <c r="E34" s="2" t="s">
        <v>111</v>
      </c>
      <c r="F34" s="20" t="s">
        <v>219</v>
      </c>
      <c r="G34" s="20" t="s">
        <v>6</v>
      </c>
      <c r="H34" s="20" t="s">
        <v>220</v>
      </c>
      <c r="I34" s="20" t="s">
        <v>143</v>
      </c>
      <c r="J34" s="28" t="s">
        <v>39</v>
      </c>
      <c r="K34" s="24"/>
      <c r="L34" s="18"/>
      <c r="M34" s="21"/>
      <c r="N34" s="18"/>
    </row>
    <row r="35" spans="1:14" ht="18">
      <c r="A35" s="18" t="s">
        <v>256</v>
      </c>
      <c r="B35" s="27">
        <v>8149</v>
      </c>
      <c r="C35" s="24"/>
      <c r="D35" s="24" t="s">
        <v>81</v>
      </c>
      <c r="E35" s="30">
        <f>(35*G32)/(276+(35*B33))</f>
        <v>937.35149552549444</v>
      </c>
      <c r="F35" s="31"/>
      <c r="G35" s="32">
        <f>E35/E36</f>
        <v>7.9778573754477375E-2</v>
      </c>
      <c r="H35" s="32">
        <f>E35/E37</f>
        <v>7.6447343427765109</v>
      </c>
      <c r="I35" s="32">
        <f>E35/E38</f>
        <v>0.59311570606751329</v>
      </c>
      <c r="J35" s="33">
        <f>E35/E39</f>
        <v>7.0518560729404101E-2</v>
      </c>
      <c r="K35" s="24"/>
      <c r="L35" s="18"/>
      <c r="M35" s="21"/>
      <c r="N35" s="18"/>
    </row>
    <row r="36" spans="1:14" ht="18">
      <c r="A36" s="18" t="s">
        <v>252</v>
      </c>
      <c r="B36" s="27">
        <v>20</v>
      </c>
      <c r="C36" s="24"/>
      <c r="D36" s="24" t="s">
        <v>166</v>
      </c>
      <c r="E36" s="34">
        <f>(0.01*G32)/(1+(B34/100))</f>
        <v>11749.414052076707</v>
      </c>
      <c r="F36" s="35">
        <f>E36/E35</f>
        <v>12.534693877551019</v>
      </c>
      <c r="G36" s="36"/>
      <c r="H36" s="36">
        <f>E36/E37</f>
        <v>95.824404761904745</v>
      </c>
      <c r="I36" s="36">
        <f>E36/E38</f>
        <v>7.4345238095238084</v>
      </c>
      <c r="J36" s="37">
        <f>E36/E39</f>
        <v>0.88392857142857129</v>
      </c>
      <c r="K36" s="24"/>
      <c r="L36" s="18"/>
      <c r="M36" s="21"/>
      <c r="N36" s="18"/>
    </row>
    <row r="37" spans="1:14" ht="39">
      <c r="A37" s="18" t="s">
        <v>150</v>
      </c>
      <c r="B37" s="27">
        <v>30</v>
      </c>
      <c r="C37" s="24"/>
      <c r="D37" s="24" t="s">
        <v>224</v>
      </c>
      <c r="E37" s="34">
        <f>((((1+(B36/100))/50)/(60+B32))*G32)/(1+((((1+(B36/100))*B35)/50)/(60+B32)))</f>
        <v>122.61400507804373</v>
      </c>
      <c r="F37" s="35">
        <f>E37/E35</f>
        <v>0.13080899285204034</v>
      </c>
      <c r="G37" s="36">
        <f>E37/E36</f>
        <v>1.0435754883995405E-2</v>
      </c>
      <c r="H37" s="36"/>
      <c r="I37" s="36">
        <f>E37/E38</f>
        <v>7.7584868155418207E-2</v>
      </c>
      <c r="J37" s="37">
        <f>E37/E39</f>
        <v>9.2244619063887937E-3</v>
      </c>
      <c r="K37" s="24"/>
      <c r="L37" s="18"/>
      <c r="M37" s="21"/>
      <c r="N37" s="18"/>
    </row>
    <row r="38" spans="1:14" ht="39">
      <c r="A38" s="18" t="s">
        <v>102</v>
      </c>
      <c r="B38" s="27">
        <v>0</v>
      </c>
      <c r="C38" s="24"/>
      <c r="D38" s="24" t="s">
        <v>144</v>
      </c>
      <c r="E38" s="34">
        <f>((((1+(B40/100))/5)/(60+B32))*G32)/(1+((((1+(B40/100))*B39)/5)/(60+B32)))</f>
        <v>1580.3855570447454</v>
      </c>
      <c r="F38" s="35">
        <f>E38/E35</f>
        <v>1.6860116664760381</v>
      </c>
      <c r="G38" s="36">
        <f>E38/E36</f>
        <v>0.13450760608486792</v>
      </c>
      <c r="H38" s="36">
        <f>E38/E37</f>
        <v>12.889111289031225</v>
      </c>
      <c r="I38" s="36"/>
      <c r="J38" s="37">
        <f>E38/E39</f>
        <v>0.1188951160928743</v>
      </c>
      <c r="K38" s="24"/>
      <c r="L38" s="18"/>
      <c r="M38" s="21"/>
      <c r="N38" s="18"/>
    </row>
    <row r="39" spans="1:14" ht="26.25">
      <c r="A39" s="18" t="s">
        <v>235</v>
      </c>
      <c r="B39" s="27">
        <v>626</v>
      </c>
      <c r="C39" s="24"/>
      <c r="D39" s="40" t="s">
        <v>54</v>
      </c>
      <c r="E39" s="50">
        <f>(G32*0.01)/(0.99-(B38/100))</f>
        <v>13292.266402349407</v>
      </c>
      <c r="F39" s="42">
        <f>E39/E35</f>
        <v>14.180663780663782</v>
      </c>
      <c r="G39" s="43">
        <f>E39/E36</f>
        <v>1.1313131313131315</v>
      </c>
      <c r="H39" s="43">
        <f>E39/E37</f>
        <v>108.4074074074074</v>
      </c>
      <c r="I39" s="43">
        <f>E39/E38</f>
        <v>8.41077441077441</v>
      </c>
      <c r="J39" s="44"/>
      <c r="K39" s="24"/>
      <c r="L39" s="18"/>
      <c r="M39" s="21"/>
      <c r="N39" s="18"/>
    </row>
    <row r="40" spans="1:14">
      <c r="A40" s="18" t="s">
        <v>118</v>
      </c>
      <c r="B40" s="27">
        <v>50</v>
      </c>
      <c r="C40" s="18"/>
      <c r="D40" s="7"/>
      <c r="E40" s="7"/>
      <c r="F40" s="7"/>
      <c r="G40" s="7"/>
      <c r="H40" s="7"/>
      <c r="I40" s="7"/>
      <c r="J40" s="7"/>
      <c r="K40" s="21"/>
      <c r="L40" s="18"/>
      <c r="M40" s="21"/>
      <c r="N40" s="18"/>
    </row>
    <row r="41" spans="1:14">
      <c r="A41" s="18" t="s">
        <v>169</v>
      </c>
      <c r="B41" s="27">
        <v>223</v>
      </c>
      <c r="C41" s="18"/>
      <c r="K41" s="21"/>
      <c r="L41" s="19"/>
      <c r="M41" s="28"/>
      <c r="N41" s="18"/>
    </row>
    <row r="42" spans="1:14">
      <c r="A42" s="18" t="s">
        <v>80</v>
      </c>
      <c r="B42" s="27">
        <v>13.1</v>
      </c>
      <c r="C42" s="18"/>
      <c r="D42" s="20"/>
      <c r="E42" s="20"/>
      <c r="F42" s="20"/>
      <c r="G42" s="20"/>
      <c r="H42" s="20"/>
      <c r="I42" s="20"/>
      <c r="J42" s="20"/>
      <c r="K42" s="20"/>
      <c r="L42" s="14"/>
      <c r="M42" s="15"/>
      <c r="N42" s="18"/>
    </row>
    <row r="43" spans="1:14" ht="39">
      <c r="A43" s="18" t="s">
        <v>91</v>
      </c>
      <c r="B43" s="27">
        <v>0</v>
      </c>
      <c r="C43" s="24"/>
      <c r="D43" s="16" t="s">
        <v>114</v>
      </c>
      <c r="E43" s="7"/>
      <c r="F43" s="7"/>
      <c r="G43" s="48">
        <f>(((((((((B50/100)*(1+M32))*((276+(35*B33))+((B51+B52)/2)))*(1+(B34/100)))*(1+((((1+(B36/100))*B35)/50)/(60+B32))))*(1+((((1+(B40/100))*B39)/5)/(60+B32))))/(1-(B37/100)))/(1-(B38/100)))+((1-(B50/100))*G32))/(1-(B54/100))</f>
        <v>1524564.6856755437</v>
      </c>
      <c r="H43" s="7"/>
      <c r="I43" s="7"/>
      <c r="J43" s="7"/>
      <c r="K43" s="7"/>
      <c r="L43" s="7"/>
      <c r="M43" s="17"/>
      <c r="N43" s="18"/>
    </row>
    <row r="44" spans="1:14">
      <c r="A44" s="18" t="s">
        <v>90</v>
      </c>
      <c r="B44" s="27">
        <v>0</v>
      </c>
      <c r="C44" s="24"/>
      <c r="D44" s="18"/>
      <c r="M44" s="21"/>
      <c r="N44" s="18"/>
    </row>
    <row r="45" spans="1:14" ht="25.5">
      <c r="A45" s="18" t="s">
        <v>94</v>
      </c>
      <c r="B45" s="27">
        <v>0</v>
      </c>
      <c r="C45" s="24"/>
      <c r="D45" s="18"/>
      <c r="E45" s="2" t="s">
        <v>111</v>
      </c>
      <c r="F45" s="20" t="s">
        <v>219</v>
      </c>
      <c r="G45" s="20" t="s">
        <v>6</v>
      </c>
      <c r="H45" s="20" t="s">
        <v>220</v>
      </c>
      <c r="I45" s="20" t="s">
        <v>143</v>
      </c>
      <c r="J45" s="20" t="s">
        <v>39</v>
      </c>
      <c r="K45" s="20" t="s">
        <v>31</v>
      </c>
      <c r="L45" s="20" t="s">
        <v>217</v>
      </c>
      <c r="M45" s="28" t="s">
        <v>122</v>
      </c>
      <c r="N45" s="18"/>
    </row>
    <row r="46" spans="1:14" ht="18">
      <c r="A46" s="18" t="s">
        <v>93</v>
      </c>
      <c r="B46" s="27">
        <v>0</v>
      </c>
      <c r="C46" s="24"/>
      <c r="D46" s="24" t="s">
        <v>81</v>
      </c>
      <c r="E46" s="30">
        <f>(35*G43)/(276+(35*B33))</f>
        <v>1085.960680532482</v>
      </c>
      <c r="F46" s="31"/>
      <c r="G46" s="32">
        <f>E46/E47</f>
        <v>7.9778573754477375E-2</v>
      </c>
      <c r="H46" s="32">
        <f>E46/E48</f>
        <v>7.6447343427765118</v>
      </c>
      <c r="I46" s="32">
        <f>E46/E49</f>
        <v>0.5931157060675134</v>
      </c>
      <c r="J46" s="32">
        <f>E46/E50</f>
        <v>7.0518560729404101E-2</v>
      </c>
      <c r="K46" s="32">
        <f>E46/E51</f>
        <v>2.4752727124715079</v>
      </c>
      <c r="L46" s="32">
        <f>E46/E52</f>
        <v>1.4824165791867052</v>
      </c>
      <c r="M46" s="33">
        <f>E46/E53</f>
        <v>251.69315776619993</v>
      </c>
      <c r="N46" s="18"/>
    </row>
    <row r="47" spans="1:14" ht="18">
      <c r="A47" s="18" t="s">
        <v>72</v>
      </c>
      <c r="B47" s="27">
        <v>0</v>
      </c>
      <c r="C47" s="24"/>
      <c r="D47" s="24" t="s">
        <v>166</v>
      </c>
      <c r="E47" s="34">
        <f>(0.01*G43)/(1+(B34/100))</f>
        <v>13612.184693531641</v>
      </c>
      <c r="F47" s="35">
        <f>E47/E46</f>
        <v>12.534693877551019</v>
      </c>
      <c r="G47" s="36"/>
      <c r="H47" s="36">
        <f>E47/E48</f>
        <v>95.824404761904759</v>
      </c>
      <c r="I47" s="36">
        <f>E47/E49</f>
        <v>7.4345238095238102</v>
      </c>
      <c r="J47" s="36">
        <f>E47/E50</f>
        <v>0.8839285714285714</v>
      </c>
      <c r="K47" s="36">
        <f>E47/E51</f>
        <v>31.026785714285715</v>
      </c>
      <c r="L47" s="36">
        <f>E47/E52</f>
        <v>18.581638019111722</v>
      </c>
      <c r="M47" s="37">
        <f>E47/E53</f>
        <v>3154.8966836734689</v>
      </c>
      <c r="N47" s="18"/>
    </row>
    <row r="48" spans="1:14" ht="18">
      <c r="A48" s="18" t="s">
        <v>75</v>
      </c>
      <c r="B48" s="27">
        <v>0</v>
      </c>
      <c r="C48" s="24"/>
      <c r="D48" s="24" t="s">
        <v>224</v>
      </c>
      <c r="E48" s="34">
        <f>((((1+(B36/100))/50)/(60+B32))*G43)/(1+((((1+(B36/100))*B35)/50)/(60+B32)))</f>
        <v>142.0534228973703</v>
      </c>
      <c r="F48" s="35">
        <f>E48/E46</f>
        <v>0.13080899285204034</v>
      </c>
      <c r="G48" s="36">
        <f>E48/E47</f>
        <v>1.0435754883995403E-2</v>
      </c>
      <c r="H48" s="36"/>
      <c r="I48" s="36">
        <f>E48/E49</f>
        <v>7.7584868155418221E-2</v>
      </c>
      <c r="J48" s="36">
        <f>E48/E50</f>
        <v>9.2244619063887937E-3</v>
      </c>
      <c r="K48" s="36">
        <f>E48/E51</f>
        <v>0.32378793055253596</v>
      </c>
      <c r="L48" s="36">
        <f>E48/E52</f>
        <v>0.19391341971057982</v>
      </c>
      <c r="M48" s="37">
        <f>E48/E53</f>
        <v>32.923728475146305</v>
      </c>
      <c r="N48" s="18"/>
    </row>
    <row r="49" spans="1:14" ht="18">
      <c r="A49" s="18" t="s">
        <v>78</v>
      </c>
      <c r="B49" s="27">
        <v>0</v>
      </c>
      <c r="C49" s="24"/>
      <c r="D49" s="24" t="s">
        <v>144</v>
      </c>
      <c r="E49" s="34">
        <f>((((1+(B40/100))/5)/(60+B32))*G43)/(1+((((1+(B40/100))*B39)/5)/(60+B32)))</f>
        <v>1830.942376712022</v>
      </c>
      <c r="F49" s="35">
        <f>E49/E46</f>
        <v>1.6860116664760376</v>
      </c>
      <c r="G49" s="36">
        <f>E49/E47</f>
        <v>0.13450760608486789</v>
      </c>
      <c r="H49" s="36">
        <f>E49/E48</f>
        <v>12.889111289031224</v>
      </c>
      <c r="I49" s="36"/>
      <c r="J49" s="36">
        <f>E49/E50</f>
        <v>0.11889511609287429</v>
      </c>
      <c r="K49" s="36">
        <f>E49/E51</f>
        <v>4.173338670936749</v>
      </c>
      <c r="L49" s="36">
        <f>E49/E52</f>
        <v>2.4993716470862841</v>
      </c>
      <c r="M49" s="37">
        <f>E49/E53</f>
        <v>424.35760036600703</v>
      </c>
      <c r="N49" s="18"/>
    </row>
    <row r="50" spans="1:14" ht="26.25">
      <c r="A50" s="18" t="s">
        <v>64</v>
      </c>
      <c r="B50" s="27">
        <v>14</v>
      </c>
      <c r="C50" s="24"/>
      <c r="D50" s="24" t="s">
        <v>54</v>
      </c>
      <c r="E50" s="34">
        <f>(G43*0.01)/(0.99-(B38/100))</f>
        <v>15399.643289651958</v>
      </c>
      <c r="F50" s="35">
        <f>E50/E46</f>
        <v>14.18066378066378</v>
      </c>
      <c r="G50" s="36">
        <f>E50/E47</f>
        <v>1.1313131313131315</v>
      </c>
      <c r="H50" s="36">
        <f>E50/E48</f>
        <v>108.4074074074074</v>
      </c>
      <c r="I50" s="36">
        <f>E50/E49</f>
        <v>8.4107744107744118</v>
      </c>
      <c r="J50" s="36"/>
      <c r="K50" s="36">
        <f>E50/E51</f>
        <v>35.101010101010104</v>
      </c>
      <c r="L50" s="36">
        <f>E50/E52</f>
        <v>21.021651092328412</v>
      </c>
      <c r="M50" s="37">
        <f>E50/E53</f>
        <v>3569.1760461760459</v>
      </c>
      <c r="N50" s="18"/>
    </row>
    <row r="51" spans="1:14" ht="18">
      <c r="A51" s="18" t="s">
        <v>36</v>
      </c>
      <c r="B51" s="27">
        <v>1960</v>
      </c>
      <c r="C51" s="24"/>
      <c r="D51" s="24" t="s">
        <v>43</v>
      </c>
      <c r="E51" s="34">
        <f>((G43*B55)/100)/((1-(B54/100))-(B55/100))</f>
        <v>438.72365055411331</v>
      </c>
      <c r="F51" s="35">
        <f>E51/E46</f>
        <v>0.4039958890030832</v>
      </c>
      <c r="G51" s="36">
        <f>E51/E47</f>
        <v>3.2230215827338128E-2</v>
      </c>
      <c r="H51" s="36">
        <f>E51/E48</f>
        <v>3.0884412470023981</v>
      </c>
      <c r="I51" s="36">
        <f>E51/E49</f>
        <v>0.23961630695443648</v>
      </c>
      <c r="J51" s="36">
        <f>E51/E50</f>
        <v>2.8489208633093524E-2</v>
      </c>
      <c r="K51" s="36"/>
      <c r="L51" s="36">
        <f>E51/E52</f>
        <v>0.59889020378144253</v>
      </c>
      <c r="M51" s="37">
        <f>E51/E53</f>
        <v>101.68300102774921</v>
      </c>
      <c r="N51" s="18"/>
    </row>
    <row r="52" spans="1:14" ht="18">
      <c r="A52" s="19" t="s">
        <v>105</v>
      </c>
      <c r="B52" s="39">
        <v>2794</v>
      </c>
      <c r="C52" s="24"/>
      <c r="D52" s="24" t="s">
        <v>88</v>
      </c>
      <c r="E52" s="34">
        <f>((((((((0.01*(1+M32))*((276+(35*B33))+((B51+B52)/2)))*(1+(B34/100)))*(1+((((1+(B36/100))*B35)/50)/(60+B32))))*(1+((((1+(B40/100))*B39)/5)/(60+B32))))/(1-(B37/100)))/(1-(B38/100)))-(0.01*G32))/(1-(B54/100))</f>
        <v>732.56107343879683</v>
      </c>
      <c r="F52" s="35">
        <f>E52/E46</f>
        <v>0.67457421485978497</v>
      </c>
      <c r="G52" s="36">
        <f>E52/E47</f>
        <v>5.3816568753060026E-2</v>
      </c>
      <c r="H52" s="36">
        <f>E52/E48</f>
        <v>5.1569406670901001</v>
      </c>
      <c r="I52" s="36">
        <f>E52/E49</f>
        <v>0.40010056174149983</v>
      </c>
      <c r="J52" s="36">
        <f>E52/E50</f>
        <v>4.7570002737079842E-2</v>
      </c>
      <c r="K52" s="36">
        <f>E52/E51</f>
        <v>1.6697551465793177</v>
      </c>
      <c r="L52" s="36"/>
      <c r="M52" s="37">
        <f>E52/E53</f>
        <v>169.78571428571431</v>
      </c>
      <c r="N52" s="18"/>
    </row>
    <row r="53" spans="1:14" ht="18">
      <c r="A53" s="22"/>
      <c r="B53" s="7"/>
      <c r="C53" s="21"/>
      <c r="D53" s="40" t="s">
        <v>204</v>
      </c>
      <c r="E53" s="50">
        <f>((((((B50/100)/(1-(B54/100)))*(1+(B34/100)))*(1+((((1+(B36/100))*B35)/50)/(60+B32))))*(1+((((1+(B40/100))*B39)/5)/(60+B32))))/(1-(B37/100)))/(1-(B38/100))</f>
        <v>4.31462138331643</v>
      </c>
      <c r="F53" s="42">
        <f>E53/E46</f>
        <v>3.97309171562347E-3</v>
      </c>
      <c r="G53" s="43">
        <f>E53/E47</f>
        <v>3.1696759046817005E-4</v>
      </c>
      <c r="H53" s="43">
        <f>E53/E48</f>
        <v>3.0373230685427591E-2</v>
      </c>
      <c r="I53" s="43">
        <f>E53/E49</f>
        <v>2.3565030981830023E-3</v>
      </c>
      <c r="J53" s="43">
        <f>E53/E50</f>
        <v>2.8017670943168601E-4</v>
      </c>
      <c r="K53" s="43">
        <f>E53/E51</f>
        <v>9.8344855078293832E-3</v>
      </c>
      <c r="L53" s="43">
        <f>E53/E52</f>
        <v>5.8897770298695831E-3</v>
      </c>
      <c r="M53" s="44"/>
      <c r="N53" s="18"/>
    </row>
    <row r="54" spans="1:14">
      <c r="A54" s="18" t="s">
        <v>128</v>
      </c>
      <c r="B54" s="5">
        <f>100*(1-((((((((1-(B42/100))*(1-(B43/100)))*(1-(B44/100)))*(1-(B45/100)))*(1-(B46/100)))*(1-(B47/100)))*(1-(B48/100)))*(1-(B49/100))))</f>
        <v>13.100000000000001</v>
      </c>
      <c r="D54" s="7"/>
      <c r="E54" s="7"/>
      <c r="F54" s="7"/>
      <c r="G54" s="7"/>
      <c r="H54" s="7"/>
      <c r="I54" s="7"/>
      <c r="J54" s="7"/>
      <c r="K54" s="7"/>
      <c r="L54" s="7"/>
      <c r="M54" s="17"/>
      <c r="N54" s="18"/>
    </row>
    <row r="55" spans="1:14">
      <c r="A55" s="19" t="s">
        <v>65</v>
      </c>
      <c r="B55" s="20">
        <f>IF((B41&lt;101),0.1,IF((B41&lt;501),0.025,IF((B41&lt;1001),0.02,0.01)))</f>
        <v>2.5000000000000001E-2</v>
      </c>
      <c r="C55" s="20"/>
      <c r="D55" s="20"/>
      <c r="E55" s="20"/>
      <c r="F55" s="20"/>
      <c r="G55" s="20"/>
      <c r="H55" s="20"/>
      <c r="I55" s="20"/>
      <c r="J55" s="20"/>
      <c r="K55" s="20"/>
      <c r="L55" s="20"/>
      <c r="M55" s="28"/>
      <c r="N55" s="18"/>
    </row>
    <row r="56" spans="1:14">
      <c r="A56" s="14"/>
      <c r="B56" s="14"/>
      <c r="C56" s="14"/>
      <c r="D56" s="14"/>
      <c r="E56" s="14"/>
      <c r="F56" s="14"/>
      <c r="G56" s="14"/>
      <c r="H56" s="14"/>
      <c r="I56" s="14"/>
      <c r="J56" s="14"/>
      <c r="K56" s="14"/>
      <c r="L56" s="14"/>
      <c r="M56" s="14"/>
    </row>
    <row r="57" spans="1:14">
      <c r="A57" s="16" t="s">
        <v>210</v>
      </c>
      <c r="B57" s="141" t="s">
        <v>234</v>
      </c>
      <c r="C57" s="141"/>
      <c r="D57" s="141"/>
      <c r="E57" s="141"/>
      <c r="F57" s="141"/>
      <c r="G57" s="141"/>
      <c r="H57" s="7"/>
      <c r="I57" s="7"/>
      <c r="J57" s="7"/>
      <c r="K57" s="17"/>
      <c r="L57" s="142" t="s">
        <v>18</v>
      </c>
      <c r="M57" s="143"/>
      <c r="N57" s="18"/>
    </row>
    <row r="58" spans="1:14">
      <c r="A58" s="19"/>
      <c r="B58" s="20"/>
      <c r="D58" s="20"/>
      <c r="E58" s="20"/>
      <c r="F58" s="20"/>
      <c r="G58" s="20"/>
      <c r="H58" s="20"/>
      <c r="I58" s="20"/>
      <c r="J58" s="20"/>
      <c r="K58" s="21"/>
      <c r="L58" s="47" t="s">
        <v>203</v>
      </c>
      <c r="M58" s="21"/>
      <c r="N58" s="18"/>
    </row>
    <row r="59" spans="1:14" ht="26.25">
      <c r="A59" s="22" t="s">
        <v>141</v>
      </c>
      <c r="B59" s="23">
        <v>1</v>
      </c>
      <c r="C59" s="24"/>
      <c r="D59" s="144" t="s">
        <v>227</v>
      </c>
      <c r="E59" s="141"/>
      <c r="F59" s="141"/>
      <c r="G59" s="48">
        <f>((((((1+M59)*(276+(35*B60)))*(1+(B61/100)))*(1+((((1+(B63/100))*B62)/50)/(60+B59))))*(1+((((1+(B67/100))*B66)/5)/(60+B59))))/(1-(B64/100)))/(1-(B65/100))</f>
        <v>326302.01617844659</v>
      </c>
      <c r="H59" s="7"/>
      <c r="I59" s="7"/>
      <c r="J59" s="17"/>
      <c r="K59" s="24"/>
      <c r="L59" s="18" t="s">
        <v>231</v>
      </c>
      <c r="M59" s="49">
        <v>1</v>
      </c>
      <c r="N59" s="18"/>
    </row>
    <row r="60" spans="1:14">
      <c r="A60" s="18" t="s">
        <v>45</v>
      </c>
      <c r="B60" s="27">
        <v>851</v>
      </c>
      <c r="C60" s="24"/>
      <c r="D60" s="18"/>
      <c r="J60" s="21"/>
      <c r="K60" s="24"/>
      <c r="L60" s="18"/>
      <c r="M60" s="21"/>
      <c r="N60" s="18"/>
    </row>
    <row r="61" spans="1:14" ht="25.5">
      <c r="A61" s="18" t="s">
        <v>104</v>
      </c>
      <c r="B61" s="27">
        <v>0</v>
      </c>
      <c r="C61" s="24"/>
      <c r="D61" s="18"/>
      <c r="E61" s="2" t="s">
        <v>111</v>
      </c>
      <c r="F61" s="20" t="s">
        <v>219</v>
      </c>
      <c r="G61" s="20" t="s">
        <v>6</v>
      </c>
      <c r="H61" s="20" t="s">
        <v>220</v>
      </c>
      <c r="I61" s="20" t="s">
        <v>143</v>
      </c>
      <c r="J61" s="28" t="s">
        <v>39</v>
      </c>
      <c r="K61" s="24"/>
      <c r="L61" s="18"/>
      <c r="M61" s="21"/>
      <c r="N61" s="18"/>
    </row>
    <row r="62" spans="1:14" ht="18">
      <c r="A62" s="18" t="s">
        <v>256</v>
      </c>
      <c r="B62" s="27">
        <v>2625</v>
      </c>
      <c r="C62" s="24"/>
      <c r="D62" s="24" t="s">
        <v>81</v>
      </c>
      <c r="E62" s="30">
        <f>(35*G59)/(276+(35*B60))</f>
        <v>379.91319537758659</v>
      </c>
      <c r="F62" s="31"/>
      <c r="G62" s="32">
        <f>E62/E63</f>
        <v>0.1164299258175044</v>
      </c>
      <c r="H62" s="32">
        <f>E62/E64</f>
        <v>5.208475090548208</v>
      </c>
      <c r="I62" s="32">
        <f>E62/E65</f>
        <v>0.79638069259173005</v>
      </c>
      <c r="J62" s="33">
        <f>E62/E66</f>
        <v>0.11526562655932936</v>
      </c>
      <c r="K62" s="24"/>
      <c r="L62" s="18"/>
      <c r="M62" s="21"/>
      <c r="N62" s="18"/>
    </row>
    <row r="63" spans="1:14" ht="18">
      <c r="A63" s="18" t="s">
        <v>252</v>
      </c>
      <c r="B63" s="27">
        <v>65</v>
      </c>
      <c r="C63" s="24"/>
      <c r="D63" s="24" t="s">
        <v>166</v>
      </c>
      <c r="E63" s="34">
        <f>(0.01*G59)/(1+(B61/100))</f>
        <v>3263.0201617844659</v>
      </c>
      <c r="F63" s="35">
        <f>E63/E62</f>
        <v>8.5888571428571439</v>
      </c>
      <c r="G63" s="36"/>
      <c r="H63" s="36">
        <f>E63/E64</f>
        <v>44.734848484848484</v>
      </c>
      <c r="I63" s="36">
        <f>E63/E65</f>
        <v>6.839999999999999</v>
      </c>
      <c r="J63" s="37">
        <f>E63/E66</f>
        <v>0.99</v>
      </c>
      <c r="K63" s="24"/>
      <c r="L63" s="18"/>
      <c r="M63" s="21"/>
      <c r="N63" s="18"/>
    </row>
    <row r="64" spans="1:14" ht="39">
      <c r="A64" s="18" t="s">
        <v>150</v>
      </c>
      <c r="B64" s="27">
        <v>0</v>
      </c>
      <c r="C64" s="24"/>
      <c r="D64" s="24" t="s">
        <v>224</v>
      </c>
      <c r="E64" s="34">
        <f>((((1+(B63/100))/50)/(60+B59))*G59)/(1+((((1+(B63/100))*B62)/50)/(60+B59)))</f>
        <v>72.941348239720497</v>
      </c>
      <c r="F64" s="35">
        <f>E64/E62</f>
        <v>0.19199477440425791</v>
      </c>
      <c r="G64" s="36">
        <f>E64/E63</f>
        <v>2.2353937341236241E-2</v>
      </c>
      <c r="H64" s="36"/>
      <c r="I64" s="36">
        <f>E64/E65</f>
        <v>0.15290093141405589</v>
      </c>
      <c r="J64" s="37">
        <f>E64/E66</f>
        <v>2.213039796782388E-2</v>
      </c>
      <c r="K64" s="24"/>
      <c r="L64" s="18"/>
      <c r="M64" s="21"/>
      <c r="N64" s="18"/>
    </row>
    <row r="65" spans="1:14" ht="39">
      <c r="A65" s="18" t="s">
        <v>102</v>
      </c>
      <c r="B65" s="27">
        <v>0</v>
      </c>
      <c r="C65" s="24"/>
      <c r="D65" s="24" t="s">
        <v>144</v>
      </c>
      <c r="E65" s="34">
        <f>((((1+(B67/100))/5)/(60+B59))*G59)/(1+((((1+(B67/100))*B66)/5)/(60+B59)))</f>
        <v>477.04973125503892</v>
      </c>
      <c r="F65" s="35">
        <f>E65/E62</f>
        <v>1.2556808688387637</v>
      </c>
      <c r="G65" s="36">
        <f>E65/E63</f>
        <v>0.14619883040935674</v>
      </c>
      <c r="H65" s="36">
        <f>E65/E64</f>
        <v>6.5401825270246325</v>
      </c>
      <c r="I65" s="36"/>
      <c r="J65" s="37">
        <f>E65/E66</f>
        <v>0.14473684210526316</v>
      </c>
      <c r="K65" s="24"/>
      <c r="L65" s="18"/>
      <c r="M65" s="21"/>
      <c r="N65" s="18"/>
    </row>
    <row r="66" spans="1:14" ht="26.25">
      <c r="A66" s="18" t="s">
        <v>235</v>
      </c>
      <c r="B66" s="27">
        <v>379</v>
      </c>
      <c r="C66" s="24"/>
      <c r="D66" s="40" t="s">
        <v>54</v>
      </c>
      <c r="E66" s="50">
        <f>(G59*0.01)/(0.99-(B65/100))</f>
        <v>3295.9799613984505</v>
      </c>
      <c r="F66" s="42">
        <f>E66/E62</f>
        <v>8.6756132756132764</v>
      </c>
      <c r="G66" s="43">
        <f>E66/E63</f>
        <v>1.0101010101010102</v>
      </c>
      <c r="H66" s="43">
        <f>E66/E64</f>
        <v>45.186715641261095</v>
      </c>
      <c r="I66" s="43">
        <f>E66/E65</f>
        <v>6.9090909090909083</v>
      </c>
      <c r="J66" s="44"/>
      <c r="K66" s="24"/>
      <c r="L66" s="18"/>
      <c r="M66" s="21"/>
      <c r="N66" s="18"/>
    </row>
    <row r="67" spans="1:14">
      <c r="A67" s="18" t="s">
        <v>118</v>
      </c>
      <c r="B67" s="27">
        <v>0</v>
      </c>
      <c r="C67" s="18"/>
      <c r="D67" s="7"/>
      <c r="E67" s="7"/>
      <c r="F67" s="7"/>
      <c r="G67" s="7"/>
      <c r="H67" s="7"/>
      <c r="I67" s="7"/>
      <c r="J67" s="7"/>
      <c r="K67" s="21"/>
      <c r="L67" s="18"/>
      <c r="M67" s="21"/>
      <c r="N67" s="18"/>
    </row>
    <row r="68" spans="1:14">
      <c r="A68" s="18" t="s">
        <v>169</v>
      </c>
      <c r="B68" s="27">
        <v>132</v>
      </c>
      <c r="C68" s="18"/>
      <c r="K68" s="21"/>
      <c r="L68" s="19"/>
      <c r="M68" s="28"/>
      <c r="N68" s="18"/>
    </row>
    <row r="69" spans="1:14">
      <c r="A69" s="18" t="s">
        <v>80</v>
      </c>
      <c r="B69" s="27">
        <v>10.8</v>
      </c>
      <c r="C69" s="18"/>
      <c r="D69" s="20"/>
      <c r="E69" s="20"/>
      <c r="F69" s="20"/>
      <c r="G69" s="20"/>
      <c r="H69" s="20"/>
      <c r="I69" s="20"/>
      <c r="J69" s="20"/>
      <c r="K69" s="20"/>
      <c r="L69" s="14"/>
      <c r="M69" s="15"/>
      <c r="N69" s="18"/>
    </row>
    <row r="70" spans="1:14" ht="39">
      <c r="A70" s="18" t="s">
        <v>91</v>
      </c>
      <c r="B70" s="27">
        <v>0</v>
      </c>
      <c r="C70" s="24"/>
      <c r="D70" s="16" t="s">
        <v>114</v>
      </c>
      <c r="E70" s="7"/>
      <c r="F70" s="7"/>
      <c r="G70" s="48">
        <f>(((((((((B77/100)*(1+M59))*((276+(35*B60))+((B78+B79)/2)))*(1+(B61/100)))*(1+((((1+(B63/100))*B62)/50)/(60+B59))))*(1+((((1+(B67/100))*B66)/5)/(60+B59))))/(1-(B64/100)))/(1-(B65/100)))+((1-(B77/100))*G59))/(1-(B81/100))</f>
        <v>367543.74743276247</v>
      </c>
      <c r="H70" s="7"/>
      <c r="I70" s="7"/>
      <c r="J70" s="7"/>
      <c r="K70" s="7"/>
      <c r="L70" s="7"/>
      <c r="M70" s="17"/>
      <c r="N70" s="18"/>
    </row>
    <row r="71" spans="1:14">
      <c r="A71" s="18" t="s">
        <v>90</v>
      </c>
      <c r="B71" s="27">
        <v>0</v>
      </c>
      <c r="C71" s="24"/>
      <c r="D71" s="18"/>
      <c r="M71" s="21"/>
      <c r="N71" s="18"/>
    </row>
    <row r="72" spans="1:14" ht="25.5">
      <c r="A72" s="18" t="s">
        <v>94</v>
      </c>
      <c r="B72" s="27">
        <v>0</v>
      </c>
      <c r="C72" s="24"/>
      <c r="D72" s="18"/>
      <c r="E72" s="2" t="s">
        <v>111</v>
      </c>
      <c r="F72" s="20" t="s">
        <v>219</v>
      </c>
      <c r="G72" s="20" t="s">
        <v>6</v>
      </c>
      <c r="H72" s="20" t="s">
        <v>220</v>
      </c>
      <c r="I72" s="20" t="s">
        <v>143</v>
      </c>
      <c r="J72" s="20" t="s">
        <v>39</v>
      </c>
      <c r="K72" s="20" t="s">
        <v>31</v>
      </c>
      <c r="L72" s="20" t="s">
        <v>217</v>
      </c>
      <c r="M72" s="28" t="s">
        <v>122</v>
      </c>
      <c r="N72" s="18"/>
    </row>
    <row r="73" spans="1:14" ht="18">
      <c r="A73" s="18" t="s">
        <v>93</v>
      </c>
      <c r="B73" s="27">
        <v>0</v>
      </c>
      <c r="C73" s="24"/>
      <c r="D73" s="24" t="s">
        <v>81</v>
      </c>
      <c r="E73" s="30">
        <f>(35*G70)/(276+(35*B60))</f>
        <v>427.93091248284111</v>
      </c>
      <c r="F73" s="31"/>
      <c r="G73" s="32">
        <f>E73/E74</f>
        <v>0.1164299258175044</v>
      </c>
      <c r="H73" s="32">
        <f>E73/E75</f>
        <v>5.2084750905482071</v>
      </c>
      <c r="I73" s="32">
        <f>E73/E76</f>
        <v>0.79638069259173005</v>
      </c>
      <c r="J73" s="32">
        <f>E73/E77</f>
        <v>0.11526562655932937</v>
      </c>
      <c r="K73" s="32">
        <f>E73/E78</f>
        <v>4.1530554539103823</v>
      </c>
      <c r="L73" s="32">
        <f>E73/E79</f>
        <v>3.4544141385338945</v>
      </c>
      <c r="M73" s="33">
        <f>E73/E80</f>
        <v>502.37051328964435</v>
      </c>
      <c r="N73" s="18"/>
    </row>
    <row r="74" spans="1:14" ht="18">
      <c r="A74" s="18" t="s">
        <v>72</v>
      </c>
      <c r="B74" s="27">
        <v>0</v>
      </c>
      <c r="C74" s="24"/>
      <c r="D74" s="24" t="s">
        <v>166</v>
      </c>
      <c r="E74" s="34">
        <f>(0.01*G70)/(1+(B61/100))</f>
        <v>3675.4374743276248</v>
      </c>
      <c r="F74" s="35">
        <f>E74/E73</f>
        <v>8.5888571428571439</v>
      </c>
      <c r="G74" s="36"/>
      <c r="H74" s="36">
        <f>E74/E75</f>
        <v>44.734848484848477</v>
      </c>
      <c r="I74" s="36">
        <f>E74/E76</f>
        <v>6.839999999999999</v>
      </c>
      <c r="J74" s="36">
        <f>E74/E77</f>
        <v>0.99</v>
      </c>
      <c r="K74" s="36">
        <f>E74/E78</f>
        <v>35.67</v>
      </c>
      <c r="L74" s="36">
        <f>E74/E79</f>
        <v>29.669469548133542</v>
      </c>
      <c r="M74" s="37">
        <f>E74/E80</f>
        <v>4314.7885714285712</v>
      </c>
      <c r="N74" s="18"/>
    </row>
    <row r="75" spans="1:14" ht="18">
      <c r="A75" s="18" t="s">
        <v>75</v>
      </c>
      <c r="B75" s="27">
        <v>0</v>
      </c>
      <c r="C75" s="24"/>
      <c r="D75" s="24" t="s">
        <v>224</v>
      </c>
      <c r="E75" s="34">
        <f>((((1+(B63/100))/50)/(60+B59))*G70)/(1+((((1+(B63/100))*B62)/50)/(60+B59)))</f>
        <v>82.160499002751322</v>
      </c>
      <c r="F75" s="35">
        <f>E75/E73</f>
        <v>0.19199477440425794</v>
      </c>
      <c r="G75" s="36">
        <f>E75/E74</f>
        <v>2.2353937341236245E-2</v>
      </c>
      <c r="H75" s="36"/>
      <c r="I75" s="36">
        <f>E75/E76</f>
        <v>0.15290093141405589</v>
      </c>
      <c r="J75" s="36">
        <f>E75/E77</f>
        <v>2.2130397967823883E-2</v>
      </c>
      <c r="K75" s="36">
        <f>E75/E78</f>
        <v>0.79736494496189692</v>
      </c>
      <c r="L75" s="36">
        <f>E75/E79</f>
        <v>0.66322946322669407</v>
      </c>
      <c r="M75" s="37">
        <f>E75/E80</f>
        <v>96.452513366396531</v>
      </c>
      <c r="N75" s="18"/>
    </row>
    <row r="76" spans="1:14" ht="18">
      <c r="A76" s="18" t="s">
        <v>78</v>
      </c>
      <c r="B76" s="27">
        <v>0</v>
      </c>
      <c r="C76" s="24"/>
      <c r="D76" s="24" t="s">
        <v>144</v>
      </c>
      <c r="E76" s="34">
        <f>((((1+(B67/100))/5)/(60+B59))*G70)/(1+((((1+(B67/100))*B66)/5)/(60+B59)))</f>
        <v>537.34465998941891</v>
      </c>
      <c r="F76" s="35">
        <f>E76/E73</f>
        <v>1.2556808688387637</v>
      </c>
      <c r="G76" s="36">
        <f>E76/E74</f>
        <v>0.14619883040935674</v>
      </c>
      <c r="H76" s="36">
        <f>E76/E75</f>
        <v>6.5401825270246325</v>
      </c>
      <c r="I76" s="36"/>
      <c r="J76" s="36">
        <f>E76/E77</f>
        <v>0.14473684210526319</v>
      </c>
      <c r="K76" s="36">
        <f>E76/E78</f>
        <v>5.2149122807017552</v>
      </c>
      <c r="L76" s="36">
        <f>E76/E79</f>
        <v>4.3376417468031505</v>
      </c>
      <c r="M76" s="37">
        <f>E76/E80</f>
        <v>630.81704260651634</v>
      </c>
      <c r="N76" s="18"/>
    </row>
    <row r="77" spans="1:14" ht="26.25">
      <c r="A77" s="18" t="s">
        <v>64</v>
      </c>
      <c r="B77" s="27">
        <v>14</v>
      </c>
      <c r="C77" s="24"/>
      <c r="D77" s="24" t="s">
        <v>54</v>
      </c>
      <c r="E77" s="34">
        <f>(G70*0.01)/(0.99-(B65/100))</f>
        <v>3712.5631053814391</v>
      </c>
      <c r="F77" s="35">
        <f>E77/E73</f>
        <v>8.6756132756132747</v>
      </c>
      <c r="G77" s="36">
        <f>E77/E74</f>
        <v>1.0101010101010102</v>
      </c>
      <c r="H77" s="36">
        <f>E77/E75</f>
        <v>45.186715641261088</v>
      </c>
      <c r="I77" s="36">
        <f>E77/E76</f>
        <v>6.9090909090909074</v>
      </c>
      <c r="J77" s="36"/>
      <c r="K77" s="36">
        <f>E77/E78</f>
        <v>36.030303030303031</v>
      </c>
      <c r="L77" s="36">
        <f>E77/E79</f>
        <v>29.969161159730849</v>
      </c>
      <c r="M77" s="37">
        <f>E77/E80</f>
        <v>4358.3722943722942</v>
      </c>
      <c r="N77" s="18"/>
    </row>
    <row r="78" spans="1:14" ht="18">
      <c r="A78" s="18" t="s">
        <v>36</v>
      </c>
      <c r="B78" s="27">
        <v>948</v>
      </c>
      <c r="C78" s="24"/>
      <c r="D78" s="24" t="s">
        <v>43</v>
      </c>
      <c r="E78" s="34">
        <f>((G70*B82)/100)/((1-(B81/100))-(B82/100))</f>
        <v>103.04001890461521</v>
      </c>
      <c r="F78" s="35">
        <f>E78/E73</f>
        <v>0.24078657535343825</v>
      </c>
      <c r="G78" s="36">
        <f>E78/E74</f>
        <v>2.8034763106251751E-2</v>
      </c>
      <c r="H78" s="36">
        <f>E78/E75</f>
        <v>1.2541308798667921</v>
      </c>
      <c r="I78" s="36">
        <f>E78/E76</f>
        <v>0.19175777964676194</v>
      </c>
      <c r="J78" s="36">
        <f>E78/E77</f>
        <v>2.7754415475189233E-2</v>
      </c>
      <c r="K78" s="36"/>
      <c r="L78" s="36">
        <f>E78/E79</f>
        <v>0.83177655027007402</v>
      </c>
      <c r="M78" s="37">
        <f>E78/E80</f>
        <v>120.9640754535624</v>
      </c>
      <c r="N78" s="18"/>
    </row>
    <row r="79" spans="1:14" ht="18">
      <c r="A79" s="19" t="s">
        <v>105</v>
      </c>
      <c r="B79" s="39">
        <v>1088</v>
      </c>
      <c r="C79" s="24"/>
      <c r="D79" s="24" t="s">
        <v>88</v>
      </c>
      <c r="E79" s="34">
        <f>((((((((0.01*(1+M59))*((276+(35*B60))+((B78+B79)/2)))*(1+(B61/100)))*(1+((((1+(B63/100))*B62)/50)/(60+B59))))*(1+((((1+(B67/100))*B66)/5)/(60+B59))))/(1-(B64/100)))/(1-(B65/100)))-(0.01*G59))/(1-(B81/100))</f>
        <v>123.87944679512616</v>
      </c>
      <c r="F79" s="35">
        <f>E79/E73</f>
        <v>0.28948468825582541</v>
      </c>
      <c r="G79" s="36">
        <f>E79/E74</f>
        <v>3.3704680778929137E-2</v>
      </c>
      <c r="H79" s="36">
        <f>E79/E75</f>
        <v>1.5077737878755797</v>
      </c>
      <c r="I79" s="36">
        <f>E79/E76</f>
        <v>0.23054001652787529</v>
      </c>
      <c r="J79" s="36">
        <f>E79/E77</f>
        <v>3.336763397113985E-2</v>
      </c>
      <c r="K79" s="36">
        <f>E79/E78</f>
        <v>1.2022459633844025</v>
      </c>
      <c r="L79" s="36"/>
      <c r="M79" s="37">
        <f>E79/E80</f>
        <v>145.4285714285717</v>
      </c>
      <c r="N79" s="18"/>
    </row>
    <row r="80" spans="1:14" ht="18">
      <c r="A80" s="22"/>
      <c r="B80" s="7"/>
      <c r="C80" s="21"/>
      <c r="D80" s="40" t="s">
        <v>204</v>
      </c>
      <c r="E80" s="50">
        <f>((((((B77/100)/(1-(B81/100)))*(1+(B61/100)))*(1+((((1+(B63/100))*B62)/50)/(60+B59))))*(1+((((1+(B67/100))*B66)/5)/(60+B59))))/(1-(B64/100)))/(1-(B65/100))</f>
        <v>0.85182330802149464</v>
      </c>
      <c r="F80" s="42">
        <f>E80/E73</f>
        <v>1.9905626893819001E-3</v>
      </c>
      <c r="G80" s="43">
        <f>E80/E74</f>
        <v>2.3176106625982668E-4</v>
      </c>
      <c r="H80" s="43">
        <f>E80/E75</f>
        <v>1.0367796183820275E-2</v>
      </c>
      <c r="I80" s="43">
        <f>E80/E76</f>
        <v>1.5852456932172142E-3</v>
      </c>
      <c r="J80" s="43">
        <f>E80/E77</f>
        <v>2.2944345559722842E-4</v>
      </c>
      <c r="K80" s="43">
        <f>E80/E78</f>
        <v>8.2669172334880175E-3</v>
      </c>
      <c r="L80" s="43">
        <f>E80/E79</f>
        <v>6.8762278978388878E-3</v>
      </c>
      <c r="M80" s="44"/>
      <c r="N80" s="18"/>
    </row>
    <row r="81" spans="1:14">
      <c r="A81" s="18" t="s">
        <v>128</v>
      </c>
      <c r="B81" s="5">
        <f>100*(1-((((((((1-(B69/100))*(1-(B70/100)))*(1-(B71/100)))*(1-(B72/100)))*(1-(B73/100)))*(1-(B74/100)))*(1-(B75/100)))*(1-(B76/100))))</f>
        <v>10.799999999999999</v>
      </c>
      <c r="D81" s="7"/>
      <c r="E81" s="7"/>
      <c r="F81" s="7"/>
      <c r="G81" s="7"/>
      <c r="H81" s="7"/>
      <c r="I81" s="7"/>
      <c r="J81" s="7"/>
      <c r="K81" s="7"/>
      <c r="L81" s="7"/>
      <c r="M81" s="17"/>
      <c r="N81" s="18"/>
    </row>
    <row r="82" spans="1:14">
      <c r="A82" s="19" t="s">
        <v>65</v>
      </c>
      <c r="B82" s="20">
        <f>IF((B68&lt;101),0.1,IF((B68&lt;501),0.025,IF((B68&lt;1001),0.02,0.01)))</f>
        <v>2.5000000000000001E-2</v>
      </c>
      <c r="C82" s="20"/>
      <c r="D82" s="20"/>
      <c r="E82" s="20"/>
      <c r="F82" s="20"/>
      <c r="G82" s="20"/>
      <c r="H82" s="20"/>
      <c r="I82" s="20"/>
      <c r="J82" s="20"/>
      <c r="K82" s="20"/>
      <c r="L82" s="20"/>
      <c r="M82" s="28"/>
      <c r="N82" s="18"/>
    </row>
    <row r="83" spans="1:14">
      <c r="A83" s="14"/>
      <c r="B83" s="14"/>
      <c r="C83" s="14"/>
      <c r="D83" s="14"/>
      <c r="E83" s="14"/>
      <c r="F83" s="14"/>
      <c r="G83" s="14"/>
      <c r="H83" s="14"/>
      <c r="I83" s="14"/>
      <c r="J83" s="14"/>
      <c r="K83" s="14"/>
      <c r="L83" s="14"/>
      <c r="M83" s="14"/>
      <c r="N83" s="5"/>
    </row>
    <row r="84" spans="1:14">
      <c r="A84" s="16" t="s">
        <v>134</v>
      </c>
      <c r="B84" s="141" t="s">
        <v>234</v>
      </c>
      <c r="C84" s="141"/>
      <c r="D84" s="141"/>
      <c r="E84" s="141"/>
      <c r="F84" s="141"/>
      <c r="G84" s="141"/>
      <c r="H84" s="7"/>
      <c r="I84" s="7"/>
      <c r="J84" s="7"/>
      <c r="K84" s="17"/>
      <c r="L84" s="142" t="s">
        <v>18</v>
      </c>
      <c r="M84" s="143"/>
      <c r="N84" s="18"/>
    </row>
    <row r="85" spans="1:14">
      <c r="A85" s="19"/>
      <c r="B85" s="20"/>
      <c r="D85" s="20"/>
      <c r="E85" s="20"/>
      <c r="F85" s="20"/>
      <c r="G85" s="20"/>
      <c r="H85" s="20"/>
      <c r="I85" s="20"/>
      <c r="J85" s="20"/>
      <c r="K85" s="21"/>
      <c r="L85" s="47" t="s">
        <v>203</v>
      </c>
      <c r="M85" s="21"/>
      <c r="N85" s="18"/>
    </row>
    <row r="86" spans="1:14" ht="26.25">
      <c r="A86" s="22" t="s">
        <v>141</v>
      </c>
      <c r="B86" s="23">
        <v>1</v>
      </c>
      <c r="C86" s="24"/>
      <c r="D86" s="144" t="s">
        <v>227</v>
      </c>
      <c r="E86" s="141"/>
      <c r="F86" s="141"/>
      <c r="G86" s="48">
        <f>((((((1+M86)*(276+(35*B87)))*(1+(B88/100)))*(1+((((1+(B90/100))*B89)/50)/(60+B86))))*(1+((((1+(B94/100))*B93)/5)/(60+B86))))/(1-(B91/100)))/(1-(B92/100))</f>
        <v>924159.77093917376</v>
      </c>
      <c r="H86" s="7"/>
      <c r="I86" s="7"/>
      <c r="J86" s="17"/>
      <c r="K86" s="24"/>
      <c r="L86" s="18" t="s">
        <v>231</v>
      </c>
      <c r="M86" s="49">
        <v>1</v>
      </c>
      <c r="N86" s="18"/>
    </row>
    <row r="87" spans="1:14">
      <c r="A87" s="18" t="s">
        <v>45</v>
      </c>
      <c r="B87" s="27">
        <v>1294</v>
      </c>
      <c r="C87" s="24"/>
      <c r="D87" s="18"/>
      <c r="J87" s="21"/>
      <c r="K87" s="24"/>
      <c r="L87" s="18"/>
      <c r="M87" s="21"/>
      <c r="N87" s="18"/>
    </row>
    <row r="88" spans="1:14" ht="25.5">
      <c r="A88" s="18" t="s">
        <v>104</v>
      </c>
      <c r="B88" s="27">
        <v>4</v>
      </c>
      <c r="C88" s="24"/>
      <c r="D88" s="18"/>
      <c r="E88" s="2" t="s">
        <v>111</v>
      </c>
      <c r="F88" s="20" t="s">
        <v>219</v>
      </c>
      <c r="G88" s="20" t="s">
        <v>6</v>
      </c>
      <c r="H88" s="20" t="s">
        <v>220</v>
      </c>
      <c r="I88" s="20" t="s">
        <v>143</v>
      </c>
      <c r="J88" s="28" t="s">
        <v>39</v>
      </c>
      <c r="K88" s="24"/>
      <c r="L88" s="18"/>
      <c r="M88" s="21"/>
      <c r="N88" s="18"/>
    </row>
    <row r="89" spans="1:14" ht="18">
      <c r="A89" s="18" t="s">
        <v>226</v>
      </c>
      <c r="B89" s="27">
        <v>3782</v>
      </c>
      <c r="C89" s="24"/>
      <c r="D89" s="24" t="s">
        <v>81</v>
      </c>
      <c r="E89" s="30">
        <f>(35*G86)/(276+(35*B87))</f>
        <v>709.8624409180328</v>
      </c>
      <c r="F89" s="31"/>
      <c r="G89" s="32">
        <f>E89/E90</f>
        <v>7.9884124127639039E-2</v>
      </c>
      <c r="H89" s="32">
        <f>E89/E91</f>
        <v>4.4164721007315864</v>
      </c>
      <c r="I89" s="32">
        <f>E89/E92</f>
        <v>0.86865450360161345</v>
      </c>
      <c r="J89" s="33">
        <f>E89/E93</f>
        <v>7.6043541236887155E-2</v>
      </c>
      <c r="K89" s="24"/>
      <c r="L89" s="18"/>
      <c r="M89" s="21"/>
      <c r="N89" s="18"/>
    </row>
    <row r="90" spans="1:14" ht="18">
      <c r="A90" s="18" t="s">
        <v>252</v>
      </c>
      <c r="B90" s="27">
        <v>55</v>
      </c>
      <c r="C90" s="24"/>
      <c r="D90" s="24" t="s">
        <v>166</v>
      </c>
      <c r="E90" s="34">
        <f>(0.01*G86)/(1+(B88/100))</f>
        <v>8886.1516436459005</v>
      </c>
      <c r="F90" s="35">
        <f>E90/E89</f>
        <v>12.518131868131867</v>
      </c>
      <c r="G90" s="36"/>
      <c r="H90" s="36">
        <f>E90/E91</f>
        <v>55.285980148883361</v>
      </c>
      <c r="I90" s="36">
        <f>E90/E92</f>
        <v>10.873931623931623</v>
      </c>
      <c r="J90" s="37">
        <f>E90/E93</f>
        <v>0.95192307692307676</v>
      </c>
      <c r="K90" s="24"/>
      <c r="L90" s="18"/>
      <c r="M90" s="21"/>
      <c r="N90" s="18"/>
    </row>
    <row r="91" spans="1:14" ht="39">
      <c r="A91" s="18" t="s">
        <v>150</v>
      </c>
      <c r="B91" s="27">
        <v>0</v>
      </c>
      <c r="C91" s="24"/>
      <c r="D91" s="24" t="s">
        <v>224</v>
      </c>
      <c r="E91" s="34">
        <f>((((1+(B90/100))/50)/(60+B86))*G86)/(1+((((1+(B90/100))*B89)/50)/(60+B86)))</f>
        <v>160.73065214211235</v>
      </c>
      <c r="F91" s="35">
        <f>E91/E89</f>
        <v>0.22642506896723075</v>
      </c>
      <c r="G91" s="36">
        <f>E91/E90</f>
        <v>1.8087768314987492E-2</v>
      </c>
      <c r="H91" s="36"/>
      <c r="I91" s="36">
        <f>E91/E92</f>
        <v>0.19668515588669092</v>
      </c>
      <c r="J91" s="37">
        <f>E91/E93</f>
        <v>1.7218164069074629E-2</v>
      </c>
      <c r="K91" s="24"/>
      <c r="L91" s="18"/>
      <c r="M91" s="21"/>
      <c r="N91" s="18"/>
    </row>
    <row r="92" spans="1:14" ht="39">
      <c r="A92" s="18" t="s">
        <v>102</v>
      </c>
      <c r="B92" s="27">
        <v>0</v>
      </c>
      <c r="C92" s="24"/>
      <c r="D92" s="24" t="s">
        <v>144</v>
      </c>
      <c r="E92" s="34">
        <f>((((1+(B94/100))/5)/(60+B86))*G86)/(1+((((1+(B94/100))*B93)/5)/(60+B86)))</f>
        <v>817.19767522622942</v>
      </c>
      <c r="F92" s="35">
        <f>E92/E89</f>
        <v>1.1512056817224825</v>
      </c>
      <c r="G92" s="36">
        <f>E92/E90</f>
        <v>9.1963057575162113E-2</v>
      </c>
      <c r="H92" s="36">
        <f>E92/E91</f>
        <v>5.0842677755310302</v>
      </c>
      <c r="I92" s="36"/>
      <c r="J92" s="37">
        <f>E92/E93</f>
        <v>8.7541756730202383E-2</v>
      </c>
      <c r="K92" s="24"/>
      <c r="L92" s="18"/>
      <c r="M92" s="21"/>
      <c r="N92" s="18"/>
    </row>
    <row r="93" spans="1:14" ht="26.25">
      <c r="A93" s="18" t="s">
        <v>117</v>
      </c>
      <c r="B93" s="27">
        <v>792</v>
      </c>
      <c r="C93" s="24"/>
      <c r="D93" s="40" t="s">
        <v>54</v>
      </c>
      <c r="E93" s="50">
        <f>(G86*0.01)/(0.99-(B92/100))</f>
        <v>9334.9471812037755</v>
      </c>
      <c r="F93" s="42">
        <f>E93/E89</f>
        <v>13.15036075036075</v>
      </c>
      <c r="G93" s="43">
        <f>E93/E90</f>
        <v>1.0505050505050506</v>
      </c>
      <c r="H93" s="43">
        <f>E93/E91</f>
        <v>58.078201368523942</v>
      </c>
      <c r="I93" s="43">
        <f>E93/E92</f>
        <v>11.423120089786758</v>
      </c>
      <c r="J93" s="44"/>
      <c r="K93" s="24"/>
      <c r="L93" s="18"/>
      <c r="M93" s="21"/>
      <c r="N93" s="18"/>
    </row>
    <row r="94" spans="1:14">
      <c r="A94" s="18" t="s">
        <v>118</v>
      </c>
      <c r="B94" s="27">
        <v>-10</v>
      </c>
      <c r="C94" s="18"/>
      <c r="D94" s="7"/>
      <c r="E94" s="7"/>
      <c r="F94" s="7"/>
      <c r="G94" s="7"/>
      <c r="H94" s="7"/>
      <c r="I94" s="7"/>
      <c r="J94" s="7"/>
      <c r="K94" s="21"/>
      <c r="L94" s="18"/>
      <c r="M94" s="21"/>
      <c r="N94" s="18"/>
    </row>
    <row r="95" spans="1:14">
      <c r="A95" s="18" t="s">
        <v>169</v>
      </c>
      <c r="B95" s="27">
        <v>126</v>
      </c>
      <c r="C95" s="18"/>
      <c r="K95" s="21"/>
      <c r="L95" s="19"/>
      <c r="M95" s="28"/>
      <c r="N95" s="18"/>
    </row>
    <row r="96" spans="1:14">
      <c r="A96" s="18" t="s">
        <v>80</v>
      </c>
      <c r="B96" s="27">
        <v>10.7</v>
      </c>
      <c r="C96" s="18"/>
      <c r="D96" s="20"/>
      <c r="E96" s="20"/>
      <c r="F96" s="20"/>
      <c r="G96" s="20"/>
      <c r="H96" s="20"/>
      <c r="I96" s="20"/>
      <c r="J96" s="20"/>
      <c r="K96" s="20"/>
      <c r="L96" s="14"/>
      <c r="M96" s="15"/>
      <c r="N96" s="18"/>
    </row>
    <row r="97" spans="1:14" ht="39">
      <c r="A97" s="18" t="s">
        <v>91</v>
      </c>
      <c r="B97" s="27">
        <v>0</v>
      </c>
      <c r="C97" s="24"/>
      <c r="D97" s="16" t="s">
        <v>114</v>
      </c>
      <c r="E97" s="7"/>
      <c r="F97" s="7"/>
      <c r="G97" s="48">
        <f>(((((((((B104/100)*(1+M86))*((276+(35*B87))+((B105+B106)/2)))*(1+(B88/100)))*(1+((((1+(B90/100))*B89)/50)/(60+B86))))*(1+((((1+(B94/100))*B93)/5)/(60+B86))))/(1-(B91/100)))/(1-(B92/100)))+((1-(B104/100))*G86))/(1-(B108/100))</f>
        <v>1034893.3605141924</v>
      </c>
      <c r="H97" s="7"/>
      <c r="I97" s="7"/>
      <c r="J97" s="7"/>
      <c r="K97" s="7"/>
      <c r="L97" s="7"/>
      <c r="M97" s="17"/>
      <c r="N97" s="18"/>
    </row>
    <row r="98" spans="1:14">
      <c r="A98" s="18" t="s">
        <v>90</v>
      </c>
      <c r="B98" s="27">
        <v>0</v>
      </c>
      <c r="C98" s="24"/>
      <c r="D98" s="18"/>
      <c r="M98" s="21"/>
      <c r="N98" s="18"/>
    </row>
    <row r="99" spans="1:14" ht="25.5">
      <c r="A99" s="18" t="s">
        <v>94</v>
      </c>
      <c r="B99" s="27">
        <v>0</v>
      </c>
      <c r="C99" s="24"/>
      <c r="D99" s="18"/>
      <c r="E99" s="2" t="s">
        <v>111</v>
      </c>
      <c r="F99" s="20" t="s">
        <v>219</v>
      </c>
      <c r="G99" s="20" t="s">
        <v>6</v>
      </c>
      <c r="H99" s="20" t="s">
        <v>220</v>
      </c>
      <c r="I99" s="20" t="s">
        <v>143</v>
      </c>
      <c r="J99" s="20" t="s">
        <v>39</v>
      </c>
      <c r="K99" s="20" t="s">
        <v>31</v>
      </c>
      <c r="L99" s="20" t="s">
        <v>217</v>
      </c>
      <c r="M99" s="28" t="s">
        <v>122</v>
      </c>
      <c r="N99" s="18"/>
    </row>
    <row r="100" spans="1:14" ht="18">
      <c r="A100" s="18" t="s">
        <v>93</v>
      </c>
      <c r="B100" s="27">
        <v>0</v>
      </c>
      <c r="C100" s="24"/>
      <c r="D100" s="24" t="s">
        <v>81</v>
      </c>
      <c r="E100" s="30">
        <f>(35*G97)/(276+(35*B87))</f>
        <v>794.91874682870412</v>
      </c>
      <c r="F100" s="31"/>
      <c r="G100" s="32">
        <f>E100/E101</f>
        <v>7.9884124127639039E-2</v>
      </c>
      <c r="H100" s="32">
        <f>E100/E102</f>
        <v>4.4164721007315864</v>
      </c>
      <c r="I100" s="32">
        <f>E100/E103</f>
        <v>0.86865450360161334</v>
      </c>
      <c r="J100" s="32">
        <f>E100/E104</f>
        <v>7.6043541236887155E-2</v>
      </c>
      <c r="K100" s="32">
        <f>E100/E105</f>
        <v>2.7429443005749898</v>
      </c>
      <c r="L100" s="32">
        <f>E100/E106</f>
        <v>390251003955415.44</v>
      </c>
      <c r="M100" s="33" t="e">
        <f>E100/E107</f>
        <v>#DIV/0!</v>
      </c>
      <c r="N100" s="18"/>
    </row>
    <row r="101" spans="1:14" ht="18">
      <c r="A101" s="18" t="s">
        <v>72</v>
      </c>
      <c r="B101" s="27">
        <v>0</v>
      </c>
      <c r="C101" s="24"/>
      <c r="D101" s="24" t="s">
        <v>166</v>
      </c>
      <c r="E101" s="34">
        <f>(0.01*G97)/(1+(B88/100))</f>
        <v>9950.8976972518485</v>
      </c>
      <c r="F101" s="35">
        <f>E101/E100</f>
        <v>12.518131868131867</v>
      </c>
      <c r="G101" s="36"/>
      <c r="H101" s="36">
        <f>E101/E102</f>
        <v>55.285980148883368</v>
      </c>
      <c r="I101" s="36">
        <f>E101/E103</f>
        <v>10.873931623931623</v>
      </c>
      <c r="J101" s="36">
        <f>E101/E104</f>
        <v>0.95192307692307687</v>
      </c>
      <c r="K101" s="36">
        <f>E101/E105</f>
        <v>34.33653846153846</v>
      </c>
      <c r="L101" s="36">
        <f>E101/E106</f>
        <v>4885213529184741</v>
      </c>
      <c r="M101" s="37" t="e">
        <f>E101/E107</f>
        <v>#DIV/0!</v>
      </c>
      <c r="N101" s="18"/>
    </row>
    <row r="102" spans="1:14" ht="18">
      <c r="A102" s="18" t="s">
        <v>75</v>
      </c>
      <c r="B102" s="27">
        <v>0</v>
      </c>
      <c r="C102" s="24"/>
      <c r="D102" s="24" t="s">
        <v>224</v>
      </c>
      <c r="E102" s="34">
        <f>((((1+(B90/100))/50)/(60+B86))*G97)/(1+((((1+(B90/100))*B89)/50)/(60+B86)))</f>
        <v>179.98953207403397</v>
      </c>
      <c r="F102" s="35">
        <f>E102/E100</f>
        <v>0.22642506896723075</v>
      </c>
      <c r="G102" s="36">
        <f>E102/E101</f>
        <v>1.8087768314987492E-2</v>
      </c>
      <c r="H102" s="36"/>
      <c r="I102" s="36">
        <f>E102/E103</f>
        <v>0.19668515588669092</v>
      </c>
      <c r="J102" s="36">
        <f>E102/E104</f>
        <v>1.7218164069074629E-2</v>
      </c>
      <c r="K102" s="36">
        <f>E102/E105</f>
        <v>0.62107135243096467</v>
      </c>
      <c r="L102" s="36">
        <f>E102/E106</f>
        <v>88362610485135.984</v>
      </c>
      <c r="M102" s="37" t="e">
        <f>E102/E107</f>
        <v>#DIV/0!</v>
      </c>
      <c r="N102" s="18"/>
    </row>
    <row r="103" spans="1:14" ht="18">
      <c r="A103" s="18" t="s">
        <v>78</v>
      </c>
      <c r="B103" s="27">
        <v>0</v>
      </c>
      <c r="C103" s="24"/>
      <c r="D103" s="24" t="s">
        <v>144</v>
      </c>
      <c r="E103" s="34">
        <f>((((1+(B94/100))/5)/(60+B86))*G97)/(1+((((1+(B94/100))*B93)/5)/(60+B86)))</f>
        <v>915.11497785691984</v>
      </c>
      <c r="F103" s="35">
        <f>E103/E100</f>
        <v>1.1512056817224825</v>
      </c>
      <c r="G103" s="36">
        <f>E103/E101</f>
        <v>9.1963057575162113E-2</v>
      </c>
      <c r="H103" s="36">
        <f>E103/E102</f>
        <v>5.084267775531031</v>
      </c>
      <c r="I103" s="36"/>
      <c r="J103" s="36">
        <f>E103/E104</f>
        <v>8.7541756730202397E-2</v>
      </c>
      <c r="K103" s="36">
        <f>E103/E105</f>
        <v>3.1576930634702296</v>
      </c>
      <c r="L103" s="36">
        <f>E103/E106</f>
        <v>449259173051377.25</v>
      </c>
      <c r="M103" s="37" t="e">
        <f>E103/E107</f>
        <v>#DIV/0!</v>
      </c>
      <c r="N103" s="18"/>
    </row>
    <row r="104" spans="1:14" ht="26.25">
      <c r="A104" s="18" t="s">
        <v>64</v>
      </c>
      <c r="B104" s="27">
        <v>0</v>
      </c>
      <c r="C104" s="24"/>
      <c r="D104" s="24" t="s">
        <v>54</v>
      </c>
      <c r="E104" s="34">
        <f>(G97*0.01)/(0.99-(B92/100))</f>
        <v>10453.468288022144</v>
      </c>
      <c r="F104" s="35">
        <f>E104/E100</f>
        <v>13.15036075036075</v>
      </c>
      <c r="G104" s="36">
        <f>E104/E101</f>
        <v>1.0505050505050506</v>
      </c>
      <c r="H104" s="36">
        <f>E104/E102</f>
        <v>58.078201368523942</v>
      </c>
      <c r="I104" s="36">
        <f>E104/E103</f>
        <v>11.423120089786757</v>
      </c>
      <c r="J104" s="36"/>
      <c r="K104" s="36">
        <f>E104/E105</f>
        <v>36.070707070707066</v>
      </c>
      <c r="L104" s="36">
        <f>E104/E106</f>
        <v>5131941485204173</v>
      </c>
      <c r="M104" s="37" t="e">
        <f>E104/E107</f>
        <v>#DIV/0!</v>
      </c>
      <c r="N104" s="18"/>
    </row>
    <row r="105" spans="1:14" ht="18">
      <c r="A105" s="18" t="s">
        <v>36</v>
      </c>
      <c r="B105" s="27">
        <v>0</v>
      </c>
      <c r="C105" s="24"/>
      <c r="D105" s="24" t="s">
        <v>43</v>
      </c>
      <c r="E105" s="34">
        <f>((G97*B109)/100)/((1-(B108/100))-(B109/100))</f>
        <v>289.80491753407796</v>
      </c>
      <c r="F105" s="35">
        <f>E105/E100</f>
        <v>0.36457174860983321</v>
      </c>
      <c r="G105" s="36">
        <f>E105/E101</f>
        <v>2.9123494819378329E-2</v>
      </c>
      <c r="H105" s="36">
        <f>E105/E102</f>
        <v>1.6101209564502579</v>
      </c>
      <c r="I105" s="36">
        <f>E105/E103</f>
        <v>0.31668689131584682</v>
      </c>
      <c r="J105" s="36">
        <f>E105/E104</f>
        <v>2.7723326799215908E-2</v>
      </c>
      <c r="K105" s="36"/>
      <c r="L105" s="36">
        <f>E105/E106</f>
        <v>142274490908768.75</v>
      </c>
      <c r="M105" s="37" t="e">
        <f>E105/E107</f>
        <v>#DIV/0!</v>
      </c>
      <c r="N105" s="18"/>
    </row>
    <row r="106" spans="1:14" ht="18">
      <c r="A106" s="19" t="s">
        <v>105</v>
      </c>
      <c r="B106" s="39">
        <v>0</v>
      </c>
      <c r="C106" s="24"/>
      <c r="D106" s="24" t="s">
        <v>88</v>
      </c>
      <c r="E106" s="34">
        <f>((((((((0.01*(1+M86))*((276+(35*B87))+((B105+B106)/2)))*(1+(B88/100)))*(1+((((1+(B90/100))*B89)/50)/(60+B86))))*(1+((((1+(B94/100))*B93)/5)/(60+B86))))/(1-(B91/100)))/(1-(B92/100)))-(0.01*G86))/(1-(B108/100))</f>
        <v>2.0369422212159646E-12</v>
      </c>
      <c r="F106" s="35">
        <f>E106/E100</f>
        <v>2.562453369406952E-15</v>
      </c>
      <c r="G106" s="36">
        <f>E106/E101</f>
        <v>2.0469934303299182E-16</v>
      </c>
      <c r="H106" s="36">
        <f>E106/E102</f>
        <v>1.1317003815411452E-14</v>
      </c>
      <c r="I106" s="36">
        <f>E106/E103</f>
        <v>2.2258866596044775E-15</v>
      </c>
      <c r="J106" s="36">
        <f>E106/E104</f>
        <v>1.9485802846409798E-16</v>
      </c>
      <c r="K106" s="36">
        <f>E106/E105</f>
        <v>7.0286668651039778E-15</v>
      </c>
      <c r="L106" s="36"/>
      <c r="M106" s="37" t="e">
        <f>E106/E107</f>
        <v>#DIV/0!</v>
      </c>
      <c r="N106" s="18"/>
    </row>
    <row r="107" spans="1:14" ht="18">
      <c r="A107" s="22"/>
      <c r="B107" s="7"/>
      <c r="C107" s="21"/>
      <c r="D107" s="40" t="s">
        <v>204</v>
      </c>
      <c r="E107" s="50">
        <f>((((((B104/100)/(1-(B108/100)))*(1+(B88/100)))*(1+((((1+(B90/100))*B89)/50)/(60+B86))))*(1+((((1+(B94/100))*B93)/5)/(60+B86))))/(1-(B91/100)))/(1-(B92/100))</f>
        <v>0</v>
      </c>
      <c r="F107" s="42">
        <f>E107/E100</f>
        <v>0</v>
      </c>
      <c r="G107" s="43">
        <f>E107/E101</f>
        <v>0</v>
      </c>
      <c r="H107" s="43">
        <f>E107/E102</f>
        <v>0</v>
      </c>
      <c r="I107" s="43">
        <f>E107/E103</f>
        <v>0</v>
      </c>
      <c r="J107" s="43">
        <f>E107/E104</f>
        <v>0</v>
      </c>
      <c r="K107" s="43">
        <f>E107/E105</f>
        <v>0</v>
      </c>
      <c r="L107" s="43">
        <f>E107/E106</f>
        <v>0</v>
      </c>
      <c r="M107" s="44"/>
      <c r="N107" s="18"/>
    </row>
    <row r="108" spans="1:14">
      <c r="A108" s="18" t="s">
        <v>128</v>
      </c>
      <c r="B108" s="5">
        <f>100*(1-((((((((1-(B96/100))*(1-(B97/100)))*(1-(B98/100)))*(1-(B99/100)))*(1-(B100/100)))*(1-(B101/100)))*(1-(B102/100)))*(1-(B103/100))))</f>
        <v>10.7</v>
      </c>
      <c r="D108" s="7"/>
      <c r="E108" s="7"/>
      <c r="F108" s="7"/>
      <c r="G108" s="7"/>
      <c r="H108" s="7"/>
      <c r="I108" s="7"/>
      <c r="J108" s="7"/>
      <c r="K108" s="7"/>
      <c r="L108" s="7"/>
      <c r="M108" s="17"/>
      <c r="N108" s="18"/>
    </row>
    <row r="109" spans="1:14">
      <c r="A109" s="18" t="s">
        <v>65</v>
      </c>
      <c r="B109" s="5">
        <f>IF((B95&lt;101),0.1,IF((B95&lt;501),0.025,IF((B95&lt;1001),0.02,0.01)))</f>
        <v>2.5000000000000001E-2</v>
      </c>
      <c r="M109" s="21"/>
      <c r="N109" s="18"/>
    </row>
    <row r="110" spans="1:14">
      <c r="A110" s="19"/>
      <c r="B110" s="20"/>
      <c r="C110" s="20"/>
      <c r="D110" s="20"/>
      <c r="E110" s="20"/>
      <c r="F110" s="20"/>
      <c r="G110" s="20"/>
      <c r="H110" s="20"/>
      <c r="I110" s="20"/>
      <c r="J110" s="20"/>
      <c r="K110" s="20"/>
      <c r="L110" s="20"/>
      <c r="M110" s="28"/>
      <c r="N110" s="18"/>
    </row>
    <row r="111" spans="1:14">
      <c r="A111" s="16" t="s">
        <v>108</v>
      </c>
      <c r="B111" s="141" t="s">
        <v>234</v>
      </c>
      <c r="C111" s="141"/>
      <c r="D111" s="141"/>
      <c r="E111" s="141"/>
      <c r="F111" s="141"/>
      <c r="G111" s="141"/>
      <c r="H111" s="7"/>
      <c r="I111" s="7"/>
      <c r="J111" s="7"/>
      <c r="K111" s="17"/>
      <c r="L111" s="142" t="s">
        <v>18</v>
      </c>
      <c r="M111" s="143"/>
      <c r="N111" s="18"/>
    </row>
    <row r="112" spans="1:14">
      <c r="A112" s="19"/>
      <c r="B112" s="20"/>
      <c r="D112" s="20"/>
      <c r="E112" s="20"/>
      <c r="F112" s="20"/>
      <c r="G112" s="20"/>
      <c r="H112" s="20"/>
      <c r="I112" s="20"/>
      <c r="J112" s="20"/>
      <c r="K112" s="21"/>
      <c r="L112" s="47" t="s">
        <v>203</v>
      </c>
      <c r="M112" s="21"/>
      <c r="N112" s="18"/>
    </row>
    <row r="113" spans="1:14" ht="26.25">
      <c r="A113" s="22" t="s">
        <v>141</v>
      </c>
      <c r="B113" s="23">
        <v>1</v>
      </c>
      <c r="C113" s="24"/>
      <c r="D113" s="144" t="s">
        <v>227</v>
      </c>
      <c r="E113" s="141"/>
      <c r="F113" s="141"/>
      <c r="G113" s="48">
        <f>((((((1+M113)*(276+(35*B114)))*(1+(B115/100)))*(1+((((1+(B117/100))*B116)/50)/(60+B113))))*(1+((((1+(B121/100))*B120)/5)/(60+B113))))/(1-(B118/100)))/(1-(B119/100))</f>
        <v>197478.40587240685</v>
      </c>
      <c r="H113" s="7"/>
      <c r="I113" s="7"/>
      <c r="J113" s="17"/>
      <c r="K113" s="24"/>
      <c r="L113" s="18" t="s">
        <v>231</v>
      </c>
      <c r="M113" s="49">
        <v>1</v>
      </c>
      <c r="N113" s="18"/>
    </row>
    <row r="114" spans="1:14">
      <c r="A114" s="18" t="s">
        <v>45</v>
      </c>
      <c r="B114" s="27">
        <v>526</v>
      </c>
      <c r="C114" s="24"/>
      <c r="D114" s="18"/>
      <c r="J114" s="21"/>
      <c r="K114" s="24"/>
      <c r="L114" s="18"/>
      <c r="M114" s="21"/>
      <c r="N114" s="18"/>
    </row>
    <row r="115" spans="1:14" ht="25.5">
      <c r="A115" s="18" t="s">
        <v>104</v>
      </c>
      <c r="B115" s="27">
        <v>11</v>
      </c>
      <c r="C115" s="24"/>
      <c r="D115" s="18"/>
      <c r="E115" s="2" t="s">
        <v>111</v>
      </c>
      <c r="F115" s="20" t="s">
        <v>219</v>
      </c>
      <c r="G115" s="20" t="s">
        <v>6</v>
      </c>
      <c r="H115" s="20" t="s">
        <v>220</v>
      </c>
      <c r="I115" s="20" t="s">
        <v>143</v>
      </c>
      <c r="J115" s="28" t="s">
        <v>39</v>
      </c>
      <c r="K115" s="24"/>
      <c r="L115" s="18"/>
      <c r="M115" s="21"/>
      <c r="N115" s="18"/>
    </row>
    <row r="116" spans="1:14" ht="18">
      <c r="A116" s="18" t="s">
        <v>226</v>
      </c>
      <c r="B116" s="27">
        <v>2736</v>
      </c>
      <c r="C116" s="24"/>
      <c r="D116" s="24" t="s">
        <v>81</v>
      </c>
      <c r="E116" s="30">
        <f>(35*G113)/(276+(35*B114))</f>
        <v>369.88891178070423</v>
      </c>
      <c r="F116" s="31"/>
      <c r="G116" s="32">
        <f>E116/E117</f>
        <v>0.20790966498983199</v>
      </c>
      <c r="H116" s="32">
        <f>E116/E118</f>
        <v>8.8103910811268058</v>
      </c>
      <c r="I116" s="32">
        <f>E116/E119</f>
        <v>1.2641074125608003</v>
      </c>
      <c r="J116" s="33">
        <f>E116/E120</f>
        <v>0.18543294445039066</v>
      </c>
      <c r="K116" s="24"/>
      <c r="L116" s="18"/>
      <c r="M116" s="21"/>
      <c r="N116" s="18"/>
    </row>
    <row r="117" spans="1:14" ht="18">
      <c r="A117" s="18" t="s">
        <v>252</v>
      </c>
      <c r="B117" s="27">
        <v>55</v>
      </c>
      <c r="C117" s="24"/>
      <c r="D117" s="24" t="s">
        <v>166</v>
      </c>
      <c r="E117" s="34">
        <f>(0.01*G113)/(1+(B115/100))</f>
        <v>1779.0847375892506</v>
      </c>
      <c r="F117" s="35">
        <f>E117/E116</f>
        <v>4.8097812097812094</v>
      </c>
      <c r="G117" s="36"/>
      <c r="H117" s="36">
        <f>E117/E118</f>
        <v>42.376053472827664</v>
      </c>
      <c r="I117" s="36">
        <f>E117/E119</f>
        <v>6.0800800800800801</v>
      </c>
      <c r="J117" s="37">
        <f>E117/E120</f>
        <v>0.89189189189189166</v>
      </c>
      <c r="K117" s="24"/>
      <c r="L117" s="18"/>
      <c r="M117" s="21"/>
      <c r="N117" s="18"/>
    </row>
    <row r="118" spans="1:14" ht="39">
      <c r="A118" s="18" t="s">
        <v>150</v>
      </c>
      <c r="B118" s="27">
        <v>0</v>
      </c>
      <c r="C118" s="24"/>
      <c r="D118" s="24" t="s">
        <v>224</v>
      </c>
      <c r="E118" s="34">
        <f>((((1+(B117/100))/50)/(60+B113))*G113)/(1+((((1+(B117/100))*B116)/50)/(60+B113)))</f>
        <v>41.983256858263921</v>
      </c>
      <c r="F118" s="35">
        <f>E118/E116</f>
        <v>0.11350233954337756</v>
      </c>
      <c r="G118" s="36">
        <f>E118/E117</f>
        <v>2.3598233390025789E-2</v>
      </c>
      <c r="H118" s="36"/>
      <c r="I118" s="36">
        <f>E118/E119</f>
        <v>0.14347914875977641</v>
      </c>
      <c r="J118" s="37">
        <f>E118/E120</f>
        <v>2.1047073023536509E-2</v>
      </c>
      <c r="K118" s="24"/>
      <c r="L118" s="18"/>
      <c r="M118" s="21"/>
      <c r="N118" s="18"/>
    </row>
    <row r="119" spans="1:14" ht="39">
      <c r="A119" s="18" t="s">
        <v>102</v>
      </c>
      <c r="B119" s="27">
        <v>0</v>
      </c>
      <c r="C119" s="24"/>
      <c r="D119" s="24" t="s">
        <v>144</v>
      </c>
      <c r="E119" s="34">
        <f>((((1+(B121/100))/5)/(60+B113))*G113)/(1+((((1+(B121/100))*B120)/5)/(60+B113)))</f>
        <v>292.60876734469235</v>
      </c>
      <c r="F119" s="35">
        <f>E119/E116</f>
        <v>0.7910720165576931</v>
      </c>
      <c r="G119" s="36">
        <f>E119/E117</f>
        <v>0.16447151794534079</v>
      </c>
      <c r="H119" s="36">
        <f>E119/E118</f>
        <v>6.9696538392088963</v>
      </c>
      <c r="I119" s="36"/>
      <c r="J119" s="37">
        <f>E119/E120</f>
        <v>0.14669081330260123</v>
      </c>
      <c r="K119" s="24"/>
      <c r="L119" s="18"/>
      <c r="M119" s="21"/>
      <c r="N119" s="18"/>
    </row>
    <row r="120" spans="1:14" ht="26.25">
      <c r="A120" s="18" t="s">
        <v>117</v>
      </c>
      <c r="B120" s="27">
        <v>336</v>
      </c>
      <c r="C120" s="24"/>
      <c r="D120" s="40" t="s">
        <v>54</v>
      </c>
      <c r="E120" s="50">
        <f>(G113*0.01)/(0.99-(B119/100))</f>
        <v>1994.7313724485541</v>
      </c>
      <c r="F120" s="42">
        <f>E120/E116</f>
        <v>5.3927849927849936</v>
      </c>
      <c r="G120" s="43">
        <f>E120/E117</f>
        <v>1.1212121212121213</v>
      </c>
      <c r="H120" s="43">
        <f>E120/E118</f>
        <v>47.512544802867389</v>
      </c>
      <c r="I120" s="43">
        <f>E120/E119</f>
        <v>6.817059483726152</v>
      </c>
      <c r="J120" s="44"/>
      <c r="K120" s="24"/>
      <c r="L120" s="18"/>
      <c r="M120" s="21"/>
      <c r="N120" s="18"/>
    </row>
    <row r="121" spans="1:14">
      <c r="A121" s="18" t="s">
        <v>118</v>
      </c>
      <c r="B121" s="27">
        <v>-10</v>
      </c>
      <c r="C121" s="18"/>
      <c r="D121" s="7"/>
      <c r="E121" s="7"/>
      <c r="F121" s="7"/>
      <c r="G121" s="7"/>
      <c r="H121" s="7"/>
      <c r="I121" s="7"/>
      <c r="J121" s="7"/>
      <c r="K121" s="21"/>
      <c r="L121" s="18"/>
      <c r="M121" s="21"/>
      <c r="N121" s="18"/>
    </row>
    <row r="122" spans="1:14">
      <c r="A122" s="18" t="s">
        <v>169</v>
      </c>
      <c r="B122" s="27">
        <v>210</v>
      </c>
      <c r="C122" s="18"/>
      <c r="K122" s="21"/>
      <c r="L122" s="19"/>
      <c r="M122" s="28"/>
      <c r="N122" s="18"/>
    </row>
    <row r="123" spans="1:14">
      <c r="A123" s="18" t="s">
        <v>80</v>
      </c>
      <c r="B123" s="27">
        <v>12.6</v>
      </c>
      <c r="C123" s="18"/>
      <c r="D123" s="20"/>
      <c r="E123" s="20"/>
      <c r="F123" s="20"/>
      <c r="G123" s="20"/>
      <c r="H123" s="20"/>
      <c r="I123" s="20"/>
      <c r="J123" s="20"/>
      <c r="K123" s="20"/>
      <c r="L123" s="14"/>
      <c r="M123" s="15"/>
      <c r="N123" s="18"/>
    </row>
    <row r="124" spans="1:14" ht="39">
      <c r="A124" s="18" t="s">
        <v>91</v>
      </c>
      <c r="B124" s="27">
        <v>0</v>
      </c>
      <c r="C124" s="24"/>
      <c r="D124" s="16" t="s">
        <v>114</v>
      </c>
      <c r="E124" s="7"/>
      <c r="F124" s="7"/>
      <c r="G124" s="48">
        <f>(((((((((B131/100)*(1+M113))*((276+(35*B114))+((B132+B133)/2)))*(1+(B115/100)))*(1+((((1+(B117/100))*B116)/50)/(60+B113))))*(1+((((1+(B121/100))*B120)/5)/(60+B113))))/(1-(B118/100)))/(1-(B119/100)))+((1-(B131/100))*G113))/(1-(B135/100))</f>
        <v>225947.8328059575</v>
      </c>
      <c r="H124" s="7"/>
      <c r="I124" s="7"/>
      <c r="J124" s="7"/>
      <c r="K124" s="7"/>
      <c r="L124" s="7"/>
      <c r="M124" s="17"/>
      <c r="N124" s="18"/>
    </row>
    <row r="125" spans="1:14">
      <c r="A125" s="18" t="s">
        <v>90</v>
      </c>
      <c r="B125" s="27">
        <v>0</v>
      </c>
      <c r="C125" s="24"/>
      <c r="D125" s="18"/>
      <c r="M125" s="21"/>
      <c r="N125" s="18"/>
    </row>
    <row r="126" spans="1:14" ht="25.5">
      <c r="A126" s="18" t="s">
        <v>94</v>
      </c>
      <c r="B126" s="27">
        <v>0</v>
      </c>
      <c r="C126" s="24"/>
      <c r="D126" s="18"/>
      <c r="E126" s="2" t="s">
        <v>111</v>
      </c>
      <c r="F126" s="20" t="s">
        <v>219</v>
      </c>
      <c r="G126" s="20" t="s">
        <v>6</v>
      </c>
      <c r="H126" s="20" t="s">
        <v>220</v>
      </c>
      <c r="I126" s="20" t="s">
        <v>143</v>
      </c>
      <c r="J126" s="20" t="s">
        <v>39</v>
      </c>
      <c r="K126" s="20" t="s">
        <v>31</v>
      </c>
      <c r="L126" s="20" t="s">
        <v>217</v>
      </c>
      <c r="M126" s="28" t="s">
        <v>122</v>
      </c>
      <c r="N126" s="18"/>
    </row>
    <row r="127" spans="1:14" ht="18">
      <c r="A127" s="18" t="s">
        <v>93</v>
      </c>
      <c r="B127" s="27">
        <v>0</v>
      </c>
      <c r="C127" s="24"/>
      <c r="D127" s="24" t="s">
        <v>81</v>
      </c>
      <c r="E127" s="30">
        <f>(35*G124)/(276+(35*B114))</f>
        <v>423.21385787265939</v>
      </c>
      <c r="F127" s="31"/>
      <c r="G127" s="32">
        <f>E127/E128</f>
        <v>0.20790966498983196</v>
      </c>
      <c r="H127" s="32">
        <f>E127/E129</f>
        <v>8.8103910811268058</v>
      </c>
      <c r="I127" s="32">
        <f>E127/E130</f>
        <v>1.2641074125608003</v>
      </c>
      <c r="J127" s="32">
        <f>E127/E131</f>
        <v>0.18543294445039066</v>
      </c>
      <c r="K127" s="32">
        <f>E127/E132</f>
        <v>6.5463448571122766</v>
      </c>
      <c r="L127" s="32" t="e">
        <f>E127/E133</f>
        <v>#DIV/0!</v>
      </c>
      <c r="M127" s="33" t="e">
        <f>E127/E134</f>
        <v>#DIV/0!</v>
      </c>
      <c r="N127" s="18"/>
    </row>
    <row r="128" spans="1:14" ht="18">
      <c r="A128" s="18" t="s">
        <v>72</v>
      </c>
      <c r="B128" s="27">
        <v>0</v>
      </c>
      <c r="C128" s="24"/>
      <c r="D128" s="24" t="s">
        <v>166</v>
      </c>
      <c r="E128" s="34">
        <f>(0.01*G124)/(1+(B115/100))</f>
        <v>2035.5660613149325</v>
      </c>
      <c r="F128" s="35">
        <f>E128/E127</f>
        <v>4.8097812097812094</v>
      </c>
      <c r="G128" s="36"/>
      <c r="H128" s="36">
        <f>E128/E129</f>
        <v>42.376053472827671</v>
      </c>
      <c r="I128" s="36">
        <f>E128/E130</f>
        <v>6.0800800800800809</v>
      </c>
      <c r="J128" s="36">
        <f>E128/E131</f>
        <v>0.89189189189189177</v>
      </c>
      <c r="K128" s="36">
        <f>E128/E132</f>
        <v>31.486486486486488</v>
      </c>
      <c r="L128" s="36" t="e">
        <f>E128/E133</f>
        <v>#DIV/0!</v>
      </c>
      <c r="M128" s="37" t="e">
        <f>E128/E134</f>
        <v>#DIV/0!</v>
      </c>
      <c r="N128" s="18"/>
    </row>
    <row r="129" spans="1:14" ht="18">
      <c r="A129" s="18" t="s">
        <v>75</v>
      </c>
      <c r="B129" s="27">
        <v>0</v>
      </c>
      <c r="C129" s="24"/>
      <c r="D129" s="24" t="s">
        <v>224</v>
      </c>
      <c r="E129" s="34">
        <f>((((1+(B117/100))/50)/(60+B113))*G124)/(1+((((1+(B117/100))*B116)/50)/(60+B113)))</f>
        <v>48.035762995725314</v>
      </c>
      <c r="F129" s="35">
        <f>E129/E127</f>
        <v>0.11350233954337755</v>
      </c>
      <c r="G129" s="36">
        <f>E129/E128</f>
        <v>2.3598233390025786E-2</v>
      </c>
      <c r="H129" s="36"/>
      <c r="I129" s="36">
        <f>E129/E130</f>
        <v>0.14347914875977641</v>
      </c>
      <c r="J129" s="36">
        <f>E129/E131</f>
        <v>2.1047073023536506E-2</v>
      </c>
      <c r="K129" s="36">
        <f>E129/E132</f>
        <v>0.74302545674000109</v>
      </c>
      <c r="L129" s="36" t="e">
        <f>E129/E133</f>
        <v>#DIV/0!</v>
      </c>
      <c r="M129" s="37" t="e">
        <f>E129/E134</f>
        <v>#DIV/0!</v>
      </c>
      <c r="N129" s="18"/>
    </row>
    <row r="130" spans="1:14" ht="18">
      <c r="A130" s="18" t="s">
        <v>78</v>
      </c>
      <c r="B130" s="27">
        <v>0</v>
      </c>
      <c r="C130" s="24"/>
      <c r="D130" s="24" t="s">
        <v>144</v>
      </c>
      <c r="E130" s="34">
        <f>((((1+(B121/100))/5)/(60+B113))*G124)/(1+((((1+(B121/100))*B120)/5)/(60+B113)))</f>
        <v>334.79263998248558</v>
      </c>
      <c r="F130" s="35">
        <f>E130/E127</f>
        <v>0.7910720165576931</v>
      </c>
      <c r="G130" s="36">
        <f>E130/E128</f>
        <v>0.16447151794534079</v>
      </c>
      <c r="H130" s="36">
        <f>E130/E129</f>
        <v>6.9696538392088963</v>
      </c>
      <c r="I130" s="36"/>
      <c r="J130" s="36">
        <f>E130/E131</f>
        <v>0.14669081330260123</v>
      </c>
      <c r="K130" s="36">
        <f>E130/E132</f>
        <v>5.1786302271978926</v>
      </c>
      <c r="L130" s="36" t="e">
        <f>E130/E133</f>
        <v>#DIV/0!</v>
      </c>
      <c r="M130" s="37" t="e">
        <f>E130/E134</f>
        <v>#DIV/0!</v>
      </c>
      <c r="N130" s="18"/>
    </row>
    <row r="131" spans="1:14" ht="26.25">
      <c r="A131" s="18" t="s">
        <v>64</v>
      </c>
      <c r="B131" s="27">
        <v>0</v>
      </c>
      <c r="C131" s="24"/>
      <c r="D131" s="24" t="s">
        <v>54</v>
      </c>
      <c r="E131" s="34">
        <f>(G124*0.01)/(0.99-(B119/100))</f>
        <v>2282.3013414743186</v>
      </c>
      <c r="F131" s="35">
        <f>E131/E127</f>
        <v>5.3927849927849936</v>
      </c>
      <c r="G131" s="36">
        <f>E131/E128</f>
        <v>1.1212121212121213</v>
      </c>
      <c r="H131" s="36">
        <f>E131/E129</f>
        <v>47.512544802867396</v>
      </c>
      <c r="I131" s="36">
        <f>E131/E130</f>
        <v>6.817059483726152</v>
      </c>
      <c r="J131" s="36"/>
      <c r="K131" s="36">
        <f>E131/E132</f>
        <v>35.303030303030312</v>
      </c>
      <c r="L131" s="36" t="e">
        <f>E131/E133</f>
        <v>#DIV/0!</v>
      </c>
      <c r="M131" s="37" t="e">
        <f>E131/E134</f>
        <v>#DIV/0!</v>
      </c>
      <c r="N131" s="18"/>
    </row>
    <row r="132" spans="1:14" ht="18">
      <c r="A132" s="18" t="s">
        <v>36</v>
      </c>
      <c r="B132" s="27">
        <v>0</v>
      </c>
      <c r="C132" s="24"/>
      <c r="D132" s="24" t="s">
        <v>43</v>
      </c>
      <c r="E132" s="34">
        <f>((G124*B136)/100)/((1-(B135/100))-(B136/100))</f>
        <v>64.648879200560089</v>
      </c>
      <c r="F132" s="35">
        <f>E132/E127</f>
        <v>0.1527569997956264</v>
      </c>
      <c r="G132" s="36">
        <f>E132/E128</f>
        <v>3.1759656652360517E-2</v>
      </c>
      <c r="H132" s="36">
        <f>E132/E129</f>
        <v>1.3458489085790761</v>
      </c>
      <c r="I132" s="36">
        <f>E132/E130</f>
        <v>0.1931012557622</v>
      </c>
      <c r="J132" s="36">
        <f>E132/E131</f>
        <v>2.8326180257510724E-2</v>
      </c>
      <c r="K132" s="36"/>
      <c r="L132" s="36" t="e">
        <f>E132/E133</f>
        <v>#DIV/0!</v>
      </c>
      <c r="M132" s="37" t="e">
        <f>E132/E134</f>
        <v>#DIV/0!</v>
      </c>
      <c r="N132" s="18"/>
    </row>
    <row r="133" spans="1:14" ht="18">
      <c r="A133" s="19" t="s">
        <v>105</v>
      </c>
      <c r="B133" s="39">
        <v>0</v>
      </c>
      <c r="C133" s="24"/>
      <c r="D133" s="24" t="s">
        <v>88</v>
      </c>
      <c r="E133" s="34">
        <f>((((((((0.01*(1+M113))*((276+(35*B114))+((B132+B133)/2)))*(1+(B115/100)))*(1+((((1+(B117/100))*B116)/50)/(60+B113))))*(1+((((1+(B121/100))*B120)/5)/(60+B113))))/(1-(B118/100)))/(1-(B119/100)))-(0.01*G113))/(1-(B135/100))</f>
        <v>0</v>
      </c>
      <c r="F133" s="35">
        <f>E133/E127</f>
        <v>0</v>
      </c>
      <c r="G133" s="36">
        <f>E133/E128</f>
        <v>0</v>
      </c>
      <c r="H133" s="36">
        <f>E133/E129</f>
        <v>0</v>
      </c>
      <c r="I133" s="36">
        <f>E133/E130</f>
        <v>0</v>
      </c>
      <c r="J133" s="36">
        <f>E133/E131</f>
        <v>0</v>
      </c>
      <c r="K133" s="36">
        <f>E133/E132</f>
        <v>0</v>
      </c>
      <c r="L133" s="36"/>
      <c r="M133" s="37" t="e">
        <f>E133/E134</f>
        <v>#DIV/0!</v>
      </c>
      <c r="N133" s="18"/>
    </row>
    <row r="134" spans="1:14" ht="18">
      <c r="A134" s="22"/>
      <c r="B134" s="7"/>
      <c r="C134" s="21"/>
      <c r="D134" s="40" t="s">
        <v>204</v>
      </c>
      <c r="E134" s="50">
        <f>((((((B131/100)/(1-(B135/100)))*(1+(B115/100)))*(1+((((1+(B117/100))*B116)/50)/(60+B113))))*(1+((((1+(B121/100))*B120)/5)/(60+B113))))/(1-(B118/100)))/(1-(B119/100))</f>
        <v>0</v>
      </c>
      <c r="F134" s="42">
        <f>E134/E127</f>
        <v>0</v>
      </c>
      <c r="G134" s="43">
        <f>E134/E128</f>
        <v>0</v>
      </c>
      <c r="H134" s="43">
        <f>E134/E129</f>
        <v>0</v>
      </c>
      <c r="I134" s="43">
        <f>E134/E130</f>
        <v>0</v>
      </c>
      <c r="J134" s="43">
        <f>E134/E131</f>
        <v>0</v>
      </c>
      <c r="K134" s="43">
        <f>E134/E132</f>
        <v>0</v>
      </c>
      <c r="L134" s="43" t="e">
        <f>E134/E133</f>
        <v>#DIV/0!</v>
      </c>
      <c r="M134" s="44"/>
      <c r="N134" s="18"/>
    </row>
    <row r="135" spans="1:14">
      <c r="A135" s="18" t="s">
        <v>128</v>
      </c>
      <c r="B135" s="5">
        <f>100*(1-((((((((1-(B123/100))*(1-(B124/100)))*(1-(B125/100)))*(1-(B126/100)))*(1-(B127/100)))*(1-(B128/100)))*(1-(B129/100)))*(1-(B130/100))))</f>
        <v>12.6</v>
      </c>
      <c r="D135" s="7"/>
      <c r="E135" s="7"/>
      <c r="F135" s="7"/>
      <c r="G135" s="7"/>
      <c r="H135" s="7"/>
      <c r="I135" s="7"/>
      <c r="J135" s="7"/>
      <c r="K135" s="7"/>
      <c r="L135" s="7"/>
      <c r="M135" s="17"/>
      <c r="N135" s="18"/>
    </row>
    <row r="136" spans="1:14">
      <c r="A136" s="18" t="s">
        <v>65</v>
      </c>
      <c r="B136" s="5">
        <f>IF((B122&lt;101),0.1,IF((B122&lt;501),0.025,IF((B122&lt;1001),0.02,0.01)))</f>
        <v>2.5000000000000001E-2</v>
      </c>
      <c r="M136" s="21"/>
      <c r="N136" s="18"/>
    </row>
    <row r="137" spans="1:14">
      <c r="A137" s="18"/>
      <c r="M137" s="21"/>
      <c r="N137" s="18"/>
    </row>
    <row r="138" spans="1:14">
      <c r="A138" s="18"/>
      <c r="M138" s="21"/>
      <c r="N138" s="18"/>
    </row>
    <row r="139" spans="1:14">
      <c r="A139" s="19"/>
      <c r="B139" s="20"/>
      <c r="C139" s="20"/>
      <c r="D139" s="20"/>
      <c r="E139" s="20"/>
      <c r="F139" s="20"/>
      <c r="G139" s="20"/>
      <c r="H139" s="20"/>
      <c r="I139" s="20"/>
      <c r="J139" s="20"/>
      <c r="K139" s="20"/>
      <c r="L139" s="20"/>
      <c r="M139" s="28"/>
      <c r="N139" s="18"/>
    </row>
    <row r="140" spans="1:14">
      <c r="A140" s="16" t="s">
        <v>67</v>
      </c>
      <c r="B140" s="141" t="s">
        <v>234</v>
      </c>
      <c r="C140" s="141"/>
      <c r="D140" s="141"/>
      <c r="E140" s="141"/>
      <c r="F140" s="141"/>
      <c r="G140" s="141"/>
      <c r="H140" s="7"/>
      <c r="I140" s="7"/>
      <c r="J140" s="7"/>
      <c r="K140" s="17"/>
      <c r="L140" s="142" t="s">
        <v>18</v>
      </c>
      <c r="M140" s="143"/>
      <c r="N140" s="18"/>
    </row>
    <row r="141" spans="1:14">
      <c r="A141" s="19"/>
      <c r="B141" s="20"/>
      <c r="D141" s="20"/>
      <c r="E141" s="20"/>
      <c r="F141" s="20"/>
      <c r="G141" s="20"/>
      <c r="H141" s="20"/>
      <c r="I141" s="20"/>
      <c r="J141" s="20"/>
      <c r="K141" s="21"/>
      <c r="L141" s="47" t="s">
        <v>203</v>
      </c>
      <c r="M141" s="21"/>
      <c r="N141" s="18"/>
    </row>
    <row r="142" spans="1:14" ht="26.25">
      <c r="A142" s="22" t="s">
        <v>141</v>
      </c>
      <c r="B142" s="23">
        <v>3</v>
      </c>
      <c r="C142" s="24"/>
      <c r="D142" s="144" t="s">
        <v>227</v>
      </c>
      <c r="E142" s="141"/>
      <c r="F142" s="141"/>
      <c r="G142" s="48">
        <f>((((((1+M142)*(276+(35*B143)))*(1+(B144/100)))*(1+((((1+(B146/100))*B145)/50)/(60+B142))))*(1+((((1+(B150/100))*B149)/5)/(60+B142))))/(1-(B147/100)))/(1-(B148/100))</f>
        <v>362248.92472069338</v>
      </c>
      <c r="H142" s="7"/>
      <c r="I142" s="7"/>
      <c r="J142" s="17"/>
      <c r="K142" s="24"/>
      <c r="L142" s="18" t="s">
        <v>231</v>
      </c>
      <c r="M142" s="49">
        <v>1</v>
      </c>
      <c r="N142" s="18"/>
    </row>
    <row r="143" spans="1:14">
      <c r="A143" s="18" t="s">
        <v>45</v>
      </c>
      <c r="B143" s="27">
        <v>994</v>
      </c>
      <c r="C143" s="24"/>
      <c r="D143" s="18"/>
      <c r="J143" s="21"/>
      <c r="K143" s="24"/>
      <c r="L143" s="18"/>
      <c r="M143" s="21"/>
      <c r="N143" s="18"/>
    </row>
    <row r="144" spans="1:14" ht="25.5">
      <c r="A144" s="18" t="s">
        <v>104</v>
      </c>
      <c r="B144" s="27">
        <v>21</v>
      </c>
      <c r="C144" s="24"/>
      <c r="D144" s="18"/>
      <c r="E144" s="2" t="s">
        <v>111</v>
      </c>
      <c r="F144" s="20" t="s">
        <v>219</v>
      </c>
      <c r="G144" s="20" t="s">
        <v>6</v>
      </c>
      <c r="H144" s="20" t="s">
        <v>220</v>
      </c>
      <c r="I144" s="20" t="s">
        <v>143</v>
      </c>
      <c r="J144" s="28" t="s">
        <v>39</v>
      </c>
      <c r="K144" s="24"/>
      <c r="L144" s="18"/>
      <c r="M144" s="21"/>
      <c r="N144" s="18"/>
    </row>
    <row r="145" spans="1:14" ht="18">
      <c r="A145" s="18" t="s">
        <v>226</v>
      </c>
      <c r="B145" s="27">
        <v>2251</v>
      </c>
      <c r="C145" s="24"/>
      <c r="D145" s="24" t="s">
        <v>81</v>
      </c>
      <c r="E145" s="30">
        <f>(35*G142)/(276+(35*B143))</f>
        <v>361.5671124514991</v>
      </c>
      <c r="F145" s="31"/>
      <c r="G145" s="32">
        <f>E145/E146</f>
        <v>0.12077225802771914</v>
      </c>
      <c r="H145" s="32">
        <f>E145/E147</f>
        <v>4.2751962658433955</v>
      </c>
      <c r="I145" s="32">
        <f>E145/E148</f>
        <v>0.63679917869160996</v>
      </c>
      <c r="J145" s="33">
        <f>E145/E149</f>
        <v>9.8813665659042954E-2</v>
      </c>
      <c r="K145" s="24"/>
      <c r="L145" s="18"/>
      <c r="M145" s="21"/>
      <c r="N145" s="18"/>
    </row>
    <row r="146" spans="1:14" ht="18">
      <c r="A146" s="18" t="s">
        <v>252</v>
      </c>
      <c r="B146" s="27">
        <v>55</v>
      </c>
      <c r="C146" s="24"/>
      <c r="D146" s="24" t="s">
        <v>166</v>
      </c>
      <c r="E146" s="34">
        <f>(0.01*G142)/(1+(B144/100))</f>
        <v>2993.7927662867223</v>
      </c>
      <c r="F146" s="35">
        <f>E146/E145</f>
        <v>8.2800472255017716</v>
      </c>
      <c r="G146" s="36"/>
      <c r="H146" s="36">
        <f>E146/E147</f>
        <v>35.39882697947214</v>
      </c>
      <c r="I146" s="36">
        <f>E146/E148</f>
        <v>5.2727272727272725</v>
      </c>
      <c r="J146" s="37">
        <f>E146/E149</f>
        <v>0.81818181818181834</v>
      </c>
      <c r="K146" s="24"/>
      <c r="L146" s="18"/>
      <c r="M146" s="21"/>
      <c r="N146" s="18"/>
    </row>
    <row r="147" spans="1:14" ht="39">
      <c r="A147" s="18" t="s">
        <v>150</v>
      </c>
      <c r="B147" s="27">
        <v>0</v>
      </c>
      <c r="C147" s="24"/>
      <c r="D147" s="24" t="s">
        <v>224</v>
      </c>
      <c r="E147" s="34">
        <f>((((1+(B146/100))/50)/(60+B142))*G142)/(1+((((1+(B146/100))*B145)/50)/(60+B142)))</f>
        <v>84.573219559586803</v>
      </c>
      <c r="F147" s="35">
        <f>E147/E145</f>
        <v>0.23390738993423116</v>
      </c>
      <c r="G147" s="36">
        <f>E147/E146</f>
        <v>2.8249523651727278E-2</v>
      </c>
      <c r="H147" s="36"/>
      <c r="I147" s="36">
        <f>E147/E148</f>
        <v>0.14895203380001656</v>
      </c>
      <c r="J147" s="37">
        <f>E147/E149</f>
        <v>2.3113246624140504E-2</v>
      </c>
      <c r="K147" s="24"/>
      <c r="L147" s="18"/>
      <c r="M147" s="21"/>
      <c r="N147" s="18"/>
    </row>
    <row r="148" spans="1:14" ht="39">
      <c r="A148" s="18" t="s">
        <v>102</v>
      </c>
      <c r="B148" s="27">
        <v>0</v>
      </c>
      <c r="C148" s="24"/>
      <c r="D148" s="24" t="s">
        <v>144</v>
      </c>
      <c r="E148" s="34">
        <f>((((1+(B150/100))/5)/(60+B142))*G142)/(1+((((1+(B150/100))*B149)/5)/(60+B142)))</f>
        <v>567.78828326127496</v>
      </c>
      <c r="F148" s="35">
        <f>E148/E145</f>
        <v>1.570353784146888</v>
      </c>
      <c r="G148" s="36">
        <f>E148/E146</f>
        <v>0.18965517241379312</v>
      </c>
      <c r="H148" s="36">
        <f>E148/E147</f>
        <v>6.7135706340378203</v>
      </c>
      <c r="I148" s="36"/>
      <c r="J148" s="37">
        <f>E148/E149</f>
        <v>0.15517241379310348</v>
      </c>
      <c r="K148" s="24"/>
      <c r="L148" s="18"/>
      <c r="M148" s="21"/>
      <c r="N148" s="18"/>
    </row>
    <row r="149" spans="1:14" ht="26.25">
      <c r="A149" s="18" t="s">
        <v>117</v>
      </c>
      <c r="B149" s="27">
        <v>323</v>
      </c>
      <c r="C149" s="24"/>
      <c r="D149" s="40" t="s">
        <v>54</v>
      </c>
      <c r="E149" s="50">
        <f>(G142*0.01)/(0.99-(B148/100))</f>
        <v>3659.0800476837712</v>
      </c>
      <c r="F149" s="42">
        <f>E149/E145</f>
        <v>10.120057720057719</v>
      </c>
      <c r="G149" s="43">
        <f>E149/E146</f>
        <v>1.2222222222222221</v>
      </c>
      <c r="H149" s="43">
        <f>E149/E147</f>
        <v>43.26523297491039</v>
      </c>
      <c r="I149" s="43">
        <f>E149/E148</f>
        <v>6.4444444444444429</v>
      </c>
      <c r="J149" s="44"/>
      <c r="K149" s="24"/>
      <c r="L149" s="18"/>
      <c r="M149" s="21"/>
      <c r="N149" s="18"/>
    </row>
    <row r="150" spans="1:14">
      <c r="A150" s="18" t="s">
        <v>118</v>
      </c>
      <c r="B150" s="27">
        <v>0</v>
      </c>
      <c r="C150" s="18"/>
      <c r="D150" s="7"/>
      <c r="E150" s="7"/>
      <c r="F150" s="7"/>
      <c r="G150" s="7"/>
      <c r="H150" s="7"/>
      <c r="I150" s="7"/>
      <c r="J150" s="7"/>
      <c r="K150" s="21"/>
      <c r="L150" s="18"/>
      <c r="M150" s="21"/>
      <c r="N150" s="18"/>
    </row>
    <row r="151" spans="1:14">
      <c r="A151" s="18" t="s">
        <v>169</v>
      </c>
      <c r="B151" s="27">
        <v>228</v>
      </c>
      <c r="C151" s="18"/>
      <c r="K151" s="21"/>
      <c r="L151" s="19"/>
      <c r="M151" s="28"/>
      <c r="N151" s="18"/>
    </row>
    <row r="152" spans="1:14">
      <c r="A152" s="18" t="s">
        <v>80</v>
      </c>
      <c r="B152" s="27">
        <v>13.2</v>
      </c>
      <c r="C152" s="18"/>
      <c r="D152" s="20"/>
      <c r="E152" s="20"/>
      <c r="F152" s="20"/>
      <c r="G152" s="20"/>
      <c r="H152" s="20"/>
      <c r="I152" s="20"/>
      <c r="J152" s="20"/>
      <c r="K152" s="20"/>
      <c r="L152" s="14"/>
      <c r="M152" s="15"/>
      <c r="N152" s="18"/>
    </row>
    <row r="153" spans="1:14" ht="39">
      <c r="A153" s="18" t="s">
        <v>91</v>
      </c>
      <c r="B153" s="27">
        <v>0</v>
      </c>
      <c r="C153" s="24"/>
      <c r="D153" s="16" t="s">
        <v>114</v>
      </c>
      <c r="E153" s="7"/>
      <c r="F153" s="7"/>
      <c r="G153" s="48">
        <f>(((((((((B160/100)*(1+M142))*((276+(35*B143))+((B161+B162)/2)))*(1+(B144/100)))*(1+((((1+(B146/100))*B145)/50)/(60+B142))))*(1+((((1+(B150/100))*B149)/5)/(60+B142))))/(1-(B147/100)))/(1-(B148/100)))+((1-(B160/100))*G142))/(1-(B164/100))</f>
        <v>417337.47087637486</v>
      </c>
      <c r="H153" s="7"/>
      <c r="I153" s="7"/>
      <c r="J153" s="7"/>
      <c r="K153" s="7"/>
      <c r="L153" s="7"/>
      <c r="M153" s="17"/>
      <c r="N153" s="18"/>
    </row>
    <row r="154" spans="1:14">
      <c r="A154" s="18" t="s">
        <v>90</v>
      </c>
      <c r="B154" s="27">
        <v>0</v>
      </c>
      <c r="C154" s="24"/>
      <c r="D154" s="18"/>
      <c r="M154" s="21"/>
      <c r="N154" s="18"/>
    </row>
    <row r="155" spans="1:14" ht="25.5">
      <c r="A155" s="18" t="s">
        <v>94</v>
      </c>
      <c r="B155" s="27">
        <v>0</v>
      </c>
      <c r="C155" s="24"/>
      <c r="D155" s="18"/>
      <c r="E155" s="2" t="s">
        <v>111</v>
      </c>
      <c r="F155" s="20" t="s">
        <v>219</v>
      </c>
      <c r="G155" s="20" t="s">
        <v>6</v>
      </c>
      <c r="H155" s="20" t="s">
        <v>220</v>
      </c>
      <c r="I155" s="20" t="s">
        <v>143</v>
      </c>
      <c r="J155" s="20" t="s">
        <v>39</v>
      </c>
      <c r="K155" s="20" t="s">
        <v>31</v>
      </c>
      <c r="L155" s="20" t="s">
        <v>217</v>
      </c>
      <c r="M155" s="28" t="s">
        <v>122</v>
      </c>
      <c r="N155" s="18"/>
    </row>
    <row r="156" spans="1:14" ht="18">
      <c r="A156" s="18" t="s">
        <v>93</v>
      </c>
      <c r="B156" s="27">
        <v>0</v>
      </c>
      <c r="C156" s="24"/>
      <c r="D156" s="24" t="s">
        <v>81</v>
      </c>
      <c r="E156" s="30">
        <f>(35*G153)/(276+(35*B143))</f>
        <v>416.55197287039067</v>
      </c>
      <c r="F156" s="31"/>
      <c r="G156" s="32">
        <f>E156/E157</f>
        <v>0.12077225802771914</v>
      </c>
      <c r="H156" s="32">
        <f>E156/E158</f>
        <v>4.2751962658433955</v>
      </c>
      <c r="I156" s="32">
        <f>E156/E159</f>
        <v>0.63679917869161007</v>
      </c>
      <c r="J156" s="32">
        <f>E156/E160</f>
        <v>9.8813665659042954E-2</v>
      </c>
      <c r="K156" s="32">
        <f>E156/E161</f>
        <v>3.4644670050761421</v>
      </c>
      <c r="L156" s="32">
        <f>E156/E162</f>
        <v>795094488723631.5</v>
      </c>
      <c r="M156" s="33" t="e">
        <f>E156/E163</f>
        <v>#DIV/0!</v>
      </c>
      <c r="N156" s="18"/>
    </row>
    <row r="157" spans="1:14" ht="18">
      <c r="A157" s="18" t="s">
        <v>72</v>
      </c>
      <c r="B157" s="27">
        <v>0</v>
      </c>
      <c r="C157" s="24"/>
      <c r="D157" s="24" t="s">
        <v>166</v>
      </c>
      <c r="E157" s="34">
        <f>(0.01*G153)/(1+(B144/100))</f>
        <v>3449.0700072427676</v>
      </c>
      <c r="F157" s="35">
        <f>E157/E156</f>
        <v>8.2800472255017716</v>
      </c>
      <c r="G157" s="36"/>
      <c r="H157" s="36">
        <f>E157/E158</f>
        <v>35.39882697947214</v>
      </c>
      <c r="I157" s="36">
        <f>E157/E159</f>
        <v>5.2727272727272725</v>
      </c>
      <c r="J157" s="36">
        <f>E157/E160</f>
        <v>0.81818181818181834</v>
      </c>
      <c r="K157" s="36">
        <f>E157/E161</f>
        <v>28.685950413223143</v>
      </c>
      <c r="L157" s="36">
        <f>E157/E162</f>
        <v>6583419915367855</v>
      </c>
      <c r="M157" s="37" t="e">
        <f>E157/E163</f>
        <v>#DIV/0!</v>
      </c>
      <c r="N157" s="18"/>
    </row>
    <row r="158" spans="1:14" ht="18">
      <c r="A158" s="18" t="s">
        <v>75</v>
      </c>
      <c r="B158" s="27">
        <v>0</v>
      </c>
      <c r="C158" s="24"/>
      <c r="D158" s="24" t="s">
        <v>224</v>
      </c>
      <c r="E158" s="34">
        <f>((((1+(B146/100))/50)/(60+B142))*G153)/(1+((((1+(B146/100))*B145)/50)/(60+B142)))</f>
        <v>97.434584746067742</v>
      </c>
      <c r="F158" s="35">
        <f>E158/E156</f>
        <v>0.23390738993423113</v>
      </c>
      <c r="G158" s="36">
        <f>E158/E157</f>
        <v>2.8249523651727278E-2</v>
      </c>
      <c r="H158" s="36"/>
      <c r="I158" s="36">
        <f>E158/E159</f>
        <v>0.14895203380001656</v>
      </c>
      <c r="J158" s="36">
        <f>E158/E160</f>
        <v>2.3113246624140504E-2</v>
      </c>
      <c r="K158" s="36">
        <f>E158/E161</f>
        <v>0.81036443467062313</v>
      </c>
      <c r="L158" s="36">
        <f>E158/E162</f>
        <v>185978476608436.62</v>
      </c>
      <c r="M158" s="37" t="e">
        <f>E158/E163</f>
        <v>#DIV/0!</v>
      </c>
      <c r="N158" s="18"/>
    </row>
    <row r="159" spans="1:14" ht="18">
      <c r="A159" s="18" t="s">
        <v>78</v>
      </c>
      <c r="B159" s="27">
        <v>0</v>
      </c>
      <c r="C159" s="24"/>
      <c r="D159" s="24" t="s">
        <v>144</v>
      </c>
      <c r="E159" s="34">
        <f>((((1+(B150/100))/5)/(60+B142))*G153)/(1+((((1+(B150/100))*B149)/5)/(60+B142)))</f>
        <v>654.13396689086971</v>
      </c>
      <c r="F159" s="35">
        <f>E159/E156</f>
        <v>1.5703537841468878</v>
      </c>
      <c r="G159" s="36">
        <f>E159/E157</f>
        <v>0.18965517241379309</v>
      </c>
      <c r="H159" s="36">
        <f>E159/E158</f>
        <v>6.7135706340378203</v>
      </c>
      <c r="I159" s="36"/>
      <c r="J159" s="36">
        <f>E159/E160</f>
        <v>0.15517241379310348</v>
      </c>
      <c r="K159" s="36">
        <f>E159/E161</f>
        <v>5.4404388714733543</v>
      </c>
      <c r="L159" s="36">
        <f>E159/E162</f>
        <v>1248579639121489.7</v>
      </c>
      <c r="M159" s="37" t="e">
        <f>E159/E163</f>
        <v>#DIV/0!</v>
      </c>
      <c r="N159" s="18"/>
    </row>
    <row r="160" spans="1:14" ht="26.25">
      <c r="A160" s="18" t="s">
        <v>64</v>
      </c>
      <c r="B160" s="27">
        <v>0</v>
      </c>
      <c r="C160" s="24"/>
      <c r="D160" s="24" t="s">
        <v>54</v>
      </c>
      <c r="E160" s="34">
        <f>(G153*0.01)/(0.99-(B148/100))</f>
        <v>4215.5300088522708</v>
      </c>
      <c r="F160" s="35">
        <f>E160/E156</f>
        <v>10.120057720057719</v>
      </c>
      <c r="G160" s="36">
        <f>E160/E157</f>
        <v>1.2222222222222221</v>
      </c>
      <c r="H160" s="36">
        <f>E160/E158</f>
        <v>43.26523297491039</v>
      </c>
      <c r="I160" s="36">
        <f>E160/E159</f>
        <v>6.4444444444444438</v>
      </c>
      <c r="J160" s="36"/>
      <c r="K160" s="36">
        <f>E160/E161</f>
        <v>35.060606060606055</v>
      </c>
      <c r="L160" s="36">
        <f>E160/E162</f>
        <v>8046402118782933</v>
      </c>
      <c r="M160" s="37" t="e">
        <f>E160/E163</f>
        <v>#DIV/0!</v>
      </c>
      <c r="N160" s="18"/>
    </row>
    <row r="161" spans="1:14" ht="18">
      <c r="A161" s="18" t="s">
        <v>36</v>
      </c>
      <c r="B161" s="27">
        <v>0</v>
      </c>
      <c r="C161" s="24"/>
      <c r="D161" s="24" t="s">
        <v>43</v>
      </c>
      <c r="E161" s="34">
        <f>((G153*B165)/100)/((1-(B164/100))-(B165/100))</f>
        <v>120.23551451350471</v>
      </c>
      <c r="F161" s="35">
        <f>E161/E156</f>
        <v>0.28864468864468867</v>
      </c>
      <c r="G161" s="36">
        <f>E161/E157</f>
        <v>3.4860270815326992E-2</v>
      </c>
      <c r="H161" s="36">
        <f>E161/E158</f>
        <v>1.2340126950493024</v>
      </c>
      <c r="I161" s="36">
        <f>E161/E159</f>
        <v>0.18380870066263325</v>
      </c>
      <c r="J161" s="36">
        <f>E161/E160</f>
        <v>2.8522039757994815E-2</v>
      </c>
      <c r="K161" s="36"/>
      <c r="L161" s="36">
        <f>E161/E162</f>
        <v>229499801140740.53</v>
      </c>
      <c r="M161" s="37" t="e">
        <f>E161/E163</f>
        <v>#DIV/0!</v>
      </c>
      <c r="N161" s="18"/>
    </row>
    <row r="162" spans="1:14" ht="18">
      <c r="A162" s="19" t="s">
        <v>105</v>
      </c>
      <c r="B162" s="39">
        <v>0</v>
      </c>
      <c r="C162" s="24"/>
      <c r="D162" s="24" t="s">
        <v>88</v>
      </c>
      <c r="E162" s="34">
        <f>((((((((0.01*(1+M142))*((276+(35*B143))+((B161+B162)/2)))*(1+(B144/100)))*(1+((((1+(B146/100))*B145)/50)/(60+B142))))*(1+((((1+(B150/100))*B149)/5)/(60+B142))))/(1-(B147/100)))/(1-(B148/100)))-(0.01*G142))/(1-(B164/100))</f>
        <v>5.2390247797979743E-13</v>
      </c>
      <c r="F162" s="35">
        <f>E162/E156</f>
        <v>1.2577121514265608E-15</v>
      </c>
      <c r="G162" s="36">
        <f>E162/E157</f>
        <v>1.5189673647668636E-16</v>
      </c>
      <c r="H162" s="36">
        <f>E162/E158</f>
        <v>5.3769662932846955E-15</v>
      </c>
      <c r="I162" s="36">
        <f>E162/E159</f>
        <v>8.0091006505889174E-16</v>
      </c>
      <c r="J162" s="36">
        <f>E162/E160</f>
        <v>1.2427914802637979E-16</v>
      </c>
      <c r="K162" s="36">
        <f>E162/E161</f>
        <v>4.3573022505006478E-15</v>
      </c>
      <c r="L162" s="36"/>
      <c r="M162" s="37" t="e">
        <f>E162/E163</f>
        <v>#DIV/0!</v>
      </c>
      <c r="N162" s="18"/>
    </row>
    <row r="163" spans="1:14" ht="18">
      <c r="A163" s="22"/>
      <c r="B163" s="7"/>
      <c r="C163" s="21"/>
      <c r="D163" s="40" t="s">
        <v>204</v>
      </c>
      <c r="E163" s="50">
        <f>((((((B160/100)/(1-(B164/100)))*(1+(B144/100)))*(1+((((1+(B146/100))*B145)/50)/(60+B142))))*(1+((((1+(B150/100))*B149)/5)/(60+B142))))/(1-(B147/100)))/(1-(B148/100))</f>
        <v>0</v>
      </c>
      <c r="F163" s="42">
        <f>E163/E156</f>
        <v>0</v>
      </c>
      <c r="G163" s="43">
        <f>E163/E157</f>
        <v>0</v>
      </c>
      <c r="H163" s="43">
        <f>E163/E158</f>
        <v>0</v>
      </c>
      <c r="I163" s="43">
        <f>E163/E159</f>
        <v>0</v>
      </c>
      <c r="J163" s="43">
        <f>E163/E160</f>
        <v>0</v>
      </c>
      <c r="K163" s="43">
        <f>E163/E161</f>
        <v>0</v>
      </c>
      <c r="L163" s="43">
        <f>E163/E162</f>
        <v>0</v>
      </c>
      <c r="M163" s="44"/>
      <c r="N163" s="18"/>
    </row>
    <row r="164" spans="1:14">
      <c r="A164" s="18" t="s">
        <v>128</v>
      </c>
      <c r="B164" s="5">
        <f>100*(1-((((((((1-(B152/100))*(1-(B153/100)))*(1-(B154/100)))*(1-(B155/100)))*(1-(B156/100)))*(1-(B157/100)))*(1-(B158/100)))*(1-(B159/100))))</f>
        <v>13.200000000000001</v>
      </c>
      <c r="D164" s="7"/>
      <c r="E164" s="7"/>
      <c r="F164" s="7"/>
      <c r="G164" s="7"/>
      <c r="H164" s="7"/>
      <c r="I164" s="7"/>
      <c r="J164" s="7"/>
      <c r="K164" s="7"/>
      <c r="L164" s="7"/>
      <c r="M164" s="17"/>
      <c r="N164" s="18"/>
    </row>
    <row r="165" spans="1:14">
      <c r="A165" s="18" t="s">
        <v>65</v>
      </c>
      <c r="B165" s="5">
        <f>IF((B151&lt;101),0.1,IF((B151&lt;501),0.025,IF((B151&lt;1001),0.02,0.01)))</f>
        <v>2.5000000000000001E-2</v>
      </c>
      <c r="M165" s="21"/>
      <c r="N165" s="18"/>
    </row>
    <row r="166" spans="1:14">
      <c r="A166" s="19"/>
      <c r="B166" s="20"/>
      <c r="C166" s="20"/>
      <c r="D166" s="20"/>
      <c r="E166" s="20"/>
      <c r="F166" s="20"/>
      <c r="G166" s="20"/>
      <c r="H166" s="20"/>
      <c r="I166" s="20"/>
      <c r="J166" s="20"/>
      <c r="K166" s="20"/>
      <c r="L166" s="20"/>
      <c r="M166" s="28"/>
      <c r="N166" s="18"/>
    </row>
    <row r="167" spans="1:14">
      <c r="A167" s="16" t="s">
        <v>89</v>
      </c>
      <c r="B167" s="141" t="s">
        <v>234</v>
      </c>
      <c r="C167" s="141"/>
      <c r="D167" s="141"/>
      <c r="E167" s="141"/>
      <c r="F167" s="141"/>
      <c r="G167" s="141"/>
      <c r="H167" s="7"/>
      <c r="I167" s="7"/>
      <c r="J167" s="7"/>
      <c r="K167" s="17"/>
      <c r="L167" s="142" t="s">
        <v>18</v>
      </c>
      <c r="M167" s="143"/>
      <c r="N167" s="18"/>
    </row>
    <row r="168" spans="1:14">
      <c r="A168" s="19"/>
      <c r="B168" s="20"/>
      <c r="D168" s="20"/>
      <c r="E168" s="20"/>
      <c r="F168" s="20"/>
      <c r="G168" s="20"/>
      <c r="H168" s="20"/>
      <c r="I168" s="20"/>
      <c r="J168" s="20"/>
      <c r="K168" s="21"/>
      <c r="L168" s="47" t="s">
        <v>203</v>
      </c>
      <c r="M168" s="21"/>
      <c r="N168" s="18"/>
    </row>
    <row r="169" spans="1:14" ht="26.25">
      <c r="A169" s="22" t="s">
        <v>141</v>
      </c>
      <c r="B169" s="23">
        <v>2</v>
      </c>
      <c r="C169" s="24"/>
      <c r="D169" s="144" t="s">
        <v>227</v>
      </c>
      <c r="E169" s="141"/>
      <c r="F169" s="141"/>
      <c r="G169" s="48">
        <f>((((((1+M169)*(276+(35*B170)))*(1+(B171/100)))*(1+((((1+(B173/100))*B172)/50)/(60+B169))))*(1+((((1+(B177/100))*B176)/5)/(60+B169))))/(1-(B174/100)))/(1-(B175/100))</f>
        <v>323395.14495483873</v>
      </c>
      <c r="H169" s="7"/>
      <c r="I169" s="7"/>
      <c r="J169" s="17"/>
      <c r="K169" s="24"/>
      <c r="L169" s="18" t="s">
        <v>231</v>
      </c>
      <c r="M169" s="49">
        <v>1</v>
      </c>
      <c r="N169" s="18"/>
    </row>
    <row r="170" spans="1:14">
      <c r="A170" s="18" t="s">
        <v>45</v>
      </c>
      <c r="B170" s="27">
        <v>774</v>
      </c>
      <c r="C170" s="24"/>
      <c r="D170" s="18"/>
      <c r="J170" s="21"/>
      <c r="K170" s="24"/>
      <c r="L170" s="18"/>
      <c r="M170" s="21"/>
      <c r="N170" s="18"/>
    </row>
    <row r="171" spans="1:14" ht="25.5">
      <c r="A171" s="18" t="s">
        <v>104</v>
      </c>
      <c r="B171" s="27">
        <v>21</v>
      </c>
      <c r="C171" s="24"/>
      <c r="D171" s="18"/>
      <c r="E171" s="2" t="s">
        <v>111</v>
      </c>
      <c r="F171" s="20" t="s">
        <v>219</v>
      </c>
      <c r="G171" s="20" t="s">
        <v>6</v>
      </c>
      <c r="H171" s="20" t="s">
        <v>220</v>
      </c>
      <c r="I171" s="20" t="s">
        <v>143</v>
      </c>
      <c r="J171" s="28" t="s">
        <v>39</v>
      </c>
      <c r="K171" s="24"/>
      <c r="L171" s="18"/>
      <c r="M171" s="21"/>
      <c r="N171" s="18"/>
    </row>
    <row r="172" spans="1:14" ht="18">
      <c r="A172" s="18" t="s">
        <v>226</v>
      </c>
      <c r="B172" s="27">
        <v>3220</v>
      </c>
      <c r="C172" s="24"/>
      <c r="D172" s="24" t="s">
        <v>81</v>
      </c>
      <c r="E172" s="30">
        <f>(35*G169)/(276+(35*B170))</f>
        <v>413.6092258064516</v>
      </c>
      <c r="F172" s="31"/>
      <c r="G172" s="32">
        <f>E172/E173</f>
        <v>0.15475407439888914</v>
      </c>
      <c r="H172" s="32">
        <f>E172/E174</f>
        <v>6.6761675071256299</v>
      </c>
      <c r="I172" s="32">
        <f>E172/E175</f>
        <v>0.82421821075625068</v>
      </c>
      <c r="J172" s="33">
        <f>E172/E176</f>
        <v>0.12661696996272745</v>
      </c>
      <c r="K172" s="24"/>
      <c r="L172" s="18"/>
      <c r="M172" s="21"/>
      <c r="N172" s="18"/>
    </row>
    <row r="173" spans="1:14" ht="18">
      <c r="A173" s="18" t="s">
        <v>252</v>
      </c>
      <c r="B173" s="27">
        <v>55</v>
      </c>
      <c r="C173" s="24"/>
      <c r="D173" s="24" t="s">
        <v>166</v>
      </c>
      <c r="E173" s="34">
        <f>(0.01*G169)/(1+(B171/100))</f>
        <v>2672.6871483870968</v>
      </c>
      <c r="F173" s="35">
        <f>E173/E172</f>
        <v>6.4618654073199533</v>
      </c>
      <c r="G173" s="36"/>
      <c r="H173" s="36">
        <f>E173/E174</f>
        <v>43.140495867768593</v>
      </c>
      <c r="I173" s="36">
        <f>E173/E175</f>
        <v>5.3259871441689626</v>
      </c>
      <c r="J173" s="37">
        <f>E173/E176</f>
        <v>0.81818181818181812</v>
      </c>
      <c r="K173" s="24"/>
      <c r="L173" s="18"/>
      <c r="M173" s="21"/>
      <c r="N173" s="18"/>
    </row>
    <row r="174" spans="1:14" ht="39">
      <c r="A174" s="18" t="s">
        <v>150</v>
      </c>
      <c r="B174" s="27">
        <v>0</v>
      </c>
      <c r="C174" s="24"/>
      <c r="D174" s="24" t="s">
        <v>224</v>
      </c>
      <c r="E174" s="34">
        <f>((((1+(B173/100))/50)/(60+B169))*G169)/(1+((((1+(B173/100))*B172)/50)/(60+B169)))</f>
        <v>61.953092903225809</v>
      </c>
      <c r="F174" s="35">
        <f>E174/E172</f>
        <v>0.1497865353037767</v>
      </c>
      <c r="G174" s="36">
        <f>E174/E173</f>
        <v>2.3180076628352489E-2</v>
      </c>
      <c r="H174" s="36"/>
      <c r="I174" s="36">
        <f>E174/E175</f>
        <v>0.1234567901234568</v>
      </c>
      <c r="J174" s="37">
        <f>E174/E176</f>
        <v>1.896551724137931E-2</v>
      </c>
      <c r="K174" s="24"/>
      <c r="L174" s="18"/>
      <c r="M174" s="21"/>
      <c r="N174" s="18"/>
    </row>
    <row r="175" spans="1:14" ht="39">
      <c r="A175" s="18" t="s">
        <v>102</v>
      </c>
      <c r="B175" s="27">
        <v>0</v>
      </c>
      <c r="C175" s="24"/>
      <c r="D175" s="24" t="s">
        <v>144</v>
      </c>
      <c r="E175" s="34">
        <f>((((1+(B177/100))/5)/(60+B169))*G169)/(1+((((1+(B177/100))*B176)/5)/(60+B169)))</f>
        <v>501.82005251612901</v>
      </c>
      <c r="F175" s="35">
        <f>E175/E172</f>
        <v>1.2132709359605911</v>
      </c>
      <c r="G175" s="36">
        <f>E175/E173</f>
        <v>0.18775862068965515</v>
      </c>
      <c r="H175" s="36">
        <f>E175/E174</f>
        <v>8.1</v>
      </c>
      <c r="I175" s="36"/>
      <c r="J175" s="37">
        <f>E175/E176</f>
        <v>0.15362068965517239</v>
      </c>
      <c r="K175" s="24"/>
      <c r="L175" s="18"/>
      <c r="M175" s="21"/>
      <c r="N175" s="18"/>
    </row>
    <row r="176" spans="1:14" ht="26.25">
      <c r="A176" s="18" t="s">
        <v>117</v>
      </c>
      <c r="B176" s="27">
        <v>300</v>
      </c>
      <c r="C176" s="24"/>
      <c r="D176" s="40" t="s">
        <v>54</v>
      </c>
      <c r="E176" s="50">
        <f>(G169*0.01)/(0.99-(B175/100))</f>
        <v>3266.617625806452</v>
      </c>
      <c r="F176" s="42">
        <f>E176/E172</f>
        <v>7.8978354978354988</v>
      </c>
      <c r="G176" s="43">
        <f>E176/E173</f>
        <v>1.2222222222222223</v>
      </c>
      <c r="H176" s="43">
        <f>E176/E174</f>
        <v>52.727272727272734</v>
      </c>
      <c r="I176" s="43">
        <f>E176/E175</f>
        <v>6.5095398428731777</v>
      </c>
      <c r="J176" s="44"/>
      <c r="K176" s="24"/>
      <c r="L176" s="18"/>
      <c r="M176" s="21"/>
      <c r="N176" s="18"/>
    </row>
    <row r="177" spans="1:14">
      <c r="A177" s="18" t="s">
        <v>118</v>
      </c>
      <c r="B177" s="27">
        <v>-10</v>
      </c>
      <c r="C177" s="18"/>
      <c r="D177" s="7"/>
      <c r="E177" s="7"/>
      <c r="F177" s="7"/>
      <c r="G177" s="7"/>
      <c r="H177" s="7"/>
      <c r="I177" s="7"/>
      <c r="J177" s="7"/>
      <c r="K177" s="21"/>
      <c r="L177" s="18"/>
      <c r="M177" s="21"/>
      <c r="N177" s="18"/>
    </row>
    <row r="178" spans="1:14">
      <c r="A178" s="18" t="s">
        <v>169</v>
      </c>
      <c r="B178" s="27">
        <v>175</v>
      </c>
      <c r="C178" s="18"/>
      <c r="K178" s="21"/>
      <c r="L178" s="19"/>
      <c r="M178" s="28"/>
      <c r="N178" s="18"/>
    </row>
    <row r="179" spans="1:14">
      <c r="A179" s="18" t="s">
        <v>80</v>
      </c>
      <c r="B179" s="27">
        <v>11.9</v>
      </c>
      <c r="C179" s="18"/>
      <c r="D179" s="20"/>
      <c r="E179" s="20"/>
      <c r="F179" s="20"/>
      <c r="G179" s="20"/>
      <c r="H179" s="20"/>
      <c r="I179" s="20"/>
      <c r="J179" s="20"/>
      <c r="K179" s="20"/>
      <c r="L179" s="14"/>
      <c r="M179" s="15"/>
      <c r="N179" s="18"/>
    </row>
    <row r="180" spans="1:14" ht="39">
      <c r="A180" s="18" t="s">
        <v>91</v>
      </c>
      <c r="B180" s="27">
        <v>0</v>
      </c>
      <c r="C180" s="24"/>
      <c r="D180" s="16" t="s">
        <v>114</v>
      </c>
      <c r="E180" s="7"/>
      <c r="F180" s="7"/>
      <c r="G180" s="48">
        <f>(((((((((B187/100)*(1+M169))*((276+(35*B170))+((B188+B189)/2)))*(1+(B171/100)))*(1+((((1+(B173/100))*B172)/50)/(60+B169))))*(1+((((1+(B177/100))*B176)/5)/(60+B169))))/(1-(B174/100)))/(1-(B175/100)))+((1-(B187/100))*G169))/(1-(B191/100))</f>
        <v>367077.3495514628</v>
      </c>
      <c r="H180" s="7"/>
      <c r="I180" s="7"/>
      <c r="J180" s="7"/>
      <c r="K180" s="7"/>
      <c r="L180" s="7"/>
      <c r="M180" s="17"/>
      <c r="N180" s="18"/>
    </row>
    <row r="181" spans="1:14">
      <c r="A181" s="18" t="s">
        <v>90</v>
      </c>
      <c r="B181" s="27">
        <v>0</v>
      </c>
      <c r="C181" s="24"/>
      <c r="D181" s="18"/>
      <c r="M181" s="21"/>
      <c r="N181" s="18"/>
    </row>
    <row r="182" spans="1:14" ht="25.5">
      <c r="A182" s="18" t="s">
        <v>94</v>
      </c>
      <c r="B182" s="27">
        <v>0</v>
      </c>
      <c r="C182" s="24"/>
      <c r="D182" s="18"/>
      <c r="E182" s="2" t="s">
        <v>111</v>
      </c>
      <c r="F182" s="20" t="s">
        <v>219</v>
      </c>
      <c r="G182" s="20" t="s">
        <v>6</v>
      </c>
      <c r="H182" s="20" t="s">
        <v>220</v>
      </c>
      <c r="I182" s="20" t="s">
        <v>143</v>
      </c>
      <c r="J182" s="20" t="s">
        <v>39</v>
      </c>
      <c r="K182" s="20" t="s">
        <v>31</v>
      </c>
      <c r="L182" s="20" t="s">
        <v>217</v>
      </c>
      <c r="M182" s="28" t="s">
        <v>122</v>
      </c>
      <c r="N182" s="18"/>
    </row>
    <row r="183" spans="1:14" ht="18">
      <c r="A183" s="18" t="s">
        <v>93</v>
      </c>
      <c r="B183" s="27">
        <v>0</v>
      </c>
      <c r="C183" s="24"/>
      <c r="D183" s="24" t="s">
        <v>81</v>
      </c>
      <c r="E183" s="30">
        <f>(35*G180)/(276+(35*B170))</f>
        <v>469.47698729449678</v>
      </c>
      <c r="F183" s="31"/>
      <c r="G183" s="32">
        <f>E183/E184</f>
        <v>0.15475407439888914</v>
      </c>
      <c r="H183" s="32">
        <f>E183/E185</f>
        <v>6.6761675071256299</v>
      </c>
      <c r="I183" s="32">
        <f>E183/E186</f>
        <v>0.8242182107562509</v>
      </c>
      <c r="J183" s="32">
        <f>E183/E187</f>
        <v>0.12661696996272748</v>
      </c>
      <c r="K183" s="32">
        <f>E183/E188</f>
        <v>4.5057735876635245</v>
      </c>
      <c r="L183" s="32" t="e">
        <f>E183/E189</f>
        <v>#DIV/0!</v>
      </c>
      <c r="M183" s="33" t="e">
        <f>E183/E190</f>
        <v>#DIV/0!</v>
      </c>
      <c r="N183" s="18"/>
    </row>
    <row r="184" spans="1:14" ht="18">
      <c r="A184" s="18" t="s">
        <v>72</v>
      </c>
      <c r="B184" s="27">
        <v>0</v>
      </c>
      <c r="C184" s="24"/>
      <c r="D184" s="24" t="s">
        <v>166</v>
      </c>
      <c r="E184" s="34">
        <f>(0.01*G180)/(1+(B171/100))</f>
        <v>3033.6971037310977</v>
      </c>
      <c r="F184" s="35">
        <f>E184/E183</f>
        <v>6.4618654073199524</v>
      </c>
      <c r="G184" s="36"/>
      <c r="H184" s="36">
        <f>E184/E185</f>
        <v>43.140495867768593</v>
      </c>
      <c r="I184" s="36">
        <f>E184/E186</f>
        <v>5.3259871441689635</v>
      </c>
      <c r="J184" s="36">
        <f>E184/E187</f>
        <v>0.81818181818181834</v>
      </c>
      <c r="K184" s="36">
        <f>E184/E188</f>
        <v>29.115702479338843</v>
      </c>
      <c r="L184" s="36" t="e">
        <f>E184/E189</f>
        <v>#DIV/0!</v>
      </c>
      <c r="M184" s="37" t="e">
        <f>E184/E190</f>
        <v>#DIV/0!</v>
      </c>
      <c r="N184" s="18"/>
    </row>
    <row r="185" spans="1:14" ht="18">
      <c r="A185" s="18" t="s">
        <v>75</v>
      </c>
      <c r="B185" s="27">
        <v>0</v>
      </c>
      <c r="C185" s="24"/>
      <c r="D185" s="24" t="s">
        <v>224</v>
      </c>
      <c r="E185" s="34">
        <f>((((1+(B173/100))/50)/(60+B169))*G180)/(1+((((1+(B173/100))*B172)/50)/(60+B169)))</f>
        <v>70.321331331697863</v>
      </c>
      <c r="F185" s="35">
        <f>E185/E183</f>
        <v>0.1497865353037767</v>
      </c>
      <c r="G185" s="36">
        <f>E185/E184</f>
        <v>2.3180076628352492E-2</v>
      </c>
      <c r="H185" s="36"/>
      <c r="I185" s="36">
        <f>E185/E186</f>
        <v>0.12345679012345682</v>
      </c>
      <c r="J185" s="36">
        <f>E185/E187</f>
        <v>1.8965517241379314E-2</v>
      </c>
      <c r="K185" s="36">
        <f>E185/E188</f>
        <v>0.67490421455938698</v>
      </c>
      <c r="L185" s="36" t="e">
        <f>E185/E189</f>
        <v>#DIV/0!</v>
      </c>
      <c r="M185" s="37" t="e">
        <f>E185/E190</f>
        <v>#DIV/0!</v>
      </c>
      <c r="N185" s="18"/>
    </row>
    <row r="186" spans="1:14" ht="18">
      <c r="A186" s="18" t="s">
        <v>78</v>
      </c>
      <c r="B186" s="27">
        <v>0</v>
      </c>
      <c r="C186" s="24"/>
      <c r="D186" s="24" t="s">
        <v>144</v>
      </c>
      <c r="E186" s="34">
        <f>((((1+(B177/100))/5)/(60+B169))*G180)/(1+((((1+(B177/100))*B176)/5)/(60+B169)))</f>
        <v>569.60278378675252</v>
      </c>
      <c r="F186" s="35">
        <f>E186/E183</f>
        <v>1.2132709359605909</v>
      </c>
      <c r="G186" s="36">
        <f>E186/E184</f>
        <v>0.18775862068965513</v>
      </c>
      <c r="H186" s="36">
        <f>E186/E185</f>
        <v>8.0999999999999979</v>
      </c>
      <c r="I186" s="36"/>
      <c r="J186" s="36">
        <f>E186/E187</f>
        <v>0.15362068965517239</v>
      </c>
      <c r="K186" s="36">
        <f>E186/E188</f>
        <v>5.466724137931033</v>
      </c>
      <c r="L186" s="36" t="e">
        <f>E186/E189</f>
        <v>#DIV/0!</v>
      </c>
      <c r="M186" s="37" t="e">
        <f>E186/E190</f>
        <v>#DIV/0!</v>
      </c>
      <c r="N186" s="18"/>
    </row>
    <row r="187" spans="1:14" ht="26.25">
      <c r="A187" s="18" t="s">
        <v>64</v>
      </c>
      <c r="B187" s="27">
        <v>0</v>
      </c>
      <c r="C187" s="24"/>
      <c r="D187" s="24" t="s">
        <v>54</v>
      </c>
      <c r="E187" s="34">
        <f>(G180*0.01)/(0.99-(B175/100))</f>
        <v>3707.8520156713412</v>
      </c>
      <c r="F187" s="35">
        <f>E187/E183</f>
        <v>7.897835497835497</v>
      </c>
      <c r="G187" s="36">
        <f>E187/E184</f>
        <v>1.2222222222222221</v>
      </c>
      <c r="H187" s="36">
        <f>E187/E185</f>
        <v>52.72727272727272</v>
      </c>
      <c r="I187" s="36">
        <f>E187/E186</f>
        <v>6.5095398428731768</v>
      </c>
      <c r="J187" s="36"/>
      <c r="K187" s="36">
        <f>E187/E188</f>
        <v>35.585858585858581</v>
      </c>
      <c r="L187" s="36" t="e">
        <f>E187/E189</f>
        <v>#DIV/0!</v>
      </c>
      <c r="M187" s="37" t="e">
        <f>E187/E190</f>
        <v>#DIV/0!</v>
      </c>
      <c r="N187" s="18"/>
    </row>
    <row r="188" spans="1:14" ht="18">
      <c r="A188" s="18" t="s">
        <v>36</v>
      </c>
      <c r="B188" s="27">
        <v>0</v>
      </c>
      <c r="C188" s="24"/>
      <c r="D188" s="24" t="s">
        <v>43</v>
      </c>
      <c r="E188" s="34">
        <f>((G180*B192)/100)/((1-(B191/100))-(B192/100))</f>
        <v>104.1945357795807</v>
      </c>
      <c r="F188" s="35">
        <f>E188/E183</f>
        <v>0.22193747212197396</v>
      </c>
      <c r="G188" s="36">
        <f>E188/E184</f>
        <v>3.4345728072665338E-2</v>
      </c>
      <c r="H188" s="36">
        <f>E188/E185</f>
        <v>1.481691739994323</v>
      </c>
      <c r="I188" s="36">
        <f>E188/E186</f>
        <v>0.18292490617213869</v>
      </c>
      <c r="J188" s="36">
        <f>E188/E187</f>
        <v>2.8101050241271647E-2</v>
      </c>
      <c r="K188" s="36"/>
      <c r="L188" s="36" t="e">
        <f>E188/E189</f>
        <v>#DIV/0!</v>
      </c>
      <c r="M188" s="37" t="e">
        <f>E188/E190</f>
        <v>#DIV/0!</v>
      </c>
      <c r="N188" s="18"/>
    </row>
    <row r="189" spans="1:14" ht="18">
      <c r="A189" s="19" t="s">
        <v>105</v>
      </c>
      <c r="B189" s="39">
        <v>0</v>
      </c>
      <c r="C189" s="24"/>
      <c r="D189" s="24" t="s">
        <v>88</v>
      </c>
      <c r="E189" s="34">
        <f>((((((((0.01*(1+M169))*((276+(35*B170))+((B188+B189)/2)))*(1+(B171/100)))*(1+((((1+(B173/100))*B172)/50)/(60+B169))))*(1+((((1+(B177/100))*B176)/5)/(60+B169))))/(1-(B174/100)))/(1-(B175/100)))-(0.01*G169))/(1-(B191/100))</f>
        <v>0</v>
      </c>
      <c r="F189" s="35">
        <f>E189/E183</f>
        <v>0</v>
      </c>
      <c r="G189" s="36">
        <f>E189/E184</f>
        <v>0</v>
      </c>
      <c r="H189" s="36">
        <f>E189/E185</f>
        <v>0</v>
      </c>
      <c r="I189" s="36">
        <f>E189/E186</f>
        <v>0</v>
      </c>
      <c r="J189" s="36">
        <f>E189/E187</f>
        <v>0</v>
      </c>
      <c r="K189" s="36">
        <f>E189/E188</f>
        <v>0</v>
      </c>
      <c r="L189" s="36"/>
      <c r="M189" s="37" t="e">
        <f>E189/E190</f>
        <v>#DIV/0!</v>
      </c>
      <c r="N189" s="18"/>
    </row>
    <row r="190" spans="1:14" ht="18">
      <c r="A190" s="22"/>
      <c r="B190" s="7"/>
      <c r="C190" s="21"/>
      <c r="D190" s="40" t="s">
        <v>204</v>
      </c>
      <c r="E190" s="50">
        <f>((((((B187/100)/(1-(B191/100)))*(1+(B171/100)))*(1+((((1+(B173/100))*B172)/50)/(60+B169))))*(1+((((1+(B177/100))*B176)/5)/(60+B169))))/(1-(B174/100)))/(1-(B175/100))</f>
        <v>0</v>
      </c>
      <c r="F190" s="42">
        <f>E190/E183</f>
        <v>0</v>
      </c>
      <c r="G190" s="43">
        <f>E190/E184</f>
        <v>0</v>
      </c>
      <c r="H190" s="43">
        <f>E190/E185</f>
        <v>0</v>
      </c>
      <c r="I190" s="43">
        <f>E190/E186</f>
        <v>0</v>
      </c>
      <c r="J190" s="43">
        <f>E190/E187</f>
        <v>0</v>
      </c>
      <c r="K190" s="43">
        <f>E190/E188</f>
        <v>0</v>
      </c>
      <c r="L190" s="43" t="e">
        <f>E190/E189</f>
        <v>#DIV/0!</v>
      </c>
      <c r="M190" s="44"/>
      <c r="N190" s="18"/>
    </row>
    <row r="191" spans="1:14">
      <c r="A191" s="18" t="s">
        <v>128</v>
      </c>
      <c r="B191" s="5">
        <f>100*(1-((((((((1-(B179/100))*(1-(B180/100)))*(1-(B181/100)))*(1-(B182/100)))*(1-(B183/100)))*(1-(B184/100)))*(1-(B185/100)))*(1-(B186/100))))</f>
        <v>11.899999999999999</v>
      </c>
      <c r="D191" s="7"/>
      <c r="E191" s="7"/>
      <c r="F191" s="7"/>
      <c r="G191" s="7"/>
      <c r="H191" s="7"/>
      <c r="I191" s="7"/>
      <c r="J191" s="7"/>
      <c r="K191" s="7"/>
      <c r="L191" s="7"/>
      <c r="M191" s="17"/>
      <c r="N191" s="18"/>
    </row>
    <row r="192" spans="1:14">
      <c r="A192" s="19" t="s">
        <v>65</v>
      </c>
      <c r="B192" s="20">
        <f>IF((B178&lt;101),0.1,IF((B178&lt;501),0.025,IF((B178&lt;1001),0.02,0.01)))</f>
        <v>2.5000000000000001E-2</v>
      </c>
      <c r="C192" s="20"/>
      <c r="D192" s="20"/>
      <c r="E192" s="20"/>
      <c r="F192" s="20"/>
      <c r="G192" s="20"/>
      <c r="H192" s="20"/>
      <c r="I192" s="20"/>
      <c r="J192" s="20"/>
      <c r="K192" s="20"/>
      <c r="L192" s="20"/>
      <c r="M192" s="28"/>
      <c r="N192" s="18"/>
    </row>
    <row r="193" spans="1:14">
      <c r="A193" s="13"/>
      <c r="B193" s="14"/>
      <c r="C193" s="14"/>
      <c r="D193" s="14"/>
      <c r="E193" s="14"/>
      <c r="F193" s="14"/>
      <c r="G193" s="14"/>
      <c r="H193" s="14"/>
      <c r="I193" s="14"/>
      <c r="J193" s="14"/>
      <c r="K193" s="14"/>
      <c r="L193" s="14"/>
      <c r="M193" s="15"/>
      <c r="N193" s="18"/>
    </row>
    <row r="194" spans="1:14">
      <c r="A194" s="16" t="s">
        <v>180</v>
      </c>
      <c r="B194" s="141" t="s">
        <v>234</v>
      </c>
      <c r="C194" s="141"/>
      <c r="D194" s="141"/>
      <c r="E194" s="141"/>
      <c r="F194" s="141"/>
      <c r="G194" s="141"/>
      <c r="H194" s="7"/>
      <c r="I194" s="7"/>
      <c r="J194" s="7"/>
      <c r="K194" s="17"/>
      <c r="L194" s="142" t="s">
        <v>18</v>
      </c>
      <c r="M194" s="143"/>
      <c r="N194" s="18"/>
    </row>
    <row r="195" spans="1:14">
      <c r="A195" s="19"/>
      <c r="B195" s="20"/>
      <c r="D195" s="20"/>
      <c r="E195" s="20"/>
      <c r="F195" s="20"/>
      <c r="G195" s="20"/>
      <c r="H195" s="20"/>
      <c r="I195" s="20"/>
      <c r="J195" s="20"/>
      <c r="K195" s="21"/>
      <c r="L195" s="47" t="s">
        <v>203</v>
      </c>
      <c r="M195" s="21"/>
      <c r="N195" s="18"/>
    </row>
    <row r="196" spans="1:14" ht="26.25">
      <c r="A196" s="22" t="s">
        <v>141</v>
      </c>
      <c r="B196" s="23">
        <v>3</v>
      </c>
      <c r="C196" s="24"/>
      <c r="D196" s="144" t="s">
        <v>227</v>
      </c>
      <c r="E196" s="141"/>
      <c r="F196" s="141"/>
      <c r="G196" s="48">
        <f>((((((1+M196)*(276+(35*B197)))*(1+(B198/100)))*(1+((((1+(B200/100))*B199)/50)/(60+B196))))*(1+((((1+(B204/100))*B203)/5)/(60+B196))))/(1-(B201/100)))/(1-(B202/100))</f>
        <v>103825.34398113376</v>
      </c>
      <c r="H196" s="7"/>
      <c r="I196" s="7"/>
      <c r="J196" s="17"/>
      <c r="K196" s="24"/>
      <c r="L196" s="18" t="s">
        <v>231</v>
      </c>
      <c r="M196" s="49">
        <v>0</v>
      </c>
      <c r="N196" s="18"/>
    </row>
    <row r="197" spans="1:14">
      <c r="A197" s="18" t="s">
        <v>45</v>
      </c>
      <c r="B197" s="27">
        <v>852</v>
      </c>
      <c r="C197" s="24"/>
      <c r="D197" s="18"/>
      <c r="J197" s="21"/>
      <c r="K197" s="24"/>
      <c r="L197" s="18"/>
      <c r="M197" s="21"/>
      <c r="N197" s="18"/>
    </row>
    <row r="198" spans="1:14" ht="25.5">
      <c r="A198" s="18" t="s">
        <v>104</v>
      </c>
      <c r="B198" s="27">
        <v>21</v>
      </c>
      <c r="C198" s="24"/>
      <c r="D198" s="18"/>
      <c r="E198" s="2" t="s">
        <v>111</v>
      </c>
      <c r="F198" s="20" t="s">
        <v>219</v>
      </c>
      <c r="G198" s="20" t="s">
        <v>6</v>
      </c>
      <c r="H198" s="20" t="s">
        <v>220</v>
      </c>
      <c r="I198" s="20" t="s">
        <v>143</v>
      </c>
      <c r="J198" s="28" t="s">
        <v>39</v>
      </c>
      <c r="K198" s="24"/>
      <c r="L198" s="18"/>
      <c r="M198" s="21"/>
      <c r="N198" s="18"/>
    </row>
    <row r="199" spans="1:14" ht="18">
      <c r="A199" s="18" t="s">
        <v>226</v>
      </c>
      <c r="B199" s="27">
        <v>2659</v>
      </c>
      <c r="C199" s="24"/>
      <c r="D199" s="24" t="s">
        <v>81</v>
      </c>
      <c r="E199" s="30">
        <f>(35*G196)/(276+(35*B197))</f>
        <v>120.74318977072308</v>
      </c>
      <c r="F199" s="31"/>
      <c r="G199" s="32">
        <f>E199/E200</f>
        <v>0.14071637426900585</v>
      </c>
      <c r="H199" s="32">
        <f>E199/E201</f>
        <v>6.7555489101541735</v>
      </c>
      <c r="I199" s="32">
        <f>E199/E202</f>
        <v>0.56635433280170122</v>
      </c>
      <c r="J199" s="33">
        <f>E199/E203</f>
        <v>0.11513157894736843</v>
      </c>
      <c r="K199" s="24"/>
      <c r="L199" s="18"/>
      <c r="M199" s="21"/>
      <c r="N199" s="18"/>
    </row>
    <row r="200" spans="1:14" ht="18">
      <c r="A200" s="18" t="s">
        <v>252</v>
      </c>
      <c r="B200" s="27">
        <v>0</v>
      </c>
      <c r="C200" s="24"/>
      <c r="D200" s="24" t="s">
        <v>166</v>
      </c>
      <c r="E200" s="34">
        <f>(0.01*G196)/(1+(B198/100))</f>
        <v>858.06069405895664</v>
      </c>
      <c r="F200" s="35">
        <f>E200/E199</f>
        <v>7.1064935064935062</v>
      </c>
      <c r="G200" s="36"/>
      <c r="H200" s="36">
        <f>E200/E201</f>
        <v>48.008264462809912</v>
      </c>
      <c r="I200" s="36">
        <f>E200/E202</f>
        <v>4.0247933884297513</v>
      </c>
      <c r="J200" s="37">
        <f>E200/E203</f>
        <v>0.81818181818181823</v>
      </c>
      <c r="K200" s="24"/>
      <c r="L200" s="18"/>
      <c r="M200" s="21"/>
      <c r="N200" s="18"/>
    </row>
    <row r="201" spans="1:14" ht="39">
      <c r="A201" s="18" t="s">
        <v>150</v>
      </c>
      <c r="B201" s="27">
        <v>0</v>
      </c>
      <c r="C201" s="24"/>
      <c r="D201" s="24" t="s">
        <v>224</v>
      </c>
      <c r="E201" s="34">
        <f>((((1+(B200/100))/50)/(60+B196))*G196)/(1+((((1+(B200/100))*B199)/50)/(60+B196)))</f>
        <v>17.873187120181402</v>
      </c>
      <c r="F201" s="35">
        <f>E201/E199</f>
        <v>0.14802646140225759</v>
      </c>
      <c r="G201" s="36">
        <f>E201/E200</f>
        <v>2.082974694439663E-2</v>
      </c>
      <c r="H201" s="36"/>
      <c r="I201" s="36">
        <f>E201/E202</f>
        <v>8.3835427784472366E-2</v>
      </c>
      <c r="J201" s="37">
        <f>E201/E203</f>
        <v>1.7042520227233605E-2</v>
      </c>
      <c r="K201" s="24"/>
      <c r="L201" s="18"/>
      <c r="M201" s="21"/>
      <c r="N201" s="18"/>
    </row>
    <row r="202" spans="1:14" ht="39">
      <c r="A202" s="18" t="s">
        <v>102</v>
      </c>
      <c r="B202" s="27">
        <v>0</v>
      </c>
      <c r="C202" s="24"/>
      <c r="D202" s="24" t="s">
        <v>144</v>
      </c>
      <c r="E202" s="34">
        <f>((((1+(B204/100))/5)/(60+B196))*G196)/(1+((((1+(B204/100))*B203)/5)/(60+B196)))</f>
        <v>213.19372480725619</v>
      </c>
      <c r="F202" s="35">
        <f>E202/E199</f>
        <v>1.7656790847755941</v>
      </c>
      <c r="G202" s="36">
        <f>E202/E200</f>
        <v>0.24845995893223821</v>
      </c>
      <c r="H202" s="36">
        <f>E202/E201</f>
        <v>11.928131416837783</v>
      </c>
      <c r="I202" s="36"/>
      <c r="J202" s="37">
        <f>E202/E203</f>
        <v>0.20328542094455854</v>
      </c>
      <c r="K202" s="24"/>
      <c r="L202" s="18"/>
      <c r="M202" s="21"/>
      <c r="N202" s="18"/>
    </row>
    <row r="203" spans="1:14" ht="26.25">
      <c r="A203" s="18" t="s">
        <v>117</v>
      </c>
      <c r="B203" s="27">
        <v>172</v>
      </c>
      <c r="C203" s="24"/>
      <c r="D203" s="40" t="s">
        <v>54</v>
      </c>
      <c r="E203" s="50">
        <f>(G196*0.01)/(0.99-(B202/100))</f>
        <v>1048.7408482942803</v>
      </c>
      <c r="F203" s="42">
        <f>E203/E199</f>
        <v>8.6857142857142851</v>
      </c>
      <c r="G203" s="43">
        <f>E203/E200</f>
        <v>1.2222222222222223</v>
      </c>
      <c r="H203" s="43">
        <f>E203/E201</f>
        <v>58.676767676767668</v>
      </c>
      <c r="I203" s="43">
        <f>E203/E202</f>
        <v>4.9191919191919187</v>
      </c>
      <c r="J203" s="44"/>
      <c r="K203" s="24"/>
      <c r="L203" s="18"/>
      <c r="M203" s="21"/>
      <c r="N203" s="18"/>
    </row>
    <row r="204" spans="1:14">
      <c r="A204" s="18" t="s">
        <v>118</v>
      </c>
      <c r="B204" s="27">
        <v>0</v>
      </c>
      <c r="C204" s="18"/>
      <c r="D204" s="7"/>
      <c r="E204" s="7"/>
      <c r="F204" s="7"/>
      <c r="G204" s="7"/>
      <c r="H204" s="7"/>
      <c r="I204" s="7"/>
      <c r="J204" s="7"/>
      <c r="K204" s="21"/>
      <c r="L204" s="18"/>
      <c r="M204" s="21"/>
      <c r="N204" s="18"/>
    </row>
    <row r="205" spans="1:14">
      <c r="A205" s="18" t="s">
        <v>169</v>
      </c>
      <c r="B205" s="27">
        <v>1242</v>
      </c>
      <c r="C205" s="18"/>
      <c r="K205" s="21"/>
      <c r="L205" s="19"/>
      <c r="M205" s="28"/>
      <c r="N205" s="18"/>
    </row>
    <row r="206" spans="1:14">
      <c r="A206" s="18" t="s">
        <v>80</v>
      </c>
      <c r="B206" s="27">
        <v>32.4</v>
      </c>
      <c r="C206" s="18"/>
      <c r="D206" s="20"/>
      <c r="E206" s="20"/>
      <c r="F206" s="20"/>
      <c r="G206" s="20"/>
      <c r="H206" s="20"/>
      <c r="I206" s="20"/>
      <c r="J206" s="20"/>
      <c r="K206" s="20"/>
      <c r="L206" s="14"/>
      <c r="M206" s="15"/>
      <c r="N206" s="18"/>
    </row>
    <row r="207" spans="1:14" ht="39">
      <c r="A207" s="18" t="s">
        <v>91</v>
      </c>
      <c r="B207" s="27">
        <v>0</v>
      </c>
      <c r="C207" s="24"/>
      <c r="D207" s="16" t="s">
        <v>114</v>
      </c>
      <c r="E207" s="7"/>
      <c r="F207" s="7"/>
      <c r="G207" s="48">
        <f>(((((((((B214/100)*(1+M196))*((276+(35*B197))+((B215+B216)/2)))*(1+(B198/100)))*(1+((((1+(B200/100))*B199)/50)/(60+B196))))*(1+((((1+(B204/100))*B203)/5)/(60+B196))))/(1-(B201/100)))/(1-(B202/100)))+((1-(B214/100))*G196))/(1-(B218/100))</f>
        <v>153587.78695433988</v>
      </c>
      <c r="H207" s="7"/>
      <c r="I207" s="7"/>
      <c r="J207" s="7"/>
      <c r="K207" s="7"/>
      <c r="L207" s="7"/>
      <c r="M207" s="17"/>
      <c r="N207" s="18"/>
    </row>
    <row r="208" spans="1:14">
      <c r="A208" s="18" t="s">
        <v>90</v>
      </c>
      <c r="B208" s="27">
        <v>0</v>
      </c>
      <c r="C208" s="24"/>
      <c r="D208" s="18"/>
      <c r="M208" s="21"/>
      <c r="N208" s="18"/>
    </row>
    <row r="209" spans="1:14" ht="25.5">
      <c r="A209" s="18" t="s">
        <v>94</v>
      </c>
      <c r="B209" s="27">
        <v>0</v>
      </c>
      <c r="C209" s="24"/>
      <c r="D209" s="18"/>
      <c r="E209" s="2" t="s">
        <v>111</v>
      </c>
      <c r="F209" s="20" t="s">
        <v>219</v>
      </c>
      <c r="G209" s="20" t="s">
        <v>6</v>
      </c>
      <c r="H209" s="20" t="s">
        <v>220</v>
      </c>
      <c r="I209" s="20" t="s">
        <v>143</v>
      </c>
      <c r="J209" s="20" t="s">
        <v>39</v>
      </c>
      <c r="K209" s="20" t="s">
        <v>31</v>
      </c>
      <c r="L209" s="20" t="s">
        <v>217</v>
      </c>
      <c r="M209" s="28" t="s">
        <v>122</v>
      </c>
      <c r="N209" s="18"/>
    </row>
    <row r="210" spans="1:14" ht="18">
      <c r="A210" s="18" t="s">
        <v>93</v>
      </c>
      <c r="B210" s="27">
        <v>0</v>
      </c>
      <c r="C210" s="24"/>
      <c r="D210" s="24" t="s">
        <v>81</v>
      </c>
      <c r="E210" s="30">
        <f>(35*G207)/(276+(35*B197))</f>
        <v>178.61418605136549</v>
      </c>
      <c r="F210" s="31"/>
      <c r="G210" s="32">
        <f>E210/E211</f>
        <v>0.14071637426900585</v>
      </c>
      <c r="H210" s="32">
        <f>E210/E212</f>
        <v>6.7555489101541726</v>
      </c>
      <c r="I210" s="32">
        <f>E210/E213</f>
        <v>0.56635433280170122</v>
      </c>
      <c r="J210" s="32">
        <f>E210/E214</f>
        <v>0.1151315789473684</v>
      </c>
      <c r="K210" s="32">
        <f>E210/E215</f>
        <v>7.8603468899521527</v>
      </c>
      <c r="L210" s="32">
        <f>E210/E216</f>
        <v>531034164510696.69</v>
      </c>
      <c r="M210" s="33" t="e">
        <f>E210/E217</f>
        <v>#DIV/0!</v>
      </c>
      <c r="N210" s="18"/>
    </row>
    <row r="211" spans="1:14" ht="18">
      <c r="A211" s="18" t="s">
        <v>72</v>
      </c>
      <c r="B211" s="27">
        <v>0</v>
      </c>
      <c r="C211" s="24"/>
      <c r="D211" s="24" t="s">
        <v>166</v>
      </c>
      <c r="E211" s="34">
        <f>(0.01*G207)/(1+(B198/100))</f>
        <v>1269.3205533416519</v>
      </c>
      <c r="F211" s="35">
        <f>E211/E210</f>
        <v>7.1064935064935062</v>
      </c>
      <c r="G211" s="36"/>
      <c r="H211" s="36">
        <f>E211/E212</f>
        <v>48.008264462809912</v>
      </c>
      <c r="I211" s="36">
        <f>E211/E213</f>
        <v>4.0247933884297522</v>
      </c>
      <c r="J211" s="36">
        <f>E211/E214</f>
        <v>0.81818181818181812</v>
      </c>
      <c r="K211" s="36">
        <f>E211/E215</f>
        <v>55.8595041322314</v>
      </c>
      <c r="L211" s="36">
        <f>E211/E216</f>
        <v>3773790841821470.5</v>
      </c>
      <c r="M211" s="37" t="e">
        <f>E211/E217</f>
        <v>#DIV/0!</v>
      </c>
      <c r="N211" s="18"/>
    </row>
    <row r="212" spans="1:14" ht="18">
      <c r="A212" s="18" t="s">
        <v>75</v>
      </c>
      <c r="B212" s="27">
        <v>0</v>
      </c>
      <c r="C212" s="24"/>
      <c r="D212" s="24" t="s">
        <v>224</v>
      </c>
      <c r="E212" s="34">
        <f>((((1+(B200/100))/50)/(60+B196))*G207)/(1+((((1+(B200/100))*B199)/50)/(60+B196)))</f>
        <v>26.43962591742811</v>
      </c>
      <c r="F212" s="35">
        <f>E212/E210</f>
        <v>0.14802646140225759</v>
      </c>
      <c r="G212" s="36">
        <f>E212/E211</f>
        <v>2.0829746944396627E-2</v>
      </c>
      <c r="H212" s="36"/>
      <c r="I212" s="36">
        <f>E212/E213</f>
        <v>8.3835427784472366E-2</v>
      </c>
      <c r="J212" s="36">
        <f>E212/E214</f>
        <v>1.7042520227233602E-2</v>
      </c>
      <c r="K212" s="36">
        <f>E212/E215</f>
        <v>1.1635393355138577</v>
      </c>
      <c r="L212" s="36">
        <f>E212/E216</f>
        <v>78607108256222.75</v>
      </c>
      <c r="M212" s="37" t="e">
        <f>E212/E217</f>
        <v>#DIV/0!</v>
      </c>
      <c r="N212" s="18"/>
    </row>
    <row r="213" spans="1:14" ht="18">
      <c r="A213" s="18" t="s">
        <v>78</v>
      </c>
      <c r="B213" s="27">
        <v>0</v>
      </c>
      <c r="C213" s="24"/>
      <c r="D213" s="24" t="s">
        <v>144</v>
      </c>
      <c r="E213" s="34">
        <f>((((1+(B204/100))/5)/(60+B196))*G207)/(1+((((1+(B204/100))*B203)/5)/(60+B196)))</f>
        <v>315.37533255511272</v>
      </c>
      <c r="F213" s="35">
        <f>E213/E210</f>
        <v>1.7656790847755941</v>
      </c>
      <c r="G213" s="36">
        <f>E213/E211</f>
        <v>0.24845995893223821</v>
      </c>
      <c r="H213" s="36">
        <f>E213/E212</f>
        <v>11.928131416837783</v>
      </c>
      <c r="I213" s="36"/>
      <c r="J213" s="36">
        <f>E213/E214</f>
        <v>0.20328542094455851</v>
      </c>
      <c r="K213" s="36">
        <f>E213/E215</f>
        <v>13.878850102669404</v>
      </c>
      <c r="L213" s="36">
        <f>E213/E216</f>
        <v>937635917577819.25</v>
      </c>
      <c r="M213" s="37" t="e">
        <f>E213/E217</f>
        <v>#DIV/0!</v>
      </c>
      <c r="N213" s="18"/>
    </row>
    <row r="214" spans="1:14" ht="26.25">
      <c r="A214" s="18" t="s">
        <v>64</v>
      </c>
      <c r="B214" s="27">
        <v>0</v>
      </c>
      <c r="C214" s="24"/>
      <c r="D214" s="24" t="s">
        <v>54</v>
      </c>
      <c r="E214" s="34">
        <f>(G207*0.01)/(0.99-(B202/100))</f>
        <v>1551.3917874175747</v>
      </c>
      <c r="F214" s="35">
        <f>E214/E210</f>
        <v>8.6857142857142868</v>
      </c>
      <c r="G214" s="36">
        <f>E214/E211</f>
        <v>1.2222222222222223</v>
      </c>
      <c r="H214" s="36">
        <f>E214/E212</f>
        <v>58.676767676767682</v>
      </c>
      <c r="I214" s="36">
        <f>E214/E213</f>
        <v>4.9191919191919196</v>
      </c>
      <c r="J214" s="36"/>
      <c r="K214" s="36">
        <f>E214/E215</f>
        <v>68.272727272727266</v>
      </c>
      <c r="L214" s="36">
        <f>E214/E216</f>
        <v>4612411028892909</v>
      </c>
      <c r="M214" s="37" t="e">
        <f>E214/E217</f>
        <v>#DIV/0!</v>
      </c>
      <c r="N214" s="18"/>
    </row>
    <row r="215" spans="1:14" ht="18">
      <c r="A215" s="18" t="s">
        <v>36</v>
      </c>
      <c r="B215" s="27">
        <v>0</v>
      </c>
      <c r="C215" s="24"/>
      <c r="D215" s="24" t="s">
        <v>43</v>
      </c>
      <c r="E215" s="34">
        <f>((G207*B219)/100)/((1-(B218/100))-(B219/100))</f>
        <v>22.72344828441188</v>
      </c>
      <c r="F215" s="35">
        <f>E215/E210</f>
        <v>0.12722084839261938</v>
      </c>
      <c r="G215" s="36">
        <f>E215/E211</f>
        <v>1.7902056517236278E-2</v>
      </c>
      <c r="H215" s="36">
        <f>E215/E212</f>
        <v>0.85944666370764911</v>
      </c>
      <c r="I215" s="36">
        <f>E215/E213</f>
        <v>7.2052078709868322E-2</v>
      </c>
      <c r="J215" s="36">
        <f>E215/E214</f>
        <v>1.4647137150466045E-2</v>
      </c>
      <c r="K215" s="36"/>
      <c r="L215" s="36">
        <f>E215/E216</f>
        <v>67558616934516.641</v>
      </c>
      <c r="M215" s="37" t="e">
        <f>E215/E217</f>
        <v>#DIV/0!</v>
      </c>
      <c r="N215" s="18"/>
    </row>
    <row r="216" spans="1:14" ht="18">
      <c r="A216" s="19" t="s">
        <v>105</v>
      </c>
      <c r="B216" s="39">
        <v>0</v>
      </c>
      <c r="C216" s="24"/>
      <c r="D216" s="24" t="s">
        <v>88</v>
      </c>
      <c r="E216" s="34">
        <f>((((((((0.01*(1+M196))*((276+(35*B197))+((B215+B216)/2)))*(1+(B198/100)))*(1+((((1+(B200/100))*B199)/50)/(60+B196))))*(1+((((1+(B204/100))*B203)/5)/(60+B196))))/(1-(B201/100)))/(1-(B202/100)))-(0.01*G196))/(1-(B218/100))</f>
        <v>3.3635159089235517E-13</v>
      </c>
      <c r="F216" s="35">
        <f>E216/E210</f>
        <v>1.883118011665814E-15</v>
      </c>
      <c r="G216" s="36">
        <f>E216/E211</f>
        <v>2.6498553892227283E-16</v>
      </c>
      <c r="H216" s="36">
        <f>E216/E212</f>
        <v>1.2721495831400683E-14</v>
      </c>
      <c r="I216" s="36">
        <f>E216/E213</f>
        <v>1.0665120450838584E-15</v>
      </c>
      <c r="J216" s="36">
        <f>E216/E214</f>
        <v>2.168063500273141E-16</v>
      </c>
      <c r="K216" s="36">
        <f>E216/E215</f>
        <v>1.4801960806410263E-14</v>
      </c>
      <c r="L216" s="36"/>
      <c r="M216" s="37" t="e">
        <f>E216/E217</f>
        <v>#DIV/0!</v>
      </c>
      <c r="N216" s="18"/>
    </row>
    <row r="217" spans="1:14" ht="18">
      <c r="A217" s="22"/>
      <c r="B217" s="7"/>
      <c r="C217" s="21"/>
      <c r="D217" s="40" t="s">
        <v>204</v>
      </c>
      <c r="E217" s="50">
        <f>((((((B214/100)/(1-(B218/100)))*(1+(B198/100)))*(1+((((1+(B200/100))*B199)/50)/(60+B196))))*(1+((((1+(B204/100))*B203)/5)/(60+B196))))/(1-(B201/100)))/(1-(B202/100))</f>
        <v>0</v>
      </c>
      <c r="F217" s="42">
        <f>E217/E210</f>
        <v>0</v>
      </c>
      <c r="G217" s="43">
        <f>E217/E211</f>
        <v>0</v>
      </c>
      <c r="H217" s="43">
        <f>E217/E212</f>
        <v>0</v>
      </c>
      <c r="I217" s="43">
        <f>E217/E213</f>
        <v>0</v>
      </c>
      <c r="J217" s="43">
        <f>E217/E214</f>
        <v>0</v>
      </c>
      <c r="K217" s="43">
        <f>E217/E215</f>
        <v>0</v>
      </c>
      <c r="L217" s="43">
        <f>E217/E216</f>
        <v>0</v>
      </c>
      <c r="M217" s="44"/>
      <c r="N217" s="18"/>
    </row>
    <row r="218" spans="1:14">
      <c r="A218" s="18" t="s">
        <v>128</v>
      </c>
      <c r="B218" s="5">
        <f>100*(1-((((((((1-(B206/100))*(1-(B207/100)))*(1-(B208/100)))*(1-(B209/100)))*(1-(B210/100)))*(1-(B211/100)))*(1-(B212/100)))*(1-(B213/100))))</f>
        <v>32.400000000000006</v>
      </c>
      <c r="D218" s="7"/>
      <c r="E218" s="7"/>
      <c r="F218" s="7"/>
      <c r="G218" s="7"/>
      <c r="H218" s="7"/>
      <c r="I218" s="7"/>
      <c r="J218" s="7"/>
      <c r="K218" s="7"/>
      <c r="L218" s="7"/>
      <c r="M218" s="17"/>
      <c r="N218" s="18"/>
    </row>
    <row r="219" spans="1:14">
      <c r="A219" s="19" t="s">
        <v>65</v>
      </c>
      <c r="B219" s="20">
        <f>IF((B205&lt;101),0.1,IF((B205&lt;501),0.025,IF((B205&lt;1001),0.02,0.01)))</f>
        <v>0.01</v>
      </c>
      <c r="C219" s="20"/>
      <c r="D219" s="20"/>
      <c r="E219" s="20"/>
      <c r="F219" s="20"/>
      <c r="G219" s="20"/>
      <c r="H219" s="20"/>
      <c r="I219" s="20"/>
      <c r="J219" s="20"/>
      <c r="K219" s="20"/>
      <c r="L219" s="20"/>
      <c r="M219" s="28"/>
      <c r="N219" s="18"/>
    </row>
    <row r="220" spans="1:14">
      <c r="A220" s="22"/>
      <c r="B220" s="7"/>
      <c r="C220" s="7"/>
      <c r="D220" s="7"/>
      <c r="E220" s="7"/>
      <c r="F220" s="7"/>
      <c r="G220" s="7"/>
      <c r="H220" s="7"/>
      <c r="I220" s="7"/>
      <c r="J220" s="7"/>
      <c r="K220" s="7"/>
      <c r="L220" s="7"/>
      <c r="M220" s="17"/>
      <c r="N220" s="18"/>
    </row>
    <row r="221" spans="1:14">
      <c r="A221" s="18"/>
      <c r="M221" s="21"/>
      <c r="N221" s="18"/>
    </row>
    <row r="222" spans="1:14">
      <c r="A222" s="18"/>
      <c r="M222" s="21"/>
      <c r="N222" s="18"/>
    </row>
    <row r="223" spans="1:14">
      <c r="A223" s="18"/>
      <c r="M223" s="21"/>
      <c r="N223" s="18"/>
    </row>
    <row r="224" spans="1:14">
      <c r="A224" s="18"/>
      <c r="M224" s="21"/>
      <c r="N224" s="18"/>
    </row>
    <row r="225" spans="1:14">
      <c r="A225" s="18"/>
      <c r="M225" s="21"/>
      <c r="N225" s="18"/>
    </row>
    <row r="226" spans="1:14">
      <c r="A226" s="18"/>
      <c r="M226" s="21"/>
      <c r="N226" s="18"/>
    </row>
    <row r="227" spans="1:14">
      <c r="A227" s="18"/>
      <c r="M227" s="21"/>
      <c r="N227" s="18"/>
    </row>
    <row r="228" spans="1:14">
      <c r="A228" s="18"/>
      <c r="M228" s="21"/>
      <c r="N228" s="18"/>
    </row>
    <row r="229" spans="1:14">
      <c r="A229" s="18"/>
      <c r="M229" s="21"/>
      <c r="N229" s="18"/>
    </row>
    <row r="230" spans="1:14">
      <c r="A230" s="18"/>
      <c r="M230" s="21"/>
      <c r="N230" s="18"/>
    </row>
    <row r="231" spans="1:14">
      <c r="A231" s="18"/>
      <c r="M231" s="21"/>
      <c r="N231" s="18"/>
    </row>
    <row r="232" spans="1:14">
      <c r="A232" s="18"/>
      <c r="M232" s="21"/>
      <c r="N232" s="18"/>
    </row>
    <row r="233" spans="1:14">
      <c r="A233" s="18"/>
      <c r="M233" s="21"/>
      <c r="N233" s="18"/>
    </row>
    <row r="234" spans="1:14">
      <c r="A234" s="18"/>
      <c r="M234" s="21"/>
      <c r="N234" s="18"/>
    </row>
    <row r="235" spans="1:14">
      <c r="A235" s="18"/>
      <c r="M235" s="21"/>
      <c r="N235" s="18"/>
    </row>
    <row r="236" spans="1:14">
      <c r="A236" s="18"/>
      <c r="M236" s="21"/>
      <c r="N236" s="18"/>
    </row>
    <row r="237" spans="1:14">
      <c r="A237" s="18"/>
      <c r="M237" s="21"/>
      <c r="N237" s="18"/>
    </row>
    <row r="238" spans="1:14">
      <c r="A238" s="18"/>
      <c r="M238" s="21"/>
      <c r="N238" s="18"/>
    </row>
    <row r="239" spans="1:14">
      <c r="A239" s="18"/>
      <c r="M239" s="21"/>
      <c r="N239" s="18"/>
    </row>
    <row r="240" spans="1:14">
      <c r="A240" s="18"/>
      <c r="M240" s="21"/>
      <c r="N240" s="18"/>
    </row>
    <row r="241" spans="1:14">
      <c r="A241" s="18"/>
      <c r="M241" s="21"/>
      <c r="N241" s="18"/>
    </row>
    <row r="242" spans="1:14">
      <c r="A242" s="18"/>
      <c r="M242" s="21"/>
      <c r="N242" s="18"/>
    </row>
    <row r="243" spans="1:14">
      <c r="A243" s="18"/>
      <c r="M243" s="21"/>
      <c r="N243" s="18"/>
    </row>
    <row r="244" spans="1:14">
      <c r="A244" s="18"/>
      <c r="M244" s="21"/>
      <c r="N244" s="18"/>
    </row>
    <row r="245" spans="1:14">
      <c r="A245" s="18"/>
      <c r="M245" s="21"/>
      <c r="N245" s="18"/>
    </row>
    <row r="246" spans="1:14">
      <c r="A246" s="18"/>
      <c r="M246" s="21"/>
      <c r="N246" s="18"/>
    </row>
    <row r="247" spans="1:14">
      <c r="A247" s="18"/>
      <c r="M247" s="21"/>
      <c r="N247" s="18"/>
    </row>
    <row r="248" spans="1:14">
      <c r="A248" s="18"/>
      <c r="M248" s="21"/>
      <c r="N248" s="18"/>
    </row>
    <row r="249" spans="1:14">
      <c r="A249" s="18"/>
      <c r="M249" s="21"/>
      <c r="N249" s="18"/>
    </row>
    <row r="250" spans="1:14">
      <c r="A250" s="18"/>
      <c r="M250" s="21"/>
      <c r="N250" s="18"/>
    </row>
    <row r="251" spans="1:14">
      <c r="A251" s="18"/>
      <c r="M251" s="21"/>
      <c r="N251" s="18"/>
    </row>
    <row r="252" spans="1:14">
      <c r="A252" s="18"/>
      <c r="M252" s="21"/>
      <c r="N252" s="18"/>
    </row>
    <row r="253" spans="1:14">
      <c r="A253" s="18"/>
      <c r="M253" s="21"/>
      <c r="N253" s="18"/>
    </row>
    <row r="254" spans="1:14">
      <c r="A254" s="18"/>
      <c r="M254" s="21"/>
      <c r="N254" s="18"/>
    </row>
    <row r="255" spans="1:14">
      <c r="A255" s="18"/>
      <c r="M255" s="21"/>
      <c r="N255" s="18"/>
    </row>
    <row r="256" spans="1:14">
      <c r="A256" s="18"/>
      <c r="M256" s="21"/>
      <c r="N256" s="18"/>
    </row>
    <row r="257" spans="1:14">
      <c r="A257" s="18"/>
      <c r="M257" s="21"/>
      <c r="N257" s="18"/>
    </row>
    <row r="258" spans="1:14">
      <c r="A258" s="18"/>
      <c r="M258" s="21"/>
      <c r="N258" s="18"/>
    </row>
    <row r="259" spans="1:14">
      <c r="A259" s="18"/>
      <c r="M259" s="21"/>
      <c r="N259" s="18"/>
    </row>
    <row r="260" spans="1:14">
      <c r="A260" s="18"/>
      <c r="M260" s="21"/>
      <c r="N260" s="18"/>
    </row>
    <row r="261" spans="1:14">
      <c r="A261" s="18"/>
      <c r="M261" s="21"/>
      <c r="N261" s="18"/>
    </row>
    <row r="262" spans="1:14">
      <c r="A262" s="18"/>
      <c r="M262" s="21"/>
      <c r="N262" s="18"/>
    </row>
    <row r="263" spans="1:14">
      <c r="A263" s="18"/>
      <c r="M263" s="21"/>
      <c r="N263" s="18"/>
    </row>
    <row r="264" spans="1:14">
      <c r="A264" s="18"/>
      <c r="M264" s="21"/>
      <c r="N264" s="18"/>
    </row>
    <row r="265" spans="1:14">
      <c r="A265" s="18"/>
      <c r="M265" s="21"/>
      <c r="N265" s="18"/>
    </row>
    <row r="266" spans="1:14">
      <c r="A266" s="18"/>
      <c r="M266" s="21"/>
      <c r="N266" s="18"/>
    </row>
    <row r="267" spans="1:14">
      <c r="A267" s="18"/>
      <c r="M267" s="21"/>
      <c r="N267" s="18"/>
    </row>
    <row r="268" spans="1:14">
      <c r="A268" s="18"/>
      <c r="M268" s="21"/>
      <c r="N268" s="18"/>
    </row>
    <row r="269" spans="1:14">
      <c r="A269" s="18"/>
      <c r="M269" s="21"/>
      <c r="N269" s="18"/>
    </row>
    <row r="270" spans="1:14">
      <c r="A270" s="18"/>
      <c r="M270" s="21"/>
      <c r="N270" s="18"/>
    </row>
    <row r="271" spans="1:14">
      <c r="A271" s="18"/>
      <c r="M271" s="21"/>
      <c r="N271" s="18"/>
    </row>
    <row r="272" spans="1:14">
      <c r="A272" s="18"/>
      <c r="M272" s="21"/>
      <c r="N272" s="18"/>
    </row>
    <row r="273" spans="1:14">
      <c r="A273" s="18"/>
      <c r="M273" s="21"/>
      <c r="N273" s="18"/>
    </row>
    <row r="274" spans="1:14">
      <c r="A274" s="18"/>
      <c r="M274" s="21"/>
      <c r="N274" s="18"/>
    </row>
    <row r="275" spans="1:14">
      <c r="A275" s="18"/>
      <c r="M275" s="21"/>
      <c r="N275" s="18"/>
    </row>
    <row r="276" spans="1:14">
      <c r="A276" s="18"/>
      <c r="M276" s="21"/>
      <c r="N276" s="18"/>
    </row>
    <row r="277" spans="1:14">
      <c r="A277" s="18"/>
      <c r="M277" s="21"/>
      <c r="N277" s="18"/>
    </row>
    <row r="278" spans="1:14">
      <c r="A278" s="18"/>
      <c r="M278" s="21"/>
      <c r="N278" s="18"/>
    </row>
    <row r="279" spans="1:14">
      <c r="A279" s="18"/>
      <c r="M279" s="21"/>
      <c r="N279" s="18"/>
    </row>
    <row r="280" spans="1:14">
      <c r="A280" s="18"/>
      <c r="M280" s="21"/>
      <c r="N280" s="18"/>
    </row>
    <row r="281" spans="1:14">
      <c r="A281" s="18"/>
      <c r="M281" s="21"/>
      <c r="N281" s="18"/>
    </row>
    <row r="282" spans="1:14">
      <c r="A282" s="18"/>
      <c r="M282" s="21"/>
      <c r="N282" s="18"/>
    </row>
    <row r="283" spans="1:14">
      <c r="A283" s="18"/>
      <c r="M283" s="21"/>
      <c r="N283" s="18"/>
    </row>
    <row r="284" spans="1:14">
      <c r="A284" s="18"/>
      <c r="M284" s="21"/>
      <c r="N284" s="18"/>
    </row>
    <row r="285" spans="1:14">
      <c r="A285" s="18"/>
      <c r="M285" s="21"/>
      <c r="N285" s="18"/>
    </row>
    <row r="286" spans="1:14">
      <c r="A286" s="18"/>
      <c r="M286" s="21"/>
      <c r="N286" s="18"/>
    </row>
    <row r="287" spans="1:14">
      <c r="A287" s="18"/>
      <c r="M287" s="21"/>
      <c r="N287" s="18"/>
    </row>
    <row r="288" spans="1:14">
      <c r="A288" s="18"/>
      <c r="M288" s="21"/>
      <c r="N288" s="18"/>
    </row>
    <row r="289" spans="1:14">
      <c r="A289" s="18"/>
      <c r="M289" s="21"/>
      <c r="N289" s="18"/>
    </row>
    <row r="290" spans="1:14">
      <c r="A290" s="18"/>
      <c r="M290" s="21"/>
      <c r="N290" s="18"/>
    </row>
    <row r="291" spans="1:14">
      <c r="A291" s="18"/>
      <c r="M291" s="21"/>
      <c r="N291" s="18"/>
    </row>
    <row r="292" spans="1:14">
      <c r="A292" s="18"/>
      <c r="M292" s="21"/>
      <c r="N292" s="18"/>
    </row>
    <row r="293" spans="1:14">
      <c r="A293" s="18"/>
      <c r="M293" s="21"/>
      <c r="N293" s="18"/>
    </row>
    <row r="294" spans="1:14">
      <c r="A294" s="18"/>
      <c r="M294" s="21"/>
      <c r="N294" s="18"/>
    </row>
    <row r="295" spans="1:14">
      <c r="A295" s="18"/>
      <c r="M295" s="21"/>
      <c r="N295" s="18"/>
    </row>
    <row r="296" spans="1:14">
      <c r="A296" s="18"/>
      <c r="M296" s="21"/>
      <c r="N296" s="18"/>
    </row>
    <row r="297" spans="1:14">
      <c r="A297" s="18"/>
      <c r="M297" s="21"/>
      <c r="N297" s="18"/>
    </row>
    <row r="298" spans="1:14">
      <c r="A298" s="18"/>
      <c r="M298" s="21"/>
      <c r="N298" s="18"/>
    </row>
    <row r="299" spans="1:14">
      <c r="A299" s="18"/>
      <c r="M299" s="21"/>
      <c r="N299" s="18"/>
    </row>
    <row r="300" spans="1:14">
      <c r="A300" s="18"/>
      <c r="M300" s="21"/>
      <c r="N300" s="18"/>
    </row>
    <row r="301" spans="1:14">
      <c r="A301" s="18"/>
      <c r="M301" s="21"/>
      <c r="N301" s="18"/>
    </row>
    <row r="302" spans="1:14">
      <c r="A302" s="18"/>
      <c r="M302" s="21"/>
      <c r="N302" s="18"/>
    </row>
    <row r="303" spans="1:14">
      <c r="A303" s="18"/>
      <c r="M303" s="21"/>
      <c r="N303" s="18"/>
    </row>
    <row r="304" spans="1:14">
      <c r="A304" s="18"/>
      <c r="M304" s="21"/>
      <c r="N304" s="18"/>
    </row>
    <row r="305" spans="1:14">
      <c r="A305" s="18"/>
      <c r="M305" s="21"/>
      <c r="N305" s="18"/>
    </row>
    <row r="306" spans="1:14">
      <c r="A306" s="18"/>
      <c r="M306" s="21"/>
      <c r="N306" s="18"/>
    </row>
    <row r="307" spans="1:14">
      <c r="A307" s="18"/>
      <c r="M307" s="21"/>
      <c r="N307" s="18"/>
    </row>
    <row r="308" spans="1:14">
      <c r="A308" s="18"/>
      <c r="M308" s="21"/>
      <c r="N308" s="18"/>
    </row>
    <row r="309" spans="1:14">
      <c r="A309" s="19"/>
      <c r="B309" s="20"/>
      <c r="C309" s="20"/>
      <c r="D309" s="20"/>
      <c r="E309" s="20"/>
      <c r="F309" s="20"/>
      <c r="G309" s="20"/>
      <c r="H309" s="20"/>
      <c r="I309" s="20"/>
      <c r="J309" s="20"/>
      <c r="K309" s="20"/>
      <c r="L309" s="20"/>
      <c r="M309" s="28"/>
      <c r="N309" s="18"/>
    </row>
  </sheetData>
  <mergeCells count="25">
    <mergeCell ref="D196:F196"/>
    <mergeCell ref="D142:F142"/>
    <mergeCell ref="B167:G167"/>
    <mergeCell ref="L167:M167"/>
    <mergeCell ref="D169:F169"/>
    <mergeCell ref="B194:G194"/>
    <mergeCell ref="L194:M194"/>
    <mergeCell ref="D86:F86"/>
    <mergeCell ref="B111:G111"/>
    <mergeCell ref="L111:M111"/>
    <mergeCell ref="D113:F113"/>
    <mergeCell ref="B140:G140"/>
    <mergeCell ref="L140:M140"/>
    <mergeCell ref="D32:F32"/>
    <mergeCell ref="B57:G57"/>
    <mergeCell ref="L57:M57"/>
    <mergeCell ref="D59:F59"/>
    <mergeCell ref="B84:G84"/>
    <mergeCell ref="L84:M84"/>
    <mergeCell ref="A1:L1"/>
    <mergeCell ref="B3:G3"/>
    <mergeCell ref="L3:M3"/>
    <mergeCell ref="D5:F5"/>
    <mergeCell ref="B30:G30"/>
    <mergeCell ref="L30:M30"/>
  </mergeCells>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dimension ref="A1:A30"/>
  <sheetViews>
    <sheetView zoomScaleNormal="100" workbookViewId="0">
      <selection activeCell="H29" sqref="H29"/>
    </sheetView>
  </sheetViews>
  <sheetFormatPr defaultColWidth="17.140625" defaultRowHeight="12.75" customHeight="1"/>
  <cols>
    <col min="1" max="1" width="212.7109375" customWidth="1"/>
    <col min="2" max="20" width="17.140625" customWidth="1"/>
  </cols>
  <sheetData>
    <row r="1" spans="1:1" ht="30">
      <c r="A1" s="51" t="s">
        <v>161</v>
      </c>
    </row>
    <row r="2" spans="1:1">
      <c r="A2" s="5" t="s">
        <v>218</v>
      </c>
    </row>
    <row r="11" spans="1:1">
      <c r="A11" s="52" t="s">
        <v>48</v>
      </c>
    </row>
    <row r="12" spans="1:1">
      <c r="A12" s="5" t="s">
        <v>221</v>
      </c>
    </row>
    <row r="14" spans="1:1">
      <c r="A14" s="5" t="s">
        <v>66</v>
      </c>
    </row>
    <row r="19" spans="1:1">
      <c r="A19" s="52" t="s">
        <v>202</v>
      </c>
    </row>
    <row r="20" spans="1:1">
      <c r="A20" s="5" t="s">
        <v>137</v>
      </c>
    </row>
    <row r="21" spans="1:1">
      <c r="A21" s="5" t="s">
        <v>7</v>
      </c>
    </row>
    <row r="22" spans="1:1">
      <c r="A22" s="5" t="s">
        <v>95</v>
      </c>
    </row>
    <row r="23" spans="1:1">
      <c r="A23" s="5" t="s">
        <v>3</v>
      </c>
    </row>
    <row r="28" spans="1:1">
      <c r="A28" s="52" t="s">
        <v>164</v>
      </c>
    </row>
    <row r="29" spans="1:1">
      <c r="A29" s="5" t="s">
        <v>16</v>
      </c>
    </row>
    <row r="30" spans="1:1">
      <c r="A30" s="5" t="s">
        <v>79</v>
      </c>
    </row>
  </sheetData>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dimension ref="A1:N63"/>
  <sheetViews>
    <sheetView zoomScaleNormal="100" workbookViewId="0">
      <selection activeCell="H29" sqref="H29"/>
    </sheetView>
  </sheetViews>
  <sheetFormatPr defaultColWidth="17.140625" defaultRowHeight="12.75" customHeight="1"/>
  <cols>
    <col min="1" max="1" width="20.5703125" customWidth="1"/>
    <col min="2" max="2" width="5.7109375" customWidth="1"/>
    <col min="3" max="3" width="10.28515625" customWidth="1"/>
    <col min="4" max="4" width="6.85546875" customWidth="1"/>
    <col min="5" max="5" width="5.85546875" customWidth="1"/>
    <col min="6" max="6" width="14.5703125" customWidth="1"/>
    <col min="7" max="7" width="8.140625" customWidth="1"/>
    <col min="8" max="8" width="6.7109375" customWidth="1"/>
    <col min="9" max="9" width="10.7109375" customWidth="1"/>
    <col min="10" max="10" width="42.28515625" customWidth="1"/>
    <col min="11" max="11" width="7.28515625" customWidth="1"/>
    <col min="12" max="20" width="17.140625" customWidth="1"/>
  </cols>
  <sheetData>
    <row r="1" spans="1:11">
      <c r="A1" s="5" t="s">
        <v>174</v>
      </c>
      <c r="B1" s="53" t="s">
        <v>232</v>
      </c>
      <c r="C1" s="53" t="s">
        <v>20</v>
      </c>
      <c r="D1" s="53" t="s">
        <v>211</v>
      </c>
      <c r="F1" s="20" t="s">
        <v>205</v>
      </c>
      <c r="G1" s="20"/>
      <c r="H1" s="20"/>
      <c r="I1" s="20"/>
    </row>
    <row r="2" spans="1:11">
      <c r="A2" s="21" t="s">
        <v>176</v>
      </c>
      <c r="B2" s="54">
        <v>74</v>
      </c>
      <c r="C2" s="55">
        <v>518.34</v>
      </c>
      <c r="D2" s="56">
        <f t="shared" ref="D2:D13" si="0">C2+B2</f>
        <v>592.34</v>
      </c>
      <c r="E2" s="24"/>
      <c r="F2" s="22" t="s">
        <v>176</v>
      </c>
      <c r="G2" s="57">
        <v>159</v>
      </c>
      <c r="H2" s="57">
        <v>374.28571428571399</v>
      </c>
      <c r="I2" s="58">
        <f t="shared" ref="I2:I13" si="1">H2+G2</f>
        <v>533.28571428571399</v>
      </c>
      <c r="J2" s="18" t="s">
        <v>30</v>
      </c>
      <c r="K2" s="5">
        <f t="shared" ref="K2:K13" si="2">H2/28</f>
        <v>13.3673469387755</v>
      </c>
    </row>
    <row r="3" spans="1:11">
      <c r="A3" s="21" t="s">
        <v>153</v>
      </c>
      <c r="B3" s="59">
        <v>315</v>
      </c>
      <c r="C3" s="60">
        <v>161</v>
      </c>
      <c r="D3" s="56">
        <f t="shared" si="0"/>
        <v>476</v>
      </c>
      <c r="E3" s="24"/>
      <c r="F3" s="18" t="s">
        <v>245</v>
      </c>
      <c r="G3" s="61">
        <v>291</v>
      </c>
      <c r="H3" s="61">
        <v>215</v>
      </c>
      <c r="I3" s="58">
        <f t="shared" si="1"/>
        <v>506</v>
      </c>
      <c r="J3" s="18" t="s">
        <v>181</v>
      </c>
      <c r="K3" s="5">
        <f t="shared" si="2"/>
        <v>7.6785714285714288</v>
      </c>
    </row>
    <row r="4" spans="1:11">
      <c r="A4" s="21" t="s">
        <v>245</v>
      </c>
      <c r="B4" s="59">
        <v>265</v>
      </c>
      <c r="C4" s="60">
        <v>190</v>
      </c>
      <c r="D4" s="56">
        <f t="shared" si="0"/>
        <v>455</v>
      </c>
      <c r="E4" s="24"/>
      <c r="F4" s="18" t="s">
        <v>207</v>
      </c>
      <c r="G4" s="61">
        <v>320</v>
      </c>
      <c r="H4" s="61">
        <v>151</v>
      </c>
      <c r="I4" s="58">
        <f t="shared" si="1"/>
        <v>471</v>
      </c>
      <c r="J4" s="18" t="s">
        <v>107</v>
      </c>
      <c r="K4" s="5">
        <f t="shared" si="2"/>
        <v>5.3928571428571432</v>
      </c>
    </row>
    <row r="5" spans="1:11">
      <c r="A5" s="21" t="s">
        <v>139</v>
      </c>
      <c r="B5" s="59">
        <v>113.04</v>
      </c>
      <c r="C5" s="60">
        <v>284.25</v>
      </c>
      <c r="D5" s="56">
        <f t="shared" si="0"/>
        <v>397.29</v>
      </c>
      <c r="E5" s="24"/>
      <c r="F5" s="18" t="s">
        <v>153</v>
      </c>
      <c r="G5" s="61">
        <v>253.5</v>
      </c>
      <c r="H5" s="61">
        <v>199</v>
      </c>
      <c r="I5" s="58">
        <f t="shared" si="1"/>
        <v>452.5</v>
      </c>
      <c r="J5" s="18" t="s">
        <v>222</v>
      </c>
      <c r="K5" s="5">
        <f t="shared" si="2"/>
        <v>7.1071428571428568</v>
      </c>
    </row>
    <row r="6" spans="1:11">
      <c r="A6" s="21" t="s">
        <v>251</v>
      </c>
      <c r="B6" s="59">
        <v>281.64</v>
      </c>
      <c r="C6" s="60">
        <v>110</v>
      </c>
      <c r="D6" s="56">
        <f t="shared" si="0"/>
        <v>391.64</v>
      </c>
      <c r="E6" s="24"/>
      <c r="F6" s="18" t="s">
        <v>185</v>
      </c>
      <c r="G6" s="61">
        <v>146</v>
      </c>
      <c r="H6" s="61">
        <v>276</v>
      </c>
      <c r="I6" s="58">
        <f t="shared" si="1"/>
        <v>422</v>
      </c>
      <c r="J6" s="18" t="s">
        <v>73</v>
      </c>
      <c r="K6" s="5">
        <f t="shared" si="2"/>
        <v>9.8571428571428577</v>
      </c>
    </row>
    <row r="7" spans="1:11">
      <c r="A7" s="21" t="s">
        <v>209</v>
      </c>
      <c r="B7" s="59">
        <v>307.2</v>
      </c>
      <c r="C7" s="60">
        <v>80</v>
      </c>
      <c r="D7" s="56">
        <f t="shared" si="0"/>
        <v>387.2</v>
      </c>
      <c r="E7" s="24"/>
      <c r="F7" s="18" t="s">
        <v>182</v>
      </c>
      <c r="G7" s="61">
        <v>289.60000000000002</v>
      </c>
      <c r="H7" s="61">
        <v>132</v>
      </c>
      <c r="I7" s="58">
        <f t="shared" si="1"/>
        <v>421.6</v>
      </c>
      <c r="J7" s="18" t="s">
        <v>125</v>
      </c>
      <c r="K7" s="5">
        <f t="shared" si="2"/>
        <v>4.7142857142857144</v>
      </c>
    </row>
    <row r="8" spans="1:11">
      <c r="A8" s="21" t="s">
        <v>22</v>
      </c>
      <c r="B8" s="59">
        <v>192.1</v>
      </c>
      <c r="C8" s="60">
        <v>135.54</v>
      </c>
      <c r="D8" s="56">
        <f t="shared" si="0"/>
        <v>327.64</v>
      </c>
      <c r="E8" s="24"/>
      <c r="F8" s="18" t="s">
        <v>251</v>
      </c>
      <c r="G8" s="61">
        <v>266.39999999999998</v>
      </c>
      <c r="H8" s="61">
        <v>154</v>
      </c>
      <c r="I8" s="58">
        <f t="shared" si="1"/>
        <v>420.4</v>
      </c>
      <c r="J8" s="18" t="s">
        <v>187</v>
      </c>
      <c r="K8" s="5">
        <f t="shared" si="2"/>
        <v>5.5</v>
      </c>
    </row>
    <row r="9" spans="1:11" ht="25.5">
      <c r="A9" s="21" t="s">
        <v>53</v>
      </c>
      <c r="B9" s="59">
        <v>27.72</v>
      </c>
      <c r="C9" s="60">
        <v>266</v>
      </c>
      <c r="D9" s="56">
        <f t="shared" si="0"/>
        <v>293.72000000000003</v>
      </c>
      <c r="E9" s="24"/>
      <c r="F9" s="18" t="s">
        <v>171</v>
      </c>
      <c r="G9" s="61">
        <v>261</v>
      </c>
      <c r="H9" s="61">
        <v>138</v>
      </c>
      <c r="I9" s="58">
        <f t="shared" si="1"/>
        <v>399</v>
      </c>
      <c r="J9" s="18" t="s">
        <v>239</v>
      </c>
      <c r="K9" s="5">
        <f t="shared" si="2"/>
        <v>4.9285714285714288</v>
      </c>
    </row>
    <row r="10" spans="1:11">
      <c r="A10" s="21" t="s">
        <v>10</v>
      </c>
      <c r="B10" s="59">
        <v>179.74</v>
      </c>
      <c r="C10" s="60">
        <v>63</v>
      </c>
      <c r="D10" s="56">
        <f t="shared" si="0"/>
        <v>242.74</v>
      </c>
      <c r="E10" s="24"/>
      <c r="F10" s="18" t="s">
        <v>10</v>
      </c>
      <c r="G10" s="61">
        <v>155.80000000000001</v>
      </c>
      <c r="H10" s="61">
        <v>145</v>
      </c>
      <c r="I10" s="58">
        <f t="shared" si="1"/>
        <v>300.8</v>
      </c>
      <c r="J10" s="18" t="s">
        <v>147</v>
      </c>
      <c r="K10" s="5">
        <f t="shared" si="2"/>
        <v>5.1785714285714288</v>
      </c>
    </row>
    <row r="11" spans="1:11">
      <c r="A11" s="21" t="s">
        <v>171</v>
      </c>
      <c r="B11" s="59">
        <v>164.4</v>
      </c>
      <c r="C11" s="60">
        <v>74</v>
      </c>
      <c r="D11" s="56">
        <f t="shared" si="0"/>
        <v>238.4</v>
      </c>
      <c r="E11" s="24"/>
      <c r="F11" s="18" t="s">
        <v>53</v>
      </c>
      <c r="G11" s="61">
        <v>103</v>
      </c>
      <c r="H11" s="61">
        <v>175</v>
      </c>
      <c r="I11" s="58">
        <f t="shared" si="1"/>
        <v>278</v>
      </c>
      <c r="J11" s="18" t="s">
        <v>59</v>
      </c>
      <c r="K11" s="5">
        <f t="shared" si="2"/>
        <v>6.25</v>
      </c>
    </row>
    <row r="12" spans="1:11">
      <c r="A12" s="5" t="s">
        <v>183</v>
      </c>
      <c r="B12" s="60">
        <v>12.42</v>
      </c>
      <c r="C12" s="60">
        <v>215.25</v>
      </c>
      <c r="D12" s="56">
        <f t="shared" si="0"/>
        <v>227.67</v>
      </c>
      <c r="E12" s="24"/>
      <c r="F12" s="18" t="s">
        <v>186</v>
      </c>
      <c r="G12" s="61">
        <v>76</v>
      </c>
      <c r="H12" s="61">
        <v>186.92857142857099</v>
      </c>
      <c r="I12" s="58">
        <f t="shared" si="1"/>
        <v>262.92857142857099</v>
      </c>
      <c r="J12" s="18" t="s">
        <v>47</v>
      </c>
      <c r="K12" s="5">
        <f t="shared" si="2"/>
        <v>6.6760204081632493</v>
      </c>
    </row>
    <row r="13" spans="1:11">
      <c r="A13" s="21" t="s">
        <v>186</v>
      </c>
      <c r="B13" s="19">
        <v>12</v>
      </c>
      <c r="C13" s="20">
        <v>215</v>
      </c>
      <c r="D13" s="56">
        <f t="shared" si="0"/>
        <v>227</v>
      </c>
      <c r="E13" s="24"/>
      <c r="F13" s="19" t="s">
        <v>183</v>
      </c>
      <c r="G13" s="62">
        <v>69.900000000000006</v>
      </c>
      <c r="H13" s="62">
        <v>176</v>
      </c>
      <c r="I13" s="58">
        <f t="shared" si="1"/>
        <v>245.9</v>
      </c>
      <c r="J13" s="18" t="s">
        <v>254</v>
      </c>
      <c r="K13" s="5">
        <f t="shared" si="2"/>
        <v>6.2857142857142856</v>
      </c>
    </row>
    <row r="14" spans="1:11">
      <c r="B14" s="63">
        <f>SUM(B2:B13)</f>
        <v>1944.26</v>
      </c>
      <c r="C14" s="63">
        <f>SUM(C2:C13)</f>
        <v>2312.38</v>
      </c>
      <c r="D14" s="64">
        <f>SUM(D2:D13)</f>
        <v>4256.6399999999994</v>
      </c>
      <c r="E14" s="65"/>
      <c r="F14" s="57"/>
      <c r="G14" s="63">
        <f>SUM(G2:G13)</f>
        <v>2391.2000000000003</v>
      </c>
      <c r="H14" s="63">
        <f>SUM(H2:H13)</f>
        <v>2322.2142857142849</v>
      </c>
      <c r="I14" s="63">
        <f>SUM(I2:I13)</f>
        <v>4713.4142857142842</v>
      </c>
    </row>
    <row r="19" spans="1:13">
      <c r="A19" s="5" t="s">
        <v>163</v>
      </c>
      <c r="B19" s="53" t="s">
        <v>169</v>
      </c>
      <c r="C19" s="53" t="s">
        <v>8</v>
      </c>
      <c r="D19" s="53" t="s">
        <v>112</v>
      </c>
      <c r="E19" s="5" t="s">
        <v>113</v>
      </c>
      <c r="F19" s="5" t="s">
        <v>157</v>
      </c>
      <c r="H19" s="5" t="s">
        <v>133</v>
      </c>
      <c r="I19" s="5" t="s">
        <v>178</v>
      </c>
    </row>
    <row r="20" spans="1:13">
      <c r="A20" s="21" t="s">
        <v>176</v>
      </c>
      <c r="B20" s="54">
        <v>106</v>
      </c>
      <c r="C20" s="55">
        <v>15</v>
      </c>
      <c r="D20" s="56">
        <v>0</v>
      </c>
      <c r="E20" s="18">
        <v>0</v>
      </c>
      <c r="F20" s="5">
        <v>116</v>
      </c>
    </row>
    <row r="21" spans="1:13">
      <c r="A21" s="21" t="s">
        <v>153</v>
      </c>
      <c r="B21" s="59">
        <v>0</v>
      </c>
      <c r="C21" s="60">
        <v>5</v>
      </c>
      <c r="D21" s="56">
        <v>1</v>
      </c>
      <c r="E21" s="18"/>
      <c r="F21" s="5">
        <v>139</v>
      </c>
    </row>
    <row r="22" spans="1:13">
      <c r="A22" s="21" t="s">
        <v>245</v>
      </c>
      <c r="B22" s="59">
        <v>155</v>
      </c>
      <c r="C22" s="60"/>
      <c r="D22" s="56"/>
      <c r="E22" s="18"/>
      <c r="F22" s="5">
        <v>149</v>
      </c>
    </row>
    <row r="23" spans="1:13">
      <c r="A23" s="21" t="s">
        <v>139</v>
      </c>
      <c r="B23" s="59">
        <v>169</v>
      </c>
      <c r="C23" s="60">
        <v>9</v>
      </c>
      <c r="D23" s="56">
        <v>0</v>
      </c>
      <c r="E23" s="18"/>
    </row>
    <row r="24" spans="1:13">
      <c r="A24" s="21" t="s">
        <v>251</v>
      </c>
      <c r="B24" s="59">
        <v>78</v>
      </c>
      <c r="C24" s="60">
        <v>0</v>
      </c>
      <c r="D24" s="56">
        <v>0</v>
      </c>
      <c r="E24" s="18">
        <v>0</v>
      </c>
      <c r="F24" s="5">
        <v>200</v>
      </c>
    </row>
    <row r="25" spans="1:13">
      <c r="A25" s="21" t="s">
        <v>209</v>
      </c>
      <c r="B25" s="59">
        <v>82</v>
      </c>
      <c r="C25" s="60">
        <v>0</v>
      </c>
      <c r="D25" s="56">
        <v>0</v>
      </c>
      <c r="E25" s="18">
        <v>0</v>
      </c>
      <c r="F25" s="5">
        <v>150</v>
      </c>
    </row>
    <row r="26" spans="1:13">
      <c r="A26" s="21" t="s">
        <v>22</v>
      </c>
      <c r="B26" s="59">
        <v>41</v>
      </c>
      <c r="C26" s="60">
        <v>0</v>
      </c>
      <c r="D26" s="56">
        <v>0</v>
      </c>
      <c r="E26" s="18">
        <v>0</v>
      </c>
      <c r="F26" s="5">
        <v>60</v>
      </c>
    </row>
    <row r="27" spans="1:13">
      <c r="A27" s="21" t="s">
        <v>53</v>
      </c>
      <c r="B27" s="59">
        <v>0</v>
      </c>
      <c r="C27" s="60">
        <v>0</v>
      </c>
      <c r="D27" s="56">
        <v>0</v>
      </c>
      <c r="E27" s="18">
        <v>52</v>
      </c>
      <c r="F27" s="5">
        <v>209</v>
      </c>
    </row>
    <row r="28" spans="1:13">
      <c r="A28" s="21" t="s">
        <v>10</v>
      </c>
      <c r="B28" s="59">
        <v>73</v>
      </c>
      <c r="C28" s="60">
        <v>0</v>
      </c>
      <c r="D28" s="56">
        <v>0</v>
      </c>
      <c r="E28" s="18">
        <v>0</v>
      </c>
      <c r="F28" s="5">
        <v>165</v>
      </c>
    </row>
    <row r="29" spans="1:13">
      <c r="A29" s="21" t="s">
        <v>171</v>
      </c>
      <c r="B29" s="59">
        <v>94</v>
      </c>
      <c r="C29" s="60">
        <v>0</v>
      </c>
      <c r="D29" s="56">
        <v>0</v>
      </c>
      <c r="E29" s="18">
        <v>0</v>
      </c>
      <c r="F29" s="5">
        <v>150</v>
      </c>
    </row>
    <row r="30" spans="1:13">
      <c r="A30" s="5" t="s">
        <v>183</v>
      </c>
      <c r="B30" s="60">
        <v>71</v>
      </c>
      <c r="C30" s="60">
        <v>7</v>
      </c>
      <c r="D30" s="56">
        <v>0</v>
      </c>
      <c r="E30" s="18">
        <v>0</v>
      </c>
      <c r="F30" s="5">
        <v>0</v>
      </c>
      <c r="K30" s="5" t="s">
        <v>245</v>
      </c>
      <c r="L30" s="5" t="s">
        <v>171</v>
      </c>
      <c r="M30" s="5" t="s">
        <v>209</v>
      </c>
    </row>
    <row r="31" spans="1:13">
      <c r="A31" s="21" t="s">
        <v>186</v>
      </c>
      <c r="B31" s="19">
        <v>71</v>
      </c>
      <c r="C31" s="20">
        <v>7</v>
      </c>
      <c r="D31" s="56">
        <v>0</v>
      </c>
      <c r="E31" s="18">
        <v>0</v>
      </c>
      <c r="F31" s="5">
        <v>0</v>
      </c>
      <c r="L31" s="5" t="s">
        <v>215</v>
      </c>
    </row>
    <row r="32" spans="1:13">
      <c r="B32" s="63"/>
      <c r="C32" s="63"/>
      <c r="D32" s="64"/>
      <c r="E32" s="18"/>
    </row>
    <row r="36" spans="1:14">
      <c r="B36" s="5" t="s">
        <v>167</v>
      </c>
      <c r="C36" s="5" t="s">
        <v>8</v>
      </c>
      <c r="D36" s="5" t="s">
        <v>112</v>
      </c>
      <c r="E36" s="5" t="s">
        <v>113</v>
      </c>
      <c r="F36" s="5" t="s">
        <v>157</v>
      </c>
      <c r="G36" s="5" t="s">
        <v>103</v>
      </c>
    </row>
    <row r="37" spans="1:14">
      <c r="A37" s="21" t="s">
        <v>176</v>
      </c>
      <c r="B37" s="18">
        <v>70</v>
      </c>
      <c r="C37" s="5">
        <v>14</v>
      </c>
      <c r="D37" s="5">
        <v>7</v>
      </c>
    </row>
    <row r="38" spans="1:14">
      <c r="A38" s="21" t="s">
        <v>153</v>
      </c>
      <c r="B38" s="47">
        <v>227</v>
      </c>
      <c r="N38" s="5" t="s">
        <v>10</v>
      </c>
    </row>
    <row r="39" spans="1:14">
      <c r="A39" s="21" t="s">
        <v>245</v>
      </c>
      <c r="B39" s="47">
        <v>232</v>
      </c>
      <c r="F39" s="5">
        <v>40</v>
      </c>
      <c r="G39" s="5" t="s">
        <v>132</v>
      </c>
    </row>
    <row r="40" spans="1:14">
      <c r="A40" s="21" t="s">
        <v>139</v>
      </c>
      <c r="B40" s="18">
        <v>270</v>
      </c>
    </row>
    <row r="41" spans="1:14">
      <c r="B41" s="5">
        <v>230</v>
      </c>
      <c r="C41" s="5">
        <v>7</v>
      </c>
    </row>
    <row r="42" spans="1:14">
      <c r="B42" s="5">
        <v>230</v>
      </c>
      <c r="D42" s="5">
        <v>7</v>
      </c>
    </row>
    <row r="43" spans="1:14">
      <c r="B43" s="5">
        <v>210</v>
      </c>
      <c r="E43" s="5">
        <v>25</v>
      </c>
    </row>
    <row r="45" spans="1:14">
      <c r="A45" s="21" t="s">
        <v>251</v>
      </c>
      <c r="B45" s="18">
        <v>120</v>
      </c>
      <c r="D45" s="5">
        <v>3</v>
      </c>
    </row>
    <row r="46" spans="1:14">
      <c r="B46" s="5">
        <v>160</v>
      </c>
    </row>
    <row r="47" spans="1:14">
      <c r="B47" s="5">
        <v>155</v>
      </c>
      <c r="C47" s="5">
        <v>5</v>
      </c>
      <c r="D47" s="5">
        <v>3</v>
      </c>
      <c r="G47" s="5" t="s">
        <v>69</v>
      </c>
    </row>
    <row r="48" spans="1:14">
      <c r="B48" s="52"/>
    </row>
    <row r="49" spans="1:7">
      <c r="A49" s="21" t="s">
        <v>209</v>
      </c>
      <c r="B49" s="47">
        <v>140</v>
      </c>
    </row>
    <row r="50" spans="1:7">
      <c r="A50" s="21" t="s">
        <v>22</v>
      </c>
      <c r="B50" s="18">
        <v>140</v>
      </c>
      <c r="D50" s="5">
        <v>3</v>
      </c>
    </row>
    <row r="51" spans="1:7">
      <c r="A51" s="21" t="s">
        <v>53</v>
      </c>
      <c r="B51" s="18">
        <v>250</v>
      </c>
    </row>
    <row r="52" spans="1:7">
      <c r="B52" s="5">
        <v>160</v>
      </c>
      <c r="C52" s="5">
        <v>6</v>
      </c>
    </row>
    <row r="53" spans="1:7">
      <c r="B53" s="5">
        <v>150</v>
      </c>
      <c r="D53" s="5">
        <v>5</v>
      </c>
    </row>
    <row r="54" spans="1:7">
      <c r="B54" s="5">
        <v>130</v>
      </c>
      <c r="E54" s="5">
        <v>45</v>
      </c>
    </row>
    <row r="57" spans="1:7">
      <c r="A57" s="21" t="s">
        <v>10</v>
      </c>
      <c r="B57" s="47">
        <v>240</v>
      </c>
    </row>
    <row r="58" spans="1:7">
      <c r="A58" s="21" t="s">
        <v>171</v>
      </c>
      <c r="B58" s="47">
        <v>149</v>
      </c>
      <c r="G58" s="5" t="s">
        <v>132</v>
      </c>
    </row>
    <row r="59" spans="1:7">
      <c r="A59" s="5" t="s">
        <v>38</v>
      </c>
      <c r="B59" s="5">
        <v>150</v>
      </c>
    </row>
    <row r="60" spans="1:7">
      <c r="B60" s="5">
        <v>114</v>
      </c>
      <c r="D60" s="5">
        <v>3</v>
      </c>
    </row>
    <row r="61" spans="1:7">
      <c r="B61" s="5">
        <v>70</v>
      </c>
      <c r="E61" s="5">
        <v>25</v>
      </c>
    </row>
    <row r="62" spans="1:7">
      <c r="B62" s="5">
        <v>70</v>
      </c>
      <c r="C62" s="5">
        <v>7</v>
      </c>
    </row>
    <row r="63" spans="1:7">
      <c r="C63" s="5">
        <v>7</v>
      </c>
      <c r="E63" s="5">
        <v>21</v>
      </c>
      <c r="G63" s="5" t="s">
        <v>190</v>
      </c>
    </row>
  </sheetData>
  <pageMargins left="0.75" right="0.75" top="1" bottom="1" header="0.5" footer="0.5"/>
  <pageSetup paperSize="9"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sheetPr filterMode="1"/>
  <dimension ref="A1:AA155"/>
  <sheetViews>
    <sheetView tabSelected="1" zoomScale="85" zoomScaleNormal="85" workbookViewId="0">
      <pane ySplit="1" topLeftCell="A2" activePane="bottomLeft" state="frozen"/>
      <selection pane="bottomLeft" activeCell="H5" sqref="H5"/>
    </sheetView>
  </sheetViews>
  <sheetFormatPr defaultColWidth="17.140625" defaultRowHeight="12.75"/>
  <cols>
    <col min="1" max="1" width="36" style="71" customWidth="1"/>
    <col min="2" max="2" width="12.85546875" style="71" bestFit="1" customWidth="1"/>
    <col min="3" max="3" width="9.85546875" style="71" hidden="1" customWidth="1"/>
    <col min="4" max="4" width="5.5703125" style="71" hidden="1" customWidth="1"/>
    <col min="5" max="5" width="15.28515625" style="72" bestFit="1" customWidth="1"/>
    <col min="6" max="6" width="13.85546875" style="71" bestFit="1" customWidth="1"/>
    <col min="7" max="7" width="13.85546875" style="71" hidden="1" customWidth="1"/>
    <col min="8" max="8" width="13.85546875" style="125" bestFit="1" customWidth="1"/>
    <col min="9" max="9" width="12.5703125" style="125" hidden="1" customWidth="1"/>
    <col min="10" max="11" width="18.28515625" style="125" hidden="1" customWidth="1"/>
    <col min="12" max="12" width="15.85546875" style="125" customWidth="1"/>
    <col min="13" max="13" width="14.28515625" style="128" bestFit="1" customWidth="1"/>
    <col min="14" max="14" width="16" style="128" bestFit="1" customWidth="1"/>
    <col min="15" max="15" width="15.42578125" style="130" bestFit="1" customWidth="1"/>
    <col min="16" max="16" width="7.7109375" customWidth="1"/>
    <col min="17" max="17" width="7.5703125" bestFit="1" customWidth="1"/>
    <col min="18" max="18" width="7.7109375" bestFit="1" customWidth="1"/>
    <col min="19" max="19" width="5" bestFit="1" customWidth="1"/>
    <col min="20" max="20" width="4.140625" bestFit="1" customWidth="1"/>
    <col min="21" max="21" width="6.42578125" customWidth="1"/>
    <col min="22" max="22" width="19.140625" bestFit="1" customWidth="1"/>
    <col min="23" max="23" width="7.7109375" bestFit="1" customWidth="1"/>
    <col min="24" max="24" width="9.7109375" bestFit="1" customWidth="1"/>
    <col min="25" max="25" width="4.140625" bestFit="1" customWidth="1"/>
    <col min="26" max="26" width="15.42578125" bestFit="1" customWidth="1"/>
    <col min="27" max="27" width="3.140625" bestFit="1" customWidth="1"/>
    <col min="30" max="30" width="15.42578125" bestFit="1" customWidth="1"/>
    <col min="31" max="31" width="3.140625" bestFit="1" customWidth="1"/>
  </cols>
  <sheetData>
    <row r="1" spans="1:27" ht="13.5" customHeight="1" thickBot="1">
      <c r="A1" s="68" t="s">
        <v>17</v>
      </c>
      <c r="B1" s="76" t="s">
        <v>373</v>
      </c>
      <c r="C1" s="78" t="s">
        <v>264</v>
      </c>
      <c r="D1" s="78" t="s">
        <v>265</v>
      </c>
      <c r="E1" s="69" t="s">
        <v>49</v>
      </c>
      <c r="F1" s="68" t="s">
        <v>29</v>
      </c>
      <c r="G1" s="76" t="s">
        <v>456</v>
      </c>
      <c r="H1" s="123" t="s">
        <v>386</v>
      </c>
      <c r="I1" s="123" t="s">
        <v>387</v>
      </c>
      <c r="J1" s="123" t="s">
        <v>390</v>
      </c>
      <c r="K1" s="123" t="s">
        <v>461</v>
      </c>
      <c r="L1" s="123" t="s">
        <v>388</v>
      </c>
      <c r="M1" s="126" t="s">
        <v>261</v>
      </c>
      <c r="N1" s="126" t="s">
        <v>262</v>
      </c>
      <c r="O1" s="127" t="s">
        <v>389</v>
      </c>
      <c r="Q1" s="80" t="s">
        <v>212</v>
      </c>
      <c r="R1" s="81">
        <f xml:space="preserve"> 1 / T$1 * 1000000</f>
        <v>1111111.1111111112</v>
      </c>
      <c r="S1" s="79" t="s">
        <v>263</v>
      </c>
      <c r="T1" s="84">
        <v>0.9</v>
      </c>
      <c r="V1" s="82" t="s">
        <v>269</v>
      </c>
      <c r="W1" s="87">
        <f>1000 / AA1 / Y1 *1000000</f>
        <v>666666.66666666663</v>
      </c>
      <c r="X1" s="83" t="s">
        <v>197</v>
      </c>
      <c r="Y1" s="85">
        <v>150</v>
      </c>
      <c r="Z1" s="83" t="s">
        <v>57</v>
      </c>
      <c r="AA1" s="86">
        <v>10</v>
      </c>
    </row>
    <row r="2" spans="1:27">
      <c r="A2" s="71" t="s">
        <v>504</v>
      </c>
      <c r="B2" s="71">
        <v>0</v>
      </c>
      <c r="E2" s="72">
        <v>17500000</v>
      </c>
      <c r="F2" s="71">
        <v>40</v>
      </c>
      <c r="H2" s="124">
        <f>(F2-1)*0.85-E2 / $R$1</f>
        <v>17.399999999999999</v>
      </c>
      <c r="L2" s="125">
        <f>(0.85*E2) / R$1 -F2</f>
        <v>-26.612500000000001</v>
      </c>
    </row>
    <row r="3" spans="1:27">
      <c r="A3" s="71" t="s">
        <v>482</v>
      </c>
      <c r="B3" s="71">
        <v>0</v>
      </c>
      <c r="E3" s="72">
        <v>75000000</v>
      </c>
      <c r="F3" s="71">
        <v>111</v>
      </c>
      <c r="H3" s="124">
        <f>(F3-1)*0.85-E3 / $R$1</f>
        <v>26.000000000000014</v>
      </c>
      <c r="L3" s="125">
        <f>(0.85*E3) / R$1 -F3</f>
        <v>-53.625000000000007</v>
      </c>
    </row>
    <row r="4" spans="1:27">
      <c r="A4" s="76" t="s">
        <v>344</v>
      </c>
      <c r="B4" s="76">
        <v>0</v>
      </c>
      <c r="C4" s="71">
        <v>3</v>
      </c>
      <c r="D4" s="71">
        <v>2</v>
      </c>
      <c r="E4" s="69">
        <v>23000000</v>
      </c>
      <c r="F4" s="68">
        <v>41.87</v>
      </c>
      <c r="G4" s="68"/>
      <c r="H4" s="124">
        <f>(F4-1)*0.85-E4 / $R$1</f>
        <v>14.0395</v>
      </c>
      <c r="I4" s="125">
        <f>0.7225 * (F4) - E4 / $R$1</f>
        <v>9.5510750000000009</v>
      </c>
      <c r="J4" s="124">
        <f>0.85 * E4 / R$1 - 0.85 *F4</f>
        <v>-17.994499999999995</v>
      </c>
      <c r="K4" s="124">
        <f>J4 / F4</f>
        <v>-0.4297707188918079</v>
      </c>
      <c r="L4" s="125">
        <f>(0.85*E4) / R$1 -F4</f>
        <v>-24.274999999999999</v>
      </c>
      <c r="M4" s="128">
        <f>0.85 * E4 / R$1</f>
        <v>17.594999999999999</v>
      </c>
      <c r="N4" s="128">
        <f>0.85 * (F4 - 1)</f>
        <v>34.7395</v>
      </c>
      <c r="O4" s="129">
        <f xml:space="preserve"> N4 - M4</f>
        <v>17.144500000000001</v>
      </c>
    </row>
    <row r="5" spans="1:27">
      <c r="A5" s="71" t="s">
        <v>511</v>
      </c>
      <c r="B5" s="71">
        <v>0</v>
      </c>
      <c r="C5" s="71">
        <v>3</v>
      </c>
      <c r="D5" s="71">
        <v>0</v>
      </c>
      <c r="E5" s="72">
        <v>18000000</v>
      </c>
      <c r="F5" s="71">
        <v>35</v>
      </c>
      <c r="H5" s="124">
        <f>(F5-1)*0.85-E5 / $R$1</f>
        <v>12.7</v>
      </c>
      <c r="I5" s="124">
        <f>0.85 * (F5 - 2) - E5 / $R$1</f>
        <v>11.850000000000001</v>
      </c>
      <c r="J5" s="124">
        <f>0.85 * E5 / R$1 - 0.85 *F5</f>
        <v>-15.980000000000002</v>
      </c>
      <c r="K5" s="124">
        <f>J5 / F5</f>
        <v>-0.45657142857142863</v>
      </c>
      <c r="L5" s="125">
        <f>(0.85*E5) / R$1 -F5</f>
        <v>-21.230000000000004</v>
      </c>
      <c r="M5" s="128">
        <f>0.85 * E5 / R$1</f>
        <v>13.769999999999998</v>
      </c>
      <c r="N5" s="128">
        <f>0.85 * (F5 - 1)</f>
        <v>28.9</v>
      </c>
      <c r="O5" s="130">
        <f xml:space="preserve"> N5 - M5</f>
        <v>15.13</v>
      </c>
    </row>
    <row r="6" spans="1:27">
      <c r="A6" s="71" t="s">
        <v>469</v>
      </c>
      <c r="B6" s="71">
        <v>0</v>
      </c>
      <c r="E6" s="72">
        <v>17000000</v>
      </c>
      <c r="F6" s="71">
        <v>33</v>
      </c>
      <c r="H6" s="124">
        <f>(F6-1)*0.85-E6 / $R$1</f>
        <v>11.9</v>
      </c>
      <c r="L6" s="125">
        <f>(0.85*E6) / R$1 -F6</f>
        <v>-19.995000000000001</v>
      </c>
      <c r="N6" s="128">
        <f>0.85 * (F6 - 1)</f>
        <v>27.2</v>
      </c>
    </row>
    <row r="7" spans="1:27" s="77" customFormat="1">
      <c r="A7" s="71" t="s">
        <v>498</v>
      </c>
      <c r="B7" s="71">
        <v>0</v>
      </c>
      <c r="C7" s="71"/>
      <c r="D7" s="71"/>
      <c r="E7" s="72">
        <v>22000000</v>
      </c>
      <c r="F7" s="71">
        <v>38</v>
      </c>
      <c r="G7" s="71"/>
      <c r="H7" s="124">
        <f>(F7-1)*0.85-E7 / $R$1</f>
        <v>11.650000000000002</v>
      </c>
      <c r="I7" s="125"/>
      <c r="J7" s="125"/>
      <c r="K7" s="125"/>
      <c r="L7" s="125">
        <f>(0.85*E7) / R$1 -F7</f>
        <v>-21.17</v>
      </c>
      <c r="M7" s="128"/>
      <c r="N7" s="128"/>
      <c r="O7" s="130"/>
    </row>
    <row r="8" spans="1:27">
      <c r="A8" s="71" t="s">
        <v>201</v>
      </c>
      <c r="B8" s="71">
        <v>0</v>
      </c>
      <c r="E8" s="72">
        <v>10500000</v>
      </c>
      <c r="F8" s="71">
        <v>23</v>
      </c>
      <c r="H8" s="124">
        <f>(F8-1)*0.85-E8 / $R$1</f>
        <v>9.25</v>
      </c>
      <c r="L8" s="125">
        <f>(0.85*E8) / R$1 -F8</f>
        <v>-14.967500000000001</v>
      </c>
    </row>
    <row r="9" spans="1:27">
      <c r="A9" s="71" t="s">
        <v>14</v>
      </c>
      <c r="B9" s="71">
        <v>0</v>
      </c>
      <c r="E9" s="72">
        <v>13700000</v>
      </c>
      <c r="F9" s="71">
        <v>27</v>
      </c>
      <c r="H9" s="124">
        <f>(F9-1)*0.85-E9 / $R$1</f>
        <v>9.77</v>
      </c>
      <c r="L9" s="125">
        <f>(0.85*E9) / R$1 -F9</f>
        <v>-16.519500000000001</v>
      </c>
    </row>
    <row r="10" spans="1:27">
      <c r="A10" s="71" t="s">
        <v>346</v>
      </c>
      <c r="B10" s="71">
        <v>0</v>
      </c>
      <c r="C10" s="71">
        <v>0</v>
      </c>
      <c r="D10" s="71">
        <v>0</v>
      </c>
      <c r="E10" s="72">
        <v>10000000</v>
      </c>
      <c r="F10" s="71">
        <v>21.8</v>
      </c>
      <c r="H10" s="124">
        <f>(F10-1)*0.85-E10 / $R$1</f>
        <v>8.6800000000000015</v>
      </c>
      <c r="I10" s="124">
        <f>0.85 * (F10 - 2) - E10 / $R$1</f>
        <v>7.8300000000000036</v>
      </c>
      <c r="J10" s="124">
        <f>0.85 * E10 / R$1 - 0.85 *F10</f>
        <v>-10.880000000000003</v>
      </c>
      <c r="K10" s="124">
        <f>J10 / F10</f>
        <v>-0.49908256880733953</v>
      </c>
      <c r="L10" s="125">
        <f>(0.85*E10) / R$1 -F10</f>
        <v>-14.150000000000002</v>
      </c>
      <c r="M10" s="128">
        <f>0.85 * E10 / R$1</f>
        <v>7.6499999999999995</v>
      </c>
      <c r="N10" s="128">
        <f>0.85 * (F10 - 1)</f>
        <v>17.68</v>
      </c>
      <c r="O10" s="130">
        <f xml:space="preserve"> N10 - M10</f>
        <v>10.030000000000001</v>
      </c>
    </row>
    <row r="11" spans="1:27">
      <c r="A11" s="71" t="s">
        <v>494</v>
      </c>
      <c r="B11" s="71">
        <v>0</v>
      </c>
      <c r="E11" s="72">
        <v>888888</v>
      </c>
      <c r="F11" s="71">
        <v>9.5</v>
      </c>
      <c r="H11" s="124">
        <f>(F11-1)*0.85-E11 / $R$1</f>
        <v>6.4250007999999994</v>
      </c>
      <c r="L11" s="125">
        <f>(0.85*E11) / R$1 -F11</f>
        <v>-8.8200006799999997</v>
      </c>
    </row>
    <row r="12" spans="1:27">
      <c r="A12" s="71" t="s">
        <v>493</v>
      </c>
      <c r="B12" s="71">
        <v>0</v>
      </c>
      <c r="E12" s="72">
        <v>1000000</v>
      </c>
      <c r="F12" s="71">
        <v>8.75</v>
      </c>
      <c r="H12" s="124">
        <f>(F12-1)*0.85-E12 / $R$1</f>
        <v>5.6875</v>
      </c>
      <c r="L12" s="125">
        <f>(0.85*E12) / R$1 -F12</f>
        <v>-7.9850000000000003</v>
      </c>
    </row>
    <row r="13" spans="1:27">
      <c r="A13" s="71" t="s">
        <v>485</v>
      </c>
      <c r="B13" s="71">
        <v>0</v>
      </c>
      <c r="E13" s="72">
        <v>17000000</v>
      </c>
      <c r="F13" s="71">
        <v>29</v>
      </c>
      <c r="H13" s="124">
        <f>(F13-1)*0.85-E13 / $R$1</f>
        <v>8.5000000000000018</v>
      </c>
      <c r="L13" s="125">
        <f>(0.85*E13) / R$1 -F13</f>
        <v>-15.995000000000001</v>
      </c>
    </row>
    <row r="14" spans="1:27">
      <c r="A14" s="71" t="s">
        <v>159</v>
      </c>
      <c r="B14" s="71">
        <v>0</v>
      </c>
      <c r="E14" s="72">
        <v>7800000</v>
      </c>
      <c r="F14" s="71">
        <v>17</v>
      </c>
      <c r="H14" s="124">
        <f>(F14-1)*0.85-E14 / $R$1</f>
        <v>6.58</v>
      </c>
      <c r="L14" s="125">
        <f>(0.85*E14) / R$1 -F14</f>
        <v>-11.033000000000001</v>
      </c>
      <c r="Q14" s="134"/>
      <c r="R14" s="134"/>
      <c r="S14" s="134"/>
      <c r="T14" s="134"/>
      <c r="V14" s="134"/>
      <c r="W14" s="134"/>
      <c r="X14" s="134"/>
      <c r="Y14" s="134"/>
      <c r="Z14" s="134"/>
      <c r="AA14" s="134"/>
    </row>
    <row r="15" spans="1:27">
      <c r="A15" s="71" t="s">
        <v>509</v>
      </c>
      <c r="B15" s="71">
        <v>0</v>
      </c>
      <c r="C15" s="71">
        <v>3</v>
      </c>
      <c r="D15" s="71">
        <v>0</v>
      </c>
      <c r="E15" s="72">
        <v>18000000</v>
      </c>
      <c r="F15" s="71">
        <v>30</v>
      </c>
      <c r="H15" s="124">
        <f>(F15-1)*0.85-E15 / $R$1</f>
        <v>8.4499999999999993</v>
      </c>
      <c r="I15" s="124">
        <f>0.85 * (F15 - 2) - E15 / $R$1</f>
        <v>7.6000000000000014</v>
      </c>
      <c r="J15" s="124">
        <f>0.85 * E15 / R$1 - 0.85 *F15</f>
        <v>-11.730000000000002</v>
      </c>
      <c r="K15" s="124">
        <f>J15 / F15</f>
        <v>-0.39100000000000007</v>
      </c>
      <c r="L15" s="125">
        <f>(0.85*E15) / R$1 -F15</f>
        <v>-16.230000000000004</v>
      </c>
      <c r="M15" s="128">
        <f>0.85 * E15 / R$1</f>
        <v>13.769999999999998</v>
      </c>
      <c r="N15" s="128">
        <f>0.85 * (F15 - 1)</f>
        <v>24.65</v>
      </c>
      <c r="O15" s="130">
        <f xml:space="preserve"> N15 - M15</f>
        <v>10.88</v>
      </c>
    </row>
    <row r="16" spans="1:27">
      <c r="A16" s="71" t="s">
        <v>345</v>
      </c>
      <c r="B16" s="71">
        <v>0</v>
      </c>
      <c r="C16" s="71">
        <v>0</v>
      </c>
      <c r="D16" s="71">
        <v>0</v>
      </c>
      <c r="E16" s="72">
        <v>15000000</v>
      </c>
      <c r="F16" s="71">
        <v>26</v>
      </c>
      <c r="H16" s="124">
        <f>(F16-1)*0.85-E16 / $R$1</f>
        <v>7.7500000000000018</v>
      </c>
      <c r="I16" s="124">
        <f>0.85 * (F16 - 2) - E16 / $R$1</f>
        <v>6.9</v>
      </c>
      <c r="J16" s="124">
        <f>0.85 * E16 / R$1 - 0.85 *F16</f>
        <v>-10.625</v>
      </c>
      <c r="K16" s="124">
        <f>J16 / F16</f>
        <v>-0.40865384615384615</v>
      </c>
      <c r="L16" s="125">
        <f>(0.85*E16) / R$1 -F16</f>
        <v>-14.525000000000002</v>
      </c>
      <c r="M16" s="128">
        <f>0.85 * E16 / R$1</f>
        <v>11.474999999999998</v>
      </c>
      <c r="N16" s="128">
        <f>0.85 * (F16 - 1)</f>
        <v>21.25</v>
      </c>
      <c r="O16" s="130">
        <f xml:space="preserve"> N16 - M16</f>
        <v>9.7750000000000021</v>
      </c>
    </row>
    <row r="17" spans="1:15">
      <c r="A17" s="71" t="s">
        <v>477</v>
      </c>
      <c r="B17" s="71">
        <v>0</v>
      </c>
      <c r="E17" s="72">
        <v>6500000</v>
      </c>
      <c r="F17" s="71">
        <v>15</v>
      </c>
      <c r="H17" s="124">
        <f>(F17-1)*0.85-E17 / $R$1</f>
        <v>6.0500000000000007</v>
      </c>
      <c r="L17" s="125">
        <f>(0.85*E17) / R$1 -F17</f>
        <v>-10.0275</v>
      </c>
    </row>
    <row r="18" spans="1:15">
      <c r="A18" s="71" t="s">
        <v>474</v>
      </c>
      <c r="B18" s="71">
        <v>0</v>
      </c>
      <c r="E18" s="72">
        <v>40000000</v>
      </c>
      <c r="F18" s="71">
        <v>58</v>
      </c>
      <c r="H18" s="124">
        <f>(F18-1)*0.85-E18 / $R$1</f>
        <v>12.450000000000003</v>
      </c>
      <c r="J18" s="125">
        <f>0.85 * E18 / R$1 - 0.85 *F18</f>
        <v>-18.7</v>
      </c>
      <c r="K18" s="125">
        <f>J18 / F18</f>
        <v>-0.32241379310344825</v>
      </c>
      <c r="L18" s="125">
        <f>(0.85*E18) / R$1 -F18</f>
        <v>-27.400000000000002</v>
      </c>
      <c r="M18" s="128">
        <f>0.85 * E18 / R$1</f>
        <v>30.599999999999998</v>
      </c>
      <c r="N18" s="128">
        <f>0.85 * (F18 - 1)</f>
        <v>48.449999999999996</v>
      </c>
      <c r="O18" s="130">
        <f xml:space="preserve"> N18 - M18</f>
        <v>17.849999999999998</v>
      </c>
    </row>
    <row r="19" spans="1:15">
      <c r="A19" s="71" t="s">
        <v>492</v>
      </c>
      <c r="B19" s="71">
        <v>0</v>
      </c>
      <c r="E19" s="72">
        <v>34000000</v>
      </c>
      <c r="F19" s="71">
        <v>50</v>
      </c>
      <c r="H19" s="124">
        <f>(F19-1)*0.85-E19 / $R$1</f>
        <v>11.05</v>
      </c>
      <c r="L19" s="125">
        <f>(0.85*E19) / R$1 -F19</f>
        <v>-23.990000000000002</v>
      </c>
    </row>
    <row r="20" spans="1:15">
      <c r="A20" s="76" t="s">
        <v>510</v>
      </c>
      <c r="B20" s="76">
        <v>0</v>
      </c>
      <c r="C20" s="71">
        <v>3</v>
      </c>
      <c r="D20" s="71">
        <v>0</v>
      </c>
      <c r="E20" s="69">
        <v>11000000</v>
      </c>
      <c r="F20" s="68">
        <v>20</v>
      </c>
      <c r="G20" s="68"/>
      <c r="H20" s="124">
        <f>(F20-1)*0.85-E20 / $R$1</f>
        <v>6.25</v>
      </c>
      <c r="I20" s="124">
        <f>0.85 * (F20 - 2) - E20 / $R$1</f>
        <v>5.4</v>
      </c>
      <c r="J20" s="124">
        <f>0.85 * E20 / R$1 - 0.85 *F20</f>
        <v>-8.5850000000000009</v>
      </c>
      <c r="K20" s="124">
        <f>J20 / F20</f>
        <v>-0.42925000000000002</v>
      </c>
      <c r="L20" s="125">
        <f>(0.85*E20) / R$1 -F20</f>
        <v>-11.585000000000001</v>
      </c>
      <c r="M20" s="128">
        <f>0.85 * E20 / R$1</f>
        <v>8.4149999999999991</v>
      </c>
      <c r="N20" s="128">
        <f>0.85 * (F20 - 1)</f>
        <v>16.149999999999999</v>
      </c>
      <c r="O20" s="129">
        <f xml:space="preserve"> N20 - M20</f>
        <v>7.7349999999999994</v>
      </c>
    </row>
    <row r="21" spans="1:15">
      <c r="A21" s="71" t="s">
        <v>501</v>
      </c>
      <c r="B21" s="71">
        <v>0</v>
      </c>
      <c r="E21" s="72">
        <v>1500000</v>
      </c>
      <c r="F21" s="71">
        <v>7.5</v>
      </c>
      <c r="H21" s="124">
        <f>(F21-1)*0.85-E21 / $R$1</f>
        <v>4.1749999999999998</v>
      </c>
      <c r="L21" s="125">
        <f>(0.85*E21) / R$1 -F21</f>
        <v>-6.3525</v>
      </c>
    </row>
    <row r="22" spans="1:15">
      <c r="A22" s="76" t="s">
        <v>508</v>
      </c>
      <c r="B22" s="68">
        <v>0</v>
      </c>
      <c r="C22" s="71">
        <v>10</v>
      </c>
      <c r="D22" s="71">
        <v>3</v>
      </c>
      <c r="E22" s="69">
        <v>3000000</v>
      </c>
      <c r="F22" s="76">
        <v>9</v>
      </c>
      <c r="G22" s="76"/>
      <c r="H22" s="124">
        <f>(F22-1)*0.85-E22 / $R$1</f>
        <v>4.0999999999999996</v>
      </c>
      <c r="I22" s="124">
        <f>0.85 * (F22 - 2) - E22 / $R$1</f>
        <v>3.2500000000000004</v>
      </c>
      <c r="J22" s="124">
        <f>0.85 * E22 / R$1 - 0.85 *F22</f>
        <v>-5.3549999999999995</v>
      </c>
      <c r="K22" s="124">
        <f>J22 / F22</f>
        <v>-0.59499999999999997</v>
      </c>
      <c r="L22" s="125">
        <f>(0.85*E22) / R$1 -F22</f>
        <v>-6.7050000000000001</v>
      </c>
      <c r="M22" s="128">
        <f>0.85 * E22 / R$1</f>
        <v>2.2949999999999999</v>
      </c>
      <c r="N22" s="128">
        <f>0.85 * (F22 - 1)</f>
        <v>6.8</v>
      </c>
      <c r="O22" s="129">
        <f xml:space="preserve"> N22 - M22</f>
        <v>4.5049999999999999</v>
      </c>
    </row>
    <row r="23" spans="1:15">
      <c r="A23" s="76" t="s">
        <v>82</v>
      </c>
      <c r="B23" s="68">
        <v>0</v>
      </c>
      <c r="C23" s="71">
        <v>9</v>
      </c>
      <c r="D23" s="71">
        <v>2</v>
      </c>
      <c r="E23" s="69">
        <v>1580000</v>
      </c>
      <c r="F23" s="68">
        <v>6.45</v>
      </c>
      <c r="G23" s="68"/>
      <c r="H23" s="124">
        <f>(F23-1)*0.85-E23 / $R$1</f>
        <v>3.2105000000000006</v>
      </c>
      <c r="I23" s="124">
        <f>0.85 * (F23 - 2) - E23 / $R$1</f>
        <v>2.3605</v>
      </c>
      <c r="J23" s="124">
        <f>0.85 * E23 / R$1 - 0.85 *F23</f>
        <v>-4.2737999999999996</v>
      </c>
      <c r="K23" s="124">
        <f>J23 / F23</f>
        <v>-0.66260465116279066</v>
      </c>
      <c r="L23" s="125">
        <f>(0.85*E23) / R$1 -F23</f>
        <v>-5.2413000000000007</v>
      </c>
      <c r="M23" s="128">
        <f>0.85 * E23 / R$1</f>
        <v>1.2086999999999999</v>
      </c>
      <c r="N23" s="128">
        <f>0.85 * (F23 - 1)</f>
        <v>4.6325000000000003</v>
      </c>
      <c r="O23" s="129">
        <f xml:space="preserve"> N23 - M23</f>
        <v>3.4238000000000004</v>
      </c>
    </row>
    <row r="24" spans="1:15">
      <c r="A24" s="71" t="s">
        <v>483</v>
      </c>
      <c r="B24" s="71">
        <v>0</v>
      </c>
      <c r="E24" s="72">
        <v>14500000</v>
      </c>
      <c r="F24" s="71">
        <v>23</v>
      </c>
      <c r="H24" s="124">
        <f>(F24-1)*0.85-E24 / $R$1</f>
        <v>5.65</v>
      </c>
      <c r="L24" s="125">
        <f>(0.85*E24) / R$1 -F24</f>
        <v>-11.907500000000001</v>
      </c>
    </row>
    <row r="25" spans="1:15">
      <c r="A25" s="71" t="s">
        <v>13</v>
      </c>
      <c r="B25" s="71">
        <v>0</v>
      </c>
      <c r="E25" s="72">
        <v>47000000</v>
      </c>
      <c r="F25" s="71">
        <v>65</v>
      </c>
      <c r="H25" s="124">
        <f>(F25-1)*0.85-E25 / $R$1</f>
        <v>12.100000000000001</v>
      </c>
      <c r="L25" s="125">
        <f>(0.85*E25) / R$1 -F25</f>
        <v>-29.045000000000002</v>
      </c>
    </row>
    <row r="26" spans="1:15">
      <c r="A26" s="71" t="s">
        <v>475</v>
      </c>
      <c r="B26" s="71">
        <v>0</v>
      </c>
      <c r="E26" s="72">
        <v>750000</v>
      </c>
      <c r="F26" s="71">
        <v>5</v>
      </c>
      <c r="H26" s="124">
        <f>(F26-1)*0.85-E26 / $R$1</f>
        <v>2.7250000000000001</v>
      </c>
      <c r="J26" s="125">
        <f>0.85 * E26 / R$1 - 0.85 *F26</f>
        <v>-3.67625</v>
      </c>
      <c r="K26" s="125">
        <f>J26 / F26</f>
        <v>-0.73524999999999996</v>
      </c>
      <c r="L26" s="125">
        <f>(0.85*E26) / R$1 -F26</f>
        <v>-4.4262499999999996</v>
      </c>
      <c r="M26" s="128">
        <f>0.85 * E26 / R$1</f>
        <v>0.57374999999999998</v>
      </c>
      <c r="N26" s="128">
        <f>0.85 * (F26 - 1)</f>
        <v>3.4</v>
      </c>
      <c r="O26" s="130">
        <f xml:space="preserve"> N26 - M26</f>
        <v>2.8262499999999999</v>
      </c>
    </row>
    <row r="27" spans="1:15">
      <c r="A27" s="76" t="s">
        <v>467</v>
      </c>
      <c r="B27" s="68">
        <v>0</v>
      </c>
      <c r="C27" s="71">
        <v>11</v>
      </c>
      <c r="D27" s="71">
        <v>3</v>
      </c>
      <c r="E27" s="69">
        <v>800000</v>
      </c>
      <c r="F27" s="68">
        <v>5</v>
      </c>
      <c r="G27" s="68"/>
      <c r="H27" s="124">
        <f>(F27-1)*0.85-E27 / $R$1</f>
        <v>2.68</v>
      </c>
      <c r="I27" s="124">
        <f>0.85 * (F27 - 2) - E27 / $R$1</f>
        <v>1.83</v>
      </c>
      <c r="J27" s="124">
        <f>0.85 * E27 / R$1 - 0.85 *F27</f>
        <v>-3.6379999999999999</v>
      </c>
      <c r="K27" s="124">
        <f>J27 / F27</f>
        <v>-0.72760000000000002</v>
      </c>
      <c r="L27" s="125">
        <f>(0.85*E27) / R$1 -F27</f>
        <v>-4.3879999999999999</v>
      </c>
      <c r="M27" s="128">
        <f>0.85 * E27 / R$1</f>
        <v>0.61199999999999988</v>
      </c>
      <c r="N27" s="128">
        <f>0.85 * (F27 - 1)</f>
        <v>3.4</v>
      </c>
      <c r="O27" s="129">
        <f xml:space="preserve"> N27 - M27</f>
        <v>2.7880000000000003</v>
      </c>
    </row>
    <row r="28" spans="1:15">
      <c r="A28" s="71" t="s">
        <v>476</v>
      </c>
      <c r="B28" s="71">
        <v>0</v>
      </c>
      <c r="E28" s="72">
        <v>2800000</v>
      </c>
      <c r="F28" s="71">
        <v>7.5</v>
      </c>
      <c r="H28" s="124">
        <f>(F28-1)*0.85-E28 / $R$1</f>
        <v>3.0049999999999999</v>
      </c>
      <c r="L28" s="125">
        <f>(0.85*E28) / R$1 -F28</f>
        <v>-5.3580000000000005</v>
      </c>
      <c r="N28" s="128">
        <f>0.85 * (F28 - 1)</f>
        <v>5.5249999999999995</v>
      </c>
    </row>
    <row r="29" spans="1:15">
      <c r="A29" s="68" t="s">
        <v>15</v>
      </c>
      <c r="B29" s="68">
        <v>0</v>
      </c>
      <c r="C29" s="71">
        <v>3</v>
      </c>
      <c r="D29" s="71">
        <v>0</v>
      </c>
      <c r="E29" s="69">
        <v>700000</v>
      </c>
      <c r="F29" s="68">
        <v>4.75</v>
      </c>
      <c r="G29" s="68"/>
      <c r="H29" s="124">
        <f>(F29-1)*0.85-E29 / $R$1</f>
        <v>2.5575000000000001</v>
      </c>
      <c r="I29" s="124">
        <f>0.85 * (F29 - 2) - E29 / $R$1</f>
        <v>1.7075</v>
      </c>
      <c r="J29" s="124">
        <f>0.85 * E29 / R$1 - 0.85 *F29</f>
        <v>-3.5019999999999998</v>
      </c>
      <c r="K29" s="124">
        <f>J29 / F29</f>
        <v>-0.73726315789473684</v>
      </c>
      <c r="L29" s="125">
        <f>(0.85*E29) / R$1 -F29</f>
        <v>-4.2145000000000001</v>
      </c>
      <c r="M29" s="128">
        <f>0.85 * E29 / R$1</f>
        <v>0.53549999999999998</v>
      </c>
      <c r="N29" s="128">
        <f>0.85 * (F29 - 1)</f>
        <v>3.1875</v>
      </c>
      <c r="O29" s="129">
        <f xml:space="preserve"> N29 - M29</f>
        <v>2.6520000000000001</v>
      </c>
    </row>
    <row r="30" spans="1:15">
      <c r="A30" s="76" t="s">
        <v>496</v>
      </c>
      <c r="B30" s="68">
        <v>0</v>
      </c>
      <c r="C30" s="71">
        <v>1</v>
      </c>
      <c r="D30" s="71">
        <v>0</v>
      </c>
      <c r="E30" s="69">
        <v>2500000</v>
      </c>
      <c r="F30" s="68">
        <v>7</v>
      </c>
      <c r="G30" s="68"/>
      <c r="H30" s="124">
        <f>(F30-1)*0.85-E30 / $R$1</f>
        <v>2.85</v>
      </c>
      <c r="I30" s="124">
        <f>0.85 * (F30 - 2) - E30 / $R$1</f>
        <v>2.0000000000000004</v>
      </c>
      <c r="J30" s="124">
        <f>0.85 * E30 / R$1 - 0.85 *F30</f>
        <v>-4.0375000000000005</v>
      </c>
      <c r="K30" s="124">
        <f>J30 / F30</f>
        <v>-0.57678571428571435</v>
      </c>
      <c r="L30" s="125">
        <f>(0.85*E30) / R$1 -F30</f>
        <v>-5.0875000000000004</v>
      </c>
      <c r="M30" s="128">
        <f>0.85 * E30 / R$1</f>
        <v>1.9124999999999999</v>
      </c>
      <c r="N30" s="128">
        <f>0.85 * (F30 - 1)</f>
        <v>5.0999999999999996</v>
      </c>
      <c r="O30" s="129">
        <f xml:space="preserve"> N30 - M30</f>
        <v>3.1875</v>
      </c>
    </row>
    <row r="31" spans="1:15">
      <c r="A31" s="71" t="s">
        <v>470</v>
      </c>
      <c r="B31" s="71">
        <v>0</v>
      </c>
      <c r="E31" s="72">
        <v>18000000</v>
      </c>
      <c r="F31" s="71">
        <v>27</v>
      </c>
      <c r="H31" s="124">
        <f>(F31-1)*0.85-E31 / $R$1</f>
        <v>5.8999999999999986</v>
      </c>
      <c r="L31" s="125">
        <f>(0.85*E31) / R$1 -F31</f>
        <v>-13.230000000000002</v>
      </c>
      <c r="N31" s="128">
        <f>0.85 * (F31 - 1)</f>
        <v>22.099999999999998</v>
      </c>
    </row>
    <row r="32" spans="1:15">
      <c r="A32" s="71" t="s">
        <v>484</v>
      </c>
      <c r="B32" s="71">
        <v>0</v>
      </c>
      <c r="E32" s="72">
        <v>8800000</v>
      </c>
      <c r="F32" s="71">
        <v>15</v>
      </c>
      <c r="H32" s="124">
        <f>(F32-1)*0.85-E32 / $R$1</f>
        <v>3.9800000000000013</v>
      </c>
      <c r="L32" s="125">
        <f>(0.85*E32) / R$1 -F32</f>
        <v>-8.2680000000000007</v>
      </c>
    </row>
    <row r="33" spans="1:15">
      <c r="A33" s="71" t="s">
        <v>253</v>
      </c>
      <c r="B33" s="71">
        <v>0</v>
      </c>
      <c r="E33" s="72">
        <v>4250000</v>
      </c>
      <c r="F33" s="71">
        <v>9</v>
      </c>
      <c r="H33" s="124">
        <f>(F33-1)*0.85-E33 / $R$1</f>
        <v>2.9750000000000001</v>
      </c>
      <c r="L33" s="125">
        <f>(0.85*E33) / R$1 -F33</f>
        <v>-5.7487500000000002</v>
      </c>
    </row>
    <row r="34" spans="1:15">
      <c r="A34" s="71" t="s">
        <v>26</v>
      </c>
      <c r="B34" s="71">
        <v>0</v>
      </c>
      <c r="E34" s="72">
        <v>3100000</v>
      </c>
      <c r="F34" s="71">
        <v>7.5</v>
      </c>
      <c r="H34" s="124">
        <f>(F34-1)*0.85-E34 / $R$1</f>
        <v>2.7349999999999999</v>
      </c>
      <c r="L34" s="125">
        <f>(0.85*E34) / R$1 -F34</f>
        <v>-5.1285000000000007</v>
      </c>
      <c r="N34" s="128">
        <f>0.85 * (F34 - 1)</f>
        <v>5.5249999999999995</v>
      </c>
    </row>
    <row r="35" spans="1:15">
      <c r="A35" s="71" t="s">
        <v>490</v>
      </c>
      <c r="B35" s="71">
        <v>0</v>
      </c>
      <c r="E35" s="72">
        <v>30000000</v>
      </c>
      <c r="F35" s="71">
        <v>42</v>
      </c>
      <c r="H35" s="124">
        <f>(F35-1)*0.85-E35 / $R$1</f>
        <v>7.850000000000005</v>
      </c>
      <c r="L35" s="125">
        <f>(0.85*E35) / R$1 -F35</f>
        <v>-19.050000000000004</v>
      </c>
    </row>
    <row r="36" spans="1:15">
      <c r="A36" s="68" t="s">
        <v>40</v>
      </c>
      <c r="B36" s="68">
        <v>0</v>
      </c>
      <c r="C36" s="71">
        <v>11</v>
      </c>
      <c r="D36" s="71">
        <v>1</v>
      </c>
      <c r="E36" s="69">
        <v>1502116</v>
      </c>
      <c r="F36" s="68">
        <v>5</v>
      </c>
      <c r="G36" s="68"/>
      <c r="H36" s="124">
        <f>(F36-1)*0.85-E36 / $R$1</f>
        <v>2.0480955999999999</v>
      </c>
      <c r="I36" s="124">
        <f>0.85 * (F36 - 2) - E36 / $R$1</f>
        <v>1.1980956</v>
      </c>
      <c r="J36" s="124">
        <f>0.85 * E36 / R$1 - 0.85 *F36</f>
        <v>-3.1008812600000004</v>
      </c>
      <c r="K36" s="124">
        <f>J36 / F36</f>
        <v>-0.62017625200000004</v>
      </c>
      <c r="L36" s="125">
        <f>(0.85*E36) / R$1 -F36</f>
        <v>-3.8508812600000004</v>
      </c>
      <c r="M36" s="128">
        <f>0.85 * E36 / R$1</f>
        <v>1.1491187399999998</v>
      </c>
      <c r="N36" s="128">
        <f>0.85 * (F36 - 1)</f>
        <v>3.4</v>
      </c>
      <c r="O36" s="129">
        <f xml:space="preserve"> N36 - M36</f>
        <v>2.2508812599999999</v>
      </c>
    </row>
    <row r="37" spans="1:15">
      <c r="A37" s="76" t="s">
        <v>480</v>
      </c>
      <c r="B37" s="68">
        <v>0</v>
      </c>
      <c r="C37" s="71">
        <v>6</v>
      </c>
      <c r="D37" s="71">
        <v>0</v>
      </c>
      <c r="E37" s="69">
        <v>2400000</v>
      </c>
      <c r="F37" s="68">
        <v>6</v>
      </c>
      <c r="G37" s="68"/>
      <c r="H37" s="124">
        <f>(F37-1)*0.85-E37 / $R$1</f>
        <v>2.0900000000000003</v>
      </c>
      <c r="I37" s="124">
        <f>0.85 * (F37 - 2) - E37 / $R$1</f>
        <v>1.2400000000000002</v>
      </c>
      <c r="J37" s="124">
        <f>0.85 * E37 / R$1 - 0.85 *F37</f>
        <v>-3.2639999999999998</v>
      </c>
      <c r="K37" s="124">
        <f>J37 / F37</f>
        <v>-0.54399999999999993</v>
      </c>
      <c r="L37" s="125">
        <f>(0.85*E37) / R$1 -F37</f>
        <v>-4.1639999999999997</v>
      </c>
      <c r="M37" s="128">
        <f>0.85 * E37 / R$1</f>
        <v>1.8359999999999999</v>
      </c>
      <c r="N37" s="128">
        <f>0.85 * (F37 - 1)</f>
        <v>4.25</v>
      </c>
      <c r="O37" s="129">
        <f xml:space="preserve"> N37 - M37</f>
        <v>2.4140000000000001</v>
      </c>
    </row>
    <row r="38" spans="1:15">
      <c r="A38" s="71" t="s">
        <v>479</v>
      </c>
      <c r="B38" s="71">
        <v>0</v>
      </c>
      <c r="E38" s="72">
        <v>3332835</v>
      </c>
      <c r="F38" s="71">
        <v>7.09</v>
      </c>
      <c r="H38" s="124">
        <f>(F38-1)*0.85-E38 / $R$1</f>
        <v>2.1769485000000004</v>
      </c>
      <c r="L38" s="125">
        <f>(0.85*E38) / R$1 -F38</f>
        <v>-4.540381225</v>
      </c>
    </row>
    <row r="39" spans="1:15">
      <c r="A39" s="71" t="s">
        <v>499</v>
      </c>
      <c r="B39" s="71">
        <v>0</v>
      </c>
      <c r="E39" s="72">
        <v>13333333</v>
      </c>
      <c r="F39" s="71">
        <v>20</v>
      </c>
      <c r="H39" s="124">
        <f>(F39-1)*0.85-E39 / $R$1</f>
        <v>4.1500003000000003</v>
      </c>
      <c r="L39" s="125">
        <f>(0.85*E39) / R$1 -F39</f>
        <v>-9.8000002550000023</v>
      </c>
    </row>
    <row r="40" spans="1:15">
      <c r="A40" s="71" t="s">
        <v>472</v>
      </c>
      <c r="B40" s="71">
        <v>0</v>
      </c>
      <c r="E40" s="72">
        <v>3103627</v>
      </c>
      <c r="F40" s="71">
        <v>6.76</v>
      </c>
      <c r="H40" s="124">
        <f>(F40-1)*0.85-E40 / $R$1</f>
        <v>2.1027357000000002</v>
      </c>
      <c r="J40" s="125">
        <f>0.85 * E40 / R$1 - 0.85 *F40</f>
        <v>-3.3717253450000002</v>
      </c>
      <c r="K40" s="125">
        <f>J40 / F40</f>
        <v>-0.49877593860946751</v>
      </c>
      <c r="L40" s="125">
        <f>(0.85*E40) / R$1 -F40</f>
        <v>-4.3857253450000009</v>
      </c>
      <c r="M40" s="128">
        <f>0.85 * E40 / R$1</f>
        <v>2.3742746549999993</v>
      </c>
      <c r="N40" s="128">
        <f>0.85 * (F40 - 1)</f>
        <v>4.8959999999999999</v>
      </c>
      <c r="O40" s="130">
        <f xml:space="preserve"> N40 - M40</f>
        <v>2.5217253450000006</v>
      </c>
    </row>
    <row r="41" spans="1:15">
      <c r="A41" s="71" t="s">
        <v>464</v>
      </c>
      <c r="B41" s="71">
        <v>0</v>
      </c>
      <c r="E41" s="72">
        <v>1750000</v>
      </c>
      <c r="F41" s="71">
        <v>5</v>
      </c>
      <c r="H41" s="124">
        <f>(F41-1)*0.85-E41 / $R$1</f>
        <v>1.8250000000000002</v>
      </c>
      <c r="L41" s="125">
        <f>(0.85*E41) / R$1 -F41</f>
        <v>-3.6612499999999999</v>
      </c>
      <c r="N41" s="128">
        <f>0.85 * (F41 - 1)</f>
        <v>3.4</v>
      </c>
    </row>
    <row r="42" spans="1:15">
      <c r="A42" s="71" t="s">
        <v>473</v>
      </c>
      <c r="B42" s="71">
        <v>0</v>
      </c>
      <c r="E42" s="72">
        <v>15000000</v>
      </c>
      <c r="F42" s="71">
        <v>22</v>
      </c>
      <c r="H42" s="124">
        <f>(F42-1)*0.85-E42 / $R$1</f>
        <v>4.3499999999999996</v>
      </c>
      <c r="J42" s="125">
        <f>0.85 * E42 / R$1 - 0.85 *F42</f>
        <v>-7.2250000000000014</v>
      </c>
      <c r="K42" s="125">
        <f>J42 / F42</f>
        <v>-0.32840909090909098</v>
      </c>
      <c r="L42" s="125">
        <f>(0.85*E42) / R$1 -F42</f>
        <v>-10.525000000000002</v>
      </c>
      <c r="M42" s="128">
        <f>0.85 * E42 / R$1</f>
        <v>11.474999999999998</v>
      </c>
      <c r="N42" s="128">
        <f>0.85 * (F42 - 1)</f>
        <v>17.849999999999998</v>
      </c>
      <c r="O42" s="130">
        <f xml:space="preserve"> N42 - M42</f>
        <v>6.375</v>
      </c>
    </row>
    <row r="43" spans="1:15">
      <c r="A43" s="71" t="s">
        <v>471</v>
      </c>
      <c r="B43" s="71">
        <v>0</v>
      </c>
      <c r="E43" s="72">
        <v>13500000</v>
      </c>
      <c r="F43" s="71">
        <v>20</v>
      </c>
      <c r="H43" s="124">
        <f>(F43-1)*0.85-E43 / $R$1</f>
        <v>4</v>
      </c>
      <c r="J43" s="125">
        <f>0.85 * E43 / R$1 - 0.85 *F43</f>
        <v>-6.6725000000000012</v>
      </c>
      <c r="K43" s="125">
        <f>J43 / F43</f>
        <v>-0.33362500000000006</v>
      </c>
      <c r="L43" s="125">
        <f>(0.85*E43) / R$1 -F43</f>
        <v>-9.6725000000000012</v>
      </c>
      <c r="M43" s="128">
        <f>0.85 * E43 / R$1</f>
        <v>10.327499999999999</v>
      </c>
      <c r="N43" s="128">
        <f>0.85 * (F43 - 1)</f>
        <v>16.149999999999999</v>
      </c>
      <c r="O43" s="130">
        <f xml:space="preserve"> N43 - M43</f>
        <v>5.8224999999999998</v>
      </c>
    </row>
    <row r="44" spans="1:15">
      <c r="A44" s="71" t="s">
        <v>503</v>
      </c>
      <c r="B44" s="71">
        <v>0</v>
      </c>
      <c r="E44" s="72">
        <v>1000000</v>
      </c>
      <c r="F44" s="71">
        <v>3.75</v>
      </c>
      <c r="H44" s="124">
        <f>(F44-1)*0.85-E44 / $R$1</f>
        <v>1.4375</v>
      </c>
      <c r="L44" s="125">
        <f>(0.85*E44) / R$1 -F44</f>
        <v>-2.9850000000000003</v>
      </c>
    </row>
    <row r="45" spans="1:15">
      <c r="A45" s="71" t="s">
        <v>495</v>
      </c>
      <c r="B45" s="71">
        <v>0</v>
      </c>
      <c r="E45" s="72">
        <v>9700000</v>
      </c>
      <c r="F45" s="71">
        <v>15</v>
      </c>
      <c r="H45" s="124">
        <f>(F45-1)*0.85-E45 / $R$1</f>
        <v>3.1700000000000017</v>
      </c>
      <c r="L45" s="125">
        <f>(0.85*E45) / R$1 -F45</f>
        <v>-7.5795000000000012</v>
      </c>
    </row>
    <row r="46" spans="1:15">
      <c r="A46" s="76" t="s">
        <v>488</v>
      </c>
      <c r="B46" s="76">
        <v>0</v>
      </c>
      <c r="C46" s="71">
        <v>0</v>
      </c>
      <c r="D46" s="71">
        <v>0</v>
      </c>
      <c r="E46" s="69">
        <v>60000000</v>
      </c>
      <c r="F46" s="68">
        <v>80</v>
      </c>
      <c r="G46" s="68"/>
      <c r="H46" s="124">
        <f>(F46-1)*0.85-E46 / $R$1</f>
        <v>13.149999999999999</v>
      </c>
      <c r="I46" s="124">
        <f>0.85 * (F46 - 2) - E46 / $R$1</f>
        <v>12.300000000000004</v>
      </c>
      <c r="J46" s="124">
        <f>0.85 * E46 / R$1 - 0.85 *F46</f>
        <v>-22.100000000000009</v>
      </c>
      <c r="K46" s="124">
        <f>J46 / F46</f>
        <v>-0.27625000000000011</v>
      </c>
      <c r="L46" s="125">
        <f>(0.85*E46) / R$1 -F46</f>
        <v>-34.100000000000009</v>
      </c>
      <c r="M46" s="128">
        <f>0.85 * E46 / R$1</f>
        <v>45.899999999999991</v>
      </c>
      <c r="N46" s="128">
        <f>0.85 * (F46 - 1)</f>
        <v>67.149999999999991</v>
      </c>
      <c r="O46" s="129">
        <f xml:space="preserve"> N46 - M46</f>
        <v>21.25</v>
      </c>
    </row>
    <row r="47" spans="1:15">
      <c r="A47" s="71" t="s">
        <v>463</v>
      </c>
      <c r="B47" s="71">
        <v>0</v>
      </c>
      <c r="E47" s="72">
        <v>1500000</v>
      </c>
      <c r="F47" s="71">
        <v>4</v>
      </c>
      <c r="H47" s="124">
        <f>(F47-1)*0.85-E47 / $R$1</f>
        <v>1.2</v>
      </c>
      <c r="L47" s="125">
        <f>(0.85*E47) / R$1 -F47</f>
        <v>-2.8525</v>
      </c>
      <c r="N47" s="128">
        <f>0.85 * (F47 - 1)</f>
        <v>2.5499999999999998</v>
      </c>
    </row>
    <row r="48" spans="1:15">
      <c r="A48" s="71" t="s">
        <v>468</v>
      </c>
      <c r="B48" s="71">
        <v>0</v>
      </c>
      <c r="E48" s="72">
        <v>500000</v>
      </c>
      <c r="F48" s="71">
        <v>2.7</v>
      </c>
      <c r="H48" s="124">
        <f>(F48-1)*0.85-E48 / $R$1</f>
        <v>0.99500000000000011</v>
      </c>
      <c r="L48" s="125">
        <f>(0.85*E48) / R$1 -F48</f>
        <v>-2.3175000000000003</v>
      </c>
      <c r="N48" s="128">
        <f>0.85 * (F48 - 1)</f>
        <v>1.4450000000000001</v>
      </c>
    </row>
    <row r="49" spans="1:14">
      <c r="A49" s="71" t="s">
        <v>2</v>
      </c>
      <c r="B49" s="71">
        <v>0</v>
      </c>
      <c r="E49" s="72">
        <v>3500000</v>
      </c>
      <c r="F49" s="71">
        <v>6.5</v>
      </c>
      <c r="H49" s="124">
        <f>(F49-1)*0.85-E49 / $R$1</f>
        <v>1.5250000000000004</v>
      </c>
      <c r="L49" s="125">
        <f>(0.85*E49) / R$1 -F49</f>
        <v>-3.8225000000000002</v>
      </c>
    </row>
    <row r="50" spans="1:14">
      <c r="A50" s="71" t="s">
        <v>502</v>
      </c>
      <c r="B50" s="71">
        <v>0</v>
      </c>
      <c r="E50" s="72">
        <v>1600000</v>
      </c>
      <c r="F50" s="71">
        <v>4</v>
      </c>
      <c r="H50" s="124">
        <f>(F50-1)*0.85-E50 / $R$1</f>
        <v>1.1100000000000001</v>
      </c>
      <c r="L50" s="125">
        <f>(0.85*E50) / R$1 -F50</f>
        <v>-2.7760000000000002</v>
      </c>
    </row>
    <row r="51" spans="1:14">
      <c r="A51" s="71" t="s">
        <v>505</v>
      </c>
      <c r="B51" s="71">
        <v>0</v>
      </c>
      <c r="E51" s="72">
        <v>4750000</v>
      </c>
      <c r="F51" s="71">
        <v>8</v>
      </c>
      <c r="H51" s="124">
        <f>(F51-1)*0.85-E51 / $R$1</f>
        <v>1.6750000000000007</v>
      </c>
      <c r="L51" s="125">
        <f>(0.85*E51) / R$1 -F51</f>
        <v>-4.3662500000000009</v>
      </c>
    </row>
    <row r="52" spans="1:14">
      <c r="A52" s="71" t="s">
        <v>491</v>
      </c>
      <c r="B52" s="71">
        <v>0</v>
      </c>
      <c r="E52" s="72">
        <v>2000000</v>
      </c>
      <c r="F52" s="71">
        <v>4.3600000000000003</v>
      </c>
      <c r="H52" s="124">
        <f>(F52-1)*0.85-E52 / $R$1</f>
        <v>1.0560000000000005</v>
      </c>
      <c r="L52" s="125">
        <f>(0.85*E52) / R$1 -F52</f>
        <v>-2.8300000000000005</v>
      </c>
    </row>
    <row r="53" spans="1:14">
      <c r="A53" s="71" t="s">
        <v>177</v>
      </c>
      <c r="B53" s="71">
        <v>0</v>
      </c>
      <c r="E53" s="72">
        <v>680000</v>
      </c>
      <c r="F53" s="71">
        <v>2.5</v>
      </c>
      <c r="H53" s="124">
        <f>(F53-1)*0.85-E53 / $R$1</f>
        <v>0.66300000000000003</v>
      </c>
      <c r="L53" s="125">
        <f>(0.85*E53) / R$1 -F53</f>
        <v>-1.9798</v>
      </c>
    </row>
    <row r="54" spans="1:14">
      <c r="A54" s="71" t="s">
        <v>506</v>
      </c>
      <c r="B54" s="71">
        <v>0</v>
      </c>
      <c r="E54" s="72">
        <v>3400000</v>
      </c>
      <c r="F54" s="71">
        <v>6</v>
      </c>
      <c r="H54" s="124">
        <f>(F54-1)*0.85-E54 / $R$1</f>
        <v>1.1900000000000004</v>
      </c>
      <c r="L54" s="125">
        <f>(0.85*E54) / R$1 -F54</f>
        <v>-3.3990000000000005</v>
      </c>
    </row>
    <row r="55" spans="1:14">
      <c r="A55" s="71" t="s">
        <v>466</v>
      </c>
      <c r="B55" s="71">
        <v>0</v>
      </c>
      <c r="E55" s="72">
        <v>5000000</v>
      </c>
      <c r="F55" s="71">
        <v>8</v>
      </c>
      <c r="H55" s="124">
        <f>(F55-1)*0.85-E55 / $R$1</f>
        <v>1.4500000000000011</v>
      </c>
      <c r="L55" s="125">
        <f>(0.85*E55) / R$1 -F55</f>
        <v>-4.1750000000000007</v>
      </c>
      <c r="N55" s="128">
        <f>0.85 * (F55 - 1)</f>
        <v>5.95</v>
      </c>
    </row>
    <row r="56" spans="1:14">
      <c r="A56" s="71" t="s">
        <v>465</v>
      </c>
      <c r="B56" s="71">
        <v>0</v>
      </c>
      <c r="E56" s="72">
        <v>30500000</v>
      </c>
      <c r="F56" s="71">
        <v>41</v>
      </c>
      <c r="H56" s="124">
        <f>(F56-1)*0.85-E56 / $R$1</f>
        <v>6.5500000000000043</v>
      </c>
      <c r="L56" s="125">
        <f>(0.85*E56) / R$1 -F56</f>
        <v>-17.667500000000004</v>
      </c>
      <c r="N56" s="128">
        <f>0.85 * (F56 - 1)</f>
        <v>34</v>
      </c>
    </row>
    <row r="57" spans="1:14">
      <c r="A57" s="71" t="s">
        <v>478</v>
      </c>
      <c r="B57" s="71">
        <v>0</v>
      </c>
      <c r="E57" s="72">
        <v>12000000</v>
      </c>
      <c r="F57" s="71">
        <v>17</v>
      </c>
      <c r="H57" s="124">
        <f>(F57-1)*0.85-E57 / $R$1</f>
        <v>2.8000000000000007</v>
      </c>
      <c r="L57" s="125">
        <f>(0.85*E57) / R$1 -F57</f>
        <v>-7.82</v>
      </c>
    </row>
    <row r="58" spans="1:14">
      <c r="A58" s="71" t="s">
        <v>489</v>
      </c>
      <c r="B58" s="71">
        <v>0</v>
      </c>
      <c r="E58" s="72">
        <v>13500000</v>
      </c>
      <c r="F58" s="71">
        <v>18.899999999999999</v>
      </c>
      <c r="H58" s="124">
        <f>(F58-1)*0.85-E58 / $R$1</f>
        <v>3.0649999999999995</v>
      </c>
      <c r="L58" s="125">
        <f>(0.85*E58) / R$1 -F58</f>
        <v>-8.5724999999999998</v>
      </c>
    </row>
    <row r="59" spans="1:14">
      <c r="A59" s="71" t="s">
        <v>487</v>
      </c>
      <c r="B59" s="71">
        <v>0</v>
      </c>
      <c r="E59" s="72">
        <v>6000000</v>
      </c>
      <c r="F59" s="71">
        <v>9</v>
      </c>
      <c r="H59" s="124">
        <f>(F59-1)*0.85-E59 / $R$1</f>
        <v>1.4000000000000004</v>
      </c>
      <c r="L59" s="125">
        <f>(0.85*E59) / R$1 -F59</f>
        <v>-4.41</v>
      </c>
    </row>
    <row r="60" spans="1:14">
      <c r="A60" s="71" t="s">
        <v>500</v>
      </c>
      <c r="B60" s="71">
        <v>0</v>
      </c>
      <c r="E60" s="72">
        <v>1000000</v>
      </c>
      <c r="F60" s="71">
        <v>2</v>
      </c>
      <c r="H60" s="124">
        <f>(F60-1)*0.85-E60 / $R$1</f>
        <v>-4.9999999999999933E-2</v>
      </c>
      <c r="L60" s="125">
        <f>(0.85*E60) / R$1 -F60</f>
        <v>-1.2350000000000001</v>
      </c>
    </row>
    <row r="61" spans="1:14">
      <c r="A61" s="71" t="s">
        <v>188</v>
      </c>
      <c r="B61" s="71">
        <v>0</v>
      </c>
      <c r="E61" s="72">
        <v>5000000</v>
      </c>
      <c r="F61" s="71">
        <v>7</v>
      </c>
      <c r="H61" s="124">
        <f>(F61-1)*0.85-E61 / $R$1</f>
        <v>0.60000000000000053</v>
      </c>
      <c r="L61" s="125">
        <f>(0.85*E61) / R$1 -F61</f>
        <v>-3.1750000000000003</v>
      </c>
    </row>
    <row r="62" spans="1:14">
      <c r="A62" s="71" t="s">
        <v>497</v>
      </c>
      <c r="B62" s="71">
        <v>0</v>
      </c>
      <c r="E62" s="72">
        <v>5000000</v>
      </c>
      <c r="F62" s="71">
        <v>7</v>
      </c>
      <c r="H62" s="124">
        <f>(F62-1)*0.85-E62 / $R$1</f>
        <v>0.60000000000000053</v>
      </c>
      <c r="L62" s="125">
        <f>(0.85*E62) / R$1 -F62</f>
        <v>-3.1750000000000003</v>
      </c>
    </row>
    <row r="63" spans="1:14">
      <c r="A63" s="71" t="s">
        <v>507</v>
      </c>
      <c r="B63" s="71">
        <v>0</v>
      </c>
      <c r="E63" s="72">
        <v>30000000</v>
      </c>
      <c r="F63" s="71">
        <v>38</v>
      </c>
      <c r="H63" s="124">
        <f>(F63-1)*0.85-E63 / $R$1</f>
        <v>4.4500000000000028</v>
      </c>
      <c r="L63" s="125">
        <f>(0.85*E63) / R$1 -F63</f>
        <v>-15.050000000000004</v>
      </c>
      <c r="N63" s="128">
        <f>0.85 * (F63 - 1)</f>
        <v>31.45</v>
      </c>
    </row>
    <row r="64" spans="1:14">
      <c r="A64" s="71" t="s">
        <v>481</v>
      </c>
      <c r="B64" s="71">
        <v>0</v>
      </c>
      <c r="E64" s="72">
        <v>39000000</v>
      </c>
      <c r="F64" s="71">
        <v>48.5</v>
      </c>
      <c r="H64" s="124">
        <f>(F64-1)*0.85-E64 / $R$1</f>
        <v>5.2750000000000057</v>
      </c>
      <c r="L64" s="125">
        <f>(0.85*E64) / R$1 -F64</f>
        <v>-18.665000000000003</v>
      </c>
    </row>
    <row r="65" spans="1:15">
      <c r="A65" s="71" t="s">
        <v>486</v>
      </c>
      <c r="B65" s="71">
        <v>0</v>
      </c>
      <c r="E65" s="72">
        <v>9500000</v>
      </c>
      <c r="F65" s="71">
        <v>10</v>
      </c>
      <c r="H65" s="124">
        <f>(F65-1)*0.85-E65 / $R$1</f>
        <v>-0.89999999999999947</v>
      </c>
      <c r="L65" s="125">
        <f>(0.85*E65) / R$1 -F65</f>
        <v>-2.7325000000000008</v>
      </c>
    </row>
    <row r="66" spans="1:15" hidden="1">
      <c r="A66" s="71" t="s">
        <v>374</v>
      </c>
      <c r="B66" s="71">
        <v>1</v>
      </c>
      <c r="C66" s="71">
        <v>0</v>
      </c>
      <c r="D66" s="71">
        <v>0</v>
      </c>
      <c r="E66" s="72">
        <v>1850188</v>
      </c>
      <c r="F66" s="71">
        <v>4.33</v>
      </c>
      <c r="H66" s="125">
        <f t="shared" ref="H66:H86" si="0">(F66)*0.7225-E66/$R$1</f>
        <v>1.4632558000000002</v>
      </c>
      <c r="I66" s="125">
        <f t="shared" ref="I66:I97" si="1">0.7225 * (F66) - E66 / $R$1</f>
        <v>1.4632558000000002</v>
      </c>
      <c r="J66" s="124">
        <f t="shared" ref="J59:J90" si="2">0.85 * E66 / R$1 - 0.85 *F66</f>
        <v>-2.2651061800000001</v>
      </c>
      <c r="K66" s="124">
        <f t="shared" ref="K59:K90" si="3">J66 / F66</f>
        <v>-0.52311921016166285</v>
      </c>
      <c r="L66" s="123">
        <f t="shared" ref="L66:L97" si="4">(0.85*E66) / R$1 -F66</f>
        <v>-2.9146061800000003</v>
      </c>
      <c r="M66" s="128">
        <f t="shared" ref="M59:M90" si="5">0.85 * E66 / R$1</f>
        <v>1.4153938199999998</v>
      </c>
      <c r="N66" s="128">
        <f t="shared" ref="N55:N86" si="6">0.85 * (F66 - 1)</f>
        <v>2.8304999999999998</v>
      </c>
      <c r="O66" s="130">
        <f t="shared" ref="O59:O90" si="7" xml:space="preserve"> N66 - M66</f>
        <v>1.41510618</v>
      </c>
    </row>
    <row r="67" spans="1:15" hidden="1">
      <c r="A67" s="71" t="s">
        <v>375</v>
      </c>
      <c r="B67" s="71">
        <v>1</v>
      </c>
      <c r="C67" s="71">
        <v>0</v>
      </c>
      <c r="D67" s="71">
        <v>0</v>
      </c>
      <c r="E67" s="72">
        <v>3975222</v>
      </c>
      <c r="F67" s="71">
        <v>8.5</v>
      </c>
      <c r="H67" s="125">
        <f t="shared" si="0"/>
        <v>2.5635502000000008</v>
      </c>
      <c r="I67" s="125">
        <f t="shared" si="1"/>
        <v>2.5635502000000008</v>
      </c>
      <c r="J67" s="124">
        <f t="shared" si="2"/>
        <v>-4.1839551700000008</v>
      </c>
      <c r="K67" s="124">
        <f t="shared" si="3"/>
        <v>-0.4922300200000001</v>
      </c>
      <c r="L67" s="123">
        <f t="shared" si="4"/>
        <v>-5.4589551700000012</v>
      </c>
      <c r="M67" s="128">
        <f t="shared" si="5"/>
        <v>3.0410448299999993</v>
      </c>
      <c r="N67" s="128">
        <f t="shared" si="6"/>
        <v>6.375</v>
      </c>
      <c r="O67" s="130">
        <f t="shared" si="7"/>
        <v>3.3339551700000007</v>
      </c>
    </row>
    <row r="68" spans="1:15" hidden="1">
      <c r="A68" s="71" t="s">
        <v>376</v>
      </c>
      <c r="B68" s="71">
        <v>1</v>
      </c>
      <c r="C68" s="71">
        <v>0</v>
      </c>
      <c r="D68" s="71">
        <v>0</v>
      </c>
      <c r="E68" s="72">
        <v>883130</v>
      </c>
      <c r="F68" s="71">
        <v>2.33</v>
      </c>
      <c r="H68" s="125">
        <f t="shared" si="0"/>
        <v>0.88860800000000029</v>
      </c>
      <c r="I68" s="125">
        <f t="shared" si="1"/>
        <v>0.88860800000000029</v>
      </c>
      <c r="J68" s="124">
        <f t="shared" si="2"/>
        <v>-1.30490555</v>
      </c>
      <c r="K68" s="124">
        <f t="shared" si="3"/>
        <v>-0.56004530042918454</v>
      </c>
      <c r="L68" s="123">
        <f t="shared" si="4"/>
        <v>-1.6544055500000001</v>
      </c>
      <c r="M68" s="128">
        <f t="shared" si="5"/>
        <v>0.67559444999999996</v>
      </c>
      <c r="N68" s="128">
        <f t="shared" si="6"/>
        <v>1.1305000000000001</v>
      </c>
      <c r="O68" s="130">
        <f t="shared" si="7"/>
        <v>0.4549055500000001</v>
      </c>
    </row>
    <row r="69" spans="1:15" hidden="1">
      <c r="A69" s="71" t="s">
        <v>377</v>
      </c>
      <c r="B69" s="71">
        <v>1</v>
      </c>
      <c r="C69" s="71">
        <v>0</v>
      </c>
      <c r="D69" s="71">
        <v>0</v>
      </c>
      <c r="E69" s="72">
        <v>1170062</v>
      </c>
      <c r="F69" s="71">
        <v>2.1</v>
      </c>
      <c r="H69" s="125">
        <f t="shared" si="0"/>
        <v>0.46419420000000033</v>
      </c>
      <c r="I69" s="125">
        <f t="shared" si="1"/>
        <v>0.46419420000000033</v>
      </c>
      <c r="J69" s="124">
        <f t="shared" si="2"/>
        <v>-0.88990257000000006</v>
      </c>
      <c r="K69" s="124">
        <f t="shared" si="3"/>
        <v>-0.42376312857142856</v>
      </c>
      <c r="L69" s="123">
        <f t="shared" si="4"/>
        <v>-1.2049025700000002</v>
      </c>
      <c r="M69" s="128">
        <f t="shared" si="5"/>
        <v>0.89509742999999986</v>
      </c>
      <c r="N69" s="128">
        <f t="shared" si="6"/>
        <v>0.93500000000000005</v>
      </c>
      <c r="O69" s="130">
        <f t="shared" si="7"/>
        <v>3.9902570000000193E-2</v>
      </c>
    </row>
    <row r="70" spans="1:15" hidden="1">
      <c r="A70" s="71" t="s">
        <v>378</v>
      </c>
      <c r="B70" s="71">
        <v>1</v>
      </c>
      <c r="C70" s="71">
        <v>0</v>
      </c>
      <c r="D70" s="71">
        <v>0</v>
      </c>
      <c r="E70" s="72">
        <v>1000114</v>
      </c>
      <c r="F70" s="71">
        <v>2.46</v>
      </c>
      <c r="H70" s="125">
        <f t="shared" si="0"/>
        <v>0.87724740000000012</v>
      </c>
      <c r="I70" s="125">
        <f t="shared" si="1"/>
        <v>0.87724740000000012</v>
      </c>
      <c r="J70" s="124">
        <f t="shared" si="2"/>
        <v>-1.3259127899999998</v>
      </c>
      <c r="K70" s="124">
        <f t="shared" si="3"/>
        <v>-0.53898893902439016</v>
      </c>
      <c r="L70" s="123">
        <f t="shared" si="4"/>
        <v>-1.6949127900000001</v>
      </c>
      <c r="M70" s="128">
        <f t="shared" si="5"/>
        <v>0.76508720999999991</v>
      </c>
      <c r="N70" s="128">
        <f t="shared" si="6"/>
        <v>1.2409999999999999</v>
      </c>
      <c r="O70" s="130">
        <f t="shared" si="7"/>
        <v>0.47591278999999997</v>
      </c>
    </row>
    <row r="71" spans="1:15" hidden="1">
      <c r="A71" s="71" t="s">
        <v>379</v>
      </c>
      <c r="B71" s="71">
        <v>1</v>
      </c>
      <c r="C71" s="71">
        <v>0</v>
      </c>
      <c r="D71" s="71">
        <v>0</v>
      </c>
      <c r="E71" s="72">
        <v>2489998</v>
      </c>
      <c r="F71" s="71">
        <v>5.9</v>
      </c>
      <c r="H71" s="125">
        <f t="shared" si="0"/>
        <v>2.0217518000000005</v>
      </c>
      <c r="I71" s="125">
        <f t="shared" si="1"/>
        <v>2.0217518000000005</v>
      </c>
      <c r="J71" s="124">
        <f t="shared" si="2"/>
        <v>-3.1101515300000009</v>
      </c>
      <c r="K71" s="124">
        <f t="shared" si="3"/>
        <v>-0.52714432711864423</v>
      </c>
      <c r="L71" s="123">
        <f t="shared" si="4"/>
        <v>-3.9951515300000007</v>
      </c>
      <c r="M71" s="128">
        <f t="shared" si="5"/>
        <v>1.9048484699999997</v>
      </c>
      <c r="N71" s="128">
        <f t="shared" si="6"/>
        <v>4.165</v>
      </c>
      <c r="O71" s="130">
        <f t="shared" si="7"/>
        <v>2.2601515300000004</v>
      </c>
    </row>
    <row r="72" spans="1:15" hidden="1">
      <c r="A72" s="71" t="s">
        <v>380</v>
      </c>
      <c r="B72" s="71">
        <v>1</v>
      </c>
      <c r="C72" s="71">
        <v>0</v>
      </c>
      <c r="D72" s="71">
        <v>0</v>
      </c>
      <c r="E72" s="72">
        <v>606573</v>
      </c>
      <c r="F72" s="71">
        <v>1.98</v>
      </c>
      <c r="H72" s="125">
        <f t="shared" si="0"/>
        <v>0.8846343000000001</v>
      </c>
      <c r="I72" s="125">
        <f t="shared" si="1"/>
        <v>0.8846343000000001</v>
      </c>
      <c r="J72" s="124">
        <f t="shared" si="2"/>
        <v>-1.218971655</v>
      </c>
      <c r="K72" s="124">
        <f t="shared" si="3"/>
        <v>-0.61564225000000006</v>
      </c>
      <c r="L72" s="123">
        <f t="shared" si="4"/>
        <v>-1.515971655</v>
      </c>
      <c r="M72" s="128">
        <f t="shared" si="5"/>
        <v>0.46402834499999995</v>
      </c>
      <c r="N72" s="128">
        <f t="shared" si="6"/>
        <v>0.83299999999999996</v>
      </c>
      <c r="O72" s="130">
        <f t="shared" si="7"/>
        <v>0.36897165500000001</v>
      </c>
    </row>
    <row r="73" spans="1:15" ht="13.5" hidden="1" customHeight="1">
      <c r="A73" s="71" t="s">
        <v>381</v>
      </c>
      <c r="B73" s="71">
        <v>1</v>
      </c>
      <c r="C73" s="71">
        <v>0</v>
      </c>
      <c r="D73" s="71">
        <v>0</v>
      </c>
      <c r="E73" s="72">
        <v>600000</v>
      </c>
      <c r="F73" s="71">
        <v>1.92</v>
      </c>
      <c r="H73" s="125">
        <f t="shared" si="0"/>
        <v>0.84720000000000006</v>
      </c>
      <c r="I73" s="125">
        <f t="shared" si="1"/>
        <v>0.84720000000000006</v>
      </c>
      <c r="J73" s="124">
        <f t="shared" si="2"/>
        <v>-1.173</v>
      </c>
      <c r="K73" s="124">
        <f t="shared" si="3"/>
        <v>-0.61093750000000002</v>
      </c>
      <c r="L73" s="123">
        <f t="shared" si="4"/>
        <v>-1.4609999999999999</v>
      </c>
      <c r="M73" s="128">
        <f t="shared" si="5"/>
        <v>0.45899999999999996</v>
      </c>
      <c r="N73" s="128">
        <f t="shared" si="6"/>
        <v>0.78199999999999992</v>
      </c>
      <c r="O73" s="130">
        <f t="shared" si="7"/>
        <v>0.32299999999999995</v>
      </c>
    </row>
    <row r="74" spans="1:15" hidden="1">
      <c r="A74" s="71" t="s">
        <v>382</v>
      </c>
      <c r="B74" s="71">
        <v>1</v>
      </c>
      <c r="C74" s="71">
        <v>0</v>
      </c>
      <c r="D74" s="71">
        <v>0</v>
      </c>
      <c r="E74" s="72">
        <v>1249508</v>
      </c>
      <c r="F74" s="71">
        <v>2.62</v>
      </c>
      <c r="H74" s="125">
        <f t="shared" si="0"/>
        <v>0.76839280000000021</v>
      </c>
      <c r="I74" s="125">
        <f t="shared" si="1"/>
        <v>0.76839280000000021</v>
      </c>
      <c r="J74" s="124">
        <f t="shared" si="2"/>
        <v>-1.2711263799999999</v>
      </c>
      <c r="K74" s="124">
        <f t="shared" si="3"/>
        <v>-0.48516274045801522</v>
      </c>
      <c r="L74" s="123">
        <f t="shared" si="4"/>
        <v>-1.6641263800000001</v>
      </c>
      <c r="M74" s="128">
        <f t="shared" si="5"/>
        <v>0.95587361999999998</v>
      </c>
      <c r="N74" s="128">
        <f t="shared" si="6"/>
        <v>1.377</v>
      </c>
      <c r="O74" s="130">
        <f t="shared" si="7"/>
        <v>0.42112638000000002</v>
      </c>
    </row>
    <row r="75" spans="1:15" hidden="1">
      <c r="A75" s="71" t="s">
        <v>383</v>
      </c>
      <c r="B75" s="71">
        <v>1</v>
      </c>
      <c r="C75" s="71">
        <v>0</v>
      </c>
      <c r="D75" s="71">
        <v>0</v>
      </c>
      <c r="E75" s="72">
        <v>4905218</v>
      </c>
      <c r="F75" s="71">
        <v>8.8800000000000008</v>
      </c>
      <c r="H75" s="125">
        <f t="shared" si="0"/>
        <v>2.001103800000001</v>
      </c>
      <c r="I75" s="125">
        <f t="shared" si="1"/>
        <v>2.001103800000001</v>
      </c>
      <c r="J75" s="124">
        <f t="shared" si="2"/>
        <v>-3.7955082300000007</v>
      </c>
      <c r="K75" s="124">
        <f t="shared" si="3"/>
        <v>-0.42742209797297304</v>
      </c>
      <c r="L75" s="123">
        <f t="shared" si="4"/>
        <v>-5.1275082300000019</v>
      </c>
      <c r="M75" s="128">
        <f t="shared" si="5"/>
        <v>3.7524917699999993</v>
      </c>
      <c r="N75" s="128">
        <f t="shared" si="6"/>
        <v>6.6980000000000004</v>
      </c>
      <c r="O75" s="130">
        <f t="shared" si="7"/>
        <v>2.9455082300000011</v>
      </c>
    </row>
    <row r="76" spans="1:15" hidden="1">
      <c r="A76" s="71" t="s">
        <v>384</v>
      </c>
      <c r="B76" s="71">
        <v>1</v>
      </c>
      <c r="C76" s="71">
        <v>0</v>
      </c>
      <c r="D76" s="71">
        <v>0</v>
      </c>
      <c r="E76" s="72">
        <v>2395673</v>
      </c>
      <c r="F76" s="71">
        <v>4.7300000000000004</v>
      </c>
      <c r="H76" s="125">
        <f t="shared" si="0"/>
        <v>1.2613193000000007</v>
      </c>
      <c r="I76" s="125">
        <f t="shared" si="1"/>
        <v>1.2613193000000007</v>
      </c>
      <c r="J76" s="124">
        <f t="shared" si="2"/>
        <v>-2.1878101550000002</v>
      </c>
      <c r="K76" s="124">
        <f t="shared" si="3"/>
        <v>-0.46253914482029601</v>
      </c>
      <c r="L76" s="123">
        <f t="shared" si="4"/>
        <v>-2.8973101550000004</v>
      </c>
      <c r="M76" s="128">
        <f t="shared" si="5"/>
        <v>1.8326898449999998</v>
      </c>
      <c r="N76" s="128">
        <f t="shared" si="6"/>
        <v>3.1705000000000001</v>
      </c>
      <c r="O76" s="130">
        <f t="shared" si="7"/>
        <v>1.3378101550000003</v>
      </c>
    </row>
    <row r="77" spans="1:15" hidden="1">
      <c r="A77" s="71" t="s">
        <v>385</v>
      </c>
      <c r="B77" s="71">
        <v>1</v>
      </c>
      <c r="C77" s="71">
        <v>0</v>
      </c>
      <c r="D77" s="71">
        <v>0</v>
      </c>
      <c r="E77" s="72">
        <v>1461963</v>
      </c>
      <c r="F77" s="71">
        <v>2.99</v>
      </c>
      <c r="H77" s="125">
        <f t="shared" si="0"/>
        <v>0.84450830000000043</v>
      </c>
      <c r="I77" s="125">
        <f t="shared" si="1"/>
        <v>0.84450830000000043</v>
      </c>
      <c r="J77" s="124">
        <f t="shared" si="2"/>
        <v>-1.4230983050000001</v>
      </c>
      <c r="K77" s="124">
        <f t="shared" si="3"/>
        <v>-0.47595261036789299</v>
      </c>
      <c r="L77" s="123">
        <f t="shared" si="4"/>
        <v>-1.8715983050000002</v>
      </c>
      <c r="M77" s="128">
        <f t="shared" si="5"/>
        <v>1.118401695</v>
      </c>
      <c r="N77" s="128">
        <f t="shared" si="6"/>
        <v>1.6915000000000002</v>
      </c>
      <c r="O77" s="130">
        <f t="shared" si="7"/>
        <v>0.57309830500000025</v>
      </c>
    </row>
    <row r="78" spans="1:15" hidden="1">
      <c r="A78" s="71" t="s">
        <v>368</v>
      </c>
      <c r="B78" s="71">
        <v>1</v>
      </c>
      <c r="C78" s="71">
        <v>0</v>
      </c>
      <c r="D78" s="71">
        <v>0</v>
      </c>
      <c r="E78" s="72">
        <v>2094761</v>
      </c>
      <c r="F78" s="71">
        <v>3.1</v>
      </c>
      <c r="G78" s="125">
        <f>(F78)*0.7225-0.88 * E78/$R$1</f>
        <v>0.58069928800000059</v>
      </c>
      <c r="H78" s="125">
        <f t="shared" si="0"/>
        <v>0.35446510000000053</v>
      </c>
      <c r="I78" s="125">
        <f t="shared" si="1"/>
        <v>0.35446510000000053</v>
      </c>
      <c r="J78" s="124">
        <f t="shared" si="2"/>
        <v>-1.0325078350000001</v>
      </c>
      <c r="K78" s="124">
        <f t="shared" si="3"/>
        <v>-0.33306704354838712</v>
      </c>
      <c r="L78" s="123">
        <f t="shared" si="4"/>
        <v>-1.4975078350000004</v>
      </c>
      <c r="M78" s="128">
        <f t="shared" si="5"/>
        <v>1.6024921649999997</v>
      </c>
      <c r="N78" s="128">
        <f t="shared" si="6"/>
        <v>1.7849999999999999</v>
      </c>
      <c r="O78" s="130">
        <f t="shared" si="7"/>
        <v>0.18250783500000023</v>
      </c>
    </row>
    <row r="79" spans="1:15" hidden="1">
      <c r="A79" s="71" t="s">
        <v>369</v>
      </c>
      <c r="B79" s="71">
        <v>1</v>
      </c>
      <c r="C79" s="71">
        <v>0</v>
      </c>
      <c r="D79" s="71">
        <v>0</v>
      </c>
      <c r="E79" s="72">
        <v>2372824</v>
      </c>
      <c r="F79" s="71">
        <v>3.95</v>
      </c>
      <c r="G79" s="125">
        <f>(F79)*0.7225-0.88 * E79/$R$1</f>
        <v>0.97459839200000054</v>
      </c>
      <c r="H79" s="125">
        <f t="shared" si="0"/>
        <v>0.71833340000000057</v>
      </c>
      <c r="I79" s="125">
        <f t="shared" si="1"/>
        <v>0.71833340000000057</v>
      </c>
      <c r="J79" s="124">
        <f t="shared" si="2"/>
        <v>-1.5422896400000001</v>
      </c>
      <c r="K79" s="124">
        <f t="shared" si="3"/>
        <v>-0.39045307341772151</v>
      </c>
      <c r="L79" s="123">
        <f t="shared" si="4"/>
        <v>-2.1347896400000002</v>
      </c>
      <c r="M79" s="128">
        <f t="shared" si="5"/>
        <v>1.8152103599999998</v>
      </c>
      <c r="N79" s="128">
        <f t="shared" si="6"/>
        <v>2.5075000000000003</v>
      </c>
      <c r="O79" s="130">
        <f t="shared" si="7"/>
        <v>0.69228964000000048</v>
      </c>
    </row>
    <row r="80" spans="1:15" hidden="1">
      <c r="A80" s="71" t="s">
        <v>370</v>
      </c>
      <c r="B80" s="71">
        <v>1</v>
      </c>
      <c r="C80" s="71">
        <v>0</v>
      </c>
      <c r="D80" s="71">
        <v>0</v>
      </c>
      <c r="E80" s="72">
        <v>2051423</v>
      </c>
      <c r="F80" s="71">
        <v>3.39</v>
      </c>
      <c r="G80" s="125">
        <f>(F80)*0.7225-0.88 * E80/$R$1</f>
        <v>0.82454798400000029</v>
      </c>
      <c r="H80" s="125">
        <f t="shared" si="0"/>
        <v>0.60299430000000021</v>
      </c>
      <c r="I80" s="125">
        <f t="shared" si="1"/>
        <v>0.60299430000000021</v>
      </c>
      <c r="J80" s="124">
        <f t="shared" si="2"/>
        <v>-1.3121614050000001</v>
      </c>
      <c r="K80" s="124">
        <f t="shared" si="3"/>
        <v>-0.38706826106194692</v>
      </c>
      <c r="L80" s="123">
        <f t="shared" si="4"/>
        <v>-1.8206614050000003</v>
      </c>
      <c r="M80" s="128">
        <f t="shared" si="5"/>
        <v>1.5693385949999998</v>
      </c>
      <c r="N80" s="128">
        <f t="shared" si="6"/>
        <v>2.0314999999999999</v>
      </c>
      <c r="O80" s="130">
        <f t="shared" si="7"/>
        <v>0.46216140500000003</v>
      </c>
    </row>
    <row r="81" spans="1:15" hidden="1">
      <c r="A81" s="71" t="s">
        <v>371</v>
      </c>
      <c r="B81" s="71">
        <v>1</v>
      </c>
      <c r="C81" s="71">
        <v>0</v>
      </c>
      <c r="D81" s="71">
        <v>0</v>
      </c>
      <c r="E81" s="72">
        <v>2123376</v>
      </c>
      <c r="F81" s="71">
        <v>3.05</v>
      </c>
      <c r="G81" s="125">
        <f>(F81)*0.7225-0.88 * E81/$R$1</f>
        <v>0.52191120800000035</v>
      </c>
      <c r="H81" s="125">
        <f t="shared" si="0"/>
        <v>0.29258660000000036</v>
      </c>
      <c r="I81" s="125">
        <f t="shared" si="1"/>
        <v>0.29258660000000036</v>
      </c>
      <c r="J81" s="124">
        <f t="shared" si="2"/>
        <v>-0.96811736000000015</v>
      </c>
      <c r="K81" s="124">
        <f t="shared" si="3"/>
        <v>-0.31741552786885252</v>
      </c>
      <c r="L81" s="123">
        <f t="shared" si="4"/>
        <v>-1.4256173600000002</v>
      </c>
      <c r="M81" s="128">
        <f t="shared" si="5"/>
        <v>1.6243826399999997</v>
      </c>
      <c r="N81" s="128">
        <f t="shared" si="6"/>
        <v>1.7424999999999997</v>
      </c>
      <c r="O81" s="130">
        <f t="shared" si="7"/>
        <v>0.11811736000000006</v>
      </c>
    </row>
    <row r="82" spans="1:15" hidden="1">
      <c r="A82" s="71" t="s">
        <v>372</v>
      </c>
      <c r="B82" s="71">
        <v>1</v>
      </c>
      <c r="C82" s="71">
        <v>0</v>
      </c>
      <c r="D82" s="71">
        <v>0</v>
      </c>
      <c r="E82" s="72">
        <v>1000000</v>
      </c>
      <c r="F82" s="71">
        <v>1.68</v>
      </c>
      <c r="G82" s="125"/>
      <c r="H82" s="125">
        <f t="shared" si="0"/>
        <v>0.31380000000000008</v>
      </c>
      <c r="I82" s="125">
        <f t="shared" si="1"/>
        <v>0.31380000000000008</v>
      </c>
      <c r="J82" s="124">
        <f t="shared" si="2"/>
        <v>-0.66300000000000003</v>
      </c>
      <c r="K82" s="124">
        <f t="shared" si="3"/>
        <v>-0.39464285714285718</v>
      </c>
      <c r="L82" s="123">
        <f t="shared" si="4"/>
        <v>-0.91500000000000004</v>
      </c>
      <c r="M82" s="128">
        <f t="shared" si="5"/>
        <v>0.7649999999999999</v>
      </c>
      <c r="N82" s="128">
        <f t="shared" si="6"/>
        <v>0.57799999999999996</v>
      </c>
      <c r="O82" s="130">
        <f t="shared" si="7"/>
        <v>-0.18699999999999994</v>
      </c>
    </row>
    <row r="83" spans="1:15" hidden="1">
      <c r="A83" s="71" t="s">
        <v>364</v>
      </c>
      <c r="B83" s="71">
        <v>1</v>
      </c>
      <c r="C83" s="71">
        <v>0</v>
      </c>
      <c r="D83" s="71">
        <v>0</v>
      </c>
      <c r="E83" s="72">
        <v>4972281</v>
      </c>
      <c r="F83" s="71">
        <v>8.7799999999999994</v>
      </c>
      <c r="G83" s="125">
        <f>(F83)*0.7225-0.88 * E83/$R$1</f>
        <v>2.4055034479999997</v>
      </c>
      <c r="H83" s="125">
        <f t="shared" si="0"/>
        <v>1.8684970999999999</v>
      </c>
      <c r="I83" s="125">
        <f t="shared" si="1"/>
        <v>1.8684970999999999</v>
      </c>
      <c r="J83" s="124">
        <f t="shared" si="2"/>
        <v>-3.6592050349999998</v>
      </c>
      <c r="K83" s="124">
        <f t="shared" si="3"/>
        <v>-0.41676594931662869</v>
      </c>
      <c r="L83" s="123">
        <f t="shared" si="4"/>
        <v>-4.9762050349999996</v>
      </c>
      <c r="M83" s="128">
        <f t="shared" si="5"/>
        <v>3.8037949649999994</v>
      </c>
      <c r="N83" s="128">
        <f t="shared" si="6"/>
        <v>6.6129999999999995</v>
      </c>
      <c r="O83" s="130">
        <f t="shared" si="7"/>
        <v>2.8092050350000002</v>
      </c>
    </row>
    <row r="84" spans="1:15" hidden="1">
      <c r="A84" s="71" t="s">
        <v>365</v>
      </c>
      <c r="B84" s="71">
        <v>1</v>
      </c>
      <c r="C84" s="71">
        <v>0</v>
      </c>
      <c r="D84" s="71">
        <v>0</v>
      </c>
      <c r="E84" s="72">
        <v>5959896</v>
      </c>
      <c r="F84" s="71">
        <v>12.09</v>
      </c>
      <c r="G84" s="125">
        <f>(F84)*0.7225-0.88 * E84/$R$1</f>
        <v>4.0147873680000004</v>
      </c>
      <c r="H84" s="125">
        <f t="shared" si="0"/>
        <v>3.3711186000000009</v>
      </c>
      <c r="I84" s="125">
        <f t="shared" si="1"/>
        <v>3.3711186000000009</v>
      </c>
      <c r="J84" s="124">
        <f t="shared" si="2"/>
        <v>-5.7171795600000017</v>
      </c>
      <c r="K84" s="124">
        <f t="shared" si="3"/>
        <v>-0.47288499255583144</v>
      </c>
      <c r="L84" s="123">
        <f t="shared" si="4"/>
        <v>-7.5306795600000012</v>
      </c>
      <c r="M84" s="128">
        <f t="shared" si="5"/>
        <v>4.5593204399999987</v>
      </c>
      <c r="N84" s="128">
        <f t="shared" si="6"/>
        <v>9.426499999999999</v>
      </c>
      <c r="O84" s="130">
        <f t="shared" si="7"/>
        <v>4.8671795600000003</v>
      </c>
    </row>
    <row r="85" spans="1:15" hidden="1">
      <c r="A85" s="71" t="s">
        <v>366</v>
      </c>
      <c r="B85" s="71">
        <v>1</v>
      </c>
      <c r="C85" s="71">
        <v>0</v>
      </c>
      <c r="D85" s="71">
        <v>0</v>
      </c>
      <c r="E85" s="72">
        <v>6695165</v>
      </c>
      <c r="F85" s="71">
        <v>10.3</v>
      </c>
      <c r="G85" s="125"/>
      <c r="H85" s="125">
        <f t="shared" si="0"/>
        <v>1.4161015000000017</v>
      </c>
      <c r="I85" s="125">
        <f t="shared" si="1"/>
        <v>1.4161015000000017</v>
      </c>
      <c r="J85" s="124">
        <f t="shared" si="2"/>
        <v>-3.6331987750000012</v>
      </c>
      <c r="K85" s="124">
        <f t="shared" si="3"/>
        <v>-0.35273774514563117</v>
      </c>
      <c r="L85" s="123">
        <f t="shared" si="4"/>
        <v>-5.1781987750000011</v>
      </c>
      <c r="M85" s="128">
        <f t="shared" si="5"/>
        <v>5.1218012249999996</v>
      </c>
      <c r="N85" s="128">
        <f t="shared" si="6"/>
        <v>7.9050000000000002</v>
      </c>
      <c r="O85" s="130">
        <f t="shared" si="7"/>
        <v>2.7831987750000007</v>
      </c>
    </row>
    <row r="86" spans="1:15" hidden="1">
      <c r="A86" s="71" t="s">
        <v>367</v>
      </c>
      <c r="B86" s="71">
        <v>1</v>
      </c>
      <c r="C86" s="71">
        <v>0</v>
      </c>
      <c r="D86" s="71">
        <v>0</v>
      </c>
      <c r="E86" s="72">
        <v>5333333</v>
      </c>
      <c r="F86" s="71">
        <v>9.48</v>
      </c>
      <c r="G86" s="125">
        <f>(F86)*0.7225-0.88 * E86/$R$1</f>
        <v>2.6253002640000007</v>
      </c>
      <c r="H86" s="125">
        <f t="shared" si="0"/>
        <v>2.0493003000000005</v>
      </c>
      <c r="I86" s="125">
        <f t="shared" si="1"/>
        <v>2.0493003000000005</v>
      </c>
      <c r="J86" s="124">
        <f t="shared" si="2"/>
        <v>-3.9780002550000004</v>
      </c>
      <c r="K86" s="124">
        <f t="shared" si="3"/>
        <v>-0.41962028006329116</v>
      </c>
      <c r="L86" s="123">
        <f t="shared" si="4"/>
        <v>-5.400000255000001</v>
      </c>
      <c r="M86" s="128">
        <f t="shared" si="5"/>
        <v>4.0799997449999994</v>
      </c>
      <c r="N86" s="128">
        <f t="shared" si="6"/>
        <v>7.2080000000000002</v>
      </c>
      <c r="O86" s="130">
        <f t="shared" si="7"/>
        <v>3.1280002550000008</v>
      </c>
    </row>
    <row r="87" spans="1:15" hidden="1">
      <c r="A87" s="71" t="s">
        <v>363</v>
      </c>
      <c r="B87" s="71">
        <v>1</v>
      </c>
      <c r="C87" s="71">
        <v>0</v>
      </c>
      <c r="D87" s="71">
        <v>0</v>
      </c>
      <c r="E87" s="72">
        <v>12861395</v>
      </c>
      <c r="F87" s="71">
        <v>23.41</v>
      </c>
      <c r="G87" s="125">
        <f>(F87)*0.7225-0.88 * E87/$R$1</f>
        <v>6.7275001600000017</v>
      </c>
      <c r="H87" s="125">
        <f>(F87)*0.7225- E87/$R$1</f>
        <v>5.3384695000000004</v>
      </c>
      <c r="I87" s="125">
        <f t="shared" si="1"/>
        <v>5.3384695000000004</v>
      </c>
      <c r="J87" s="124">
        <f t="shared" si="2"/>
        <v>-10.059532825</v>
      </c>
      <c r="K87" s="124">
        <f t="shared" si="3"/>
        <v>-0.42971092802221272</v>
      </c>
      <c r="L87" s="123">
        <f t="shared" si="4"/>
        <v>-13.571032825000001</v>
      </c>
      <c r="M87" s="128">
        <f t="shared" si="5"/>
        <v>9.8389671749999987</v>
      </c>
      <c r="N87" s="128">
        <f t="shared" ref="N87:N118" si="8">0.85 * (F87 - 1)</f>
        <v>19.048500000000001</v>
      </c>
      <c r="O87" s="130">
        <f t="shared" si="7"/>
        <v>9.2095328250000019</v>
      </c>
    </row>
    <row r="88" spans="1:15" hidden="1">
      <c r="A88" s="71" t="s">
        <v>361</v>
      </c>
      <c r="B88" s="71">
        <v>1</v>
      </c>
      <c r="C88" s="71">
        <v>0</v>
      </c>
      <c r="D88" s="71">
        <v>0</v>
      </c>
      <c r="E88" s="72">
        <v>17321704</v>
      </c>
      <c r="F88" s="71">
        <v>28.49</v>
      </c>
      <c r="G88" s="125">
        <f>(F88)*0.7225-0.88 * E88/$R$1</f>
        <v>6.8652354320000022</v>
      </c>
      <c r="H88" s="125">
        <f>(F88)*0.7225- E88/$R$1</f>
        <v>4.9944914000000029</v>
      </c>
      <c r="I88" s="125">
        <f t="shared" si="1"/>
        <v>4.9944914000000029</v>
      </c>
      <c r="J88" s="124">
        <f t="shared" si="2"/>
        <v>-10.965396439999997</v>
      </c>
      <c r="K88" s="124">
        <f t="shared" si="3"/>
        <v>-0.38488579992979988</v>
      </c>
      <c r="L88" s="123">
        <f t="shared" si="4"/>
        <v>-15.23889644</v>
      </c>
      <c r="M88" s="128">
        <f t="shared" si="5"/>
        <v>13.251103559999999</v>
      </c>
      <c r="N88" s="128">
        <f t="shared" si="8"/>
        <v>23.366499999999998</v>
      </c>
      <c r="O88" s="130">
        <f t="shared" si="7"/>
        <v>10.11539644</v>
      </c>
    </row>
    <row r="89" spans="1:15" hidden="1">
      <c r="A89" s="71" t="s">
        <v>360</v>
      </c>
      <c r="B89" s="71">
        <v>1</v>
      </c>
      <c r="C89" s="71">
        <v>0</v>
      </c>
      <c r="D89" s="71">
        <v>0</v>
      </c>
      <c r="E89" s="72">
        <v>20430000</v>
      </c>
      <c r="F89" s="71">
        <v>31.13</v>
      </c>
      <c r="G89" s="125"/>
      <c r="H89" s="125">
        <f>(F89)*0.7225- E89/$R$1</f>
        <v>4.1044250000000027</v>
      </c>
      <c r="I89" s="125">
        <f t="shared" si="1"/>
        <v>4.1044250000000027</v>
      </c>
      <c r="J89" s="124">
        <f t="shared" si="2"/>
        <v>-10.831550000000002</v>
      </c>
      <c r="K89" s="124">
        <f t="shared" si="3"/>
        <v>-0.34794571153228404</v>
      </c>
      <c r="L89" s="123">
        <f t="shared" si="4"/>
        <v>-15.501050000000001</v>
      </c>
      <c r="M89" s="128">
        <f t="shared" si="5"/>
        <v>15.628949999999998</v>
      </c>
      <c r="N89" s="128">
        <f t="shared" si="8"/>
        <v>25.610499999999998</v>
      </c>
      <c r="O89" s="130">
        <f t="shared" si="7"/>
        <v>9.9815500000000004</v>
      </c>
    </row>
    <row r="90" spans="1:15" hidden="1">
      <c r="A90" s="71" t="s">
        <v>362</v>
      </c>
      <c r="B90" s="71">
        <v>1</v>
      </c>
      <c r="C90" s="71">
        <v>0</v>
      </c>
      <c r="D90" s="71">
        <v>0</v>
      </c>
      <c r="E90" s="72">
        <v>15360000</v>
      </c>
      <c r="F90" s="71">
        <v>26.45</v>
      </c>
      <c r="G90" s="125">
        <f>(F90)*0.7225-0.88 * E90/$R$1</f>
        <v>6.9450050000000019</v>
      </c>
      <c r="H90" s="125">
        <f>(F90)*0.7225- E90/$R$1</f>
        <v>5.286125000000002</v>
      </c>
      <c r="I90" s="125">
        <f t="shared" si="1"/>
        <v>5.286125000000002</v>
      </c>
      <c r="J90" s="124">
        <f t="shared" si="2"/>
        <v>-10.732099999999999</v>
      </c>
      <c r="K90" s="124">
        <f t="shared" si="3"/>
        <v>-0.40575047258979202</v>
      </c>
      <c r="L90" s="123">
        <f t="shared" si="4"/>
        <v>-14.6996</v>
      </c>
      <c r="M90" s="128">
        <f t="shared" si="5"/>
        <v>11.750399999999999</v>
      </c>
      <c r="N90" s="128">
        <f t="shared" si="8"/>
        <v>21.6325</v>
      </c>
      <c r="O90" s="130">
        <f t="shared" si="7"/>
        <v>9.8821000000000012</v>
      </c>
    </row>
    <row r="91" spans="1:15" hidden="1">
      <c r="A91" s="71" t="s">
        <v>406</v>
      </c>
      <c r="B91" s="71">
        <v>2</v>
      </c>
      <c r="E91" s="72">
        <v>1505362</v>
      </c>
      <c r="F91" s="71">
        <v>6</v>
      </c>
      <c r="H91" s="125">
        <f t="shared" ref="H91:H122" si="9">(F91)*0.7225-E91/$R$1</f>
        <v>2.9801742000000004</v>
      </c>
      <c r="I91" s="125">
        <f t="shared" si="1"/>
        <v>2.9801742000000004</v>
      </c>
      <c r="J91" s="124">
        <f t="shared" ref="J91:J122" si="10">0.85 * E91 / R$1 - 0.85 *F91</f>
        <v>-3.9483980699999996</v>
      </c>
      <c r="K91" s="124">
        <f t="shared" ref="K91:K122" si="11">J91 / F91</f>
        <v>-0.65806634499999994</v>
      </c>
      <c r="L91" s="123">
        <f t="shared" si="4"/>
        <v>-4.84839807</v>
      </c>
      <c r="M91" s="128">
        <f t="shared" ref="M91:M122" si="12">0.85 * E91 / R$1</f>
        <v>1.1516019299999998</v>
      </c>
      <c r="N91" s="128">
        <f t="shared" si="8"/>
        <v>4.25</v>
      </c>
      <c r="O91" s="130">
        <f t="shared" ref="O91:O122" si="13" xml:space="preserve"> N91 - M91</f>
        <v>3.09839807</v>
      </c>
    </row>
    <row r="92" spans="1:15" hidden="1">
      <c r="A92" s="71" t="s">
        <v>455</v>
      </c>
      <c r="B92" s="71">
        <v>2</v>
      </c>
      <c r="E92" s="72">
        <v>10160348</v>
      </c>
      <c r="F92" s="71">
        <v>23.77</v>
      </c>
      <c r="H92" s="125">
        <f t="shared" si="9"/>
        <v>8.0295118000000016</v>
      </c>
      <c r="I92" s="125">
        <f t="shared" si="1"/>
        <v>8.0295118000000016</v>
      </c>
      <c r="J92" s="124">
        <f t="shared" si="10"/>
        <v>-12.431833780000002</v>
      </c>
      <c r="K92" s="124">
        <f t="shared" si="11"/>
        <v>-0.52300520740429124</v>
      </c>
      <c r="L92" s="123">
        <f t="shared" si="4"/>
        <v>-15.997333780000002</v>
      </c>
      <c r="M92" s="128">
        <f t="shared" si="12"/>
        <v>7.7726662199999978</v>
      </c>
      <c r="N92" s="128">
        <f t="shared" si="8"/>
        <v>19.354499999999998</v>
      </c>
      <c r="O92" s="130">
        <f t="shared" si="13"/>
        <v>11.58183378</v>
      </c>
    </row>
    <row r="93" spans="1:15" hidden="1">
      <c r="A93" s="71" t="s">
        <v>407</v>
      </c>
      <c r="B93" s="71">
        <v>2</v>
      </c>
      <c r="E93" s="72">
        <v>1381031</v>
      </c>
      <c r="F93" s="71">
        <v>5.25</v>
      </c>
      <c r="H93" s="125">
        <f t="shared" si="9"/>
        <v>2.5501971000000005</v>
      </c>
      <c r="I93" s="125">
        <f t="shared" si="1"/>
        <v>2.5501971000000005</v>
      </c>
      <c r="J93" s="124">
        <f t="shared" si="10"/>
        <v>-3.4060112849999999</v>
      </c>
      <c r="K93" s="124">
        <f t="shared" si="11"/>
        <v>-0.64876405428571426</v>
      </c>
      <c r="L93" s="123">
        <f t="shared" si="4"/>
        <v>-4.1935112850000005</v>
      </c>
      <c r="M93" s="128">
        <f t="shared" si="12"/>
        <v>1.0564887149999997</v>
      </c>
      <c r="N93" s="128">
        <f t="shared" si="8"/>
        <v>3.6124999999999998</v>
      </c>
      <c r="O93" s="130">
        <f t="shared" si="13"/>
        <v>2.5560112850000003</v>
      </c>
    </row>
    <row r="94" spans="1:15" hidden="1">
      <c r="A94" s="71" t="s">
        <v>408</v>
      </c>
      <c r="B94" s="71">
        <v>2</v>
      </c>
      <c r="E94" s="72">
        <v>734646</v>
      </c>
      <c r="F94" s="71">
        <v>3</v>
      </c>
      <c r="H94" s="125">
        <f t="shared" si="9"/>
        <v>1.5063186000000002</v>
      </c>
      <c r="I94" s="125">
        <f t="shared" si="1"/>
        <v>1.5063186000000002</v>
      </c>
      <c r="J94" s="124">
        <f t="shared" si="10"/>
        <v>-1.9879958099999999</v>
      </c>
      <c r="K94" s="124">
        <f t="shared" si="11"/>
        <v>-0.66266526999999997</v>
      </c>
      <c r="L94" s="123">
        <f t="shared" si="4"/>
        <v>-2.4379958100000003</v>
      </c>
      <c r="M94" s="128">
        <f t="shared" si="12"/>
        <v>0.5620041899999999</v>
      </c>
      <c r="N94" s="128">
        <f t="shared" si="8"/>
        <v>1.7</v>
      </c>
      <c r="O94" s="130">
        <f t="shared" si="13"/>
        <v>1.1379958100000001</v>
      </c>
    </row>
    <row r="95" spans="1:15" hidden="1">
      <c r="A95" s="71" t="s">
        <v>409</v>
      </c>
      <c r="B95" s="71">
        <v>2</v>
      </c>
      <c r="E95" s="72">
        <v>783307</v>
      </c>
      <c r="F95" s="71">
        <v>4</v>
      </c>
      <c r="H95" s="125">
        <f t="shared" si="9"/>
        <v>2.1850237000000003</v>
      </c>
      <c r="I95" s="125">
        <f t="shared" si="1"/>
        <v>2.1850237000000003</v>
      </c>
      <c r="J95" s="124">
        <f t="shared" si="10"/>
        <v>-2.800770145</v>
      </c>
      <c r="K95" s="124">
        <f t="shared" si="11"/>
        <v>-0.70019253625</v>
      </c>
      <c r="L95" s="123">
        <f t="shared" si="4"/>
        <v>-3.4007701450000001</v>
      </c>
      <c r="M95" s="128">
        <f t="shared" si="12"/>
        <v>0.59922985499999992</v>
      </c>
      <c r="N95" s="128">
        <f t="shared" si="8"/>
        <v>2.5499999999999998</v>
      </c>
      <c r="O95" s="130">
        <f t="shared" si="13"/>
        <v>1.9507701449999999</v>
      </c>
    </row>
    <row r="96" spans="1:15" hidden="1">
      <c r="A96" s="71" t="s">
        <v>410</v>
      </c>
      <c r="B96" s="71">
        <v>2</v>
      </c>
      <c r="E96" s="72">
        <v>902760</v>
      </c>
      <c r="F96" s="71">
        <v>3.75</v>
      </c>
      <c r="H96" s="125">
        <f t="shared" si="9"/>
        <v>1.8968910000000001</v>
      </c>
      <c r="I96" s="125">
        <f t="shared" si="1"/>
        <v>1.8968910000000001</v>
      </c>
      <c r="J96" s="124">
        <f t="shared" si="10"/>
        <v>-2.4968886000000001</v>
      </c>
      <c r="K96" s="124">
        <f t="shared" si="11"/>
        <v>-0.66583696000000003</v>
      </c>
      <c r="L96" s="123">
        <f t="shared" si="4"/>
        <v>-3.0593886000000001</v>
      </c>
      <c r="M96" s="128">
        <f t="shared" si="12"/>
        <v>0.69061139999999988</v>
      </c>
      <c r="N96" s="128">
        <f t="shared" si="8"/>
        <v>2.3374999999999999</v>
      </c>
      <c r="O96" s="130">
        <f t="shared" si="13"/>
        <v>1.6468886</v>
      </c>
    </row>
    <row r="97" spans="1:15" hidden="1">
      <c r="A97" s="71" t="s">
        <v>411</v>
      </c>
      <c r="B97" s="71">
        <v>2</v>
      </c>
      <c r="E97" s="72">
        <v>934553</v>
      </c>
      <c r="F97" s="71">
        <v>3.81</v>
      </c>
      <c r="H97" s="125">
        <f t="shared" si="9"/>
        <v>1.9116273000000004</v>
      </c>
      <c r="I97" s="125">
        <f t="shared" si="1"/>
        <v>1.9116273000000004</v>
      </c>
      <c r="J97" s="124">
        <f t="shared" si="10"/>
        <v>-2.5235669550000002</v>
      </c>
      <c r="K97" s="124">
        <f t="shared" si="11"/>
        <v>-0.66235353149606302</v>
      </c>
      <c r="L97" s="123">
        <f t="shared" si="4"/>
        <v>-3.0950669550000001</v>
      </c>
      <c r="M97" s="128">
        <f t="shared" si="12"/>
        <v>0.71493304499999988</v>
      </c>
      <c r="N97" s="128">
        <f t="shared" si="8"/>
        <v>2.3885000000000001</v>
      </c>
      <c r="O97" s="130">
        <f t="shared" si="13"/>
        <v>1.6735669550000001</v>
      </c>
    </row>
    <row r="98" spans="1:15" hidden="1">
      <c r="A98" s="71" t="s">
        <v>412</v>
      </c>
      <c r="B98" s="71">
        <v>2</v>
      </c>
      <c r="E98" s="72">
        <v>419756</v>
      </c>
      <c r="F98" s="71">
        <v>1.87</v>
      </c>
      <c r="H98" s="125">
        <f t="shared" si="9"/>
        <v>0.97329460000000001</v>
      </c>
      <c r="I98" s="125">
        <f t="shared" ref="I98:I129" si="14">0.7225 * (F98) - E98 / $R$1</f>
        <v>0.97329460000000001</v>
      </c>
      <c r="J98" s="124">
        <f t="shared" si="10"/>
        <v>-1.2683866600000002</v>
      </c>
      <c r="K98" s="124">
        <f t="shared" si="11"/>
        <v>-0.67828163636363648</v>
      </c>
      <c r="L98" s="123">
        <f t="shared" ref="L98:L129" si="15">(0.85*E98) / R$1 -F98</f>
        <v>-1.5488866600000002</v>
      </c>
      <c r="M98" s="128">
        <f t="shared" si="12"/>
        <v>0.32111333999999997</v>
      </c>
      <c r="N98" s="128">
        <f t="shared" si="8"/>
        <v>0.73950000000000005</v>
      </c>
      <c r="O98" s="130">
        <f t="shared" si="13"/>
        <v>0.41838666000000008</v>
      </c>
    </row>
    <row r="99" spans="1:15" hidden="1">
      <c r="A99" s="71" t="s">
        <v>413</v>
      </c>
      <c r="B99" s="71">
        <v>2</v>
      </c>
      <c r="E99" s="72">
        <v>1376131</v>
      </c>
      <c r="F99" s="71">
        <v>8.74</v>
      </c>
      <c r="H99" s="125">
        <f t="shared" si="9"/>
        <v>5.0761321000000006</v>
      </c>
      <c r="I99" s="125">
        <f t="shared" si="14"/>
        <v>5.0761321000000006</v>
      </c>
      <c r="J99" s="124">
        <f t="shared" si="10"/>
        <v>-6.3762597850000002</v>
      </c>
      <c r="K99" s="124">
        <f t="shared" si="11"/>
        <v>-0.72954917448512591</v>
      </c>
      <c r="L99" s="123">
        <f t="shared" si="15"/>
        <v>-7.6872597850000002</v>
      </c>
      <c r="M99" s="128">
        <f t="shared" si="12"/>
        <v>1.0527402149999998</v>
      </c>
      <c r="N99" s="128">
        <f t="shared" si="8"/>
        <v>6.5789999999999997</v>
      </c>
      <c r="O99" s="130">
        <f t="shared" si="13"/>
        <v>5.5262597849999997</v>
      </c>
    </row>
    <row r="100" spans="1:15" hidden="1">
      <c r="A100" s="71" t="s">
        <v>414</v>
      </c>
      <c r="B100" s="71">
        <v>2</v>
      </c>
      <c r="E100" s="72">
        <v>6105976</v>
      </c>
      <c r="F100" s="71">
        <v>16.3</v>
      </c>
      <c r="H100" s="125">
        <f t="shared" si="9"/>
        <v>6.2813716000000026</v>
      </c>
      <c r="I100" s="125">
        <f t="shared" si="14"/>
        <v>6.2813716000000026</v>
      </c>
      <c r="J100" s="124">
        <f t="shared" si="10"/>
        <v>-9.1839283600000012</v>
      </c>
      <c r="K100" s="124">
        <f t="shared" si="11"/>
        <v>-0.5634311877300614</v>
      </c>
      <c r="L100" s="123">
        <f t="shared" si="15"/>
        <v>-11.628928360000002</v>
      </c>
      <c r="M100" s="128">
        <f t="shared" si="12"/>
        <v>4.6710716399999992</v>
      </c>
      <c r="N100" s="128">
        <f t="shared" si="8"/>
        <v>13.005000000000001</v>
      </c>
      <c r="O100" s="130">
        <f t="shared" si="13"/>
        <v>8.3339283600000016</v>
      </c>
    </row>
    <row r="101" spans="1:15" hidden="1">
      <c r="A101" s="71" t="s">
        <v>415</v>
      </c>
      <c r="B101" s="71">
        <v>2</v>
      </c>
      <c r="E101" s="72">
        <v>1467273</v>
      </c>
      <c r="F101" s="71">
        <v>4.66</v>
      </c>
      <c r="H101" s="125">
        <f t="shared" si="9"/>
        <v>2.0463043000000005</v>
      </c>
      <c r="I101" s="125">
        <f t="shared" si="14"/>
        <v>2.0463043000000005</v>
      </c>
      <c r="J101" s="124">
        <f t="shared" si="10"/>
        <v>-2.8385361549999999</v>
      </c>
      <c r="K101" s="124">
        <f t="shared" si="11"/>
        <v>-0.60912793025751066</v>
      </c>
      <c r="L101" s="123">
        <f t="shared" si="15"/>
        <v>-3.5375361550000002</v>
      </c>
      <c r="M101" s="128">
        <f t="shared" si="12"/>
        <v>1.122463845</v>
      </c>
      <c r="N101" s="128">
        <f t="shared" si="8"/>
        <v>3.1110000000000002</v>
      </c>
      <c r="O101" s="130">
        <f t="shared" si="13"/>
        <v>1.9885361550000002</v>
      </c>
    </row>
    <row r="102" spans="1:15" hidden="1">
      <c r="A102" s="71" t="s">
        <v>416</v>
      </c>
      <c r="B102" s="71">
        <v>2</v>
      </c>
      <c r="E102" s="72">
        <v>912374</v>
      </c>
      <c r="F102" s="71">
        <v>4.4400000000000004</v>
      </c>
      <c r="H102" s="125">
        <f t="shared" si="9"/>
        <v>2.3867634000000004</v>
      </c>
      <c r="I102" s="125">
        <f t="shared" si="14"/>
        <v>2.3867634000000004</v>
      </c>
      <c r="J102" s="124">
        <f t="shared" si="10"/>
        <v>-3.0760338900000002</v>
      </c>
      <c r="K102" s="124">
        <f t="shared" si="11"/>
        <v>-0.69280042567567568</v>
      </c>
      <c r="L102" s="123">
        <f t="shared" si="15"/>
        <v>-3.7420338900000005</v>
      </c>
      <c r="M102" s="128">
        <f t="shared" si="12"/>
        <v>0.69796610999999997</v>
      </c>
      <c r="N102" s="128">
        <f t="shared" si="8"/>
        <v>2.9240000000000004</v>
      </c>
      <c r="O102" s="130">
        <f t="shared" si="13"/>
        <v>2.2260338900000005</v>
      </c>
    </row>
    <row r="103" spans="1:15" hidden="1">
      <c r="A103" s="71" t="s">
        <v>417</v>
      </c>
      <c r="B103" s="71">
        <v>2</v>
      </c>
      <c r="E103" s="72">
        <v>356015</v>
      </c>
      <c r="F103" s="71">
        <v>1.38</v>
      </c>
      <c r="H103" s="125">
        <f t="shared" si="9"/>
        <v>0.67663650000000009</v>
      </c>
      <c r="I103" s="125">
        <f t="shared" si="14"/>
        <v>0.67663650000000009</v>
      </c>
      <c r="J103" s="124">
        <f t="shared" si="10"/>
        <v>-0.90064852499999981</v>
      </c>
      <c r="K103" s="124">
        <f t="shared" si="11"/>
        <v>-0.65264385869565211</v>
      </c>
      <c r="L103" s="123">
        <f t="shared" si="15"/>
        <v>-1.1076485249999999</v>
      </c>
      <c r="M103" s="128">
        <f t="shared" si="12"/>
        <v>0.27235147499999995</v>
      </c>
      <c r="N103" s="128">
        <f t="shared" si="8"/>
        <v>0.3229999999999999</v>
      </c>
      <c r="O103" s="130">
        <f t="shared" si="13"/>
        <v>5.0648524999999944E-2</v>
      </c>
    </row>
    <row r="104" spans="1:15" hidden="1">
      <c r="A104" s="71" t="s">
        <v>418</v>
      </c>
      <c r="B104" s="71">
        <v>2</v>
      </c>
      <c r="E104" s="72">
        <v>914941</v>
      </c>
      <c r="F104" s="71">
        <v>3.83</v>
      </c>
      <c r="H104" s="125">
        <f t="shared" si="9"/>
        <v>1.9437281000000004</v>
      </c>
      <c r="I104" s="125">
        <f t="shared" si="14"/>
        <v>1.9437281000000004</v>
      </c>
      <c r="J104" s="124">
        <f t="shared" si="10"/>
        <v>-2.555570135</v>
      </c>
      <c r="K104" s="124">
        <f t="shared" si="11"/>
        <v>-0.66725068798955611</v>
      </c>
      <c r="L104" s="123">
        <f t="shared" si="15"/>
        <v>-3.1300701350000004</v>
      </c>
      <c r="M104" s="128">
        <f t="shared" si="12"/>
        <v>0.69992986499999987</v>
      </c>
      <c r="N104" s="128">
        <f t="shared" si="8"/>
        <v>2.4055</v>
      </c>
      <c r="O104" s="130">
        <f t="shared" si="13"/>
        <v>1.7055701350000001</v>
      </c>
    </row>
    <row r="105" spans="1:15" hidden="1">
      <c r="A105" s="71" t="s">
        <v>419</v>
      </c>
      <c r="B105" s="71">
        <v>2</v>
      </c>
      <c r="E105" s="72">
        <v>851534</v>
      </c>
      <c r="F105" s="71">
        <v>3.27</v>
      </c>
      <c r="H105" s="125">
        <f t="shared" si="9"/>
        <v>1.5961944000000003</v>
      </c>
      <c r="I105" s="125">
        <f t="shared" si="14"/>
        <v>1.5961944000000003</v>
      </c>
      <c r="J105" s="124">
        <f t="shared" si="10"/>
        <v>-2.1280764900000002</v>
      </c>
      <c r="K105" s="124">
        <f t="shared" si="11"/>
        <v>-0.65078791743119269</v>
      </c>
      <c r="L105" s="123">
        <f t="shared" si="15"/>
        <v>-2.6185764900000001</v>
      </c>
      <c r="M105" s="128">
        <f t="shared" si="12"/>
        <v>0.65142350999999998</v>
      </c>
      <c r="N105" s="128">
        <f t="shared" si="8"/>
        <v>1.9295</v>
      </c>
      <c r="O105" s="130">
        <f t="shared" si="13"/>
        <v>1.2780764900000001</v>
      </c>
    </row>
    <row r="106" spans="1:15" hidden="1">
      <c r="A106" s="71" t="s">
        <v>420</v>
      </c>
      <c r="B106" s="71">
        <v>2</v>
      </c>
      <c r="E106" s="72">
        <v>9046812</v>
      </c>
      <c r="F106" s="71">
        <v>23.72</v>
      </c>
      <c r="H106" s="125">
        <f t="shared" si="9"/>
        <v>8.9955692000000003</v>
      </c>
      <c r="I106" s="125">
        <f t="shared" si="14"/>
        <v>8.9955692000000003</v>
      </c>
      <c r="J106" s="124">
        <f t="shared" si="10"/>
        <v>-13.24118882</v>
      </c>
      <c r="K106" s="124">
        <f t="shared" si="11"/>
        <v>-0.55822887099494101</v>
      </c>
      <c r="L106" s="123">
        <f t="shared" si="15"/>
        <v>-16.799188819999998</v>
      </c>
      <c r="M106" s="128">
        <f t="shared" si="12"/>
        <v>6.9208111799999994</v>
      </c>
      <c r="N106" s="128">
        <f t="shared" si="8"/>
        <v>19.311999999999998</v>
      </c>
      <c r="O106" s="130">
        <f t="shared" si="13"/>
        <v>12.391188819999998</v>
      </c>
    </row>
    <row r="107" spans="1:15" hidden="1">
      <c r="A107" s="71" t="s">
        <v>421</v>
      </c>
      <c r="B107" s="71">
        <v>2</v>
      </c>
      <c r="E107" s="72">
        <v>1004742</v>
      </c>
      <c r="F107" s="71">
        <v>4.1900000000000004</v>
      </c>
      <c r="H107" s="125">
        <f t="shared" si="9"/>
        <v>2.1230072000000004</v>
      </c>
      <c r="I107" s="125">
        <f t="shared" si="14"/>
        <v>2.1230072000000004</v>
      </c>
      <c r="J107" s="124">
        <f t="shared" si="10"/>
        <v>-2.7928723700000004</v>
      </c>
      <c r="K107" s="124">
        <f t="shared" si="11"/>
        <v>-0.66655665155131272</v>
      </c>
      <c r="L107" s="123">
        <f t="shared" si="15"/>
        <v>-3.4213723700000003</v>
      </c>
      <c r="M107" s="128">
        <f t="shared" si="12"/>
        <v>0.7686276299999999</v>
      </c>
      <c r="N107" s="128">
        <f t="shared" si="8"/>
        <v>2.7115000000000005</v>
      </c>
      <c r="O107" s="130">
        <f t="shared" si="13"/>
        <v>1.9428723700000006</v>
      </c>
    </row>
    <row r="108" spans="1:15" hidden="1">
      <c r="A108" s="71" t="s">
        <v>422</v>
      </c>
      <c r="B108" s="71">
        <v>2</v>
      </c>
      <c r="E108" s="72">
        <v>1626986</v>
      </c>
      <c r="F108" s="71">
        <v>4.97</v>
      </c>
      <c r="H108" s="125">
        <f t="shared" si="9"/>
        <v>2.1265376000000002</v>
      </c>
      <c r="I108" s="125">
        <f t="shared" si="14"/>
        <v>2.1265376000000002</v>
      </c>
      <c r="J108" s="124">
        <f t="shared" si="10"/>
        <v>-2.9798557100000003</v>
      </c>
      <c r="K108" s="124">
        <f t="shared" si="11"/>
        <v>-0.59956855331991965</v>
      </c>
      <c r="L108" s="123">
        <f t="shared" si="15"/>
        <v>-3.7253557100000001</v>
      </c>
      <c r="M108" s="128">
        <f t="shared" si="12"/>
        <v>1.2446442899999997</v>
      </c>
      <c r="N108" s="128">
        <f t="shared" si="8"/>
        <v>3.3744999999999998</v>
      </c>
      <c r="O108" s="130">
        <f t="shared" si="13"/>
        <v>2.1298557100000002</v>
      </c>
    </row>
    <row r="109" spans="1:15" hidden="1">
      <c r="A109" s="71" t="s">
        <v>423</v>
      </c>
      <c r="B109" s="71">
        <v>2</v>
      </c>
      <c r="E109" s="72">
        <v>767301</v>
      </c>
      <c r="F109" s="71">
        <v>3.19</v>
      </c>
      <c r="H109" s="125">
        <f t="shared" si="9"/>
        <v>1.6142041000000003</v>
      </c>
      <c r="I109" s="125">
        <f t="shared" si="14"/>
        <v>1.6142041000000003</v>
      </c>
      <c r="J109" s="124">
        <f t="shared" si="10"/>
        <v>-2.124514735</v>
      </c>
      <c r="K109" s="124">
        <f t="shared" si="11"/>
        <v>-0.66599207993730414</v>
      </c>
      <c r="L109" s="123">
        <f t="shared" si="15"/>
        <v>-2.6030147349999999</v>
      </c>
      <c r="M109" s="128">
        <f t="shared" si="12"/>
        <v>0.58698526499999992</v>
      </c>
      <c r="N109" s="128">
        <f t="shared" si="8"/>
        <v>1.8614999999999999</v>
      </c>
      <c r="O109" s="130">
        <f t="shared" si="13"/>
        <v>1.2745147349999999</v>
      </c>
    </row>
    <row r="110" spans="1:15" hidden="1">
      <c r="A110" s="71" t="s">
        <v>424</v>
      </c>
      <c r="B110" s="71">
        <v>2</v>
      </c>
      <c r="E110" s="72">
        <v>7049056</v>
      </c>
      <c r="F110" s="71">
        <v>17</v>
      </c>
      <c r="H110" s="125">
        <f t="shared" si="9"/>
        <v>5.9383496000000013</v>
      </c>
      <c r="I110" s="125">
        <f t="shared" si="14"/>
        <v>5.9383496000000013</v>
      </c>
      <c r="J110" s="124">
        <f t="shared" si="10"/>
        <v>-9.0574721599999997</v>
      </c>
      <c r="K110" s="124">
        <f t="shared" si="11"/>
        <v>-0.53279248000000001</v>
      </c>
      <c r="L110" s="123">
        <f t="shared" si="15"/>
        <v>-11.60747216</v>
      </c>
      <c r="M110" s="128">
        <f t="shared" si="12"/>
        <v>5.3925278399999987</v>
      </c>
      <c r="N110" s="128">
        <f t="shared" si="8"/>
        <v>13.6</v>
      </c>
      <c r="O110" s="130">
        <f t="shared" si="13"/>
        <v>8.2074721600000018</v>
      </c>
    </row>
    <row r="111" spans="1:15" hidden="1">
      <c r="A111" s="71" t="s">
        <v>425</v>
      </c>
      <c r="B111" s="71">
        <v>2</v>
      </c>
      <c r="E111" s="72">
        <v>8911705</v>
      </c>
      <c r="F111" s="71">
        <v>21.43</v>
      </c>
      <c r="H111" s="125">
        <f t="shared" si="9"/>
        <v>7.4626405000000027</v>
      </c>
      <c r="I111" s="125">
        <f t="shared" si="14"/>
        <v>7.4626405000000027</v>
      </c>
      <c r="J111" s="124">
        <f t="shared" si="10"/>
        <v>-11.398045674999999</v>
      </c>
      <c r="K111" s="124">
        <f t="shared" si="11"/>
        <v>-0.53187333994400365</v>
      </c>
      <c r="L111" s="123">
        <f t="shared" si="15"/>
        <v>-14.612545675</v>
      </c>
      <c r="M111" s="128">
        <f t="shared" si="12"/>
        <v>6.817454324999999</v>
      </c>
      <c r="N111" s="128">
        <f t="shared" si="8"/>
        <v>17.365500000000001</v>
      </c>
      <c r="O111" s="130">
        <f t="shared" si="13"/>
        <v>10.548045675000001</v>
      </c>
    </row>
    <row r="112" spans="1:15" hidden="1">
      <c r="A112" s="71" t="s">
        <v>426</v>
      </c>
      <c r="B112" s="71">
        <v>2</v>
      </c>
      <c r="E112" s="72">
        <v>8148608</v>
      </c>
      <c r="F112" s="71">
        <v>21.58</v>
      </c>
      <c r="H112" s="125">
        <f t="shared" si="9"/>
        <v>8.2578028000000003</v>
      </c>
      <c r="I112" s="125">
        <f t="shared" si="14"/>
        <v>8.2578028000000003</v>
      </c>
      <c r="J112" s="124">
        <f t="shared" si="10"/>
        <v>-12.109314879999998</v>
      </c>
      <c r="K112" s="124">
        <f t="shared" si="11"/>
        <v>-0.56113599999999997</v>
      </c>
      <c r="L112" s="123">
        <f t="shared" si="15"/>
        <v>-15.34631488</v>
      </c>
      <c r="M112" s="128">
        <f t="shared" si="12"/>
        <v>6.2336851199999987</v>
      </c>
      <c r="N112" s="128">
        <f t="shared" si="8"/>
        <v>17.492999999999999</v>
      </c>
      <c r="O112" s="130">
        <f t="shared" si="13"/>
        <v>11.25931488</v>
      </c>
    </row>
    <row r="113" spans="1:15" hidden="1">
      <c r="A113" s="71" t="s">
        <v>427</v>
      </c>
      <c r="B113" s="71">
        <v>2</v>
      </c>
      <c r="E113" s="72">
        <v>5622877</v>
      </c>
      <c r="F113" s="71">
        <v>12.52</v>
      </c>
      <c r="H113" s="125">
        <f t="shared" si="9"/>
        <v>3.9851107000000008</v>
      </c>
      <c r="I113" s="125">
        <f t="shared" si="14"/>
        <v>3.9851107000000008</v>
      </c>
      <c r="J113" s="124">
        <f t="shared" si="10"/>
        <v>-6.3404990950000002</v>
      </c>
      <c r="K113" s="124">
        <f t="shared" si="11"/>
        <v>-0.5064296401757189</v>
      </c>
      <c r="L113" s="123">
        <f t="shared" si="15"/>
        <v>-8.2184990950000003</v>
      </c>
      <c r="M113" s="128">
        <f t="shared" si="12"/>
        <v>4.3015009049999993</v>
      </c>
      <c r="N113" s="128">
        <f t="shared" si="8"/>
        <v>9.7919999999999998</v>
      </c>
      <c r="O113" s="130">
        <f t="shared" si="13"/>
        <v>5.4904990950000006</v>
      </c>
    </row>
    <row r="114" spans="1:15" hidden="1">
      <c r="A114" s="71" t="s">
        <v>428</v>
      </c>
      <c r="B114" s="71">
        <v>2</v>
      </c>
      <c r="E114" s="72">
        <v>29669201</v>
      </c>
      <c r="F114" s="71">
        <v>72.989999999999995</v>
      </c>
      <c r="H114" s="125">
        <f t="shared" si="9"/>
        <v>26.032994100000003</v>
      </c>
      <c r="I114" s="125">
        <f t="shared" si="14"/>
        <v>26.032994100000003</v>
      </c>
      <c r="J114" s="124">
        <f t="shared" si="10"/>
        <v>-39.344561235</v>
      </c>
      <c r="K114" s="124">
        <f t="shared" si="11"/>
        <v>-0.53904043341553642</v>
      </c>
      <c r="L114" s="123">
        <f t="shared" si="15"/>
        <v>-50.293061234999996</v>
      </c>
      <c r="M114" s="128">
        <f t="shared" si="12"/>
        <v>22.696938764999995</v>
      </c>
      <c r="N114" s="128">
        <f t="shared" si="8"/>
        <v>61.191499999999991</v>
      </c>
      <c r="O114" s="130">
        <f t="shared" si="13"/>
        <v>38.494561234999992</v>
      </c>
    </row>
    <row r="115" spans="1:15" hidden="1">
      <c r="A115" s="71" t="s">
        <v>429</v>
      </c>
      <c r="B115" s="71">
        <v>2</v>
      </c>
      <c r="E115" s="72">
        <v>1582333</v>
      </c>
      <c r="F115" s="71">
        <v>3.91</v>
      </c>
      <c r="H115" s="125">
        <f t="shared" si="9"/>
        <v>1.4008753000000005</v>
      </c>
      <c r="I115" s="125">
        <f t="shared" si="14"/>
        <v>1.4008753000000005</v>
      </c>
      <c r="J115" s="124">
        <f t="shared" si="10"/>
        <v>-2.1130152550000005</v>
      </c>
      <c r="K115" s="124">
        <f t="shared" si="11"/>
        <v>-0.54041310869565229</v>
      </c>
      <c r="L115" s="123">
        <f t="shared" si="15"/>
        <v>-2.6995152550000006</v>
      </c>
      <c r="M115" s="128">
        <f t="shared" si="12"/>
        <v>1.2104847449999998</v>
      </c>
      <c r="N115" s="128">
        <f t="shared" si="8"/>
        <v>2.4735</v>
      </c>
      <c r="O115" s="130">
        <f t="shared" si="13"/>
        <v>1.2630152550000002</v>
      </c>
    </row>
    <row r="116" spans="1:15" hidden="1">
      <c r="A116" s="71" t="s">
        <v>430</v>
      </c>
      <c r="B116" s="71">
        <v>2</v>
      </c>
      <c r="E116" s="72">
        <v>1418332</v>
      </c>
      <c r="F116" s="71">
        <v>5.0199999999999996</v>
      </c>
      <c r="H116" s="125">
        <f t="shared" si="9"/>
        <v>2.3504512000000002</v>
      </c>
      <c r="I116" s="125">
        <f t="shared" si="14"/>
        <v>2.3504512000000002</v>
      </c>
      <c r="J116" s="124">
        <f t="shared" si="10"/>
        <v>-3.1819760199999996</v>
      </c>
      <c r="K116" s="124">
        <f t="shared" si="11"/>
        <v>-0.63385976494023899</v>
      </c>
      <c r="L116" s="123">
        <f t="shared" si="15"/>
        <v>-3.9349760199999997</v>
      </c>
      <c r="M116" s="128">
        <f t="shared" si="12"/>
        <v>1.0850239799999999</v>
      </c>
      <c r="N116" s="128">
        <f t="shared" si="8"/>
        <v>3.4169999999999994</v>
      </c>
      <c r="O116" s="130">
        <f t="shared" si="13"/>
        <v>2.3319760199999995</v>
      </c>
    </row>
    <row r="117" spans="1:15" hidden="1">
      <c r="A117" s="71" t="s">
        <v>391</v>
      </c>
      <c r="B117" s="71">
        <v>2</v>
      </c>
      <c r="E117" s="72">
        <v>3529929</v>
      </c>
      <c r="F117" s="71">
        <v>10.66</v>
      </c>
      <c r="H117" s="125">
        <f t="shared" si="9"/>
        <v>4.5249139000000005</v>
      </c>
      <c r="I117" s="125">
        <f t="shared" si="14"/>
        <v>4.5249139000000005</v>
      </c>
      <c r="J117" s="124">
        <f t="shared" si="10"/>
        <v>-6.3606043149999998</v>
      </c>
      <c r="K117" s="124">
        <f t="shared" si="11"/>
        <v>-0.59667957926829263</v>
      </c>
      <c r="L117" s="123">
        <f t="shared" si="15"/>
        <v>-7.959604315</v>
      </c>
      <c r="M117" s="128">
        <f t="shared" si="12"/>
        <v>2.7003956849999997</v>
      </c>
      <c r="N117" s="128">
        <f t="shared" si="8"/>
        <v>8.2110000000000003</v>
      </c>
      <c r="O117" s="130">
        <f t="shared" si="13"/>
        <v>5.5106043150000001</v>
      </c>
    </row>
    <row r="118" spans="1:15" hidden="1">
      <c r="A118" s="71" t="s">
        <v>392</v>
      </c>
      <c r="B118" s="71">
        <v>2</v>
      </c>
      <c r="E118" s="72">
        <v>2000000</v>
      </c>
      <c r="F118" s="71">
        <v>6.2</v>
      </c>
      <c r="H118" s="125">
        <f t="shared" si="9"/>
        <v>2.6795000000000009</v>
      </c>
      <c r="I118" s="125">
        <f t="shared" si="14"/>
        <v>2.6795000000000009</v>
      </c>
      <c r="J118" s="124">
        <f t="shared" si="10"/>
        <v>-3.7399999999999998</v>
      </c>
      <c r="K118" s="124">
        <f t="shared" si="11"/>
        <v>-0.60322580645161283</v>
      </c>
      <c r="L118" s="123">
        <f t="shared" si="15"/>
        <v>-4.67</v>
      </c>
      <c r="M118" s="128">
        <f t="shared" si="12"/>
        <v>1.5299999999999998</v>
      </c>
      <c r="N118" s="128">
        <f t="shared" si="8"/>
        <v>4.42</v>
      </c>
      <c r="O118" s="130">
        <f t="shared" si="13"/>
        <v>2.89</v>
      </c>
    </row>
    <row r="119" spans="1:15" hidden="1">
      <c r="A119" s="71" t="s">
        <v>393</v>
      </c>
      <c r="B119" s="71">
        <v>2</v>
      </c>
      <c r="E119" s="72">
        <v>1044553</v>
      </c>
      <c r="F119" s="71">
        <v>3.54</v>
      </c>
      <c r="H119" s="125">
        <f t="shared" si="9"/>
        <v>1.6175523000000003</v>
      </c>
      <c r="I119" s="125">
        <f t="shared" si="14"/>
        <v>1.6175523000000003</v>
      </c>
      <c r="J119" s="124">
        <f t="shared" si="10"/>
        <v>-2.2099169550000002</v>
      </c>
      <c r="K119" s="124">
        <f t="shared" si="11"/>
        <v>-0.6242703262711865</v>
      </c>
      <c r="L119" s="123">
        <f t="shared" si="15"/>
        <v>-2.7409169550000003</v>
      </c>
      <c r="M119" s="128">
        <f t="shared" si="12"/>
        <v>0.79908304499999983</v>
      </c>
      <c r="N119" s="128">
        <f t="shared" ref="N119:N155" si="16">0.85 * (F119 - 1)</f>
        <v>2.1589999999999998</v>
      </c>
      <c r="O119" s="130">
        <f t="shared" si="13"/>
        <v>1.3599169550000001</v>
      </c>
    </row>
    <row r="120" spans="1:15" hidden="1">
      <c r="A120" s="71" t="s">
        <v>394</v>
      </c>
      <c r="B120" s="71">
        <v>2</v>
      </c>
      <c r="E120" s="72">
        <v>32833332</v>
      </c>
      <c r="F120" s="71">
        <v>61.48</v>
      </c>
      <c r="H120" s="125">
        <f t="shared" si="9"/>
        <v>14.869301200000002</v>
      </c>
      <c r="I120" s="125">
        <f t="shared" si="14"/>
        <v>14.869301200000002</v>
      </c>
      <c r="J120" s="124">
        <f t="shared" si="10"/>
        <v>-27.140501019999999</v>
      </c>
      <c r="K120" s="124">
        <f t="shared" si="11"/>
        <v>-0.44145252147039687</v>
      </c>
      <c r="L120" s="123">
        <f t="shared" si="15"/>
        <v>-36.362501019999996</v>
      </c>
      <c r="M120" s="128">
        <f t="shared" si="12"/>
        <v>25.117498979999997</v>
      </c>
      <c r="N120" s="128">
        <f t="shared" si="16"/>
        <v>51.407999999999994</v>
      </c>
      <c r="O120" s="130">
        <f t="shared" si="13"/>
        <v>26.290501019999997</v>
      </c>
    </row>
    <row r="121" spans="1:15" hidden="1">
      <c r="A121" s="71" t="s">
        <v>395</v>
      </c>
      <c r="B121" s="71">
        <v>2</v>
      </c>
      <c r="E121" s="72">
        <v>9100669</v>
      </c>
      <c r="F121" s="71">
        <v>31.75</v>
      </c>
      <c r="H121" s="125">
        <f t="shared" si="9"/>
        <v>14.748772900000002</v>
      </c>
      <c r="I121" s="125">
        <f t="shared" si="14"/>
        <v>14.748772900000002</v>
      </c>
      <c r="J121" s="124">
        <f t="shared" si="10"/>
        <v>-20.025488215000003</v>
      </c>
      <c r="K121" s="124">
        <f t="shared" si="11"/>
        <v>-0.63072403826771661</v>
      </c>
      <c r="L121" s="123">
        <f t="shared" si="15"/>
        <v>-24.787988215000002</v>
      </c>
      <c r="M121" s="128">
        <f t="shared" si="12"/>
        <v>6.9620117849999987</v>
      </c>
      <c r="N121" s="128">
        <f t="shared" si="16"/>
        <v>26.137499999999999</v>
      </c>
      <c r="O121" s="130">
        <f t="shared" si="13"/>
        <v>19.175488215000001</v>
      </c>
    </row>
    <row r="122" spans="1:15" hidden="1">
      <c r="A122" s="71" t="s">
        <v>396</v>
      </c>
      <c r="B122" s="71">
        <v>2</v>
      </c>
      <c r="E122" s="72">
        <v>4908408</v>
      </c>
      <c r="F122" s="71">
        <v>14.07</v>
      </c>
      <c r="H122" s="125">
        <f t="shared" si="9"/>
        <v>5.7480078000000008</v>
      </c>
      <c r="I122" s="125">
        <f t="shared" si="14"/>
        <v>5.7480078000000008</v>
      </c>
      <c r="J122" s="124">
        <f t="shared" si="10"/>
        <v>-8.2045678800000008</v>
      </c>
      <c r="K122" s="124">
        <f t="shared" si="11"/>
        <v>-0.58312493816631139</v>
      </c>
      <c r="L122" s="123">
        <f t="shared" si="15"/>
        <v>-10.315067880000001</v>
      </c>
      <c r="M122" s="128">
        <f t="shared" si="12"/>
        <v>3.7549321199999994</v>
      </c>
      <c r="N122" s="128">
        <f t="shared" si="16"/>
        <v>11.109500000000001</v>
      </c>
      <c r="O122" s="130">
        <f t="shared" si="13"/>
        <v>7.3545678800000012</v>
      </c>
    </row>
    <row r="123" spans="1:15" hidden="1">
      <c r="A123" s="71" t="s">
        <v>397</v>
      </c>
      <c r="B123" s="71">
        <v>2</v>
      </c>
      <c r="E123" s="72">
        <v>4885715</v>
      </c>
      <c r="F123" s="71">
        <v>16.46</v>
      </c>
      <c r="H123" s="125">
        <f t="shared" ref="H123:H155" si="17">(F123)*0.7225-E123/$R$1</f>
        <v>7.495206500000001</v>
      </c>
      <c r="I123" s="125">
        <f t="shared" si="14"/>
        <v>7.495206500000001</v>
      </c>
      <c r="J123" s="124">
        <f t="shared" ref="J123:J155" si="18">0.85 * E123 / R$1 - 0.85 *F123</f>
        <v>-10.253428025</v>
      </c>
      <c r="K123" s="124">
        <f t="shared" ref="K123:K154" si="19">J123 / F123</f>
        <v>-0.62293001366950174</v>
      </c>
      <c r="L123" s="123">
        <f t="shared" si="15"/>
        <v>-12.722428025000001</v>
      </c>
      <c r="M123" s="128">
        <f t="shared" ref="M123:M155" si="20">0.85 * E123 / R$1</f>
        <v>3.7375719749999994</v>
      </c>
      <c r="N123" s="128">
        <f t="shared" si="16"/>
        <v>13.141</v>
      </c>
      <c r="O123" s="130">
        <f t="shared" ref="O123:O154" si="21" xml:space="preserve"> N123 - M123</f>
        <v>9.4034280250000002</v>
      </c>
    </row>
    <row r="124" spans="1:15" hidden="1">
      <c r="A124" s="71" t="s">
        <v>398</v>
      </c>
      <c r="B124" s="71">
        <v>2</v>
      </c>
      <c r="E124" s="72">
        <v>2600000</v>
      </c>
      <c r="F124" s="71">
        <v>8.01</v>
      </c>
      <c r="H124" s="125">
        <f t="shared" si="17"/>
        <v>3.4472250000000004</v>
      </c>
      <c r="I124" s="125">
        <f t="shared" si="14"/>
        <v>3.4472250000000004</v>
      </c>
      <c r="J124" s="124">
        <f t="shared" si="18"/>
        <v>-4.8194999999999997</v>
      </c>
      <c r="K124" s="124">
        <f t="shared" si="19"/>
        <v>-0.60168539325842696</v>
      </c>
      <c r="L124" s="123">
        <f t="shared" si="15"/>
        <v>-6.0209999999999999</v>
      </c>
      <c r="M124" s="128">
        <f t="shared" si="20"/>
        <v>1.9889999999999999</v>
      </c>
      <c r="N124" s="128">
        <f t="shared" si="16"/>
        <v>5.9584999999999999</v>
      </c>
      <c r="O124" s="130">
        <f t="shared" si="21"/>
        <v>3.9695</v>
      </c>
    </row>
    <row r="125" spans="1:15" hidden="1">
      <c r="A125" s="71" t="s">
        <v>399</v>
      </c>
      <c r="B125" s="71">
        <v>2</v>
      </c>
      <c r="E125" s="72">
        <v>1203591</v>
      </c>
      <c r="F125" s="71">
        <v>3.75</v>
      </c>
      <c r="H125" s="125">
        <f t="shared" si="17"/>
        <v>1.6261431000000002</v>
      </c>
      <c r="I125" s="125">
        <f t="shared" si="14"/>
        <v>1.6261431000000002</v>
      </c>
      <c r="J125" s="124">
        <f t="shared" si="18"/>
        <v>-2.2667528850000003</v>
      </c>
      <c r="K125" s="124">
        <f t="shared" si="19"/>
        <v>-0.60446743600000008</v>
      </c>
      <c r="L125" s="123">
        <f t="shared" si="15"/>
        <v>-2.8292528850000003</v>
      </c>
      <c r="M125" s="128">
        <f t="shared" si="20"/>
        <v>0.92074711499999984</v>
      </c>
      <c r="N125" s="128">
        <f t="shared" si="16"/>
        <v>2.3374999999999999</v>
      </c>
      <c r="O125" s="130">
        <f t="shared" si="21"/>
        <v>1.4167528850000002</v>
      </c>
    </row>
    <row r="126" spans="1:15" hidden="1">
      <c r="A126" s="71" t="s">
        <v>400</v>
      </c>
      <c r="B126" s="71">
        <v>2</v>
      </c>
      <c r="E126" s="72">
        <v>1004004</v>
      </c>
      <c r="F126" s="71">
        <v>3.46</v>
      </c>
      <c r="H126" s="125">
        <f t="shared" si="17"/>
        <v>1.5962464000000001</v>
      </c>
      <c r="I126" s="125">
        <f t="shared" si="14"/>
        <v>1.5962464000000001</v>
      </c>
      <c r="J126" s="124">
        <f t="shared" si="18"/>
        <v>-2.17293694</v>
      </c>
      <c r="K126" s="124">
        <f t="shared" si="19"/>
        <v>-0.62801645664739891</v>
      </c>
      <c r="L126" s="123">
        <f t="shared" si="15"/>
        <v>-2.6919369400000002</v>
      </c>
      <c r="M126" s="128">
        <f t="shared" si="20"/>
        <v>0.76806305999999991</v>
      </c>
      <c r="N126" s="128">
        <f t="shared" si="16"/>
        <v>2.0909999999999997</v>
      </c>
      <c r="O126" s="130">
        <f t="shared" si="21"/>
        <v>1.32293694</v>
      </c>
    </row>
    <row r="127" spans="1:15" hidden="1">
      <c r="A127" s="71" t="s">
        <v>401</v>
      </c>
      <c r="B127" s="71">
        <v>2</v>
      </c>
      <c r="E127" s="72">
        <v>1380702</v>
      </c>
      <c r="F127" s="71">
        <v>4.7699999999999996</v>
      </c>
      <c r="H127" s="125">
        <f t="shared" si="17"/>
        <v>2.2036932</v>
      </c>
      <c r="I127" s="125">
        <f t="shared" si="14"/>
        <v>2.2036932</v>
      </c>
      <c r="J127" s="124">
        <f t="shared" si="18"/>
        <v>-2.998262969999999</v>
      </c>
      <c r="K127" s="124">
        <f t="shared" si="19"/>
        <v>-0.62856666037735831</v>
      </c>
      <c r="L127" s="123">
        <f t="shared" si="15"/>
        <v>-3.7137629699999994</v>
      </c>
      <c r="M127" s="128">
        <f t="shared" si="20"/>
        <v>1.0562370299999999</v>
      </c>
      <c r="N127" s="128">
        <f t="shared" si="16"/>
        <v>3.2044999999999995</v>
      </c>
      <c r="O127" s="130">
        <f t="shared" si="21"/>
        <v>2.1482629699999993</v>
      </c>
    </row>
    <row r="128" spans="1:15" hidden="1">
      <c r="A128" s="71" t="s">
        <v>402</v>
      </c>
      <c r="B128" s="71">
        <v>2</v>
      </c>
      <c r="E128" s="72">
        <v>21750000</v>
      </c>
      <c r="F128" s="71">
        <v>52</v>
      </c>
      <c r="H128" s="125">
        <f t="shared" si="17"/>
        <v>17.995000000000001</v>
      </c>
      <c r="I128" s="125">
        <f t="shared" si="14"/>
        <v>17.995000000000001</v>
      </c>
      <c r="J128" s="124">
        <f t="shared" si="18"/>
        <v>-27.561249999999998</v>
      </c>
      <c r="K128" s="124">
        <f t="shared" si="19"/>
        <v>-0.53002403846153845</v>
      </c>
      <c r="L128" s="123">
        <f t="shared" si="15"/>
        <v>-35.361249999999998</v>
      </c>
      <c r="M128" s="128">
        <f t="shared" si="20"/>
        <v>16.638749999999998</v>
      </c>
      <c r="N128" s="128">
        <f t="shared" si="16"/>
        <v>43.35</v>
      </c>
      <c r="O128" s="130">
        <f t="shared" si="21"/>
        <v>26.711250000000003</v>
      </c>
    </row>
    <row r="129" spans="1:15" hidden="1">
      <c r="A129" s="71" t="s">
        <v>403</v>
      </c>
      <c r="B129" s="71">
        <v>2</v>
      </c>
      <c r="E129" s="72">
        <v>6500000</v>
      </c>
      <c r="F129" s="71">
        <v>18.48</v>
      </c>
      <c r="H129" s="125">
        <f t="shared" si="17"/>
        <v>7.5018000000000011</v>
      </c>
      <c r="I129" s="125">
        <f t="shared" si="14"/>
        <v>7.5018000000000011</v>
      </c>
      <c r="J129" s="124">
        <f t="shared" si="18"/>
        <v>-10.735500000000002</v>
      </c>
      <c r="K129" s="124">
        <f t="shared" si="19"/>
        <v>-0.58092532467532476</v>
      </c>
      <c r="L129" s="123">
        <f t="shared" si="15"/>
        <v>-13.5075</v>
      </c>
      <c r="M129" s="128">
        <f t="shared" si="20"/>
        <v>4.9724999999999993</v>
      </c>
      <c r="N129" s="128">
        <f t="shared" si="16"/>
        <v>14.858000000000001</v>
      </c>
      <c r="O129" s="130">
        <f t="shared" si="21"/>
        <v>9.8855000000000004</v>
      </c>
    </row>
    <row r="130" spans="1:15" hidden="1">
      <c r="A130" s="71" t="s">
        <v>404</v>
      </c>
      <c r="B130" s="71">
        <v>2</v>
      </c>
      <c r="E130" s="72">
        <v>4551890</v>
      </c>
      <c r="F130" s="71">
        <v>10.86</v>
      </c>
      <c r="H130" s="125">
        <f t="shared" si="17"/>
        <v>3.7496490000000007</v>
      </c>
      <c r="I130" s="125">
        <f t="shared" ref="I130:I155" si="22">0.7225 * (F130) - E130 / $R$1</f>
        <v>3.7496490000000007</v>
      </c>
      <c r="J130" s="124">
        <f t="shared" si="18"/>
        <v>-5.7488041499999998</v>
      </c>
      <c r="K130" s="124">
        <f t="shared" si="19"/>
        <v>-0.52935581491712713</v>
      </c>
      <c r="L130" s="123">
        <f t="shared" ref="L130:L155" si="23">(0.85*E130) / R$1 -F130</f>
        <v>-7.3778041499999993</v>
      </c>
      <c r="M130" s="128">
        <f t="shared" si="20"/>
        <v>3.4821958499999996</v>
      </c>
      <c r="N130" s="128">
        <f t="shared" si="16"/>
        <v>8.3809999999999985</v>
      </c>
      <c r="O130" s="130">
        <f t="shared" si="21"/>
        <v>4.8988041499999984</v>
      </c>
    </row>
    <row r="131" spans="1:15" hidden="1">
      <c r="A131" s="71" t="s">
        <v>405</v>
      </c>
      <c r="B131" s="71">
        <v>2</v>
      </c>
      <c r="E131" s="72">
        <v>9999999</v>
      </c>
      <c r="F131" s="71">
        <v>23.34</v>
      </c>
      <c r="H131" s="125">
        <f t="shared" si="17"/>
        <v>7.8631509000000026</v>
      </c>
      <c r="I131" s="125">
        <f t="shared" si="22"/>
        <v>7.8631509000000026</v>
      </c>
      <c r="J131" s="124">
        <f t="shared" si="18"/>
        <v>-12.189000764999999</v>
      </c>
      <c r="K131" s="124">
        <f t="shared" si="19"/>
        <v>-0.52223653663239067</v>
      </c>
      <c r="L131" s="123">
        <f t="shared" si="23"/>
        <v>-15.690000765000001</v>
      </c>
      <c r="M131" s="128">
        <f t="shared" si="20"/>
        <v>7.6499992349999992</v>
      </c>
      <c r="N131" s="128">
        <f t="shared" si="16"/>
        <v>18.989000000000001</v>
      </c>
      <c r="O131" s="130">
        <f t="shared" si="21"/>
        <v>11.339000765000002</v>
      </c>
    </row>
    <row r="132" spans="1:15" hidden="1">
      <c r="A132" s="71" t="s">
        <v>431</v>
      </c>
      <c r="B132" s="71">
        <v>2</v>
      </c>
      <c r="E132" s="72">
        <v>11585000</v>
      </c>
      <c r="F132" s="71">
        <v>22</v>
      </c>
      <c r="H132" s="125">
        <f t="shared" si="17"/>
        <v>5.4685000000000024</v>
      </c>
      <c r="I132" s="125">
        <f t="shared" si="22"/>
        <v>5.4685000000000024</v>
      </c>
      <c r="J132" s="124">
        <f t="shared" si="18"/>
        <v>-9.8374749999999995</v>
      </c>
      <c r="K132" s="124">
        <f t="shared" si="19"/>
        <v>-0.44715795454545454</v>
      </c>
      <c r="L132" s="123">
        <f t="shared" si="23"/>
        <v>-13.137475</v>
      </c>
      <c r="M132" s="128">
        <f t="shared" si="20"/>
        <v>8.8625249999999998</v>
      </c>
      <c r="N132" s="128">
        <f t="shared" si="16"/>
        <v>17.849999999999998</v>
      </c>
      <c r="O132" s="130">
        <f t="shared" si="21"/>
        <v>8.9874749999999981</v>
      </c>
    </row>
    <row r="133" spans="1:15" hidden="1">
      <c r="A133" s="71" t="s">
        <v>432</v>
      </c>
      <c r="B133" s="71">
        <v>2</v>
      </c>
      <c r="E133" s="72">
        <v>2388490</v>
      </c>
      <c r="F133" s="71">
        <v>9.07</v>
      </c>
      <c r="H133" s="125">
        <f t="shared" si="17"/>
        <v>4.4034340000000007</v>
      </c>
      <c r="I133" s="125">
        <f t="shared" si="22"/>
        <v>4.4034340000000007</v>
      </c>
      <c r="J133" s="124">
        <f t="shared" si="18"/>
        <v>-5.8823051500000005</v>
      </c>
      <c r="K133" s="124">
        <f t="shared" si="19"/>
        <v>-0.64854522050716656</v>
      </c>
      <c r="L133" s="123">
        <f t="shared" si="23"/>
        <v>-7.2428051500000006</v>
      </c>
      <c r="M133" s="128">
        <f t="shared" si="20"/>
        <v>1.8271948499999997</v>
      </c>
      <c r="N133" s="128">
        <f t="shared" si="16"/>
        <v>6.8594999999999997</v>
      </c>
      <c r="O133" s="130">
        <f t="shared" si="21"/>
        <v>5.03230515</v>
      </c>
    </row>
    <row r="134" spans="1:15" hidden="1">
      <c r="A134" s="71" t="s">
        <v>433</v>
      </c>
      <c r="B134" s="71">
        <v>2</v>
      </c>
      <c r="E134" s="72">
        <v>27500000</v>
      </c>
      <c r="F134" s="71">
        <v>61.98</v>
      </c>
      <c r="H134" s="125">
        <f t="shared" si="17"/>
        <v>20.030550000000002</v>
      </c>
      <c r="I134" s="125">
        <f t="shared" si="22"/>
        <v>20.030550000000002</v>
      </c>
      <c r="J134" s="124">
        <f t="shared" si="18"/>
        <v>-31.645499999999995</v>
      </c>
      <c r="K134" s="124">
        <f t="shared" si="19"/>
        <v>-0.51057599225556627</v>
      </c>
      <c r="L134" s="123">
        <f t="shared" si="23"/>
        <v>-40.942499999999995</v>
      </c>
      <c r="M134" s="128">
        <f t="shared" si="20"/>
        <v>21.037499999999998</v>
      </c>
      <c r="N134" s="128">
        <f t="shared" si="16"/>
        <v>51.832999999999998</v>
      </c>
      <c r="O134" s="130">
        <f t="shared" si="21"/>
        <v>30.795500000000001</v>
      </c>
    </row>
    <row r="135" spans="1:15" hidden="1">
      <c r="A135" s="71" t="s">
        <v>434</v>
      </c>
      <c r="B135" s="71">
        <v>2</v>
      </c>
      <c r="E135" s="72">
        <v>1200000</v>
      </c>
      <c r="F135" s="71">
        <v>4.6900000000000004</v>
      </c>
      <c r="H135" s="125">
        <f t="shared" si="17"/>
        <v>2.3085250000000004</v>
      </c>
      <c r="I135" s="125">
        <f t="shared" si="22"/>
        <v>2.3085250000000004</v>
      </c>
      <c r="J135" s="124">
        <f t="shared" si="18"/>
        <v>-3.0685000000000002</v>
      </c>
      <c r="K135" s="124">
        <f t="shared" si="19"/>
        <v>-0.65426439232409384</v>
      </c>
      <c r="L135" s="123">
        <f t="shared" si="23"/>
        <v>-3.7720000000000002</v>
      </c>
      <c r="M135" s="128">
        <f t="shared" si="20"/>
        <v>0.91799999999999993</v>
      </c>
      <c r="N135" s="128">
        <f t="shared" si="16"/>
        <v>3.1365000000000003</v>
      </c>
      <c r="O135" s="130">
        <f t="shared" si="21"/>
        <v>2.2185000000000006</v>
      </c>
    </row>
    <row r="136" spans="1:15" hidden="1">
      <c r="A136" s="71" t="s">
        <v>435</v>
      </c>
      <c r="B136" s="71">
        <v>2</v>
      </c>
      <c r="E136" s="72">
        <v>1637805</v>
      </c>
      <c r="F136" s="71">
        <v>5.44</v>
      </c>
      <c r="H136" s="125">
        <f t="shared" si="17"/>
        <v>2.4563755000000009</v>
      </c>
      <c r="I136" s="125">
        <f t="shared" si="22"/>
        <v>2.4563755000000009</v>
      </c>
      <c r="J136" s="124">
        <f t="shared" si="18"/>
        <v>-3.3710791750000006</v>
      </c>
      <c r="K136" s="124">
        <f t="shared" si="19"/>
        <v>-0.61968367187500006</v>
      </c>
      <c r="L136" s="123">
        <f t="shared" si="23"/>
        <v>-4.1870791750000009</v>
      </c>
      <c r="M136" s="128">
        <f t="shared" si="20"/>
        <v>1.2529208249999999</v>
      </c>
      <c r="N136" s="128">
        <f t="shared" si="16"/>
        <v>3.774</v>
      </c>
      <c r="O136" s="130">
        <f t="shared" si="21"/>
        <v>2.5210791750000001</v>
      </c>
    </row>
    <row r="137" spans="1:15" hidden="1">
      <c r="A137" s="71" t="s">
        <v>436</v>
      </c>
      <c r="B137" s="71">
        <v>2</v>
      </c>
      <c r="E137" s="72">
        <v>8880000</v>
      </c>
      <c r="F137" s="71">
        <v>10</v>
      </c>
      <c r="H137" s="125">
        <f t="shared" si="17"/>
        <v>-0.76699999999999857</v>
      </c>
      <c r="I137" s="125">
        <f t="shared" si="22"/>
        <v>-0.76699999999999857</v>
      </c>
      <c r="J137" s="124">
        <f t="shared" si="18"/>
        <v>-1.7068000000000012</v>
      </c>
      <c r="K137" s="124">
        <f t="shared" si="19"/>
        <v>-0.17068000000000011</v>
      </c>
      <c r="L137" s="123">
        <f t="shared" si="23"/>
        <v>-3.2068000000000012</v>
      </c>
      <c r="M137" s="128">
        <f t="shared" si="20"/>
        <v>6.7931999999999988</v>
      </c>
      <c r="N137" s="128">
        <f t="shared" si="16"/>
        <v>7.6499999999999995</v>
      </c>
      <c r="O137" s="130">
        <f t="shared" si="21"/>
        <v>0.85680000000000067</v>
      </c>
    </row>
    <row r="138" spans="1:15" hidden="1">
      <c r="A138" s="71" t="s">
        <v>437</v>
      </c>
      <c r="B138" s="71">
        <v>2</v>
      </c>
      <c r="E138" s="72">
        <v>1351000</v>
      </c>
      <c r="F138" s="71">
        <v>4.25</v>
      </c>
      <c r="H138" s="125">
        <f t="shared" si="17"/>
        <v>1.8547250000000004</v>
      </c>
      <c r="I138" s="125">
        <f t="shared" si="22"/>
        <v>1.8547250000000004</v>
      </c>
      <c r="J138" s="124">
        <f t="shared" si="18"/>
        <v>-2.5789849999999999</v>
      </c>
      <c r="K138" s="124">
        <f t="shared" si="19"/>
        <v>-0.60681999999999992</v>
      </c>
      <c r="L138" s="123">
        <f t="shared" si="23"/>
        <v>-3.216485</v>
      </c>
      <c r="M138" s="128">
        <f t="shared" si="20"/>
        <v>1.033515</v>
      </c>
      <c r="N138" s="128">
        <f t="shared" si="16"/>
        <v>2.7624999999999997</v>
      </c>
      <c r="O138" s="130">
        <f t="shared" si="21"/>
        <v>1.7289849999999998</v>
      </c>
    </row>
    <row r="139" spans="1:15" hidden="1">
      <c r="A139" s="71" t="s">
        <v>438</v>
      </c>
      <c r="B139" s="71">
        <v>2</v>
      </c>
      <c r="E139" s="72">
        <v>929225</v>
      </c>
      <c r="F139" s="71">
        <v>3.98</v>
      </c>
      <c r="H139" s="125">
        <f t="shared" si="17"/>
        <v>2.0392475000000001</v>
      </c>
      <c r="I139" s="125">
        <f t="shared" si="22"/>
        <v>2.0392475000000001</v>
      </c>
      <c r="J139" s="124">
        <f t="shared" si="18"/>
        <v>-2.672142875</v>
      </c>
      <c r="K139" s="124">
        <f t="shared" si="19"/>
        <v>-0.67139268216080406</v>
      </c>
      <c r="L139" s="123">
        <f t="shared" si="23"/>
        <v>-3.269142875</v>
      </c>
      <c r="M139" s="128">
        <f t="shared" si="20"/>
        <v>0.71085712499999987</v>
      </c>
      <c r="N139" s="128">
        <f t="shared" si="16"/>
        <v>2.5329999999999999</v>
      </c>
      <c r="O139" s="130">
        <f t="shared" si="21"/>
        <v>1.8221428749999999</v>
      </c>
    </row>
    <row r="140" spans="1:15" hidden="1">
      <c r="A140" s="71" t="s">
        <v>439</v>
      </c>
      <c r="B140" s="71">
        <v>2</v>
      </c>
      <c r="E140" s="72">
        <v>1920659</v>
      </c>
      <c r="F140" s="71">
        <v>7.31</v>
      </c>
      <c r="H140" s="125">
        <f t="shared" si="17"/>
        <v>3.5528819000000005</v>
      </c>
      <c r="I140" s="125">
        <f t="shared" si="22"/>
        <v>3.5528819000000005</v>
      </c>
      <c r="J140" s="124">
        <f t="shared" si="18"/>
        <v>-4.744195865</v>
      </c>
      <c r="K140" s="124">
        <f t="shared" si="19"/>
        <v>-0.64900080232558144</v>
      </c>
      <c r="L140" s="123">
        <f t="shared" si="23"/>
        <v>-5.8406958649999998</v>
      </c>
      <c r="M140" s="128">
        <f t="shared" si="20"/>
        <v>1.4693041349999998</v>
      </c>
      <c r="N140" s="128">
        <f t="shared" si="16"/>
        <v>5.3634999999999993</v>
      </c>
      <c r="O140" s="130">
        <f t="shared" si="21"/>
        <v>3.8941958649999995</v>
      </c>
    </row>
    <row r="141" spans="1:15" hidden="1">
      <c r="A141" s="71" t="s">
        <v>440</v>
      </c>
      <c r="B141" s="71">
        <v>2</v>
      </c>
      <c r="E141" s="72">
        <v>6229938</v>
      </c>
      <c r="F141" s="71">
        <v>16.989999999999998</v>
      </c>
      <c r="H141" s="125">
        <f t="shared" si="17"/>
        <v>6.6683307999999997</v>
      </c>
      <c r="I141" s="125">
        <f t="shared" si="22"/>
        <v>6.6683307999999997</v>
      </c>
      <c r="J141" s="124">
        <f t="shared" si="18"/>
        <v>-9.6755974299999998</v>
      </c>
      <c r="K141" s="124">
        <f t="shared" si="19"/>
        <v>-0.56948778281341972</v>
      </c>
      <c r="L141" s="123">
        <f t="shared" si="23"/>
        <v>-12.22409743</v>
      </c>
      <c r="M141" s="128">
        <f t="shared" si="20"/>
        <v>4.7659025699999988</v>
      </c>
      <c r="N141" s="128">
        <f t="shared" si="16"/>
        <v>13.591499999999998</v>
      </c>
      <c r="O141" s="130">
        <f t="shared" si="21"/>
        <v>8.8255974299999984</v>
      </c>
    </row>
    <row r="142" spans="1:15" hidden="1">
      <c r="A142" s="71" t="s">
        <v>441</v>
      </c>
      <c r="B142" s="71">
        <v>2</v>
      </c>
      <c r="E142" s="72">
        <v>4735688</v>
      </c>
      <c r="F142" s="71">
        <v>11.89</v>
      </c>
      <c r="H142" s="125">
        <f t="shared" si="17"/>
        <v>4.3284058000000014</v>
      </c>
      <c r="I142" s="125">
        <f t="shared" si="22"/>
        <v>4.3284058000000014</v>
      </c>
      <c r="J142" s="124">
        <f t="shared" si="18"/>
        <v>-6.4836986800000016</v>
      </c>
      <c r="K142" s="124">
        <f t="shared" si="19"/>
        <v>-0.54530686963835162</v>
      </c>
      <c r="L142" s="123">
        <f t="shared" si="23"/>
        <v>-8.2671986800000017</v>
      </c>
      <c r="M142" s="128">
        <f t="shared" si="20"/>
        <v>3.6228013199999993</v>
      </c>
      <c r="N142" s="128">
        <f t="shared" si="16"/>
        <v>9.2565000000000008</v>
      </c>
      <c r="O142" s="130">
        <f t="shared" si="21"/>
        <v>5.633698680000002</v>
      </c>
    </row>
    <row r="143" spans="1:15" hidden="1">
      <c r="A143" s="71" t="s">
        <v>442</v>
      </c>
      <c r="B143" s="71">
        <v>2</v>
      </c>
      <c r="E143" s="72">
        <v>6303413</v>
      </c>
      <c r="F143" s="71">
        <v>18.41</v>
      </c>
      <c r="H143" s="125">
        <f t="shared" si="17"/>
        <v>7.628153300000001</v>
      </c>
      <c r="I143" s="125">
        <f t="shared" si="22"/>
        <v>7.628153300000001</v>
      </c>
      <c r="J143" s="124">
        <f t="shared" si="18"/>
        <v>-10.826389055</v>
      </c>
      <c r="K143" s="124">
        <f t="shared" si="19"/>
        <v>-0.5880711056491037</v>
      </c>
      <c r="L143" s="123">
        <f t="shared" si="23"/>
        <v>-13.587889055000002</v>
      </c>
      <c r="M143" s="128">
        <f t="shared" si="20"/>
        <v>4.8221109449999995</v>
      </c>
      <c r="N143" s="128">
        <f t="shared" si="16"/>
        <v>14.798499999999999</v>
      </c>
      <c r="O143" s="130">
        <f t="shared" si="21"/>
        <v>9.9763890549999985</v>
      </c>
    </row>
    <row r="144" spans="1:15" hidden="1">
      <c r="A144" s="71" t="s">
        <v>443</v>
      </c>
      <c r="B144" s="71">
        <v>2</v>
      </c>
      <c r="E144" s="72">
        <v>100000000</v>
      </c>
      <c r="F144" s="71">
        <v>192</v>
      </c>
      <c r="H144" s="125">
        <f t="shared" si="17"/>
        <v>48.720000000000013</v>
      </c>
      <c r="I144" s="125">
        <f t="shared" si="22"/>
        <v>48.720000000000013</v>
      </c>
      <c r="J144" s="124">
        <f t="shared" si="18"/>
        <v>-86.7</v>
      </c>
      <c r="K144" s="124">
        <f t="shared" si="19"/>
        <v>-0.45156250000000003</v>
      </c>
      <c r="L144" s="123">
        <f t="shared" si="23"/>
        <v>-115.50000000000001</v>
      </c>
      <c r="M144" s="128">
        <f t="shared" si="20"/>
        <v>76.499999999999986</v>
      </c>
      <c r="N144" s="128">
        <f t="shared" si="16"/>
        <v>162.35</v>
      </c>
      <c r="O144" s="130">
        <f t="shared" si="21"/>
        <v>85.850000000000009</v>
      </c>
    </row>
    <row r="145" spans="1:15" hidden="1">
      <c r="A145" s="71" t="s">
        <v>444</v>
      </c>
      <c r="B145" s="71">
        <v>2</v>
      </c>
      <c r="E145" s="72">
        <v>68000000</v>
      </c>
      <c r="F145" s="71">
        <v>125</v>
      </c>
      <c r="H145" s="125">
        <f t="shared" si="17"/>
        <v>29.112500000000004</v>
      </c>
      <c r="I145" s="125">
        <f t="shared" si="22"/>
        <v>29.112500000000004</v>
      </c>
      <c r="J145" s="124">
        <f t="shared" si="18"/>
        <v>-54.230000000000004</v>
      </c>
      <c r="K145" s="124">
        <f t="shared" si="19"/>
        <v>-0.43384000000000006</v>
      </c>
      <c r="L145" s="123">
        <f t="shared" si="23"/>
        <v>-72.98</v>
      </c>
      <c r="M145" s="128">
        <f t="shared" si="20"/>
        <v>52.019999999999996</v>
      </c>
      <c r="N145" s="128">
        <f t="shared" si="16"/>
        <v>105.39999999999999</v>
      </c>
      <c r="O145" s="130">
        <f t="shared" si="21"/>
        <v>53.379999999999995</v>
      </c>
    </row>
    <row r="146" spans="1:15" hidden="1">
      <c r="A146" s="71" t="s">
        <v>445</v>
      </c>
      <c r="B146" s="71">
        <v>2</v>
      </c>
      <c r="E146" s="72">
        <v>1076018</v>
      </c>
      <c r="F146" s="71">
        <v>4.9800000000000004</v>
      </c>
      <c r="H146" s="125">
        <f t="shared" si="17"/>
        <v>2.6296338000000006</v>
      </c>
      <c r="I146" s="125">
        <f t="shared" si="22"/>
        <v>2.6296338000000006</v>
      </c>
      <c r="J146" s="124">
        <f t="shared" si="18"/>
        <v>-3.4098462300000008</v>
      </c>
      <c r="K146" s="124">
        <f t="shared" si="19"/>
        <v>-0.68470807831325309</v>
      </c>
      <c r="L146" s="123">
        <f t="shared" si="23"/>
        <v>-4.1568462300000002</v>
      </c>
      <c r="M146" s="128">
        <f t="shared" si="20"/>
        <v>0.8231537699999999</v>
      </c>
      <c r="N146" s="128">
        <f t="shared" si="16"/>
        <v>3.3830000000000005</v>
      </c>
      <c r="O146" s="130">
        <f t="shared" si="21"/>
        <v>2.5598462300000007</v>
      </c>
    </row>
    <row r="147" spans="1:15" hidden="1">
      <c r="A147" s="71" t="s">
        <v>446</v>
      </c>
      <c r="B147" s="71">
        <v>2</v>
      </c>
      <c r="E147" s="72">
        <v>1181170</v>
      </c>
      <c r="F147" s="71">
        <v>4.24</v>
      </c>
      <c r="H147" s="125">
        <f t="shared" si="17"/>
        <v>2.0003470000000005</v>
      </c>
      <c r="I147" s="125">
        <f t="shared" si="22"/>
        <v>2.0003470000000005</v>
      </c>
      <c r="J147" s="124">
        <f t="shared" si="18"/>
        <v>-2.7004049500000002</v>
      </c>
      <c r="K147" s="124">
        <f t="shared" si="19"/>
        <v>-0.63688795990566038</v>
      </c>
      <c r="L147" s="123">
        <f t="shared" si="23"/>
        <v>-3.3364049500000004</v>
      </c>
      <c r="M147" s="128">
        <f t="shared" si="20"/>
        <v>0.90359504999999984</v>
      </c>
      <c r="N147" s="128">
        <f t="shared" si="16"/>
        <v>2.754</v>
      </c>
      <c r="O147" s="130">
        <f t="shared" si="21"/>
        <v>1.8504049500000002</v>
      </c>
    </row>
    <row r="148" spans="1:15" hidden="1">
      <c r="A148" s="71" t="s">
        <v>447</v>
      </c>
      <c r="B148" s="71">
        <v>2</v>
      </c>
      <c r="E148" s="72">
        <v>66658872</v>
      </c>
      <c r="F148" s="71">
        <v>143.6</v>
      </c>
      <c r="H148" s="125">
        <f t="shared" si="17"/>
        <v>43.75801520000001</v>
      </c>
      <c r="I148" s="125">
        <f t="shared" si="22"/>
        <v>43.75801520000001</v>
      </c>
      <c r="J148" s="124">
        <f t="shared" si="18"/>
        <v>-71.065962920000004</v>
      </c>
      <c r="K148" s="124">
        <f t="shared" si="19"/>
        <v>-0.49488832116991649</v>
      </c>
      <c r="L148" s="123">
        <f t="shared" si="23"/>
        <v>-92.605962919999996</v>
      </c>
      <c r="M148" s="128">
        <f t="shared" si="20"/>
        <v>50.994037079999991</v>
      </c>
      <c r="N148" s="128">
        <f t="shared" si="16"/>
        <v>121.21</v>
      </c>
      <c r="O148" s="130">
        <f t="shared" si="21"/>
        <v>70.21596292000001</v>
      </c>
    </row>
    <row r="149" spans="1:15" hidden="1">
      <c r="A149" s="71" t="s">
        <v>448</v>
      </c>
      <c r="B149" s="71">
        <v>2</v>
      </c>
      <c r="E149" s="72">
        <v>780471</v>
      </c>
      <c r="F149" s="71">
        <v>2.52</v>
      </c>
      <c r="H149" s="125">
        <f t="shared" si="17"/>
        <v>1.1182761000000001</v>
      </c>
      <c r="I149" s="125">
        <f t="shared" si="22"/>
        <v>1.1182761000000001</v>
      </c>
      <c r="J149" s="124">
        <f t="shared" si="18"/>
        <v>-1.5449396850000001</v>
      </c>
      <c r="K149" s="124">
        <f t="shared" si="19"/>
        <v>-0.61307130357142858</v>
      </c>
      <c r="L149" s="123">
        <f t="shared" si="23"/>
        <v>-1.9229396850000002</v>
      </c>
      <c r="M149" s="128">
        <f t="shared" si="20"/>
        <v>0.5970603149999999</v>
      </c>
      <c r="N149" s="128">
        <f t="shared" si="16"/>
        <v>1.292</v>
      </c>
      <c r="O149" s="130">
        <f t="shared" si="21"/>
        <v>0.69493968500000014</v>
      </c>
    </row>
    <row r="150" spans="1:15" hidden="1">
      <c r="A150" s="71" t="s">
        <v>449</v>
      </c>
      <c r="B150" s="71">
        <v>2</v>
      </c>
      <c r="E150" s="72">
        <v>1015384</v>
      </c>
      <c r="F150" s="71">
        <v>4.0999999999999996</v>
      </c>
      <c r="H150" s="125">
        <f t="shared" si="17"/>
        <v>2.0484043999999999</v>
      </c>
      <c r="I150" s="125">
        <f t="shared" si="22"/>
        <v>2.0484043999999999</v>
      </c>
      <c r="J150" s="124">
        <f t="shared" si="18"/>
        <v>-2.7082312399999995</v>
      </c>
      <c r="K150" s="124">
        <f t="shared" si="19"/>
        <v>-0.66054420487804866</v>
      </c>
      <c r="L150" s="123">
        <f t="shared" si="23"/>
        <v>-3.3232312399999997</v>
      </c>
      <c r="M150" s="128">
        <f t="shared" si="20"/>
        <v>0.77676875999999995</v>
      </c>
      <c r="N150" s="128">
        <f t="shared" si="16"/>
        <v>2.6349999999999998</v>
      </c>
      <c r="O150" s="130">
        <f t="shared" si="21"/>
        <v>1.8582312399999998</v>
      </c>
    </row>
    <row r="151" spans="1:15" hidden="1">
      <c r="A151" s="71" t="s">
        <v>450</v>
      </c>
      <c r="B151" s="71">
        <v>2</v>
      </c>
      <c r="E151" s="72">
        <v>3500000</v>
      </c>
      <c r="F151" s="71">
        <v>7.39</v>
      </c>
      <c r="H151" s="125">
        <f t="shared" si="17"/>
        <v>2.1892750000000003</v>
      </c>
      <c r="I151" s="125">
        <f t="shared" si="22"/>
        <v>2.1892750000000003</v>
      </c>
      <c r="J151" s="124">
        <f t="shared" si="18"/>
        <v>-3.6039999999999996</v>
      </c>
      <c r="K151" s="124">
        <f t="shared" si="19"/>
        <v>-0.48768606224627875</v>
      </c>
      <c r="L151" s="123">
        <f t="shared" si="23"/>
        <v>-4.7125000000000004</v>
      </c>
      <c r="M151" s="128">
        <f t="shared" si="20"/>
        <v>2.6774999999999998</v>
      </c>
      <c r="N151" s="128">
        <f t="shared" si="16"/>
        <v>5.4314999999999998</v>
      </c>
      <c r="O151" s="130">
        <f t="shared" si="21"/>
        <v>2.754</v>
      </c>
    </row>
    <row r="152" spans="1:15" hidden="1">
      <c r="A152" s="71" t="s">
        <v>451</v>
      </c>
      <c r="B152" s="71">
        <v>2</v>
      </c>
      <c r="E152" s="72">
        <v>4800000</v>
      </c>
      <c r="F152" s="71">
        <v>7.08</v>
      </c>
      <c r="H152" s="125">
        <f t="shared" si="17"/>
        <v>0.79530000000000101</v>
      </c>
      <c r="I152" s="125">
        <f t="shared" si="22"/>
        <v>0.79530000000000101</v>
      </c>
      <c r="J152" s="124">
        <f t="shared" si="18"/>
        <v>-2.3460000000000001</v>
      </c>
      <c r="K152" s="124">
        <f t="shared" si="19"/>
        <v>-0.33135593220338982</v>
      </c>
      <c r="L152" s="123">
        <f t="shared" si="23"/>
        <v>-3.4080000000000004</v>
      </c>
      <c r="M152" s="128">
        <f t="shared" si="20"/>
        <v>3.6719999999999997</v>
      </c>
      <c r="N152" s="128">
        <f t="shared" si="16"/>
        <v>5.1680000000000001</v>
      </c>
      <c r="O152" s="130">
        <f t="shared" si="21"/>
        <v>1.4960000000000004</v>
      </c>
    </row>
    <row r="153" spans="1:15" hidden="1">
      <c r="A153" s="71" t="s">
        <v>452</v>
      </c>
      <c r="B153" s="71">
        <v>2</v>
      </c>
      <c r="E153" s="72">
        <v>7290117</v>
      </c>
      <c r="F153" s="71">
        <v>20.399999999999999</v>
      </c>
      <c r="H153" s="125">
        <f t="shared" si="17"/>
        <v>8.1778946999999995</v>
      </c>
      <c r="I153" s="125">
        <f t="shared" si="22"/>
        <v>8.1778946999999995</v>
      </c>
      <c r="J153" s="124">
        <f t="shared" si="18"/>
        <v>-11.763060495000001</v>
      </c>
      <c r="K153" s="124">
        <f t="shared" si="19"/>
        <v>-0.57662061250000007</v>
      </c>
      <c r="L153" s="123">
        <f t="shared" si="23"/>
        <v>-14.823060495</v>
      </c>
      <c r="M153" s="128">
        <f t="shared" si="20"/>
        <v>5.5769395049999995</v>
      </c>
      <c r="N153" s="128">
        <f t="shared" si="16"/>
        <v>16.489999999999998</v>
      </c>
      <c r="O153" s="130">
        <f t="shared" si="21"/>
        <v>10.913060495</v>
      </c>
    </row>
    <row r="154" spans="1:15" hidden="1">
      <c r="A154" s="71" t="s">
        <v>453</v>
      </c>
      <c r="B154" s="71">
        <v>2</v>
      </c>
      <c r="E154" s="72">
        <v>2060355</v>
      </c>
      <c r="F154" s="71">
        <v>4.72</v>
      </c>
      <c r="H154" s="125">
        <f t="shared" si="17"/>
        <v>1.5558805000000004</v>
      </c>
      <c r="I154" s="125">
        <f t="shared" si="22"/>
        <v>1.5558805000000004</v>
      </c>
      <c r="J154" s="124">
        <f t="shared" si="18"/>
        <v>-2.4358284249999995</v>
      </c>
      <c r="K154" s="124">
        <f t="shared" si="19"/>
        <v>-0.51606534427966089</v>
      </c>
      <c r="L154" s="123">
        <f t="shared" si="23"/>
        <v>-3.1438284249999997</v>
      </c>
      <c r="M154" s="128">
        <f t="shared" si="20"/>
        <v>1.5761715749999998</v>
      </c>
      <c r="N154" s="128">
        <f t="shared" si="16"/>
        <v>3.1619999999999999</v>
      </c>
      <c r="O154" s="130">
        <f t="shared" si="21"/>
        <v>1.5858284250000001</v>
      </c>
    </row>
    <row r="155" spans="1:15" hidden="1">
      <c r="A155" s="71" t="s">
        <v>454</v>
      </c>
      <c r="B155" s="71">
        <v>2</v>
      </c>
      <c r="E155" s="72">
        <v>13000000</v>
      </c>
      <c r="F155" s="71">
        <v>24.75</v>
      </c>
      <c r="H155" s="125">
        <f t="shared" si="17"/>
        <v>6.1818750000000016</v>
      </c>
      <c r="I155" s="125">
        <f t="shared" si="22"/>
        <v>6.1818750000000016</v>
      </c>
      <c r="J155" s="124">
        <f t="shared" si="18"/>
        <v>-11.092499999999999</v>
      </c>
      <c r="K155" s="124">
        <f t="shared" ref="K155:K186" si="24">J155 / F155</f>
        <v>-0.44818181818181818</v>
      </c>
      <c r="L155" s="123">
        <f t="shared" si="23"/>
        <v>-14.805000000000001</v>
      </c>
      <c r="M155" s="128">
        <f t="shared" si="20"/>
        <v>9.9449999999999985</v>
      </c>
      <c r="N155" s="128">
        <f t="shared" si="16"/>
        <v>20.1875</v>
      </c>
      <c r="O155" s="130">
        <f t="shared" ref="O155:O186" si="25" xml:space="preserve"> N155 - M155</f>
        <v>10.242500000000001</v>
      </c>
    </row>
  </sheetData>
  <autoFilter ref="A1:O155">
    <filterColumn colId="1">
      <filters>
        <filter val="0"/>
      </filters>
    </filterColumn>
    <sortState ref="A2:O65">
      <sortCondition descending="1" ref="H8"/>
    </sortState>
  </autoFilter>
  <sortState ref="A1:AA65">
    <sortCondition ref="B2:B183"/>
    <sortCondition ref="A2:A183"/>
  </sortState>
  <conditionalFormatting sqref="O1:O1048576">
    <cfRule type="cellIs" dxfId="7" priority="3" operator="lessThanOrEqual">
      <formula>0</formula>
    </cfRule>
    <cfRule type="cellIs" dxfId="6" priority="6" operator="greaterThan">
      <formula>0</formula>
    </cfRule>
  </conditionalFormatting>
  <conditionalFormatting sqref="C1:C1048576">
    <cfRule type="colorScale" priority="5">
      <colorScale>
        <cfvo type="min" val="0"/>
        <cfvo type="percentile" val="50"/>
        <cfvo type="max" val="0"/>
        <color rgb="FFF8696B"/>
        <color rgb="FFFFEB84"/>
        <color rgb="FF63BE7B"/>
      </colorScale>
    </cfRule>
  </conditionalFormatting>
  <conditionalFormatting sqref="D1:D1048576">
    <cfRule type="colorScale" priority="4">
      <colorScale>
        <cfvo type="min" val="0"/>
        <cfvo type="percentile" val="50"/>
        <cfvo type="max" val="0"/>
        <color rgb="FF63BE7B"/>
        <color rgb="FFFFEB84"/>
        <color rgb="FFF8696B"/>
      </colorScale>
    </cfRule>
  </conditionalFormatting>
  <conditionalFormatting sqref="G11:G14 H1:L99783">
    <cfRule type="cellIs" dxfId="5" priority="14" stopIfTrue="1" operator="greaterThan">
      <formula>0</formula>
    </cfRule>
    <cfRule type="cellIs" dxfId="4" priority="15" stopIfTrue="1" operator="lessThanOrEqual">
      <formula>0</formula>
    </cfRule>
  </conditionalFormatting>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dimension ref="A1:E100"/>
  <sheetViews>
    <sheetView zoomScaleNormal="100" workbookViewId="0">
      <pane ySplit="1" topLeftCell="A2" activePane="bottomLeft" state="frozen"/>
      <selection activeCell="A2" sqref="A2"/>
      <selection pane="bottomLeft" activeCell="A2" sqref="A2"/>
    </sheetView>
  </sheetViews>
  <sheetFormatPr defaultColWidth="17.140625" defaultRowHeight="12.75" customHeight="1"/>
  <cols>
    <col min="1" max="1" width="11.28515625" customWidth="1"/>
    <col min="2" max="2" width="9.42578125" customWidth="1"/>
    <col min="3" max="3" width="10.7109375" customWidth="1"/>
    <col min="4" max="4" width="15.140625" customWidth="1"/>
    <col min="5" max="5" width="19.140625" customWidth="1"/>
    <col min="6" max="21" width="17.140625" customWidth="1"/>
  </cols>
  <sheetData>
    <row r="1" spans="1:5" ht="25.5">
      <c r="A1" s="5" t="s">
        <v>135</v>
      </c>
      <c r="B1" s="5" t="s">
        <v>191</v>
      </c>
      <c r="C1" s="5" t="s">
        <v>249</v>
      </c>
      <c r="D1" s="5" t="s">
        <v>198</v>
      </c>
      <c r="E1" s="61" t="s">
        <v>25</v>
      </c>
    </row>
    <row r="2" spans="1:5">
      <c r="A2" s="5" t="s">
        <v>121</v>
      </c>
      <c r="B2" s="5">
        <v>2</v>
      </c>
      <c r="C2" s="5">
        <v>17</v>
      </c>
      <c r="D2" s="5">
        <v>150</v>
      </c>
      <c r="E2" s="61">
        <f>D2/C2</f>
        <v>8.8235294117647065</v>
      </c>
    </row>
    <row r="3" spans="1:5">
      <c r="E3" s="61"/>
    </row>
    <row r="4" spans="1:5">
      <c r="E4" s="61"/>
    </row>
    <row r="5" spans="1:5">
      <c r="E5" s="61"/>
    </row>
    <row r="6" spans="1:5">
      <c r="E6" s="61"/>
    </row>
    <row r="7" spans="1:5">
      <c r="E7" s="61"/>
    </row>
    <row r="8" spans="1:5">
      <c r="E8" s="61"/>
    </row>
    <row r="9" spans="1:5">
      <c r="E9" s="61"/>
    </row>
    <row r="10" spans="1:5">
      <c r="E10" s="61"/>
    </row>
    <row r="11" spans="1:5">
      <c r="E11" s="61"/>
    </row>
    <row r="12" spans="1:5">
      <c r="E12" s="61"/>
    </row>
    <row r="13" spans="1:5">
      <c r="E13" s="61"/>
    </row>
    <row r="14" spans="1:5">
      <c r="E14" s="61"/>
    </row>
    <row r="15" spans="1:5">
      <c r="E15" s="61"/>
    </row>
    <row r="16" spans="1:5">
      <c r="E16" s="61"/>
    </row>
    <row r="17" spans="5:5">
      <c r="E17" s="61"/>
    </row>
    <row r="18" spans="5:5">
      <c r="E18" s="61"/>
    </row>
    <row r="19" spans="5:5">
      <c r="E19" s="61"/>
    </row>
    <row r="20" spans="5:5">
      <c r="E20" s="61"/>
    </row>
    <row r="21" spans="5:5">
      <c r="E21" s="61"/>
    </row>
    <row r="22" spans="5:5">
      <c r="E22" s="61"/>
    </row>
    <row r="23" spans="5:5">
      <c r="E23" s="61"/>
    </row>
    <row r="24" spans="5:5">
      <c r="E24" s="61"/>
    </row>
    <row r="25" spans="5:5">
      <c r="E25" s="61"/>
    </row>
    <row r="26" spans="5:5">
      <c r="E26" s="61"/>
    </row>
    <row r="27" spans="5:5">
      <c r="E27" s="61"/>
    </row>
    <row r="28" spans="5:5">
      <c r="E28" s="61"/>
    </row>
    <row r="29" spans="5:5">
      <c r="E29" s="61"/>
    </row>
    <row r="30" spans="5:5">
      <c r="E30" s="61"/>
    </row>
    <row r="31" spans="5:5">
      <c r="E31" s="61"/>
    </row>
    <row r="32" spans="5:5">
      <c r="E32" s="61"/>
    </row>
    <row r="33" spans="5:5">
      <c r="E33" s="61"/>
    </row>
    <row r="34" spans="5:5">
      <c r="E34" s="61"/>
    </row>
    <row r="35" spans="5:5">
      <c r="E35" s="61"/>
    </row>
    <row r="36" spans="5:5">
      <c r="E36" s="61"/>
    </row>
    <row r="37" spans="5:5">
      <c r="E37" s="61"/>
    </row>
    <row r="38" spans="5:5">
      <c r="E38" s="61"/>
    </row>
    <row r="39" spans="5:5">
      <c r="E39" s="61"/>
    </row>
    <row r="40" spans="5:5">
      <c r="E40" s="61"/>
    </row>
    <row r="41" spans="5:5">
      <c r="E41" s="61"/>
    </row>
    <row r="42" spans="5:5">
      <c r="E42" s="61"/>
    </row>
    <row r="43" spans="5:5">
      <c r="E43" s="61"/>
    </row>
    <row r="44" spans="5:5">
      <c r="E44" s="61"/>
    </row>
    <row r="45" spans="5:5">
      <c r="E45" s="61"/>
    </row>
    <row r="46" spans="5:5">
      <c r="E46" s="61"/>
    </row>
    <row r="47" spans="5:5">
      <c r="E47" s="61"/>
    </row>
    <row r="48" spans="5:5">
      <c r="E48" s="61"/>
    </row>
    <row r="49" spans="5:5">
      <c r="E49" s="61"/>
    </row>
    <row r="50" spans="5:5">
      <c r="E50" s="61"/>
    </row>
    <row r="51" spans="5:5">
      <c r="E51" s="61"/>
    </row>
    <row r="52" spans="5:5">
      <c r="E52" s="61"/>
    </row>
    <row r="53" spans="5:5">
      <c r="E53" s="61"/>
    </row>
    <row r="54" spans="5:5">
      <c r="E54" s="61"/>
    </row>
    <row r="55" spans="5:5">
      <c r="E55" s="61"/>
    </row>
    <row r="56" spans="5:5">
      <c r="E56" s="61"/>
    </row>
    <row r="57" spans="5:5">
      <c r="E57" s="61"/>
    </row>
    <row r="58" spans="5:5">
      <c r="E58" s="61"/>
    </row>
    <row r="59" spans="5:5">
      <c r="E59" s="61"/>
    </row>
    <row r="60" spans="5:5">
      <c r="E60" s="61"/>
    </row>
    <row r="61" spans="5:5">
      <c r="E61" s="61"/>
    </row>
    <row r="62" spans="5:5">
      <c r="E62" s="61"/>
    </row>
    <row r="63" spans="5:5">
      <c r="E63" s="61"/>
    </row>
    <row r="64" spans="5:5">
      <c r="E64" s="61"/>
    </row>
    <row r="65" spans="5:5">
      <c r="E65" s="61"/>
    </row>
    <row r="66" spans="5:5">
      <c r="E66" s="61"/>
    </row>
    <row r="67" spans="5:5">
      <c r="E67" s="61"/>
    </row>
    <row r="68" spans="5:5">
      <c r="E68" s="61"/>
    </row>
    <row r="69" spans="5:5">
      <c r="E69" s="61"/>
    </row>
    <row r="70" spans="5:5">
      <c r="E70" s="61"/>
    </row>
    <row r="71" spans="5:5">
      <c r="E71" s="61"/>
    </row>
    <row r="72" spans="5:5">
      <c r="E72" s="61"/>
    </row>
    <row r="73" spans="5:5">
      <c r="E73" s="61"/>
    </row>
    <row r="74" spans="5:5">
      <c r="E74" s="61"/>
    </row>
    <row r="75" spans="5:5">
      <c r="E75" s="61"/>
    </row>
    <row r="76" spans="5:5">
      <c r="E76" s="61"/>
    </row>
    <row r="77" spans="5:5">
      <c r="E77" s="61"/>
    </row>
    <row r="78" spans="5:5">
      <c r="E78" s="61"/>
    </row>
    <row r="79" spans="5:5">
      <c r="E79" s="61"/>
    </row>
    <row r="80" spans="5:5">
      <c r="E80" s="61"/>
    </row>
    <row r="81" spans="5:5">
      <c r="E81" s="61"/>
    </row>
    <row r="82" spans="5:5">
      <c r="E82" s="61"/>
    </row>
    <row r="83" spans="5:5">
      <c r="E83" s="61"/>
    </row>
    <row r="84" spans="5:5">
      <c r="E84" s="61"/>
    </row>
    <row r="85" spans="5:5">
      <c r="E85" s="61"/>
    </row>
    <row r="86" spans="5:5">
      <c r="E86" s="61"/>
    </row>
    <row r="87" spans="5:5">
      <c r="E87" s="61"/>
    </row>
    <row r="88" spans="5:5">
      <c r="E88" s="61"/>
    </row>
    <row r="89" spans="5:5">
      <c r="E89" s="61"/>
    </row>
    <row r="90" spans="5:5">
      <c r="E90" s="61"/>
    </row>
    <row r="91" spans="5:5">
      <c r="E91" s="61"/>
    </row>
    <row r="92" spans="5:5">
      <c r="E92" s="61"/>
    </row>
    <row r="93" spans="5:5">
      <c r="E93" s="61"/>
    </row>
    <row r="94" spans="5:5">
      <c r="E94" s="61"/>
    </row>
    <row r="95" spans="5:5">
      <c r="E95" s="61"/>
    </row>
    <row r="96" spans="5:5">
      <c r="E96" s="61"/>
    </row>
    <row r="97" spans="5:5">
      <c r="E97" s="61"/>
    </row>
    <row r="98" spans="5:5">
      <c r="E98" s="61"/>
    </row>
    <row r="99" spans="5:5">
      <c r="E99" s="61"/>
    </row>
    <row r="100" spans="5:5">
      <c r="E100" s="61"/>
    </row>
  </sheetData>
  <pageMargins left="0.75" right="0.75" top="1" bottom="1" header="0.5" footer="0.5"/>
  <pageSetup paperSize="9"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dimension ref="A1:J39"/>
  <sheetViews>
    <sheetView zoomScaleNormal="100" workbookViewId="0">
      <selection activeCell="A2" sqref="A2"/>
    </sheetView>
  </sheetViews>
  <sheetFormatPr defaultColWidth="17.140625" defaultRowHeight="12.75" customHeight="1"/>
  <cols>
    <col min="1" max="1" width="17.140625" customWidth="1"/>
    <col min="2" max="2" width="47.28515625" customWidth="1"/>
    <col min="3" max="20" width="17.140625" customWidth="1"/>
  </cols>
  <sheetData>
    <row r="1" spans="1:10">
      <c r="A1" s="5" t="s">
        <v>76</v>
      </c>
    </row>
    <row r="3" spans="1:10">
      <c r="A3" s="5" t="s">
        <v>185</v>
      </c>
      <c r="B3" s="5" t="s">
        <v>53</v>
      </c>
      <c r="C3" s="5" t="s">
        <v>19</v>
      </c>
      <c r="D3" s="5" t="s">
        <v>251</v>
      </c>
      <c r="E3" s="5" t="s">
        <v>245</v>
      </c>
      <c r="F3" s="5" t="s">
        <v>182</v>
      </c>
      <c r="G3" s="5" t="s">
        <v>22</v>
      </c>
      <c r="H3" s="5" t="s">
        <v>171</v>
      </c>
      <c r="I3" s="5" t="s">
        <v>153</v>
      </c>
      <c r="J3" s="5" t="s">
        <v>10</v>
      </c>
    </row>
    <row r="4" spans="1:10" ht="25.5">
      <c r="A4" s="5" t="s">
        <v>142</v>
      </c>
      <c r="B4" s="5" t="s">
        <v>109</v>
      </c>
      <c r="C4" s="5" t="s">
        <v>1</v>
      </c>
      <c r="F4" s="5" t="s">
        <v>196</v>
      </c>
      <c r="G4" s="5" t="s">
        <v>44</v>
      </c>
      <c r="H4" s="5" t="s">
        <v>24</v>
      </c>
    </row>
    <row r="5" spans="1:10">
      <c r="C5" s="5" t="s">
        <v>173</v>
      </c>
      <c r="F5" s="5" t="s">
        <v>85</v>
      </c>
      <c r="G5" s="5" t="s">
        <v>148</v>
      </c>
    </row>
    <row r="6" spans="1:10" ht="25.5">
      <c r="A6" s="5" t="s">
        <v>237</v>
      </c>
      <c r="B6" s="5" t="s">
        <v>101</v>
      </c>
      <c r="G6" s="5" t="s">
        <v>155</v>
      </c>
    </row>
    <row r="14" spans="1:10">
      <c r="B14" s="5" t="s">
        <v>172</v>
      </c>
    </row>
    <row r="15" spans="1:10">
      <c r="B15" s="5" t="s">
        <v>11</v>
      </c>
    </row>
    <row r="26" spans="1:3" ht="25.5">
      <c r="A26" s="5" t="s">
        <v>34</v>
      </c>
    </row>
    <row r="27" spans="1:3">
      <c r="A27" s="5" t="s">
        <v>251</v>
      </c>
      <c r="B27" s="5" t="s">
        <v>187</v>
      </c>
    </row>
    <row r="28" spans="1:3">
      <c r="A28" s="5" t="s">
        <v>182</v>
      </c>
      <c r="B28" s="5" t="s">
        <v>125</v>
      </c>
      <c r="C28" s="5" t="s">
        <v>51</v>
      </c>
    </row>
    <row r="29" spans="1:3">
      <c r="A29" s="5" t="s">
        <v>53</v>
      </c>
      <c r="B29" s="5" t="s">
        <v>59</v>
      </c>
    </row>
    <row r="30" spans="1:3">
      <c r="A30" s="5" t="s">
        <v>207</v>
      </c>
      <c r="B30" s="5" t="s">
        <v>107</v>
      </c>
      <c r="C30" s="5" t="s">
        <v>51</v>
      </c>
    </row>
    <row r="31" spans="1:3">
      <c r="A31" s="5" t="s">
        <v>245</v>
      </c>
      <c r="B31" s="5" t="s">
        <v>181</v>
      </c>
      <c r="C31" s="5" t="s">
        <v>51</v>
      </c>
    </row>
    <row r="32" spans="1:3">
      <c r="A32" s="5" t="s">
        <v>185</v>
      </c>
      <c r="B32" s="5" t="s">
        <v>73</v>
      </c>
    </row>
    <row r="33" spans="1:3">
      <c r="A33" s="5" t="s">
        <v>186</v>
      </c>
      <c r="B33" s="5" t="s">
        <v>47</v>
      </c>
    </row>
    <row r="34" spans="1:3">
      <c r="A34" s="5" t="s">
        <v>183</v>
      </c>
      <c r="B34" s="5" t="s">
        <v>254</v>
      </c>
      <c r="C34" s="5" t="s">
        <v>51</v>
      </c>
    </row>
    <row r="35" spans="1:3">
      <c r="A35" s="5" t="s">
        <v>171</v>
      </c>
      <c r="B35" s="5" t="s">
        <v>239</v>
      </c>
      <c r="C35" s="5" t="s">
        <v>51</v>
      </c>
    </row>
    <row r="36" spans="1:3">
      <c r="A36" s="5" t="s">
        <v>153</v>
      </c>
      <c r="B36" s="5" t="s">
        <v>222</v>
      </c>
      <c r="C36" s="5" t="s">
        <v>51</v>
      </c>
    </row>
    <row r="37" spans="1:3">
      <c r="A37" s="5" t="s">
        <v>10</v>
      </c>
      <c r="B37" s="5" t="s">
        <v>147</v>
      </c>
    </row>
    <row r="38" spans="1:3">
      <c r="A38" s="5" t="s">
        <v>176</v>
      </c>
      <c r="B38" s="5" t="s">
        <v>70</v>
      </c>
    </row>
    <row r="39" spans="1:3">
      <c r="A39" s="5" t="s">
        <v>35</v>
      </c>
      <c r="B39" s="5" t="s">
        <v>106</v>
      </c>
    </row>
  </sheetData>
  <pageMargins left="0.75" right="0.75" top="1" bottom="1" header="0.5" footer="0.5"/>
  <pageSetup paperSize="9"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dimension ref="A1:H73"/>
  <sheetViews>
    <sheetView zoomScaleNormal="100" workbookViewId="0">
      <selection activeCell="A2" sqref="A2"/>
    </sheetView>
  </sheetViews>
  <sheetFormatPr defaultColWidth="17.140625" defaultRowHeight="12.75" customHeight="1"/>
  <cols>
    <col min="1" max="3" width="17.140625" customWidth="1"/>
    <col min="4" max="4" width="10" customWidth="1"/>
    <col min="5" max="5" width="41.85546875" customWidth="1"/>
    <col min="6" max="20" width="17.140625" customWidth="1"/>
  </cols>
  <sheetData>
    <row r="1" spans="1:8">
      <c r="A1" s="5" t="s">
        <v>21</v>
      </c>
    </row>
    <row r="2" spans="1:8" ht="63.75">
      <c r="A2" s="5" t="s">
        <v>46</v>
      </c>
    </row>
    <row r="4" spans="1:8" ht="25.5">
      <c r="A4" s="5" t="s">
        <v>120</v>
      </c>
    </row>
    <row r="6" spans="1:8" ht="51">
      <c r="A6" s="5" t="s">
        <v>124</v>
      </c>
    </row>
    <row r="8" spans="1:8" ht="38.25">
      <c r="A8" s="5" t="s">
        <v>28</v>
      </c>
    </row>
    <row r="10" spans="1:8" ht="38.25">
      <c r="A10" s="5" t="s">
        <v>238</v>
      </c>
    </row>
    <row r="12" spans="1:8" ht="63.75">
      <c r="A12" s="5" t="s">
        <v>58</v>
      </c>
    </row>
    <row r="15" spans="1:8">
      <c r="A15" s="20" t="s">
        <v>205</v>
      </c>
      <c r="B15" s="20"/>
      <c r="C15" s="20"/>
      <c r="D15" s="20"/>
      <c r="F15" s="5" t="s">
        <v>208</v>
      </c>
      <c r="G15" s="5" t="s">
        <v>37</v>
      </c>
      <c r="H15" s="5" t="s">
        <v>8</v>
      </c>
    </row>
    <row r="16" spans="1:8">
      <c r="A16" s="22" t="s">
        <v>176</v>
      </c>
      <c r="B16" s="7">
        <v>159</v>
      </c>
      <c r="C16" s="7">
        <v>10480</v>
      </c>
      <c r="D16" s="58">
        <f t="shared" ref="D16:D27" si="0">(C16/28)+B16</f>
        <v>533.28571428571422</v>
      </c>
      <c r="E16" s="18" t="s">
        <v>30</v>
      </c>
      <c r="F16" s="5">
        <v>270</v>
      </c>
    </row>
    <row r="17" spans="1:8">
      <c r="A17" s="18" t="s">
        <v>245</v>
      </c>
      <c r="B17" s="5">
        <v>291</v>
      </c>
      <c r="C17" s="5">
        <v>6020</v>
      </c>
      <c r="D17" s="58">
        <f t="shared" si="0"/>
        <v>506</v>
      </c>
      <c r="E17" s="18" t="s">
        <v>181</v>
      </c>
      <c r="F17" s="5">
        <v>210</v>
      </c>
      <c r="G17" s="5">
        <v>56</v>
      </c>
    </row>
    <row r="18" spans="1:8">
      <c r="A18" s="18" t="s">
        <v>207</v>
      </c>
      <c r="B18" s="5">
        <v>320</v>
      </c>
      <c r="C18" s="5">
        <v>4228</v>
      </c>
      <c r="D18" s="58">
        <f t="shared" si="0"/>
        <v>471</v>
      </c>
      <c r="E18" s="18" t="s">
        <v>107</v>
      </c>
      <c r="F18" s="5">
        <v>205</v>
      </c>
      <c r="G18" s="5">
        <v>58</v>
      </c>
    </row>
    <row r="19" spans="1:8">
      <c r="A19" s="18" t="s">
        <v>153</v>
      </c>
      <c r="B19" s="5">
        <v>253.5</v>
      </c>
      <c r="C19" s="5">
        <v>5572</v>
      </c>
      <c r="D19" s="58">
        <f t="shared" si="0"/>
        <v>452.5</v>
      </c>
      <c r="E19" s="18" t="s">
        <v>222</v>
      </c>
      <c r="F19" s="5">
        <v>274</v>
      </c>
      <c r="G19" s="5">
        <v>40</v>
      </c>
    </row>
    <row r="20" spans="1:8">
      <c r="A20" s="18" t="s">
        <v>185</v>
      </c>
      <c r="B20" s="5">
        <v>146</v>
      </c>
      <c r="C20" s="5">
        <v>7728</v>
      </c>
      <c r="D20" s="58">
        <f t="shared" si="0"/>
        <v>422</v>
      </c>
      <c r="E20" s="18" t="s">
        <v>73</v>
      </c>
      <c r="F20" s="5">
        <v>220</v>
      </c>
      <c r="H20" s="5">
        <v>14</v>
      </c>
    </row>
    <row r="21" spans="1:8">
      <c r="A21" s="18" t="s">
        <v>182</v>
      </c>
      <c r="B21" s="5">
        <v>289.60000000000002</v>
      </c>
      <c r="C21" s="5">
        <v>3696</v>
      </c>
      <c r="D21" s="58">
        <f t="shared" si="0"/>
        <v>421.6</v>
      </c>
      <c r="E21" s="18" t="s">
        <v>125</v>
      </c>
      <c r="F21" s="5">
        <v>200</v>
      </c>
      <c r="G21" s="5">
        <v>50</v>
      </c>
    </row>
    <row r="22" spans="1:8">
      <c r="A22" s="18" t="s">
        <v>251</v>
      </c>
      <c r="B22" s="5">
        <v>266.39999999999998</v>
      </c>
      <c r="C22" s="5">
        <v>4312</v>
      </c>
      <c r="D22" s="58">
        <f t="shared" si="0"/>
        <v>420.4</v>
      </c>
      <c r="E22" s="18" t="s">
        <v>187</v>
      </c>
      <c r="F22" s="5">
        <v>300</v>
      </c>
      <c r="G22" s="5">
        <v>10</v>
      </c>
    </row>
    <row r="23" spans="1:8" ht="25.5">
      <c r="A23" s="18" t="s">
        <v>171</v>
      </c>
      <c r="B23" s="5">
        <v>261</v>
      </c>
      <c r="C23" s="5">
        <v>3864</v>
      </c>
      <c r="D23" s="58">
        <f t="shared" si="0"/>
        <v>399</v>
      </c>
      <c r="E23" s="18" t="s">
        <v>239</v>
      </c>
      <c r="F23" s="5">
        <v>180</v>
      </c>
      <c r="G23" s="5">
        <v>67</v>
      </c>
    </row>
    <row r="24" spans="1:8">
      <c r="A24" s="18" t="s">
        <v>10</v>
      </c>
      <c r="B24" s="5">
        <v>155.80000000000001</v>
      </c>
      <c r="C24" s="5">
        <v>4060</v>
      </c>
      <c r="D24" s="58">
        <f t="shared" si="0"/>
        <v>300.8</v>
      </c>
      <c r="E24" s="18" t="s">
        <v>147</v>
      </c>
      <c r="F24" s="5">
        <v>275</v>
      </c>
    </row>
    <row r="25" spans="1:8">
      <c r="A25" s="18" t="s">
        <v>53</v>
      </c>
      <c r="B25" s="5">
        <v>103</v>
      </c>
      <c r="C25" s="5">
        <v>4900</v>
      </c>
      <c r="D25" s="58">
        <f t="shared" si="0"/>
        <v>278</v>
      </c>
      <c r="E25" s="18" t="s">
        <v>59</v>
      </c>
      <c r="F25" s="5">
        <v>154</v>
      </c>
      <c r="H25" s="5">
        <v>14</v>
      </c>
    </row>
    <row r="26" spans="1:8">
      <c r="A26" s="18" t="s">
        <v>186</v>
      </c>
      <c r="B26" s="5">
        <v>76</v>
      </c>
      <c r="C26" s="5">
        <v>5234</v>
      </c>
      <c r="D26" s="58">
        <f t="shared" si="0"/>
        <v>262.92857142857144</v>
      </c>
      <c r="E26" s="18" t="s">
        <v>47</v>
      </c>
      <c r="F26" s="5">
        <v>140</v>
      </c>
      <c r="H26" s="5">
        <v>14</v>
      </c>
    </row>
    <row r="27" spans="1:8">
      <c r="A27" s="19" t="s">
        <v>183</v>
      </c>
      <c r="B27" s="20">
        <v>69.900000000000006</v>
      </c>
      <c r="C27" s="20">
        <v>4928</v>
      </c>
      <c r="D27" s="64">
        <f t="shared" si="0"/>
        <v>245.9</v>
      </c>
      <c r="E27" s="18" t="s">
        <v>254</v>
      </c>
      <c r="F27" s="5">
        <v>63</v>
      </c>
      <c r="G27" s="5">
        <v>33</v>
      </c>
      <c r="H27" s="5">
        <v>14</v>
      </c>
    </row>
    <row r="28" spans="1:8">
      <c r="A28" s="7"/>
      <c r="B28" s="7"/>
      <c r="C28" s="7"/>
    </row>
    <row r="30" spans="1:8">
      <c r="A30" s="5" t="s">
        <v>257</v>
      </c>
    </row>
    <row r="31" spans="1:8">
      <c r="A31" s="5" t="s">
        <v>223</v>
      </c>
      <c r="B31" s="5" t="s">
        <v>12</v>
      </c>
    </row>
    <row r="32" spans="1:8">
      <c r="A32" s="5" t="s">
        <v>244</v>
      </c>
    </row>
    <row r="34" spans="1:5">
      <c r="A34" s="5" t="s">
        <v>182</v>
      </c>
    </row>
    <row r="35" spans="1:5">
      <c r="A35" s="5" t="s">
        <v>20</v>
      </c>
      <c r="B35" s="5" t="s">
        <v>232</v>
      </c>
      <c r="C35" s="5" t="s">
        <v>42</v>
      </c>
      <c r="D35" s="5" t="s">
        <v>51</v>
      </c>
      <c r="E35" s="5" t="s">
        <v>160</v>
      </c>
    </row>
    <row r="36" spans="1:5">
      <c r="A36" s="5">
        <v>127</v>
      </c>
      <c r="B36" s="5">
        <v>84</v>
      </c>
      <c r="C36" s="5">
        <f>A36+B36</f>
        <v>211</v>
      </c>
      <c r="D36" s="5">
        <v>59</v>
      </c>
      <c r="E36" s="5" t="s">
        <v>168</v>
      </c>
    </row>
    <row r="37" spans="1:5">
      <c r="A37" s="5">
        <v>104</v>
      </c>
      <c r="B37" s="5">
        <v>119</v>
      </c>
      <c r="C37" s="5">
        <f>A37+B37</f>
        <v>223</v>
      </c>
      <c r="D37" s="5">
        <v>59</v>
      </c>
      <c r="E37" s="5" t="s">
        <v>12</v>
      </c>
    </row>
    <row r="38" spans="1:5">
      <c r="A38" s="5">
        <v>155</v>
      </c>
      <c r="B38" s="5">
        <v>69</v>
      </c>
      <c r="C38" s="5">
        <f>A38+B38</f>
        <v>224</v>
      </c>
      <c r="D38" s="5">
        <v>57</v>
      </c>
      <c r="E38" s="5" t="s">
        <v>4</v>
      </c>
    </row>
    <row r="43" spans="1:5">
      <c r="A43" s="5" t="s">
        <v>10</v>
      </c>
    </row>
    <row r="44" spans="1:5">
      <c r="A44" s="5" t="s">
        <v>20</v>
      </c>
      <c r="B44" s="5" t="s">
        <v>232</v>
      </c>
      <c r="C44" s="5" t="s">
        <v>42</v>
      </c>
      <c r="D44" s="5" t="s">
        <v>51</v>
      </c>
      <c r="E44" s="5" t="s">
        <v>160</v>
      </c>
    </row>
    <row r="45" spans="1:5">
      <c r="A45" s="5">
        <v>141</v>
      </c>
      <c r="B45" s="5">
        <v>74</v>
      </c>
      <c r="C45" s="5">
        <f>A45+B45</f>
        <v>215</v>
      </c>
      <c r="D45" s="5">
        <v>0</v>
      </c>
      <c r="E45" s="5" t="s">
        <v>195</v>
      </c>
    </row>
    <row r="50" spans="1:7">
      <c r="A50" s="5" t="s">
        <v>243</v>
      </c>
    </row>
    <row r="51" spans="1:7">
      <c r="A51" s="5" t="s">
        <v>192</v>
      </c>
      <c r="B51" s="5" t="s">
        <v>60</v>
      </c>
      <c r="C51" s="5" t="s">
        <v>225</v>
      </c>
      <c r="D51" s="5" t="s">
        <v>229</v>
      </c>
      <c r="E51" s="5" t="s">
        <v>157</v>
      </c>
      <c r="F51" s="5" t="s">
        <v>0</v>
      </c>
      <c r="G51" s="5" t="s">
        <v>33</v>
      </c>
    </row>
    <row r="52" spans="1:7">
      <c r="A52" s="5">
        <v>62</v>
      </c>
      <c r="B52" s="5">
        <v>262</v>
      </c>
      <c r="C52" s="5">
        <f>A52+B52</f>
        <v>324</v>
      </c>
      <c r="D52" s="5">
        <v>128</v>
      </c>
      <c r="E52" s="5">
        <v>115</v>
      </c>
      <c r="F52" s="5">
        <f>D52+E52</f>
        <v>243</v>
      </c>
      <c r="G52" s="5" t="s">
        <v>12</v>
      </c>
    </row>
    <row r="53" spans="1:7">
      <c r="A53" s="5">
        <v>87</v>
      </c>
      <c r="B53" s="5">
        <v>229</v>
      </c>
      <c r="C53" s="5">
        <f>A53+B53</f>
        <v>316</v>
      </c>
      <c r="D53" s="5">
        <v>121</v>
      </c>
      <c r="E53" s="5">
        <v>89</v>
      </c>
      <c r="F53" s="5">
        <f>D53+E53</f>
        <v>210</v>
      </c>
      <c r="G53" s="5" t="s">
        <v>126</v>
      </c>
    </row>
    <row r="54" spans="1:7">
      <c r="A54" s="5">
        <v>77</v>
      </c>
      <c r="B54" s="5">
        <v>298</v>
      </c>
      <c r="C54" s="5">
        <f>A54+B54</f>
        <v>375</v>
      </c>
      <c r="D54" s="5">
        <v>166</v>
      </c>
      <c r="E54" s="5">
        <v>52</v>
      </c>
      <c r="F54" s="5">
        <f>D54+E54</f>
        <v>218</v>
      </c>
      <c r="G54" s="5" t="s">
        <v>126</v>
      </c>
    </row>
    <row r="55" spans="1:7">
      <c r="A55" s="5">
        <v>58</v>
      </c>
      <c r="B55" s="5">
        <v>310</v>
      </c>
      <c r="C55" s="5">
        <f>A55+B55</f>
        <v>368</v>
      </c>
      <c r="D55" s="5">
        <v>137</v>
      </c>
      <c r="E55" s="5">
        <v>55</v>
      </c>
      <c r="F55" s="5">
        <f>D55+E55</f>
        <v>192</v>
      </c>
      <c r="G55" s="5" t="s">
        <v>62</v>
      </c>
    </row>
    <row r="56" spans="1:7">
      <c r="A56" s="5">
        <v>90</v>
      </c>
      <c r="B56" s="5">
        <v>372</v>
      </c>
      <c r="C56" s="5">
        <f>A56+B56</f>
        <v>462</v>
      </c>
      <c r="D56" s="5">
        <v>117</v>
      </c>
      <c r="E56" s="5">
        <v>72</v>
      </c>
      <c r="F56" s="5">
        <f>D56+E56</f>
        <v>189</v>
      </c>
      <c r="G56" s="5" t="s">
        <v>12</v>
      </c>
    </row>
    <row r="60" spans="1:7">
      <c r="A60" s="5" t="s">
        <v>242</v>
      </c>
    </row>
    <row r="61" spans="1:7">
      <c r="A61" s="5" t="s">
        <v>229</v>
      </c>
      <c r="B61" s="5" t="s">
        <v>157</v>
      </c>
      <c r="C61" s="5" t="s">
        <v>0</v>
      </c>
      <c r="D61" s="5" t="s">
        <v>255</v>
      </c>
      <c r="E61" s="5" t="s">
        <v>37</v>
      </c>
      <c r="F61" s="5" t="s">
        <v>33</v>
      </c>
    </row>
    <row r="62" spans="1:7">
      <c r="A62" s="5">
        <v>115</v>
      </c>
      <c r="B62" s="5">
        <v>76</v>
      </c>
      <c r="C62" s="5">
        <f>A62+B62</f>
        <v>191</v>
      </c>
      <c r="D62" s="5">
        <v>216</v>
      </c>
      <c r="E62" s="5">
        <v>60</v>
      </c>
      <c r="F62" s="5" t="s">
        <v>32</v>
      </c>
    </row>
    <row r="67" spans="1:5">
      <c r="A67" s="5" t="s">
        <v>146</v>
      </c>
    </row>
    <row r="68" spans="1:5">
      <c r="A68" s="5" t="s">
        <v>229</v>
      </c>
      <c r="B68" s="5" t="s">
        <v>157</v>
      </c>
      <c r="C68" s="5" t="s">
        <v>0</v>
      </c>
      <c r="D68" s="5" t="s">
        <v>255</v>
      </c>
      <c r="E68" s="5" t="s">
        <v>33</v>
      </c>
    </row>
    <row r="69" spans="1:5">
      <c r="A69" s="5">
        <v>166</v>
      </c>
      <c r="B69" s="5">
        <v>153</v>
      </c>
      <c r="C69" s="5">
        <f>A69+B69</f>
        <v>319</v>
      </c>
      <c r="D69" s="5">
        <v>357</v>
      </c>
      <c r="E69" s="5" t="s">
        <v>116</v>
      </c>
    </row>
    <row r="70" spans="1:5">
      <c r="A70" s="5">
        <v>187</v>
      </c>
      <c r="B70" s="5">
        <v>131</v>
      </c>
      <c r="C70" s="5">
        <f>A70+B70</f>
        <v>318</v>
      </c>
      <c r="D70" s="5">
        <v>331</v>
      </c>
      <c r="E70" s="5" t="s">
        <v>130</v>
      </c>
    </row>
    <row r="71" spans="1:5">
      <c r="A71" s="5">
        <v>172</v>
      </c>
      <c r="B71" s="5">
        <v>104</v>
      </c>
      <c r="C71" s="5">
        <f>A71+B71</f>
        <v>276</v>
      </c>
      <c r="D71" s="5">
        <v>317</v>
      </c>
      <c r="E71" s="5" t="s">
        <v>23</v>
      </c>
    </row>
    <row r="72" spans="1:5">
      <c r="A72" s="5">
        <v>183</v>
      </c>
      <c r="B72" s="5">
        <v>114</v>
      </c>
      <c r="C72" s="5">
        <f>A72+B72</f>
        <v>297</v>
      </c>
      <c r="D72" s="5">
        <v>315</v>
      </c>
      <c r="E72" s="5" t="s">
        <v>86</v>
      </c>
    </row>
    <row r="73" spans="1:5">
      <c r="A73" s="5">
        <v>172</v>
      </c>
      <c r="B73" s="5">
        <v>119</v>
      </c>
      <c r="C73" s="5">
        <f>A73+B73</f>
        <v>291</v>
      </c>
      <c r="D73" s="5">
        <v>272</v>
      </c>
      <c r="E73" s="5" t="s">
        <v>74</v>
      </c>
    </row>
  </sheetData>
  <pageMargins left="0.75" right="0.75" top="1" bottom="1" header="0.5" footer="0.5"/>
  <pageSetup paperSize="9"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Crafting</vt:lpstr>
      <vt:lpstr>Damage</vt:lpstr>
      <vt:lpstr>Effective Life</vt:lpstr>
      <vt:lpstr>Useful Info</vt:lpstr>
      <vt:lpstr>Mark</vt:lpstr>
      <vt:lpstr>GAH vs RMAH gaps</vt:lpstr>
      <vt:lpstr>MF Times</vt:lpstr>
      <vt:lpstr>Gear</vt:lpstr>
      <vt:lpstr>Eric</vt:lpstr>
      <vt:lpstr>1h Data</vt:lpstr>
      <vt:lpstr>Commodities</vt:lpstr>
      <vt:lpstr>Profits</vt:lpstr>
      <vt:lpstr>tornadoBarb</vt:lpstr>
      <vt:lpstr>Errors</vt:lpstr>
      <vt:lpstr>Bnet balance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2012-06-26T12:03:51Z</dcterms:created>
  <dcterms:modified xsi:type="dcterms:W3CDTF">2012-09-10T02:06:28Z</dcterms:modified>
</cp:coreProperties>
</file>