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Volumes/My Mac Home/My Testimonials/Muhammad Arslan/My Job Applications/February - 2024/Decentriq - Junior Finance &amp; Business Intelligence Analyst/Task Assignment/"/>
    </mc:Choice>
  </mc:AlternateContent>
  <xr:revisionPtr revIDLastSave="0" documentId="13_ncr:1_{8C3B8307-AD4A-7549-96DA-D6C6C47785B6}" xr6:coauthVersionLast="47" xr6:coauthVersionMax="47" xr10:uidLastSave="{00000000-0000-0000-0000-000000000000}"/>
  <bookViews>
    <workbookView xWindow="0" yWindow="740" windowWidth="29400" windowHeight="16900" activeTab="3" xr2:uid="{D40C0505-ACEB-4287-9E07-0F2E5B95522C}"/>
  </bookViews>
  <sheets>
    <sheet name="P&amp;L Forecasting 2024" sheetId="4" r:id="rId1"/>
    <sheet name="Balance Sheet Forecasting 2024" sheetId="7" r:id="rId2"/>
    <sheet name="Cash Flow Forecasting 2024" sheetId="6" r:id="rId3"/>
    <sheet name="Sales Forecast 2024" sheetId="2" r:id="rId4"/>
    <sheet name="Hiring 2024" sheetId="3" r:id="rId5"/>
  </sheets>
  <definedNames>
    <definedName name="_xlnm._FilterDatabase" localSheetId="4" hidden="1">'Hiring 2024'!$A$1:$C$1</definedName>
    <definedName name="_xlnm._FilterDatabase" localSheetId="3" hidden="1">'Sales Forecast 2024'!$A$1:$C$1</definedName>
    <definedName name="CHFEUR">#REF!</definedName>
    <definedName name="CHFUKP">#REF!</definedName>
    <definedName name="CHFUS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7" l="1"/>
  <c r="D26" i="6"/>
  <c r="D32" i="6" s="1"/>
  <c r="E26" i="6"/>
  <c r="E32" i="6" s="1"/>
  <c r="F26" i="6"/>
  <c r="F32" i="6" s="1"/>
  <c r="G26" i="6"/>
  <c r="G32" i="6" s="1"/>
  <c r="H26" i="6"/>
  <c r="H32" i="6" s="1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C26" i="6"/>
  <c r="L16" i="7"/>
  <c r="M16" i="7"/>
  <c r="N16" i="7"/>
  <c r="O16" i="7"/>
  <c r="F16" i="7"/>
  <c r="G16" i="7"/>
  <c r="H16" i="7"/>
  <c r="I16" i="7"/>
  <c r="J16" i="7"/>
  <c r="K16" i="7"/>
  <c r="E16" i="7"/>
  <c r="D16" i="7"/>
  <c r="D17" i="7" s="1"/>
  <c r="P50" i="7" s="1"/>
  <c r="M54" i="7"/>
  <c r="N54" i="7"/>
  <c r="O54" i="7"/>
  <c r="C54" i="7"/>
  <c r="D49" i="7"/>
  <c r="E49" i="7"/>
  <c r="F49" i="7"/>
  <c r="G49" i="7"/>
  <c r="H49" i="7"/>
  <c r="I49" i="7"/>
  <c r="J49" i="7"/>
  <c r="K49" i="7"/>
  <c r="L49" i="7"/>
  <c r="M49" i="7"/>
  <c r="N49" i="7"/>
  <c r="O49" i="7"/>
  <c r="C49" i="7"/>
  <c r="D42" i="7"/>
  <c r="D54" i="7" s="1"/>
  <c r="E42" i="7"/>
  <c r="E54" i="7" s="1"/>
  <c r="F42" i="7"/>
  <c r="F54" i="7" s="1"/>
  <c r="G42" i="7"/>
  <c r="G54" i="7" s="1"/>
  <c r="H42" i="7"/>
  <c r="H54" i="7" s="1"/>
  <c r="I42" i="7"/>
  <c r="I54" i="7" s="1"/>
  <c r="J42" i="7"/>
  <c r="J54" i="7" s="1"/>
  <c r="K42" i="7"/>
  <c r="K54" i="7" s="1"/>
  <c r="L42" i="7"/>
  <c r="L54" i="7" s="1"/>
  <c r="M42" i="7"/>
  <c r="N42" i="7"/>
  <c r="O42" i="7"/>
  <c r="C42" i="7"/>
  <c r="D36" i="7"/>
  <c r="E36" i="7"/>
  <c r="F36" i="7"/>
  <c r="G36" i="7"/>
  <c r="G39" i="7" s="1"/>
  <c r="H36" i="7"/>
  <c r="H39" i="7" s="1"/>
  <c r="I36" i="7"/>
  <c r="I39" i="7" s="1"/>
  <c r="J36" i="7"/>
  <c r="J39" i="7" s="1"/>
  <c r="K36" i="7"/>
  <c r="L36" i="7"/>
  <c r="M36" i="7"/>
  <c r="N36" i="7"/>
  <c r="O36" i="7"/>
  <c r="O39" i="7" s="1"/>
  <c r="P36" i="7"/>
  <c r="Q36" i="7"/>
  <c r="R36" i="7"/>
  <c r="W36" i="7"/>
  <c r="X36" i="7"/>
  <c r="Y36" i="7"/>
  <c r="Z36" i="7"/>
  <c r="C36" i="7"/>
  <c r="N39" i="7"/>
  <c r="D39" i="7"/>
  <c r="C39" i="7"/>
  <c r="F33" i="7"/>
  <c r="F39" i="7" s="1"/>
  <c r="G33" i="7"/>
  <c r="H33" i="7"/>
  <c r="I33" i="7"/>
  <c r="J33" i="7"/>
  <c r="K33" i="7"/>
  <c r="L33" i="7"/>
  <c r="L39" i="7" s="1"/>
  <c r="M33" i="7"/>
  <c r="M39" i="7" s="1"/>
  <c r="N33" i="7"/>
  <c r="O33" i="7"/>
  <c r="D33" i="7"/>
  <c r="E33" i="7"/>
  <c r="E39" i="7" s="1"/>
  <c r="C33" i="7"/>
  <c r="P37" i="7"/>
  <c r="Q37" i="7" s="1"/>
  <c r="R37" i="7" s="1"/>
  <c r="S37" i="7" s="1"/>
  <c r="T37" i="7" s="1"/>
  <c r="U37" i="7" s="1"/>
  <c r="V37" i="7" s="1"/>
  <c r="W37" i="7" s="1"/>
  <c r="X37" i="7" s="1"/>
  <c r="Y37" i="7" s="1"/>
  <c r="Z37" i="7" s="1"/>
  <c r="L32" i="6"/>
  <c r="M32" i="6"/>
  <c r="N32" i="6"/>
  <c r="O20" i="6"/>
  <c r="O32" i="6" s="1"/>
  <c r="D20" i="6"/>
  <c r="E20" i="6"/>
  <c r="F20" i="6"/>
  <c r="G20" i="6"/>
  <c r="H20" i="6"/>
  <c r="I20" i="6"/>
  <c r="J20" i="6"/>
  <c r="K20" i="6"/>
  <c r="L20" i="6"/>
  <c r="M20" i="6"/>
  <c r="N20" i="6"/>
  <c r="C20" i="6"/>
  <c r="J12" i="4"/>
  <c r="P52" i="4" s="1"/>
  <c r="C35" i="4"/>
  <c r="V64" i="4" s="1"/>
  <c r="V63" i="4" s="1"/>
  <c r="U63" i="4"/>
  <c r="P63" i="4"/>
  <c r="P60" i="4"/>
  <c r="P51" i="4"/>
  <c r="O10" i="4"/>
  <c r="N10" i="4"/>
  <c r="M10" i="4"/>
  <c r="L10" i="4"/>
  <c r="K10" i="4"/>
  <c r="J10" i="4"/>
  <c r="I10" i="4"/>
  <c r="H10" i="4"/>
  <c r="G10" i="4"/>
  <c r="F10" i="4"/>
  <c r="E10" i="4"/>
  <c r="D10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T63" i="4"/>
  <c r="S63" i="4"/>
  <c r="R63" i="4"/>
  <c r="Q63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O53" i="4"/>
  <c r="O57" i="4" s="1"/>
  <c r="N53" i="4"/>
  <c r="N57" i="4" s="1"/>
  <c r="M53" i="4"/>
  <c r="M57" i="4" s="1"/>
  <c r="L53" i="4"/>
  <c r="L57" i="4" s="1"/>
  <c r="K53" i="4"/>
  <c r="K57" i="4" s="1"/>
  <c r="J53" i="4"/>
  <c r="J57" i="4" s="1"/>
  <c r="I53" i="4"/>
  <c r="I57" i="4" s="1"/>
  <c r="H53" i="4"/>
  <c r="H57" i="4" s="1"/>
  <c r="G53" i="4"/>
  <c r="G57" i="4" s="1"/>
  <c r="F53" i="4"/>
  <c r="F57" i="4" s="1"/>
  <c r="E53" i="4"/>
  <c r="E57" i="4" s="1"/>
  <c r="D53" i="4"/>
  <c r="D57" i="4" s="1"/>
  <c r="C53" i="4"/>
  <c r="C57" i="4" s="1"/>
  <c r="I40" i="4" l="1"/>
  <c r="P53" i="4"/>
  <c r="Q52" i="4"/>
  <c r="R52" i="4" s="1"/>
  <c r="S52" i="4" s="1"/>
  <c r="T52" i="4" s="1"/>
  <c r="U52" i="4" s="1"/>
  <c r="V52" i="4" s="1"/>
  <c r="W52" i="4" s="1"/>
  <c r="X52" i="4" s="1"/>
  <c r="Y52" i="4" s="1"/>
  <c r="Z52" i="4" s="1"/>
  <c r="D40" i="4"/>
  <c r="M9" i="7"/>
  <c r="E9" i="7"/>
  <c r="I11" i="7"/>
  <c r="C10" i="7"/>
  <c r="I10" i="7"/>
  <c r="H40" i="4"/>
  <c r="L9" i="7"/>
  <c r="D9" i="7"/>
  <c r="H11" i="7"/>
  <c r="C11" i="7"/>
  <c r="H10" i="7"/>
  <c r="K9" i="7"/>
  <c r="O9" i="7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G11" i="7"/>
  <c r="O10" i="7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G10" i="7"/>
  <c r="J40" i="4"/>
  <c r="J9" i="7"/>
  <c r="N9" i="7"/>
  <c r="F11" i="7"/>
  <c r="N10" i="7"/>
  <c r="F10" i="7"/>
  <c r="K40" i="4"/>
  <c r="I9" i="7"/>
  <c r="M11" i="7"/>
  <c r="E11" i="7"/>
  <c r="M10" i="7"/>
  <c r="E10" i="7"/>
  <c r="L40" i="4"/>
  <c r="H9" i="7"/>
  <c r="L11" i="7"/>
  <c r="D11" i="7"/>
  <c r="L10" i="7"/>
  <c r="D10" i="7"/>
  <c r="G9" i="7"/>
  <c r="K11" i="7"/>
  <c r="O11" i="7"/>
  <c r="P11" i="7" s="1"/>
  <c r="Q11" i="7" s="1"/>
  <c r="K10" i="7"/>
  <c r="C40" i="4"/>
  <c r="C9" i="7"/>
  <c r="F9" i="7"/>
  <c r="J11" i="7"/>
  <c r="N11" i="7"/>
  <c r="J10" i="7"/>
  <c r="K32" i="6"/>
  <c r="J32" i="6"/>
  <c r="I32" i="6"/>
  <c r="P49" i="7"/>
  <c r="Q50" i="7"/>
  <c r="V36" i="7"/>
  <c r="U36" i="7"/>
  <c r="T36" i="7"/>
  <c r="S36" i="7"/>
  <c r="K39" i="7"/>
  <c r="P56" i="4"/>
  <c r="P57" i="4" s="1"/>
  <c r="H30" i="4"/>
  <c r="E30" i="4"/>
  <c r="Q60" i="4"/>
  <c r="E40" i="4"/>
  <c r="M40" i="4"/>
  <c r="F40" i="4"/>
  <c r="N40" i="4"/>
  <c r="W64" i="4"/>
  <c r="W63" i="4" s="1"/>
  <c r="Q51" i="4"/>
  <c r="P61" i="4"/>
  <c r="P59" i="4" s="1"/>
  <c r="G40" i="4"/>
  <c r="O40" i="4"/>
  <c r="D18" i="4"/>
  <c r="M20" i="4"/>
  <c r="H23" i="4"/>
  <c r="K9" i="4"/>
  <c r="D24" i="4"/>
  <c r="L9" i="4"/>
  <c r="D26" i="4"/>
  <c r="G17" i="4"/>
  <c r="E26" i="4"/>
  <c r="K22" i="4"/>
  <c r="K17" i="4"/>
  <c r="H27" i="4"/>
  <c r="M28" i="4"/>
  <c r="G21" i="4"/>
  <c r="O21" i="4"/>
  <c r="M15" i="4"/>
  <c r="G29" i="4"/>
  <c r="D16" i="4"/>
  <c r="G19" i="4"/>
  <c r="L22" i="4"/>
  <c r="K25" i="4"/>
  <c r="H29" i="4"/>
  <c r="O23" i="4"/>
  <c r="O17" i="4"/>
  <c r="H21" i="4"/>
  <c r="O27" i="4"/>
  <c r="M9" i="4"/>
  <c r="E24" i="4"/>
  <c r="E18" i="4"/>
  <c r="G25" i="4"/>
  <c r="M16" i="4"/>
  <c r="H19" i="4"/>
  <c r="M22" i="4"/>
  <c r="O25" i="4"/>
  <c r="O29" i="4"/>
  <c r="D11" i="4"/>
  <c r="H16" i="4"/>
  <c r="O19" i="4"/>
  <c r="G23" i="4"/>
  <c r="I30" i="4"/>
  <c r="I27" i="4"/>
  <c r="K19" i="4"/>
  <c r="K24" i="4"/>
  <c r="I21" i="4"/>
  <c r="I29" i="4"/>
  <c r="K29" i="4"/>
  <c r="K27" i="4"/>
  <c r="L24" i="4"/>
  <c r="L15" i="4"/>
  <c r="E16" i="4"/>
  <c r="K18" i="4"/>
  <c r="D20" i="4"/>
  <c r="K21" i="4"/>
  <c r="K26" i="4"/>
  <c r="D28" i="4"/>
  <c r="K15" i="4"/>
  <c r="L18" i="4"/>
  <c r="E20" i="4"/>
  <c r="I23" i="4"/>
  <c r="L26" i="4"/>
  <c r="E28" i="4"/>
  <c r="D9" i="4"/>
  <c r="I15" i="4"/>
  <c r="H17" i="4"/>
  <c r="M18" i="4"/>
  <c r="K20" i="4"/>
  <c r="D22" i="4"/>
  <c r="K23" i="4"/>
  <c r="H25" i="4"/>
  <c r="M26" i="4"/>
  <c r="K28" i="4"/>
  <c r="D30" i="4"/>
  <c r="I19" i="4"/>
  <c r="I16" i="4"/>
  <c r="M24" i="4"/>
  <c r="E9" i="4"/>
  <c r="E15" i="4"/>
  <c r="I17" i="4"/>
  <c r="L20" i="4"/>
  <c r="E22" i="4"/>
  <c r="I25" i="4"/>
  <c r="G27" i="4"/>
  <c r="L28" i="4"/>
  <c r="M30" i="4"/>
  <c r="O30" i="4"/>
  <c r="G30" i="4"/>
  <c r="F9" i="4"/>
  <c r="N9" i="4"/>
  <c r="J15" i="4"/>
  <c r="N16" i="4"/>
  <c r="F16" i="4"/>
  <c r="J17" i="4"/>
  <c r="F18" i="4"/>
  <c r="N18" i="4"/>
  <c r="J19" i="4"/>
  <c r="F20" i="4"/>
  <c r="N20" i="4"/>
  <c r="J21" i="4"/>
  <c r="F22" i="4"/>
  <c r="N22" i="4"/>
  <c r="J23" i="4"/>
  <c r="F24" i="4"/>
  <c r="N24" i="4"/>
  <c r="J25" i="4"/>
  <c r="F26" i="4"/>
  <c r="N26" i="4"/>
  <c r="J27" i="4"/>
  <c r="F28" i="4"/>
  <c r="N28" i="4"/>
  <c r="J29" i="4"/>
  <c r="N30" i="4"/>
  <c r="F30" i="4"/>
  <c r="G22" i="4"/>
  <c r="O22" i="4"/>
  <c r="G24" i="4"/>
  <c r="O24" i="4"/>
  <c r="O26" i="4"/>
  <c r="G28" i="4"/>
  <c r="O28" i="4"/>
  <c r="H9" i="4"/>
  <c r="D15" i="4"/>
  <c r="H15" i="4"/>
  <c r="L16" i="4"/>
  <c r="D17" i="4"/>
  <c r="L17" i="4"/>
  <c r="H18" i="4"/>
  <c r="D19" i="4"/>
  <c r="L19" i="4"/>
  <c r="H20" i="4"/>
  <c r="D21" i="4"/>
  <c r="L21" i="4"/>
  <c r="H22" i="4"/>
  <c r="D23" i="4"/>
  <c r="L23" i="4"/>
  <c r="H24" i="4"/>
  <c r="D25" i="4"/>
  <c r="L25" i="4"/>
  <c r="H26" i="4"/>
  <c r="D27" i="4"/>
  <c r="L27" i="4"/>
  <c r="H28" i="4"/>
  <c r="D29" i="4"/>
  <c r="L29" i="4"/>
  <c r="L30" i="4"/>
  <c r="O16" i="4"/>
  <c r="G9" i="4"/>
  <c r="O20" i="4"/>
  <c r="I9" i="4"/>
  <c r="O15" i="4"/>
  <c r="G15" i="4"/>
  <c r="K16" i="4"/>
  <c r="E17" i="4"/>
  <c r="M17" i="4"/>
  <c r="I18" i="4"/>
  <c r="E19" i="4"/>
  <c r="M19" i="4"/>
  <c r="I20" i="4"/>
  <c r="E21" i="4"/>
  <c r="M21" i="4"/>
  <c r="I22" i="4"/>
  <c r="E23" i="4"/>
  <c r="M23" i="4"/>
  <c r="I24" i="4"/>
  <c r="E25" i="4"/>
  <c r="M25" i="4"/>
  <c r="I26" i="4"/>
  <c r="E27" i="4"/>
  <c r="M27" i="4"/>
  <c r="I28" i="4"/>
  <c r="E29" i="4"/>
  <c r="M29" i="4"/>
  <c r="K30" i="4"/>
  <c r="G16" i="4"/>
  <c r="O9" i="4"/>
  <c r="G18" i="4"/>
  <c r="O18" i="4"/>
  <c r="G20" i="4"/>
  <c r="G26" i="4"/>
  <c r="J9" i="4"/>
  <c r="N15" i="4"/>
  <c r="F15" i="4"/>
  <c r="J16" i="4"/>
  <c r="F17" i="4"/>
  <c r="N17" i="4"/>
  <c r="J18" i="4"/>
  <c r="F19" i="4"/>
  <c r="N19" i="4"/>
  <c r="J20" i="4"/>
  <c r="F21" i="4"/>
  <c r="N21" i="4"/>
  <c r="J22" i="4"/>
  <c r="F23" i="4"/>
  <c r="N23" i="4"/>
  <c r="J24" i="4"/>
  <c r="F25" i="4"/>
  <c r="N25" i="4"/>
  <c r="J26" i="4"/>
  <c r="F27" i="4"/>
  <c r="N27" i="4"/>
  <c r="J28" i="4"/>
  <c r="F29" i="4"/>
  <c r="N29" i="4"/>
  <c r="J30" i="4"/>
  <c r="H88" i="4"/>
  <c r="H91" i="4" s="1"/>
  <c r="H41" i="4" s="1"/>
  <c r="G88" i="4"/>
  <c r="G91" i="4" s="1"/>
  <c r="O88" i="4"/>
  <c r="O91" i="4" s="1"/>
  <c r="D88" i="4"/>
  <c r="D91" i="4" s="1"/>
  <c r="D41" i="4" s="1"/>
  <c r="J88" i="4"/>
  <c r="J91" i="4" s="1"/>
  <c r="E88" i="4"/>
  <c r="E91" i="4" s="1"/>
  <c r="E41" i="4" s="1"/>
  <c r="C88" i="4"/>
  <c r="C91" i="4" s="1"/>
  <c r="C41" i="4" s="1"/>
  <c r="N88" i="4"/>
  <c r="N91" i="4" s="1"/>
  <c r="N41" i="4" s="1"/>
  <c r="I88" i="4"/>
  <c r="I91" i="4" s="1"/>
  <c r="I41" i="4" s="1"/>
  <c r="F88" i="4"/>
  <c r="F91" i="4" s="1"/>
  <c r="F41" i="4" s="1"/>
  <c r="L88" i="4"/>
  <c r="L91" i="4" s="1"/>
  <c r="L41" i="4" s="1"/>
  <c r="M88" i="4"/>
  <c r="M91" i="4" s="1"/>
  <c r="M41" i="4" s="1"/>
  <c r="K88" i="4"/>
  <c r="K91" i="4" s="1"/>
  <c r="K41" i="4" s="1"/>
  <c r="P35" i="7" l="1"/>
  <c r="R11" i="7"/>
  <c r="Q49" i="7"/>
  <c r="R50" i="7"/>
  <c r="O41" i="4"/>
  <c r="O94" i="4"/>
  <c r="X64" i="4"/>
  <c r="Y64" i="4" s="1"/>
  <c r="R60" i="4"/>
  <c r="Q61" i="4"/>
  <c r="Q59" i="4" s="1"/>
  <c r="G94" i="4"/>
  <c r="G41" i="4"/>
  <c r="J90" i="4"/>
  <c r="J41" i="4"/>
  <c r="Q53" i="4"/>
  <c r="Q18" i="7" s="1"/>
  <c r="Q35" i="7" s="1"/>
  <c r="R51" i="4"/>
  <c r="P26" i="4"/>
  <c r="P18" i="4"/>
  <c r="Q18" i="4" s="1"/>
  <c r="P16" i="4"/>
  <c r="Q16" i="4" s="1"/>
  <c r="P28" i="4"/>
  <c r="P22" i="4"/>
  <c r="P25" i="4"/>
  <c r="P78" i="4" s="1"/>
  <c r="P20" i="4"/>
  <c r="Q20" i="4" s="1"/>
  <c r="R20" i="4" s="1"/>
  <c r="P23" i="4"/>
  <c r="P17" i="4"/>
  <c r="Q17" i="4" s="1"/>
  <c r="P30" i="4"/>
  <c r="Q30" i="4" s="1"/>
  <c r="P21" i="4"/>
  <c r="P70" i="4" s="1"/>
  <c r="P19" i="4"/>
  <c r="Q19" i="4" s="1"/>
  <c r="R19" i="4" s="1"/>
  <c r="S19" i="4" s="1"/>
  <c r="P29" i="4"/>
  <c r="P24" i="4"/>
  <c r="P75" i="4" s="1"/>
  <c r="P27" i="4"/>
  <c r="P80" i="4" s="1"/>
  <c r="P15" i="4"/>
  <c r="Q15" i="4" s="1"/>
  <c r="G90" i="4"/>
  <c r="O90" i="4"/>
  <c r="K90" i="4"/>
  <c r="K94" i="4"/>
  <c r="C90" i="4"/>
  <c r="C94" i="4"/>
  <c r="I94" i="4"/>
  <c r="I90" i="4"/>
  <c r="J94" i="4"/>
  <c r="F94" i="4"/>
  <c r="F90" i="4"/>
  <c r="D90" i="4"/>
  <c r="D94" i="4"/>
  <c r="M94" i="4"/>
  <c r="M90" i="4"/>
  <c r="E94" i="4"/>
  <c r="E90" i="4"/>
  <c r="L90" i="4"/>
  <c r="L94" i="4"/>
  <c r="H94" i="4"/>
  <c r="H90" i="4"/>
  <c r="N90" i="4"/>
  <c r="N94" i="4"/>
  <c r="Q29" i="4" l="1"/>
  <c r="P84" i="4"/>
  <c r="Q28" i="4"/>
  <c r="Q83" i="4" s="1"/>
  <c r="P83" i="4"/>
  <c r="Q26" i="4"/>
  <c r="P79" i="4"/>
  <c r="P77" i="4" s="1"/>
  <c r="Q22" i="4"/>
  <c r="Q71" i="4" s="1"/>
  <c r="P71" i="4"/>
  <c r="P69" i="4" s="1"/>
  <c r="Q23" i="4"/>
  <c r="Q74" i="4" s="1"/>
  <c r="P74" i="4"/>
  <c r="P73" i="4" s="1"/>
  <c r="Q23" i="6"/>
  <c r="P23" i="6"/>
  <c r="S50" i="7"/>
  <c r="R49" i="7"/>
  <c r="S11" i="7"/>
  <c r="S51" i="4"/>
  <c r="R53" i="4"/>
  <c r="R18" i="7" s="1"/>
  <c r="R35" i="7" s="1"/>
  <c r="X63" i="4"/>
  <c r="S60" i="4"/>
  <c r="R61" i="4"/>
  <c r="R59" i="4" s="1"/>
  <c r="Q56" i="4"/>
  <c r="Q57" i="4" s="1"/>
  <c r="Z64" i="4"/>
  <c r="Z63" i="4" s="1"/>
  <c r="Y63" i="4"/>
  <c r="R16" i="4"/>
  <c r="S16" i="4" s="1"/>
  <c r="Q24" i="4"/>
  <c r="Q25" i="4"/>
  <c r="R18" i="4"/>
  <c r="R17" i="4"/>
  <c r="S17" i="4" s="1"/>
  <c r="R30" i="4"/>
  <c r="S30" i="4" s="1"/>
  <c r="Q27" i="4"/>
  <c r="Q80" i="4" s="1"/>
  <c r="R15" i="4"/>
  <c r="S15" i="4" s="1"/>
  <c r="T15" i="4" s="1"/>
  <c r="S20" i="4"/>
  <c r="Q21" i="4"/>
  <c r="Q70" i="4" s="1"/>
  <c r="T19" i="4"/>
  <c r="U19" i="4" s="1"/>
  <c r="V19" i="4" s="1"/>
  <c r="Q69" i="4" l="1"/>
  <c r="R22" i="4"/>
  <c r="R23" i="6"/>
  <c r="Q79" i="4"/>
  <c r="R26" i="4"/>
  <c r="R25" i="4"/>
  <c r="R78" i="4" s="1"/>
  <c r="Q78" i="4"/>
  <c r="R29" i="4"/>
  <c r="R84" i="4" s="1"/>
  <c r="Q84" i="4"/>
  <c r="Q82" i="4" s="1"/>
  <c r="S22" i="4"/>
  <c r="R71" i="4"/>
  <c r="R28" i="4"/>
  <c r="R83" i="4" s="1"/>
  <c r="R82" i="4" s="1"/>
  <c r="R24" i="4"/>
  <c r="R75" i="4" s="1"/>
  <c r="Q75" i="4"/>
  <c r="Q73" i="4" s="1"/>
  <c r="S29" i="4"/>
  <c r="R23" i="4"/>
  <c r="P82" i="4"/>
  <c r="P88" i="4" s="1"/>
  <c r="P91" i="4" s="1"/>
  <c r="T11" i="7"/>
  <c r="S49" i="7"/>
  <c r="T50" i="7"/>
  <c r="S61" i="4"/>
  <c r="S59" i="4" s="1"/>
  <c r="T60" i="4"/>
  <c r="R56" i="4"/>
  <c r="R57" i="4" s="1"/>
  <c r="T51" i="4"/>
  <c r="S53" i="4"/>
  <c r="S18" i="7" s="1"/>
  <c r="S35" i="7" s="1"/>
  <c r="T20" i="4"/>
  <c r="U20" i="4" s="1"/>
  <c r="T22" i="4"/>
  <c r="S18" i="4"/>
  <c r="T18" i="4" s="1"/>
  <c r="R21" i="4"/>
  <c r="U15" i="4"/>
  <c r="V15" i="4" s="1"/>
  <c r="W15" i="4" s="1"/>
  <c r="X15" i="4" s="1"/>
  <c r="T30" i="4"/>
  <c r="U30" i="4" s="1"/>
  <c r="R27" i="4"/>
  <c r="R80" i="4" s="1"/>
  <c r="T17" i="4"/>
  <c r="W19" i="4"/>
  <c r="X19" i="4" s="1"/>
  <c r="T16" i="4"/>
  <c r="U16" i="4" s="1"/>
  <c r="S71" i="4" l="1"/>
  <c r="S28" i="4"/>
  <c r="S83" i="4" s="1"/>
  <c r="U22" i="4"/>
  <c r="S26" i="4"/>
  <c r="S79" i="4" s="1"/>
  <c r="R79" i="4"/>
  <c r="R77" i="4" s="1"/>
  <c r="T26" i="4"/>
  <c r="T79" i="4" s="1"/>
  <c r="P93" i="4"/>
  <c r="P94" i="4" s="1"/>
  <c r="P90" i="4"/>
  <c r="S23" i="4"/>
  <c r="R74" i="4"/>
  <c r="R73" i="4" s="1"/>
  <c r="S24" i="4"/>
  <c r="T29" i="4"/>
  <c r="S84" i="4"/>
  <c r="S82" i="4" s="1"/>
  <c r="S21" i="4"/>
  <c r="S70" i="4" s="1"/>
  <c r="S69" i="4" s="1"/>
  <c r="R70" i="4"/>
  <c r="R69" i="4" s="1"/>
  <c r="S25" i="4"/>
  <c r="Q77" i="4"/>
  <c r="Q88" i="4" s="1"/>
  <c r="Q91" i="4" s="1"/>
  <c r="S23" i="6"/>
  <c r="T49" i="7"/>
  <c r="U50" i="7"/>
  <c r="U11" i="7"/>
  <c r="T61" i="4"/>
  <c r="T59" i="4" s="1"/>
  <c r="U60" i="4"/>
  <c r="U51" i="4"/>
  <c r="T53" i="4"/>
  <c r="T18" i="7" s="1"/>
  <c r="T35" i="7" s="1"/>
  <c r="T23" i="6" s="1"/>
  <c r="S56" i="4"/>
  <c r="S57" i="4" s="1"/>
  <c r="V20" i="4"/>
  <c r="W20" i="4" s="1"/>
  <c r="X20" i="4"/>
  <c r="Y20" i="4" s="1"/>
  <c r="Z20" i="4" s="1"/>
  <c r="U18" i="4"/>
  <c r="V18" i="4" s="1"/>
  <c r="V30" i="4"/>
  <c r="W30" i="4" s="1"/>
  <c r="X30" i="4" s="1"/>
  <c r="Y30" i="4" s="1"/>
  <c r="Z30" i="4" s="1"/>
  <c r="T28" i="4"/>
  <c r="V16" i="4"/>
  <c r="W16" i="4" s="1"/>
  <c r="S27" i="4"/>
  <c r="S80" i="4" s="1"/>
  <c r="Y19" i="4"/>
  <c r="Z19" i="4" s="1"/>
  <c r="Y15" i="4"/>
  <c r="Z15" i="4" s="1"/>
  <c r="U17" i="4"/>
  <c r="V17" i="4" s="1"/>
  <c r="R88" i="4" l="1"/>
  <c r="R91" i="4" s="1"/>
  <c r="T83" i="4"/>
  <c r="T71" i="4"/>
  <c r="Q93" i="4"/>
  <c r="Q94" i="4"/>
  <c r="Q21" i="6" s="1"/>
  <c r="Q20" i="6" s="1"/>
  <c r="Q32" i="6" s="1"/>
  <c r="Q90" i="4"/>
  <c r="P44" i="7"/>
  <c r="P21" i="6"/>
  <c r="P20" i="6" s="1"/>
  <c r="P32" i="6" s="1"/>
  <c r="P34" i="7" s="1"/>
  <c r="T21" i="4"/>
  <c r="T84" i="4"/>
  <c r="T82" i="4" s="1"/>
  <c r="U29" i="4"/>
  <c r="T23" i="4"/>
  <c r="T74" i="4" s="1"/>
  <c r="S74" i="4"/>
  <c r="U23" i="4"/>
  <c r="U26" i="4"/>
  <c r="T25" i="4"/>
  <c r="T78" i="4" s="1"/>
  <c r="S78" i="4"/>
  <c r="S77" i="4" s="1"/>
  <c r="V22" i="4"/>
  <c r="S75" i="4"/>
  <c r="T24" i="4"/>
  <c r="U24" i="4" s="1"/>
  <c r="V11" i="7"/>
  <c r="V50" i="7"/>
  <c r="U49" i="7"/>
  <c r="T56" i="4"/>
  <c r="T57" i="4" s="1"/>
  <c r="U61" i="4"/>
  <c r="V60" i="4"/>
  <c r="U59" i="4"/>
  <c r="V51" i="4"/>
  <c r="U53" i="4"/>
  <c r="U18" i="7" s="1"/>
  <c r="U35" i="7" s="1"/>
  <c r="W18" i="4"/>
  <c r="X18" i="4" s="1"/>
  <c r="Y18" i="4" s="1"/>
  <c r="Z18" i="4" s="1"/>
  <c r="T27" i="4"/>
  <c r="T80" i="4" s="1"/>
  <c r="U27" i="4"/>
  <c r="V27" i="4" s="1"/>
  <c r="X16" i="4"/>
  <c r="Y16" i="4" s="1"/>
  <c r="U28" i="4"/>
  <c r="V28" i="4"/>
  <c r="W17" i="4"/>
  <c r="X17" i="4" s="1"/>
  <c r="Y17" i="4" s="1"/>
  <c r="Z17" i="4" s="1"/>
  <c r="R93" i="4" l="1"/>
  <c r="R94" i="4" s="1"/>
  <c r="R21" i="6" s="1"/>
  <c r="R20" i="6" s="1"/>
  <c r="R32" i="6" s="1"/>
  <c r="R90" i="4"/>
  <c r="U80" i="4"/>
  <c r="U83" i="4"/>
  <c r="U71" i="4"/>
  <c r="T77" i="4"/>
  <c r="U79" i="4"/>
  <c r="U23" i="6"/>
  <c r="V24" i="4"/>
  <c r="U75" i="4"/>
  <c r="W22" i="4"/>
  <c r="U21" i="4"/>
  <c r="T70" i="4"/>
  <c r="T69" i="4" s="1"/>
  <c r="V26" i="4"/>
  <c r="T75" i="4"/>
  <c r="T73" i="4" s="1"/>
  <c r="W24" i="4"/>
  <c r="X24" i="4" s="1"/>
  <c r="Q34" i="7"/>
  <c r="P33" i="7"/>
  <c r="P39" i="7" s="1"/>
  <c r="S73" i="4"/>
  <c r="S88" i="4" s="1"/>
  <c r="S91" i="4" s="1"/>
  <c r="V23" i="4"/>
  <c r="U74" i="4"/>
  <c r="U73" i="4" s="1"/>
  <c r="Q44" i="7"/>
  <c r="P42" i="7"/>
  <c r="P54" i="7" s="1"/>
  <c r="V29" i="4"/>
  <c r="U84" i="4"/>
  <c r="W29" i="4"/>
  <c r="U25" i="4"/>
  <c r="W50" i="7"/>
  <c r="V49" i="7"/>
  <c r="W11" i="7"/>
  <c r="U56" i="4"/>
  <c r="U57" i="4" s="1"/>
  <c r="W60" i="4"/>
  <c r="V61" i="4"/>
  <c r="V59" i="4" s="1"/>
  <c r="W51" i="4"/>
  <c r="V53" i="4"/>
  <c r="V80" i="4" s="1"/>
  <c r="W28" i="4"/>
  <c r="X28" i="4" s="1"/>
  <c r="W27" i="4"/>
  <c r="Z16" i="4"/>
  <c r="T88" i="4" l="1"/>
  <c r="T91" i="4" s="1"/>
  <c r="U82" i="4"/>
  <c r="V83" i="4"/>
  <c r="V71" i="4"/>
  <c r="V18" i="7"/>
  <c r="V35" i="7" s="1"/>
  <c r="T93" i="4"/>
  <c r="T94" i="4"/>
  <c r="T21" i="6" s="1"/>
  <c r="T20" i="6" s="1"/>
  <c r="T32" i="6" s="1"/>
  <c r="T90" i="4"/>
  <c r="S93" i="4"/>
  <c r="S94" i="4" s="1"/>
  <c r="S21" i="6" s="1"/>
  <c r="S20" i="6" s="1"/>
  <c r="S32" i="6" s="1"/>
  <c r="S90" i="4"/>
  <c r="Q33" i="7"/>
  <c r="Q39" i="7" s="1"/>
  <c r="R34" i="7"/>
  <c r="V75" i="4"/>
  <c r="U70" i="4"/>
  <c r="U69" i="4" s="1"/>
  <c r="V21" i="4"/>
  <c r="Y28" i="4"/>
  <c r="R44" i="7"/>
  <c r="Q42" i="7"/>
  <c r="Q54" i="7" s="1"/>
  <c r="Y24" i="4"/>
  <c r="X27" i="4"/>
  <c r="V25" i="4"/>
  <c r="U78" i="4"/>
  <c r="U77" i="4" s="1"/>
  <c r="U88" i="4" s="1"/>
  <c r="U91" i="4" s="1"/>
  <c r="V74" i="4"/>
  <c r="V73" i="4" s="1"/>
  <c r="W23" i="4"/>
  <c r="W26" i="4"/>
  <c r="V79" i="4"/>
  <c r="V84" i="4"/>
  <c r="V82" i="4" s="1"/>
  <c r="X29" i="4"/>
  <c r="X22" i="4"/>
  <c r="V23" i="6"/>
  <c r="X11" i="7"/>
  <c r="X50" i="7"/>
  <c r="W49" i="7"/>
  <c r="W61" i="4"/>
  <c r="W59" i="4" s="1"/>
  <c r="X60" i="4"/>
  <c r="X51" i="4"/>
  <c r="W53" i="4"/>
  <c r="W84" i="4" s="1"/>
  <c r="V56" i="4"/>
  <c r="V57" i="4" s="1"/>
  <c r="U93" i="4" l="1"/>
  <c r="U90" i="4"/>
  <c r="U94" i="4"/>
  <c r="U21" i="6" s="1"/>
  <c r="U20" i="6" s="1"/>
  <c r="U32" i="6" s="1"/>
  <c r="S34" i="7"/>
  <c r="R33" i="7"/>
  <c r="R39" i="7" s="1"/>
  <c r="S44" i="7"/>
  <c r="R42" i="7"/>
  <c r="R54" i="7" s="1"/>
  <c r="V78" i="4"/>
  <c r="V77" i="4" s="1"/>
  <c r="W25" i="4"/>
  <c r="W18" i="7"/>
  <c r="W35" i="7" s="1"/>
  <c r="X23" i="4"/>
  <c r="W74" i="4"/>
  <c r="Y23" i="4"/>
  <c r="X80" i="4"/>
  <c r="W21" i="4"/>
  <c r="V70" i="4"/>
  <c r="V69" i="4" s="1"/>
  <c r="W71" i="4"/>
  <c r="Y29" i="4"/>
  <c r="W83" i="4"/>
  <c r="W82" i="4" s="1"/>
  <c r="Z28" i="4"/>
  <c r="W79" i="4"/>
  <c r="W80" i="4"/>
  <c r="W75" i="4"/>
  <c r="Y27" i="4"/>
  <c r="Y22" i="4"/>
  <c r="Z24" i="4"/>
  <c r="X26" i="4"/>
  <c r="X49" i="7"/>
  <c r="Y50" i="7"/>
  <c r="Y11" i="7"/>
  <c r="X18" i="7"/>
  <c r="X35" i="7" s="1"/>
  <c r="W56" i="4"/>
  <c r="W57" i="4" s="1"/>
  <c r="X61" i="4"/>
  <c r="X59" i="4" s="1"/>
  <c r="Y60" i="4"/>
  <c r="X53" i="4"/>
  <c r="X84" i="4" s="1"/>
  <c r="Y51" i="4"/>
  <c r="V88" i="4" l="1"/>
  <c r="V91" i="4" s="1"/>
  <c r="X74" i="4"/>
  <c r="V93" i="4"/>
  <c r="V94" i="4"/>
  <c r="V21" i="6" s="1"/>
  <c r="V20" i="6" s="1"/>
  <c r="V32" i="6" s="1"/>
  <c r="V90" i="4"/>
  <c r="X21" i="4"/>
  <c r="W70" i="4"/>
  <c r="W69" i="4" s="1"/>
  <c r="T44" i="7"/>
  <c r="S42" i="7"/>
  <c r="S54" i="7" s="1"/>
  <c r="Z27" i="4"/>
  <c r="S33" i="7"/>
  <c r="S39" i="7" s="1"/>
  <c r="T34" i="7"/>
  <c r="Z29" i="4"/>
  <c r="Z84" i="4" s="1"/>
  <c r="Z75" i="4"/>
  <c r="X25" i="4"/>
  <c r="W78" i="4"/>
  <c r="W77" i="4" s="1"/>
  <c r="Z22" i="4"/>
  <c r="Z23" i="4"/>
  <c r="Y26" i="4"/>
  <c r="X79" i="4"/>
  <c r="W73" i="4"/>
  <c r="X73" i="4"/>
  <c r="X23" i="6"/>
  <c r="W23" i="6"/>
  <c r="X75" i="4"/>
  <c r="X83" i="4"/>
  <c r="X82" i="4" s="1"/>
  <c r="X71" i="4"/>
  <c r="Z11" i="7"/>
  <c r="Z18" i="7" s="1"/>
  <c r="Z35" i="7" s="1"/>
  <c r="Z50" i="7"/>
  <c r="Z49" i="7" s="1"/>
  <c r="Y49" i="7"/>
  <c r="X56" i="4"/>
  <c r="X57" i="4" s="1"/>
  <c r="Y61" i="4"/>
  <c r="Y59" i="4" s="1"/>
  <c r="Z60" i="4"/>
  <c r="Y53" i="4"/>
  <c r="Z51" i="4"/>
  <c r="Z53" i="4" s="1"/>
  <c r="Z83" i="4" s="1"/>
  <c r="Z74" i="4" l="1"/>
  <c r="Z80" i="4"/>
  <c r="Z71" i="4"/>
  <c r="Y83" i="4"/>
  <c r="Y75" i="4"/>
  <c r="T42" i="7"/>
  <c r="T54" i="7" s="1"/>
  <c r="U44" i="7"/>
  <c r="Y18" i="7"/>
  <c r="Y35" i="7" s="1"/>
  <c r="Y21" i="4"/>
  <c r="X70" i="4"/>
  <c r="X69" i="4" s="1"/>
  <c r="Y84" i="4"/>
  <c r="Z82" i="4"/>
  <c r="U34" i="7"/>
  <c r="T33" i="7"/>
  <c r="T39" i="7" s="1"/>
  <c r="Y80" i="4"/>
  <c r="Y74" i="4"/>
  <c r="Z73" i="4"/>
  <c r="Y71" i="4"/>
  <c r="W88" i="4"/>
  <c r="W91" i="4" s="1"/>
  <c r="Z26" i="4"/>
  <c r="Z79" i="4" s="1"/>
  <c r="Y79" i="4"/>
  <c r="Y25" i="4"/>
  <c r="X78" i="4"/>
  <c r="X77" i="4" s="1"/>
  <c r="X88" i="4" s="1"/>
  <c r="X91" i="4" s="1"/>
  <c r="X93" i="4" s="1"/>
  <c r="Y56" i="4"/>
  <c r="Y57" i="4" s="1"/>
  <c r="Z61" i="4"/>
  <c r="Z59" i="4" s="1"/>
  <c r="Z56" i="4"/>
  <c r="Z57" i="4" s="1"/>
  <c r="Z23" i="6" l="1"/>
  <c r="Y23" i="6"/>
  <c r="U33" i="7"/>
  <c r="U39" i="7" s="1"/>
  <c r="V34" i="7"/>
  <c r="Z25" i="4"/>
  <c r="Z78" i="4" s="1"/>
  <c r="Z77" i="4" s="1"/>
  <c r="Y78" i="4"/>
  <c r="Y77" i="4" s="1"/>
  <c r="Z21" i="4"/>
  <c r="Z70" i="4" s="1"/>
  <c r="Z69" i="4" s="1"/>
  <c r="Z88" i="4" s="1"/>
  <c r="Z91" i="4" s="1"/>
  <c r="Y70" i="4"/>
  <c r="Y69" i="4" s="1"/>
  <c r="U42" i="7"/>
  <c r="U54" i="7" s="1"/>
  <c r="V44" i="7"/>
  <c r="W93" i="4"/>
  <c r="W94" i="4"/>
  <c r="W21" i="6" s="1"/>
  <c r="W20" i="6" s="1"/>
  <c r="W32" i="6" s="1"/>
  <c r="W90" i="4"/>
  <c r="X90" i="4"/>
  <c r="X94" i="4"/>
  <c r="X21" i="6" s="1"/>
  <c r="X20" i="6" s="1"/>
  <c r="X32" i="6" s="1"/>
  <c r="Y73" i="4"/>
  <c r="Y82" i="4"/>
  <c r="Z93" i="4" l="1"/>
  <c r="Z90" i="4"/>
  <c r="Z94" i="4"/>
  <c r="Z21" i="6" s="1"/>
  <c r="Z20" i="6" s="1"/>
  <c r="Z32" i="6" s="1"/>
  <c r="W34" i="7"/>
  <c r="V33" i="7"/>
  <c r="V39" i="7" s="1"/>
  <c r="W44" i="7"/>
  <c r="V42" i="7"/>
  <c r="V54" i="7" s="1"/>
  <c r="Y88" i="4"/>
  <c r="Y91" i="4" s="1"/>
  <c r="Y93" i="4" l="1"/>
  <c r="Y94" i="4" s="1"/>
  <c r="Y21" i="6" s="1"/>
  <c r="Y20" i="6" s="1"/>
  <c r="Y32" i="6" s="1"/>
  <c r="Y90" i="4"/>
  <c r="W42" i="7"/>
  <c r="W54" i="7" s="1"/>
  <c r="X44" i="7"/>
  <c r="X34" i="7"/>
  <c r="W33" i="7"/>
  <c r="W39" i="7" s="1"/>
  <c r="Y44" i="7" l="1"/>
  <c r="X42" i="7"/>
  <c r="X54" i="7" s="1"/>
  <c r="Y34" i="7"/>
  <c r="X33" i="7"/>
  <c r="X39" i="7" s="1"/>
  <c r="Z34" i="7" l="1"/>
  <c r="Z33" i="7" s="1"/>
  <c r="Z39" i="7" s="1"/>
  <c r="Y33" i="7"/>
  <c r="Y39" i="7" s="1"/>
  <c r="Z44" i="7"/>
  <c r="Z42" i="7" s="1"/>
  <c r="Z54" i="7" s="1"/>
  <c r="Y42" i="7"/>
  <c r="Y54" i="7" s="1"/>
  <c r="C3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Arslan Khalid</author>
  </authors>
  <commentList>
    <comment ref="I12" authorId="0" shapeId="0" xr:uid="{845418CA-6AB6-E141-B49D-377B967675BC}">
      <text>
        <r>
          <rPr>
            <sz val="10"/>
            <color rgb="FF000000"/>
            <rFont val="Tahoma"/>
            <family val="2"/>
          </rPr>
          <t>Compund Annual Growth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tc={2DBD590B-F6C1-4AC0-AC15-946BE0C13B96}</author>
  </authors>
  <commentList>
    <comment ref="C1" authorId="0" shapeId="0" xr:uid="{2DBD590B-F6C1-4AC0-AC15-946BE0C13B96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License is billed for full month in start month, independent on which day it started within the month
</t>
        </r>
      </text>
    </comment>
  </commentList>
</comments>
</file>

<file path=xl/sharedStrings.xml><?xml version="1.0" encoding="utf-8"?>
<sst xmlns="http://schemas.openxmlformats.org/spreadsheetml/2006/main" count="330" uniqueCount="149">
  <si>
    <t>Actuals (in CHF)</t>
  </si>
  <si>
    <t>actuals</t>
  </si>
  <si>
    <t>forecast</t>
  </si>
  <si>
    <t>Total revenues</t>
  </si>
  <si>
    <t>Costs of service</t>
  </si>
  <si>
    <t>Direct Costs (cloud) / Selfhosted</t>
  </si>
  <si>
    <t>Gross profit</t>
  </si>
  <si>
    <t>HR costs</t>
  </si>
  <si>
    <t>Direct salaries</t>
  </si>
  <si>
    <t>Health Insurance &amp; benefits</t>
  </si>
  <si>
    <t>Rent &amp; Office Equipment</t>
  </si>
  <si>
    <t>Rent</t>
  </si>
  <si>
    <t>Switzerland</t>
  </si>
  <si>
    <t>Berlin / Germany</t>
  </si>
  <si>
    <t>Spain</t>
  </si>
  <si>
    <t>Marketing &amp; Sales</t>
  </si>
  <si>
    <t>Marketing costs (performance marketing)</t>
  </si>
  <si>
    <t>Travel &amp; Expenses</t>
  </si>
  <si>
    <t>Software, Hardware &amp; Communication</t>
  </si>
  <si>
    <t>Software &amp; Licenses</t>
  </si>
  <si>
    <t>Hardware (directly expensed)</t>
  </si>
  <si>
    <t>Consulting &amp; External Services</t>
  </si>
  <si>
    <t>Accounting (incl. Payroll &amp; fin. statements)</t>
  </si>
  <si>
    <t>Legal</t>
  </si>
  <si>
    <t>External Consulting</t>
  </si>
  <si>
    <t>Other</t>
  </si>
  <si>
    <t>Insurances</t>
  </si>
  <si>
    <t>Miscellaneuous</t>
  </si>
  <si>
    <t>Depreciation</t>
  </si>
  <si>
    <t>Total Overhead costs</t>
  </si>
  <si>
    <t>EBITDA</t>
  </si>
  <si>
    <t>EBIT</t>
  </si>
  <si>
    <t>Interest &amp; Financial</t>
  </si>
  <si>
    <t>Taxes</t>
  </si>
  <si>
    <t>Net income</t>
  </si>
  <si>
    <t>Balance Sheet</t>
  </si>
  <si>
    <t>Assets</t>
  </si>
  <si>
    <t>Current Assets</t>
  </si>
  <si>
    <t xml:space="preserve">Cash </t>
  </si>
  <si>
    <t>Accounts receivables</t>
  </si>
  <si>
    <t>Long Term Assets</t>
  </si>
  <si>
    <t>Acc. depreciation on office hardware</t>
  </si>
  <si>
    <t>Office hardware</t>
  </si>
  <si>
    <t>Total Assets</t>
  </si>
  <si>
    <t>Equity</t>
  </si>
  <si>
    <t>Total Equity</t>
  </si>
  <si>
    <t>Capital reserve</t>
  </si>
  <si>
    <t>Current Year Earnings</t>
  </si>
  <si>
    <t>Retained Earnings</t>
  </si>
  <si>
    <t>Share capital</t>
  </si>
  <si>
    <t>Liabilities</t>
  </si>
  <si>
    <t>Current Liabilities</t>
  </si>
  <si>
    <t>Accounts Payable</t>
  </si>
  <si>
    <t>Long-Term Liabilities</t>
  </si>
  <si>
    <t>Suspense</t>
  </si>
  <si>
    <t>Total Equity &amp; Liabilities</t>
  </si>
  <si>
    <t>Operating Cash Flow</t>
  </si>
  <si>
    <t>Net Income</t>
  </si>
  <si>
    <t>+DA</t>
  </si>
  <si>
    <t>- Delta WC</t>
  </si>
  <si>
    <t>- Delta Other items</t>
  </si>
  <si>
    <t>Investing Cashflow</t>
  </si>
  <si>
    <t>Capex</t>
  </si>
  <si>
    <t>Financing Cashflow</t>
  </si>
  <si>
    <t>Equity Changes</t>
  </si>
  <si>
    <t>Total Cash Flow</t>
  </si>
  <si>
    <t>New Customers</t>
  </si>
  <si>
    <t>Innovative Web Services</t>
  </si>
  <si>
    <t>Start Date</t>
  </si>
  <si>
    <t>Salary Gross p.m.</t>
  </si>
  <si>
    <t>Total Revenues by GEO</t>
  </si>
  <si>
    <t>Other (e.g. research funding)</t>
  </si>
  <si>
    <t>Production Revenue (MRR) - existing clients</t>
  </si>
  <si>
    <t>License Start Month</t>
  </si>
  <si>
    <t>Monthly License Fee</t>
  </si>
  <si>
    <t>Name of New Hire</t>
  </si>
  <si>
    <t>Financial Projections</t>
  </si>
  <si>
    <t>Income Statement</t>
  </si>
  <si>
    <t>Assumptions</t>
  </si>
  <si>
    <t>Operating Expense as % of Revenue</t>
  </si>
  <si>
    <t>Total Revenue Growth %</t>
  </si>
  <si>
    <t>MRR Monthly Growth %</t>
  </si>
  <si>
    <t>MRR Average Monthly Growth %</t>
  </si>
  <si>
    <t>August 2023 - January 2024</t>
  </si>
  <si>
    <t>January 2023 - July 2023</t>
  </si>
  <si>
    <t>% Increase in Rent</t>
  </si>
  <si>
    <t>Health Insurance &amp; Benefits</t>
  </si>
  <si>
    <t>Health Insurance &amp; Benefits / Direct Salaries *100</t>
  </si>
  <si>
    <t xml:space="preserve">Total health insurance &amp; benefits is 8.75% of Direct Salaries From Jan-23 to Jan -24 </t>
  </si>
  <si>
    <t>Cost of Service as % of Revenue</t>
  </si>
  <si>
    <t>Other (e.g. research funding) Growth %</t>
  </si>
  <si>
    <t>EV</t>
  </si>
  <si>
    <t>BV</t>
  </si>
  <si>
    <t>n</t>
  </si>
  <si>
    <t>CAGR</t>
  </si>
  <si>
    <t>Cash Flow Statement</t>
  </si>
  <si>
    <t>A/R Days</t>
  </si>
  <si>
    <t>Office Hardware (Inventory)</t>
  </si>
  <si>
    <t>A/P Days</t>
  </si>
  <si>
    <t>Improvement or Changes</t>
  </si>
  <si>
    <t>Average Accounts Payable</t>
  </si>
  <si>
    <t>Accounts Receiveable</t>
  </si>
  <si>
    <t>Cash</t>
  </si>
  <si>
    <t xml:space="preserve"> I am doing forecasting with the method of seasonality by observing past month data + current month total cash flow</t>
  </si>
  <si>
    <t xml:space="preserve"> I am doing forecasting with the method of seasonality by observing past month data + current month net income from profit and loss statement</t>
  </si>
  <si>
    <t>The method i was using in order to forecast balance sheet is with seasonality or by observing past months data, there is only a way for this data set.</t>
  </si>
  <si>
    <t>In order to do deep analysis I need to know about more figures more data for example for Accounts Receiveable and Accounts Payable,</t>
  </si>
  <si>
    <t xml:space="preserve"> I need more information like A/R and /P days</t>
  </si>
  <si>
    <t>I drag  this information (Net Income) from profit and loss statement forecatsing.</t>
  </si>
  <si>
    <t>Changes in Working Capital</t>
  </si>
  <si>
    <t>It's calculated by taking current assets (like cash, inventory, and receivables) and subtracting current liabilities (like payables and debts due within a year).</t>
  </si>
  <si>
    <t>This is the money the company spends to buy, maintain, or improve its fixed assets, such as property, plants, and equipment (PP&amp;E).</t>
  </si>
  <si>
    <t xml:space="preserve"> For this I need more detail to calcualte with second method. Here I used seasonality method.</t>
  </si>
  <si>
    <t>Arslan &amp; Co.</t>
  </si>
  <si>
    <t>Maira</t>
  </si>
  <si>
    <t>Zuraiz</t>
  </si>
  <si>
    <t>Afzal</t>
  </si>
  <si>
    <t>Umair</t>
  </si>
  <si>
    <t>Anas</t>
  </si>
  <si>
    <t xml:space="preserve">Kamran </t>
  </si>
  <si>
    <t>ABC Pharmaceuticals</t>
  </si>
  <si>
    <t>Style Textile</t>
  </si>
  <si>
    <t>TMRAC</t>
  </si>
  <si>
    <t>Roshan Packages</t>
  </si>
  <si>
    <t>Packages Ltd</t>
  </si>
  <si>
    <t>Meezan Bank</t>
  </si>
  <si>
    <t>UBL</t>
  </si>
  <si>
    <t>MCB</t>
  </si>
  <si>
    <t>Airlink Communication</t>
  </si>
  <si>
    <t>Kohat Cement</t>
  </si>
  <si>
    <t>Lucky Cement</t>
  </si>
  <si>
    <t>DG Khan</t>
  </si>
  <si>
    <t>Carrefour</t>
  </si>
  <si>
    <t>Metro</t>
  </si>
  <si>
    <t>Imtiaz Store</t>
  </si>
  <si>
    <t>Military</t>
  </si>
  <si>
    <t>FGS Venture</t>
  </si>
  <si>
    <t>Careem</t>
  </si>
  <si>
    <t>Uber</t>
  </si>
  <si>
    <t>Mango</t>
  </si>
  <si>
    <t>Almas</t>
  </si>
  <si>
    <t>Bareeze</t>
  </si>
  <si>
    <t>Nishat Textile</t>
  </si>
  <si>
    <t>Nishat Linen</t>
  </si>
  <si>
    <t>SWOL</t>
  </si>
  <si>
    <t>NADRA</t>
  </si>
  <si>
    <t>PSO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</si>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</sst>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\ _€_-;\-* #,##0\ _€_-;_-* &quot;-&quot;??\ _€_-;_-@_-"/>
    <numFmt numFmtId="167" formatCode="[$]d\ mmm\ yyyy;@" x16r2:formatCode16="[$-en-DE,1]d\ mmm\ yyyy;@"/>
    <numFmt numFmtId="169" formatCode="0_);[Red]\(0\)"/>
    <numFmt numFmtId="170" formatCode="0.0%"/>
  </numFmts>
  <fonts count="2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.5"/>
      <color rgb="FF0D0D0D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Calibri Bold"/>
    </font>
    <font>
      <b/>
      <sz val="16"/>
      <color theme="3"/>
      <name val="Aptos Narrow"/>
      <family val="2"/>
      <scheme val="minor"/>
    </font>
    <font>
      <b/>
      <sz val="20"/>
      <color theme="3"/>
      <name val="Aptos Narrow"/>
      <family val="2"/>
      <scheme val="minor"/>
    </font>
    <font>
      <sz val="48"/>
      <color theme="8" tint="-0.499984740745262"/>
      <name val="Aptos Display"/>
      <family val="2"/>
      <scheme val="major"/>
    </font>
    <font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2"/>
      <color theme="7" tint="-0.249977111117893"/>
      <name val="Aptos Narrow"/>
      <scheme val="minor"/>
    </font>
    <font>
      <b/>
      <sz val="12"/>
      <color theme="9" tint="-0.249977111117893"/>
      <name val="Aptos Narrow"/>
      <scheme val="minor"/>
    </font>
    <font>
      <sz val="14"/>
      <color theme="4" tint="0.39997558519241921"/>
      <name val="Aptos Narrow"/>
      <family val="2"/>
      <scheme val="minor"/>
    </font>
    <font>
      <sz val="12"/>
      <color rgb="FF7030A0"/>
      <name val="Aptos Narrow"/>
      <family val="2"/>
      <scheme val="minor"/>
    </font>
    <font>
      <sz val="12"/>
      <color rgb="FF92D05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165" fontId="0" fillId="0" borderId="0" xfId="1" applyNumberFormat="1" applyFont="1"/>
    <xf numFmtId="0" fontId="0" fillId="0" borderId="0" xfId="0" applyAlignment="1">
      <alignment horizontal="left"/>
    </xf>
    <xf numFmtId="165" fontId="4" fillId="0" borderId="0" xfId="1" applyNumberFormat="1" applyFont="1"/>
    <xf numFmtId="0" fontId="3" fillId="0" borderId="0" xfId="0" applyFont="1" applyAlignment="1">
      <alignment horizontal="left"/>
    </xf>
    <xf numFmtId="0" fontId="0" fillId="2" borderId="0" xfId="0" applyFill="1"/>
    <xf numFmtId="0" fontId="13" fillId="2" borderId="2" xfId="4" applyFont="1" applyFill="1"/>
    <xf numFmtId="0" fontId="14" fillId="2" borderId="0" xfId="3" applyFont="1" applyFill="1"/>
    <xf numFmtId="0" fontId="11" fillId="3" borderId="0" xfId="0" applyFont="1" applyFill="1"/>
    <xf numFmtId="0" fontId="10" fillId="2" borderId="0" xfId="0" applyFont="1" applyFill="1"/>
    <xf numFmtId="169" fontId="0" fillId="2" borderId="0" xfId="0" applyNumberFormat="1" applyFill="1"/>
    <xf numFmtId="165" fontId="10" fillId="2" borderId="0" xfId="1" applyNumberFormat="1" applyFont="1" applyFill="1"/>
    <xf numFmtId="165" fontId="0" fillId="2" borderId="0" xfId="1" applyNumberFormat="1" applyFont="1" applyFill="1"/>
    <xf numFmtId="38" fontId="0" fillId="2" borderId="0" xfId="1" applyNumberFormat="1" applyFont="1" applyFill="1"/>
    <xf numFmtId="38" fontId="10" fillId="2" borderId="0" xfId="1" applyNumberFormat="1" applyFont="1" applyFill="1"/>
    <xf numFmtId="17" fontId="11" fillId="3" borderId="0" xfId="0" applyNumberFormat="1" applyFont="1" applyFill="1" applyAlignment="1">
      <alignment horizontal="right" vertical="top"/>
    </xf>
    <xf numFmtId="0" fontId="10" fillId="2" borderId="4" xfId="0" applyFont="1" applyFill="1" applyBorder="1"/>
    <xf numFmtId="38" fontId="10" fillId="2" borderId="1" xfId="0" applyNumberFormat="1" applyFont="1" applyFill="1" applyBorder="1"/>
    <xf numFmtId="0" fontId="10" fillId="2" borderId="6" xfId="0" applyFont="1" applyFill="1" applyBorder="1"/>
    <xf numFmtId="38" fontId="10" fillId="2" borderId="7" xfId="0" applyNumberFormat="1" applyFont="1" applyFill="1" applyBorder="1"/>
    <xf numFmtId="38" fontId="10" fillId="2" borderId="1" xfId="1" applyNumberFormat="1" applyFont="1" applyFill="1" applyBorder="1"/>
    <xf numFmtId="165" fontId="10" fillId="2" borderId="1" xfId="1" applyNumberFormat="1" applyFont="1" applyFill="1" applyBorder="1"/>
    <xf numFmtId="165" fontId="10" fillId="2" borderId="5" xfId="1" applyNumberFormat="1" applyFont="1" applyFill="1" applyBorder="1"/>
    <xf numFmtId="0" fontId="12" fillId="6" borderId="3" xfId="5" applyFont="1" applyFill="1"/>
    <xf numFmtId="0" fontId="0" fillId="6" borderId="0" xfId="0" applyFill="1"/>
    <xf numFmtId="10" fontId="0" fillId="2" borderId="0" xfId="0" applyNumberFormat="1" applyFill="1"/>
    <xf numFmtId="170" fontId="0" fillId="2" borderId="0" xfId="0" applyNumberFormat="1" applyFill="1"/>
    <xf numFmtId="9" fontId="0" fillId="2" borderId="0" xfId="0" applyNumberFormat="1" applyFill="1"/>
    <xf numFmtId="0" fontId="15" fillId="2" borderId="0" xfId="0" applyFont="1" applyFill="1"/>
    <xf numFmtId="0" fontId="9" fillId="4" borderId="0" xfId="6" applyFill="1" applyAlignment="1">
      <alignment horizontal="right"/>
    </xf>
    <xf numFmtId="0" fontId="9" fillId="5" borderId="0" xfId="6" applyFill="1" applyAlignment="1">
      <alignment horizontal="right"/>
    </xf>
    <xf numFmtId="10" fontId="0" fillId="7" borderId="0" xfId="0" applyNumberFormat="1" applyFill="1"/>
    <xf numFmtId="9" fontId="0" fillId="2" borderId="0" xfId="2" applyFont="1" applyFill="1"/>
    <xf numFmtId="9" fontId="10" fillId="2" borderId="0" xfId="2" applyFont="1" applyFill="1"/>
    <xf numFmtId="0" fontId="2" fillId="0" borderId="0" xfId="0" applyFont="1"/>
    <xf numFmtId="38" fontId="0" fillId="2" borderId="0" xfId="0" applyNumberFormat="1" applyFill="1"/>
    <xf numFmtId="10" fontId="10" fillId="2" borderId="0" xfId="2" applyNumberFormat="1" applyFont="1" applyFill="1"/>
    <xf numFmtId="2" fontId="0" fillId="2" borderId="0" xfId="2" applyNumberFormat="1" applyFont="1" applyFill="1"/>
    <xf numFmtId="1" fontId="0" fillId="2" borderId="0" xfId="2" applyNumberFormat="1" applyFont="1" applyFill="1"/>
    <xf numFmtId="2" fontId="10" fillId="2" borderId="0" xfId="2" applyNumberFormat="1" applyFont="1" applyFill="1"/>
    <xf numFmtId="169" fontId="0" fillId="2" borderId="0" xfId="1" applyNumberFormat="1" applyFont="1" applyFill="1"/>
    <xf numFmtId="0" fontId="0" fillId="2" borderId="0" xfId="0" applyFill="1" applyAlignment="1">
      <alignment horizontal="left"/>
    </xf>
    <xf numFmtId="38" fontId="0" fillId="2" borderId="0" xfId="1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</cellXfs>
  <cellStyles count="7">
    <cellStyle name="Comma" xfId="1" builtinId="3"/>
    <cellStyle name="Explanatory Text" xfId="6" builtinId="53"/>
    <cellStyle name="Heading 1" xfId="4" builtinId="16"/>
    <cellStyle name="Heading 2" xfId="5" builtinId="17"/>
    <cellStyle name="Normal" xfId="0" builtinId="0"/>
    <cellStyle name="Per 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 Ruland" id="{289E6F27-8F2C-46F8-A9AC-D0156FAEA31B}" userId="S::thomas.ruland@decentriq.ch::2d146d99-75cb-4896-b1de-8c91cb9c58b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03-07T10:07:13.44" personId="{289E6F27-8F2C-46F8-A9AC-D0156FAEA31B}" id="{2DBD590B-F6C1-4AC0-AC15-946BE0C13B96}">
    <text xml:space="preserve">License is billed for full month in start month, independent on which day it started within the month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ACFD-D710-B046-BDC0-B1F504B4332A}">
  <sheetPr>
    <tabColor theme="9" tint="0.79998168889431442"/>
  </sheetPr>
  <dimension ref="B1:Z95"/>
  <sheetViews>
    <sheetView zoomScale="80" zoomScaleNormal="80" workbookViewId="0">
      <pane xSplit="2" topLeftCell="C1" activePane="topRight" state="frozen"/>
      <selection activeCell="A8" sqref="A8"/>
      <selection pane="topRight" activeCell="F16" sqref="F16"/>
    </sheetView>
  </sheetViews>
  <sheetFormatPr baseColWidth="10" defaultRowHeight="16"/>
  <cols>
    <col min="1" max="1" width="2.83203125" style="8" customWidth="1"/>
    <col min="2" max="2" width="41.83203125" style="8" customWidth="1"/>
    <col min="3" max="3" width="13.1640625" style="8" bestFit="1" customWidth="1"/>
    <col min="4" max="4" width="14.1640625" style="8" bestFit="1" customWidth="1"/>
    <col min="5" max="5" width="14" style="8" bestFit="1" customWidth="1"/>
    <col min="6" max="6" width="13.1640625" style="8" bestFit="1" customWidth="1"/>
    <col min="7" max="9" width="13.33203125" style="8" bestFit="1" customWidth="1"/>
    <col min="10" max="15" width="13.5" style="8" bestFit="1" customWidth="1"/>
    <col min="16" max="21" width="13" style="8" bestFit="1" customWidth="1"/>
    <col min="22" max="26" width="14" style="8" bestFit="1" customWidth="1"/>
    <col min="27" max="16384" width="10.83203125" style="8"/>
  </cols>
  <sheetData>
    <row r="1" spans="2:26" ht="62">
      <c r="B1" s="10" t="s">
        <v>113</v>
      </c>
    </row>
    <row r="2" spans="2:26" ht="9" customHeight="1"/>
    <row r="3" spans="2:26" ht="28" thickBot="1">
      <c r="B3" s="9" t="s">
        <v>76</v>
      </c>
    </row>
    <row r="4" spans="2:26" ht="17" thickTop="1"/>
    <row r="5" spans="2:26" ht="23" thickBot="1">
      <c r="B5" s="26" t="s">
        <v>78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2:26" ht="8" customHeight="1" thickTop="1"/>
    <row r="7" spans="2:26">
      <c r="B7" s="11" t="s">
        <v>0</v>
      </c>
      <c r="C7" s="18">
        <v>44957</v>
      </c>
      <c r="D7" s="18">
        <v>44985</v>
      </c>
      <c r="E7" s="18">
        <v>45016</v>
      </c>
      <c r="F7" s="18">
        <v>45046</v>
      </c>
      <c r="G7" s="18">
        <v>45077</v>
      </c>
      <c r="H7" s="18">
        <v>45107</v>
      </c>
      <c r="I7" s="18">
        <v>45138</v>
      </c>
      <c r="J7" s="18">
        <v>45169</v>
      </c>
      <c r="K7" s="18">
        <v>45199</v>
      </c>
      <c r="L7" s="18">
        <v>45230</v>
      </c>
      <c r="M7" s="18">
        <v>45260</v>
      </c>
      <c r="N7" s="18">
        <v>45291</v>
      </c>
      <c r="O7" s="18">
        <v>45322</v>
      </c>
      <c r="P7" s="18">
        <v>45351</v>
      </c>
      <c r="Q7" s="18">
        <v>45382</v>
      </c>
      <c r="R7" s="18">
        <v>45412</v>
      </c>
      <c r="S7" s="18">
        <v>45443</v>
      </c>
      <c r="T7" s="18">
        <v>45473</v>
      </c>
      <c r="U7" s="18">
        <v>45504</v>
      </c>
      <c r="V7" s="18">
        <v>45535</v>
      </c>
      <c r="W7" s="18">
        <v>45565</v>
      </c>
      <c r="X7" s="18">
        <v>45596</v>
      </c>
      <c r="Y7" s="18">
        <v>45626</v>
      </c>
      <c r="Z7" s="18">
        <v>45657</v>
      </c>
    </row>
    <row r="8" spans="2:26">
      <c r="C8" s="32" t="s">
        <v>1</v>
      </c>
      <c r="D8" s="32" t="s">
        <v>1</v>
      </c>
      <c r="E8" s="32" t="s">
        <v>1</v>
      </c>
      <c r="F8" s="32" t="s">
        <v>1</v>
      </c>
      <c r="G8" s="32" t="s">
        <v>1</v>
      </c>
      <c r="H8" s="32" t="s">
        <v>1</v>
      </c>
      <c r="I8" s="32" t="s">
        <v>1</v>
      </c>
      <c r="J8" s="32" t="s">
        <v>1</v>
      </c>
      <c r="K8" s="32" t="s">
        <v>1</v>
      </c>
      <c r="L8" s="32" t="s">
        <v>1</v>
      </c>
      <c r="M8" s="32" t="s">
        <v>1</v>
      </c>
      <c r="N8" s="32" t="s">
        <v>1</v>
      </c>
      <c r="O8" s="32" t="s">
        <v>1</v>
      </c>
      <c r="P8" s="33" t="s">
        <v>2</v>
      </c>
      <c r="Q8" s="33" t="s">
        <v>2</v>
      </c>
      <c r="R8" s="33" t="s">
        <v>2</v>
      </c>
      <c r="S8" s="33" t="s">
        <v>2</v>
      </c>
      <c r="T8" s="33" t="s">
        <v>2</v>
      </c>
      <c r="U8" s="33" t="s">
        <v>2</v>
      </c>
      <c r="V8" s="33" t="s">
        <v>2</v>
      </c>
      <c r="W8" s="33" t="s">
        <v>2</v>
      </c>
      <c r="X8" s="33" t="s">
        <v>2</v>
      </c>
      <c r="Y8" s="33" t="s">
        <v>2</v>
      </c>
      <c r="Z8" s="33" t="s">
        <v>2</v>
      </c>
    </row>
    <row r="9" spans="2:26">
      <c r="B9" s="8" t="s">
        <v>80</v>
      </c>
      <c r="D9" s="30">
        <f>D53/C53-1</f>
        <v>0.28571428571428581</v>
      </c>
      <c r="E9" s="30">
        <f t="shared" ref="E9:O9" si="0">E53/D53-1</f>
        <v>0.22222222222222232</v>
      </c>
      <c r="F9" s="30">
        <f t="shared" si="0"/>
        <v>0.36363636363636354</v>
      </c>
      <c r="G9" s="30">
        <f t="shared" si="0"/>
        <v>6.6666666666666652E-2</v>
      </c>
      <c r="H9" s="30">
        <f t="shared" si="0"/>
        <v>0</v>
      </c>
      <c r="I9" s="30">
        <f t="shared" si="0"/>
        <v>0</v>
      </c>
      <c r="J9" s="30">
        <f t="shared" si="0"/>
        <v>0.3125</v>
      </c>
      <c r="K9" s="30">
        <f t="shared" si="0"/>
        <v>0</v>
      </c>
      <c r="L9" s="30">
        <f t="shared" si="0"/>
        <v>0.14285714285714279</v>
      </c>
      <c r="M9" s="30">
        <f t="shared" si="0"/>
        <v>8.3333333333333259E-2</v>
      </c>
      <c r="N9" s="30">
        <f t="shared" si="0"/>
        <v>3.8461538461538547E-2</v>
      </c>
      <c r="O9" s="30">
        <f t="shared" si="0"/>
        <v>0</v>
      </c>
    </row>
    <row r="10" spans="2:26">
      <c r="B10" s="8" t="s">
        <v>81</v>
      </c>
      <c r="D10" s="35">
        <f>(D51-C51)/C51</f>
        <v>0.4</v>
      </c>
      <c r="E10" s="35">
        <f t="shared" ref="E10:O10" si="1">(E51-D51)/D51</f>
        <v>0.2857142857142857</v>
      </c>
      <c r="F10" s="35">
        <f t="shared" si="1"/>
        <v>0.44444444444444442</v>
      </c>
      <c r="G10" s="35">
        <f t="shared" si="1"/>
        <v>7.6923076923076927E-2</v>
      </c>
      <c r="H10" s="35">
        <f t="shared" si="1"/>
        <v>0</v>
      </c>
      <c r="I10" s="35">
        <f t="shared" si="1"/>
        <v>0</v>
      </c>
      <c r="J10" s="35">
        <f t="shared" si="1"/>
        <v>0</v>
      </c>
      <c r="K10" s="35">
        <f t="shared" si="1"/>
        <v>0</v>
      </c>
      <c r="L10" s="35">
        <f t="shared" si="1"/>
        <v>0.21428571428571427</v>
      </c>
      <c r="M10" s="35">
        <f t="shared" si="1"/>
        <v>0.11764705882352941</v>
      </c>
      <c r="N10" s="35">
        <f t="shared" si="1"/>
        <v>5.2631578947368418E-2</v>
      </c>
      <c r="O10" s="35">
        <f t="shared" si="1"/>
        <v>0</v>
      </c>
    </row>
    <row r="11" spans="2:26">
      <c r="B11" s="8" t="s">
        <v>82</v>
      </c>
      <c r="D11" s="36">
        <f>AVERAGE(D10:O10)</f>
        <v>0.13263717992820159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2:26">
      <c r="B12" s="12" t="s">
        <v>90</v>
      </c>
      <c r="C12" s="8" t="s">
        <v>91</v>
      </c>
      <c r="D12" s="15">
        <v>35000</v>
      </c>
      <c r="E12" s="35" t="s">
        <v>92</v>
      </c>
      <c r="F12" s="15">
        <v>10000</v>
      </c>
      <c r="G12" s="35" t="s">
        <v>93</v>
      </c>
      <c r="H12" s="41">
        <v>13</v>
      </c>
      <c r="I12" s="42" t="s">
        <v>94</v>
      </c>
      <c r="J12" s="36">
        <f>((D12/F12)^(1/H12))-1</f>
        <v>0.10116243640237665</v>
      </c>
      <c r="K12" s="40"/>
      <c r="L12" s="40"/>
      <c r="M12" s="40"/>
      <c r="N12" s="40"/>
      <c r="O12" s="40"/>
    </row>
    <row r="13" spans="2:26">
      <c r="B13" s="12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</row>
    <row r="14" spans="2:26">
      <c r="B14" s="12" t="s">
        <v>79</v>
      </c>
    </row>
    <row r="15" spans="2:26">
      <c r="B15" s="8" t="s">
        <v>8</v>
      </c>
      <c r="D15" s="28">
        <f>D60/D$53</f>
        <v>-1.8888888888888888</v>
      </c>
      <c r="E15" s="28">
        <f t="shared" ref="E15:O15" si="2">E60/E$53</f>
        <v>-1.5454545454545454</v>
      </c>
      <c r="F15" s="28">
        <f t="shared" si="2"/>
        <v>-1.2</v>
      </c>
      <c r="G15" s="28">
        <f t="shared" si="2"/>
        <v>-1.1875</v>
      </c>
      <c r="H15" s="28">
        <f t="shared" si="2"/>
        <v>-1.3125</v>
      </c>
      <c r="I15" s="28">
        <f t="shared" si="2"/>
        <v>-1.375</v>
      </c>
      <c r="J15" s="28">
        <f t="shared" si="2"/>
        <v>-1.0476190476190477</v>
      </c>
      <c r="K15" s="28">
        <f t="shared" si="2"/>
        <v>-1.0476190476190477</v>
      </c>
      <c r="L15" s="28">
        <f t="shared" si="2"/>
        <v>-0.91666666666666663</v>
      </c>
      <c r="M15" s="28">
        <f t="shared" si="2"/>
        <v>-0.84615384615384615</v>
      </c>
      <c r="N15" s="28">
        <f t="shared" si="2"/>
        <v>-1.6296296296296295</v>
      </c>
      <c r="O15" s="28">
        <f t="shared" si="2"/>
        <v>-0.85185185185185186</v>
      </c>
      <c r="P15" s="34">
        <f>AVERAGE(D15:O15)</f>
        <v>-1.2374069603236271</v>
      </c>
      <c r="Q15" s="34">
        <f t="shared" ref="Q15:Z15" si="3">AVERAGE(E15:P15)</f>
        <v>-1.1831167996098551</v>
      </c>
      <c r="R15" s="34">
        <f t="shared" si="3"/>
        <v>-1.1529219874561309</v>
      </c>
      <c r="S15" s="34">
        <f t="shared" si="3"/>
        <v>-1.1489988197441419</v>
      </c>
      <c r="T15" s="34">
        <f t="shared" si="3"/>
        <v>-1.1457903880561535</v>
      </c>
      <c r="U15" s="34">
        <f t="shared" si="3"/>
        <v>-1.1318979203941666</v>
      </c>
      <c r="V15" s="34">
        <f t="shared" si="3"/>
        <v>-1.1116394137603469</v>
      </c>
      <c r="W15" s="34">
        <f t="shared" si="3"/>
        <v>-1.1169744442721219</v>
      </c>
      <c r="X15" s="34">
        <f t="shared" si="3"/>
        <v>-1.1227540606598783</v>
      </c>
      <c r="Y15" s="34">
        <f t="shared" si="3"/>
        <v>-1.1399280101593126</v>
      </c>
      <c r="Z15" s="34">
        <f t="shared" si="3"/>
        <v>-1.1644091904931013</v>
      </c>
    </row>
    <row r="16" spans="2:26">
      <c r="B16" s="8" t="s">
        <v>9</v>
      </c>
      <c r="D16" s="28">
        <f>D61/D$53</f>
        <v>-0.16527777777777775</v>
      </c>
      <c r="E16" s="28">
        <f t="shared" ref="E16:O16" si="4">E61/E$53</f>
        <v>-0.13522727272727272</v>
      </c>
      <c r="F16" s="28">
        <f t="shared" si="4"/>
        <v>-0.10499999999999998</v>
      </c>
      <c r="G16" s="28">
        <f t="shared" si="4"/>
        <v>-0.10390625000000001</v>
      </c>
      <c r="H16" s="28">
        <f t="shared" si="4"/>
        <v>-0.11484374999999999</v>
      </c>
      <c r="I16" s="28">
        <f t="shared" si="4"/>
        <v>-0.1203125</v>
      </c>
      <c r="J16" s="28">
        <f t="shared" si="4"/>
        <v>-9.166666666666666E-2</v>
      </c>
      <c r="K16" s="28">
        <f t="shared" si="4"/>
        <v>-9.166666666666666E-2</v>
      </c>
      <c r="L16" s="28">
        <f t="shared" si="4"/>
        <v>-8.020833333333334E-2</v>
      </c>
      <c r="M16" s="28">
        <f t="shared" si="4"/>
        <v>-7.4038461538461539E-2</v>
      </c>
      <c r="N16" s="28">
        <f t="shared" si="4"/>
        <v>-0.1425925925925926</v>
      </c>
      <c r="O16" s="28">
        <f t="shared" si="4"/>
        <v>-7.4537037037037041E-2</v>
      </c>
      <c r="P16" s="34">
        <f t="shared" ref="P16:Z16" si="5">AVERAGE(D16:O16)</f>
        <v>-0.10827310902831737</v>
      </c>
      <c r="Q16" s="34">
        <f t="shared" si="5"/>
        <v>-0.10352271996586233</v>
      </c>
      <c r="R16" s="34">
        <f t="shared" si="5"/>
        <v>-0.10088067390241146</v>
      </c>
      <c r="S16" s="34">
        <f t="shared" si="5"/>
        <v>-0.10053739672761242</v>
      </c>
      <c r="T16" s="34">
        <f t="shared" si="5"/>
        <v>-0.10025665895491347</v>
      </c>
      <c r="U16" s="34">
        <f t="shared" si="5"/>
        <v>-9.9041068034489574E-2</v>
      </c>
      <c r="V16" s="34">
        <f t="shared" si="5"/>
        <v>-9.7268448704030355E-2</v>
      </c>
      <c r="W16" s="34">
        <f t="shared" si="5"/>
        <v>-9.7735263873810665E-2</v>
      </c>
      <c r="X16" s="34">
        <f t="shared" si="5"/>
        <v>-9.8240980307739326E-2</v>
      </c>
      <c r="Y16" s="34">
        <f t="shared" si="5"/>
        <v>-9.9743700888939843E-2</v>
      </c>
      <c r="Z16" s="34">
        <f t="shared" si="5"/>
        <v>-0.10188580416814637</v>
      </c>
    </row>
    <row r="17" spans="2:26">
      <c r="B17" s="8" t="s">
        <v>11</v>
      </c>
      <c r="D17" s="28">
        <f>D64/D$53</f>
        <v>-0.05</v>
      </c>
      <c r="E17" s="28">
        <f t="shared" ref="E17:O17" si="6">E64/E$53</f>
        <v>-4.0909090909090909E-2</v>
      </c>
      <c r="F17" s="28">
        <f t="shared" si="6"/>
        <v>-0.03</v>
      </c>
      <c r="G17" s="28">
        <f t="shared" si="6"/>
        <v>-2.8125000000000001E-2</v>
      </c>
      <c r="H17" s="28">
        <f t="shared" si="6"/>
        <v>-2.8125000000000001E-2</v>
      </c>
      <c r="I17" s="28">
        <f t="shared" si="6"/>
        <v>-2.8125000000000001E-2</v>
      </c>
      <c r="J17" s="28">
        <f t="shared" si="6"/>
        <v>-2.7142857142857142E-2</v>
      </c>
      <c r="K17" s="28">
        <f t="shared" si="6"/>
        <v>-2.7142857142857142E-2</v>
      </c>
      <c r="L17" s="28">
        <f t="shared" si="6"/>
        <v>-2.375E-2</v>
      </c>
      <c r="M17" s="28">
        <f t="shared" si="6"/>
        <v>-2.1923076923076924E-2</v>
      </c>
      <c r="N17" s="28">
        <f t="shared" si="6"/>
        <v>-2.1111111111111112E-2</v>
      </c>
      <c r="O17" s="28">
        <f t="shared" si="6"/>
        <v>-2.1111111111111112E-2</v>
      </c>
      <c r="P17" s="34">
        <f t="shared" ref="P17:Z17" si="7">AVERAGE(D17:O17)</f>
        <v>-2.8955425361675367E-2</v>
      </c>
      <c r="Q17" s="34">
        <f t="shared" si="7"/>
        <v>-2.7201710808481647E-2</v>
      </c>
      <c r="R17" s="34">
        <f t="shared" si="7"/>
        <v>-2.6059429133430873E-2</v>
      </c>
      <c r="S17" s="34">
        <f t="shared" si="7"/>
        <v>-2.5731048227883441E-2</v>
      </c>
      <c r="T17" s="34">
        <f t="shared" si="7"/>
        <v>-2.5531552246873729E-2</v>
      </c>
      <c r="U17" s="34">
        <f t="shared" si="7"/>
        <v>-2.531543160077987E-2</v>
      </c>
      <c r="V17" s="34">
        <f t="shared" si="7"/>
        <v>-2.5081300900844861E-2</v>
      </c>
      <c r="W17" s="34">
        <f t="shared" si="7"/>
        <v>-2.4909504547343839E-2</v>
      </c>
      <c r="X17" s="34">
        <f t="shared" si="7"/>
        <v>-2.4723391831051062E-2</v>
      </c>
      <c r="Y17" s="34">
        <f t="shared" si="7"/>
        <v>-2.480450781697199E-2</v>
      </c>
      <c r="Z17" s="34">
        <f t="shared" si="7"/>
        <v>-2.5044627058129907E-2</v>
      </c>
    </row>
    <row r="18" spans="2:26">
      <c r="B18" s="8" t="s">
        <v>12</v>
      </c>
      <c r="D18" s="28">
        <f t="shared" ref="D18:O18" si="8">D65/D$53</f>
        <v>-2.7777777777777776E-2</v>
      </c>
      <c r="E18" s="28">
        <f t="shared" si="8"/>
        <v>-2.2727272727272728E-2</v>
      </c>
      <c r="F18" s="28">
        <f t="shared" si="8"/>
        <v>-1.6666666666666666E-2</v>
      </c>
      <c r="G18" s="28">
        <f t="shared" si="8"/>
        <v>-1.5625E-2</v>
      </c>
      <c r="H18" s="28">
        <f t="shared" si="8"/>
        <v>-1.5625E-2</v>
      </c>
      <c r="I18" s="28">
        <f t="shared" si="8"/>
        <v>-1.5625E-2</v>
      </c>
      <c r="J18" s="28">
        <f t="shared" si="8"/>
        <v>-1.1904761904761904E-2</v>
      </c>
      <c r="K18" s="28">
        <f t="shared" si="8"/>
        <v>-1.1904761904761904E-2</v>
      </c>
      <c r="L18" s="28">
        <f t="shared" si="8"/>
        <v>-1.0416666666666666E-2</v>
      </c>
      <c r="M18" s="28">
        <f t="shared" si="8"/>
        <v>-9.6153846153846159E-3</v>
      </c>
      <c r="N18" s="28">
        <f t="shared" si="8"/>
        <v>-9.2592592592592587E-3</v>
      </c>
      <c r="O18" s="28">
        <f t="shared" si="8"/>
        <v>-9.2592592592592587E-3</v>
      </c>
      <c r="P18" s="34">
        <f t="shared" ref="P18:Z18" si="9">AVERAGE(D18:O18)</f>
        <v>-1.4700567565150896E-2</v>
      </c>
      <c r="Q18" s="34">
        <f t="shared" si="9"/>
        <v>-1.3610800047431993E-2</v>
      </c>
      <c r="R18" s="34">
        <f t="shared" si="9"/>
        <v>-1.2851093990778597E-2</v>
      </c>
      <c r="S18" s="34">
        <f t="shared" si="9"/>
        <v>-1.2533129601121259E-2</v>
      </c>
      <c r="T18" s="34">
        <f t="shared" si="9"/>
        <v>-1.227547373454803E-2</v>
      </c>
      <c r="U18" s="34">
        <f t="shared" si="9"/>
        <v>-1.1996346545760365E-2</v>
      </c>
      <c r="V18" s="34">
        <f t="shared" si="9"/>
        <v>-1.1693958757907063E-2</v>
      </c>
      <c r="W18" s="34">
        <f t="shared" si="9"/>
        <v>-1.1676391829002493E-2</v>
      </c>
      <c r="X18" s="34">
        <f t="shared" si="9"/>
        <v>-1.1657360989355874E-2</v>
      </c>
      <c r="Y18" s="34">
        <f t="shared" si="9"/>
        <v>-1.1760752182913309E-2</v>
      </c>
      <c r="Z18" s="34">
        <f t="shared" si="9"/>
        <v>-1.1939532813540701E-2</v>
      </c>
    </row>
    <row r="19" spans="2:26">
      <c r="B19" s="8" t="s">
        <v>13</v>
      </c>
      <c r="D19" s="28">
        <f t="shared" ref="D19:O19" si="10">D66/D$53</f>
        <v>-2.2222222222222223E-2</v>
      </c>
      <c r="E19" s="28">
        <f t="shared" si="10"/>
        <v>-1.8181818181818181E-2</v>
      </c>
      <c r="F19" s="28">
        <f t="shared" si="10"/>
        <v>-1.3333333333333334E-2</v>
      </c>
      <c r="G19" s="28">
        <f t="shared" si="10"/>
        <v>-1.2500000000000001E-2</v>
      </c>
      <c r="H19" s="28">
        <f t="shared" si="10"/>
        <v>-1.2500000000000001E-2</v>
      </c>
      <c r="I19" s="28">
        <f t="shared" si="10"/>
        <v>-1.2500000000000001E-2</v>
      </c>
      <c r="J19" s="28">
        <f t="shared" si="10"/>
        <v>-9.5238095238095247E-3</v>
      </c>
      <c r="K19" s="28">
        <f t="shared" si="10"/>
        <v>-9.5238095238095247E-3</v>
      </c>
      <c r="L19" s="28">
        <f t="shared" si="10"/>
        <v>-8.3333333333333332E-3</v>
      </c>
      <c r="M19" s="28">
        <f t="shared" si="10"/>
        <v>-7.6923076923076927E-3</v>
      </c>
      <c r="N19" s="28">
        <f t="shared" si="10"/>
        <v>-7.4074074074074077E-3</v>
      </c>
      <c r="O19" s="28">
        <f t="shared" si="10"/>
        <v>-7.4074074074074077E-3</v>
      </c>
      <c r="P19" s="34">
        <f t="shared" ref="P19:Z19" si="11">AVERAGE(D19:O19)</f>
        <v>-1.1760454052120719E-2</v>
      </c>
      <c r="Q19" s="34">
        <f t="shared" si="11"/>
        <v>-1.0888640037945594E-2</v>
      </c>
      <c r="R19" s="34">
        <f t="shared" si="11"/>
        <v>-1.0280875192622876E-2</v>
      </c>
      <c r="S19" s="34">
        <f t="shared" si="11"/>
        <v>-1.0026503680897006E-2</v>
      </c>
      <c r="T19" s="34">
        <f t="shared" si="11"/>
        <v>-9.8203789876384236E-3</v>
      </c>
      <c r="U19" s="34">
        <f t="shared" si="11"/>
        <v>-9.597077236608291E-3</v>
      </c>
      <c r="V19" s="34">
        <f t="shared" si="11"/>
        <v>-9.3551670063256476E-3</v>
      </c>
      <c r="W19" s="34">
        <f t="shared" si="11"/>
        <v>-9.3411134632019922E-3</v>
      </c>
      <c r="X19" s="34">
        <f t="shared" si="11"/>
        <v>-9.3258887914846982E-3</v>
      </c>
      <c r="Y19" s="34">
        <f t="shared" si="11"/>
        <v>-9.4086017463306457E-3</v>
      </c>
      <c r="Z19" s="34">
        <f t="shared" si="11"/>
        <v>-9.5516262508325584E-3</v>
      </c>
    </row>
    <row r="20" spans="2:26">
      <c r="B20" s="8" t="s">
        <v>14</v>
      </c>
      <c r="D20" s="28">
        <f t="shared" ref="D20:O20" si="12">D67/D$53</f>
        <v>0</v>
      </c>
      <c r="E20" s="28">
        <f t="shared" si="12"/>
        <v>0</v>
      </c>
      <c r="F20" s="28">
        <f t="shared" si="12"/>
        <v>0</v>
      </c>
      <c r="G20" s="28">
        <f t="shared" si="12"/>
        <v>0</v>
      </c>
      <c r="H20" s="28">
        <f t="shared" si="12"/>
        <v>0</v>
      </c>
      <c r="I20" s="28">
        <f t="shared" si="12"/>
        <v>0</v>
      </c>
      <c r="J20" s="28">
        <f t="shared" si="12"/>
        <v>-5.7142857142857143E-3</v>
      </c>
      <c r="K20" s="28">
        <f t="shared" si="12"/>
        <v>-5.7142857142857143E-3</v>
      </c>
      <c r="L20" s="28">
        <f t="shared" si="12"/>
        <v>-5.0000000000000001E-3</v>
      </c>
      <c r="M20" s="28">
        <f t="shared" si="12"/>
        <v>-4.6153846153846158E-3</v>
      </c>
      <c r="N20" s="28">
        <f t="shared" si="12"/>
        <v>-4.4444444444444444E-3</v>
      </c>
      <c r="O20" s="28">
        <f t="shared" si="12"/>
        <v>-4.4444444444444444E-3</v>
      </c>
      <c r="P20" s="34">
        <f t="shared" ref="P20:Z20" si="13">AVERAGE(D20:O20)</f>
        <v>-2.4944037444037444E-3</v>
      </c>
      <c r="Q20" s="34">
        <f t="shared" si="13"/>
        <v>-2.7022707231040568E-3</v>
      </c>
      <c r="R20" s="34">
        <f t="shared" si="13"/>
        <v>-2.9274599500293944E-3</v>
      </c>
      <c r="S20" s="34">
        <f t="shared" si="13"/>
        <v>-3.1714149458651774E-3</v>
      </c>
      <c r="T20" s="34">
        <f t="shared" si="13"/>
        <v>-3.4356995246872754E-3</v>
      </c>
      <c r="U20" s="34">
        <f t="shared" si="13"/>
        <v>-3.7220078184112149E-3</v>
      </c>
      <c r="V20" s="34">
        <f t="shared" si="13"/>
        <v>-4.0321751366121494E-3</v>
      </c>
      <c r="W20" s="34">
        <f t="shared" si="13"/>
        <v>-3.8919992551393525E-3</v>
      </c>
      <c r="X20" s="34">
        <f t="shared" si="13"/>
        <v>-3.74014205021049E-3</v>
      </c>
      <c r="Y20" s="34">
        <f t="shared" si="13"/>
        <v>-3.6351538877280303E-3</v>
      </c>
      <c r="Z20" s="34">
        <f t="shared" si="13"/>
        <v>-3.5534679937566488E-3</v>
      </c>
    </row>
    <row r="21" spans="2:26">
      <c r="B21" s="8" t="s">
        <v>16</v>
      </c>
      <c r="D21" s="28">
        <f>D70/D$53</f>
        <v>-4.4444444444444446E-2</v>
      </c>
      <c r="E21" s="28">
        <f t="shared" ref="E21:O21" si="14">E70/E$53</f>
        <v>-1.8181818181818181E-2</v>
      </c>
      <c r="F21" s="28">
        <f t="shared" si="14"/>
        <v>-0.04</v>
      </c>
      <c r="G21" s="28">
        <f t="shared" si="14"/>
        <v>-2.5000000000000001E-2</v>
      </c>
      <c r="H21" s="28">
        <f t="shared" si="14"/>
        <v>-0.05</v>
      </c>
      <c r="I21" s="28">
        <f t="shared" si="14"/>
        <v>-3.7499999999999999E-2</v>
      </c>
      <c r="J21" s="28">
        <f t="shared" si="14"/>
        <v>-4.7619047619047616E-2</v>
      </c>
      <c r="K21" s="28">
        <f t="shared" si="14"/>
        <v>-3.8095238095238099E-2</v>
      </c>
      <c r="L21" s="28">
        <f t="shared" si="14"/>
        <v>-0.05</v>
      </c>
      <c r="M21" s="28">
        <f t="shared" si="14"/>
        <v>-4.6153846153846156E-2</v>
      </c>
      <c r="N21" s="28">
        <f t="shared" si="14"/>
        <v>-4.4444444444444446E-2</v>
      </c>
      <c r="O21" s="28">
        <f t="shared" si="14"/>
        <v>-4.4444444444444446E-2</v>
      </c>
      <c r="P21" s="34">
        <f t="shared" ref="P21:Z21" si="15">AVERAGE(D21:O21)</f>
        <v>-4.049027361527361E-2</v>
      </c>
      <c r="Q21" s="34">
        <f t="shared" si="15"/>
        <v>-4.016075937950938E-2</v>
      </c>
      <c r="R21" s="34">
        <f t="shared" si="15"/>
        <v>-4.199233781265032E-2</v>
      </c>
      <c r="S21" s="34">
        <f t="shared" si="15"/>
        <v>-4.2158365963704508E-2</v>
      </c>
      <c r="T21" s="34">
        <f t="shared" si="15"/>
        <v>-4.3588229794013215E-2</v>
      </c>
      <c r="U21" s="34">
        <f t="shared" si="15"/>
        <v>-4.3053915610180987E-2</v>
      </c>
      <c r="V21" s="34">
        <f t="shared" si="15"/>
        <v>-4.3516741911029409E-2</v>
      </c>
      <c r="W21" s="34">
        <f t="shared" si="15"/>
        <v>-4.3174883102027883E-2</v>
      </c>
      <c r="X21" s="34">
        <f t="shared" si="15"/>
        <v>-4.3598186852593701E-2</v>
      </c>
      <c r="Y21" s="34">
        <f t="shared" si="15"/>
        <v>-4.3064702423643166E-2</v>
      </c>
      <c r="Z21" s="34">
        <f t="shared" si="15"/>
        <v>-4.2807273779459594E-2</v>
      </c>
    </row>
    <row r="22" spans="2:26">
      <c r="B22" s="8" t="s">
        <v>17</v>
      </c>
      <c r="D22" s="28">
        <f t="shared" ref="D22:O22" si="16">D71/D$53</f>
        <v>-5.5555555555555552E-2</v>
      </c>
      <c r="E22" s="28">
        <f t="shared" si="16"/>
        <v>-4.5454545454545456E-2</v>
      </c>
      <c r="F22" s="28">
        <f t="shared" si="16"/>
        <v>-3.3333333333333333E-2</v>
      </c>
      <c r="G22" s="28">
        <f t="shared" si="16"/>
        <v>-3.125E-2</v>
      </c>
      <c r="H22" s="28">
        <f t="shared" si="16"/>
        <v>-3.125E-2</v>
      </c>
      <c r="I22" s="28">
        <f t="shared" si="16"/>
        <v>-3.125E-2</v>
      </c>
      <c r="J22" s="28">
        <f t="shared" si="16"/>
        <v>-2.3809523809523808E-2</v>
      </c>
      <c r="K22" s="28">
        <f t="shared" si="16"/>
        <v>-2.3809523809523808E-2</v>
      </c>
      <c r="L22" s="28">
        <f t="shared" si="16"/>
        <v>-2.0833333333333332E-2</v>
      </c>
      <c r="M22" s="28">
        <f t="shared" si="16"/>
        <v>-1.9230769230769232E-2</v>
      </c>
      <c r="N22" s="28">
        <f t="shared" si="16"/>
        <v>-1.8518518518518517E-2</v>
      </c>
      <c r="O22" s="28">
        <f t="shared" si="16"/>
        <v>-1.8518518518518517E-2</v>
      </c>
      <c r="P22" s="34">
        <f t="shared" ref="P22:Z22" si="17">AVERAGE(D22:O22)</f>
        <v>-2.9401135130301792E-2</v>
      </c>
      <c r="Q22" s="34">
        <f t="shared" si="17"/>
        <v>-2.7221600094863987E-2</v>
      </c>
      <c r="R22" s="34">
        <f t="shared" si="17"/>
        <v>-2.5702187981557195E-2</v>
      </c>
      <c r="S22" s="34">
        <f t="shared" si="17"/>
        <v>-2.5066259202242518E-2</v>
      </c>
      <c r="T22" s="34">
        <f t="shared" si="17"/>
        <v>-2.4550947469096061E-2</v>
      </c>
      <c r="U22" s="34">
        <f t="shared" si="17"/>
        <v>-2.3992693091520731E-2</v>
      </c>
      <c r="V22" s="34">
        <f t="shared" si="17"/>
        <v>-2.3387917515814125E-2</v>
      </c>
      <c r="W22" s="34">
        <f t="shared" si="17"/>
        <v>-2.3352783658004986E-2</v>
      </c>
      <c r="X22" s="34">
        <f t="shared" si="17"/>
        <v>-2.3314721978711747E-2</v>
      </c>
      <c r="Y22" s="34">
        <f t="shared" si="17"/>
        <v>-2.3521504365826618E-2</v>
      </c>
      <c r="Z22" s="34">
        <f t="shared" si="17"/>
        <v>-2.3879065627081402E-2</v>
      </c>
    </row>
    <row r="23" spans="2:26">
      <c r="B23" s="8" t="s">
        <v>19</v>
      </c>
      <c r="D23" s="28">
        <f>D74/D$53</f>
        <v>-0.13333333333333333</v>
      </c>
      <c r="E23" s="28">
        <f t="shared" ref="E23:O23" si="18">E74/E$53</f>
        <v>-0.14545454545454545</v>
      </c>
      <c r="F23" s="28">
        <f t="shared" si="18"/>
        <v>-0.02</v>
      </c>
      <c r="G23" s="28">
        <f t="shared" si="18"/>
        <v>-1.8749999999999999E-2</v>
      </c>
      <c r="H23" s="28">
        <f t="shared" si="18"/>
        <v>-1.8749999999999999E-2</v>
      </c>
      <c r="I23" s="28">
        <f t="shared" si="18"/>
        <v>-0.1875</v>
      </c>
      <c r="J23" s="28">
        <f t="shared" si="18"/>
        <v>-9.5238095238095233E-2</v>
      </c>
      <c r="K23" s="28">
        <f t="shared" si="18"/>
        <v>-8.0952380952380956E-2</v>
      </c>
      <c r="L23" s="28">
        <f t="shared" si="18"/>
        <v>-4.583333333333333E-2</v>
      </c>
      <c r="M23" s="28">
        <f t="shared" si="18"/>
        <v>-1.1538461538461539E-2</v>
      </c>
      <c r="N23" s="28">
        <f t="shared" si="18"/>
        <v>-1.1111111111111112E-2</v>
      </c>
      <c r="O23" s="28">
        <f t="shared" si="18"/>
        <v>-1.1111111111111112E-2</v>
      </c>
      <c r="P23" s="34">
        <f t="shared" ref="P23:Z23" si="19">AVERAGE(D23:O23)</f>
        <v>-6.4964364339364325E-2</v>
      </c>
      <c r="Q23" s="34">
        <f t="shared" si="19"/>
        <v>-5.9266950256533578E-2</v>
      </c>
      <c r="R23" s="34">
        <f t="shared" si="19"/>
        <v>-5.2084650656699268E-2</v>
      </c>
      <c r="S23" s="34">
        <f t="shared" si="19"/>
        <v>-5.4758371544757545E-2</v>
      </c>
      <c r="T23" s="34">
        <f t="shared" si="19"/>
        <v>-5.7759069173487353E-2</v>
      </c>
      <c r="U23" s="34">
        <f t="shared" si="19"/>
        <v>-6.1009824937944629E-2</v>
      </c>
      <c r="V23" s="34">
        <f t="shared" si="19"/>
        <v>-5.0468977016106663E-2</v>
      </c>
      <c r="W23" s="34">
        <f t="shared" si="19"/>
        <v>-4.673821716427428E-2</v>
      </c>
      <c r="X23" s="34">
        <f t="shared" si="19"/>
        <v>-4.388703684859873E-2</v>
      </c>
      <c r="Y23" s="34">
        <f t="shared" si="19"/>
        <v>-4.3724845474870842E-2</v>
      </c>
      <c r="Z23" s="34">
        <f t="shared" si="19"/>
        <v>-4.6407044136238286E-2</v>
      </c>
    </row>
    <row r="24" spans="2:26">
      <c r="B24" s="8" t="s">
        <v>20</v>
      </c>
      <c r="D24" s="28">
        <f t="shared" ref="D24:O24" si="20">D75/D$53</f>
        <v>-2.2222222222222223E-2</v>
      </c>
      <c r="E24" s="28">
        <f t="shared" si="20"/>
        <v>-6.363636363636363E-2</v>
      </c>
      <c r="F24" s="28">
        <f t="shared" si="20"/>
        <v>-4.6666666666666669E-2</v>
      </c>
      <c r="G24" s="28">
        <f t="shared" si="20"/>
        <v>-4.3749999999999997E-2</v>
      </c>
      <c r="H24" s="28">
        <f t="shared" si="20"/>
        <v>-4.3749999999999997E-2</v>
      </c>
      <c r="I24" s="28">
        <f t="shared" si="20"/>
        <v>-4.3749999999999997E-2</v>
      </c>
      <c r="J24" s="28">
        <f t="shared" si="20"/>
        <v>-4.7619047619047623E-3</v>
      </c>
      <c r="K24" s="28">
        <f t="shared" si="20"/>
        <v>-4.7619047619047623E-3</v>
      </c>
      <c r="L24" s="28">
        <f t="shared" si="20"/>
        <v>-4.1666666666666666E-3</v>
      </c>
      <c r="M24" s="28">
        <f t="shared" si="20"/>
        <v>-3.8461538461538464E-3</v>
      </c>
      <c r="N24" s="28">
        <f t="shared" si="20"/>
        <v>-3.7037037037037038E-3</v>
      </c>
      <c r="O24" s="28">
        <f t="shared" si="20"/>
        <v>-3.7037037037037038E-3</v>
      </c>
      <c r="P24" s="34">
        <f t="shared" ref="P24:Z24" si="21">AVERAGE(D24:O24)</f>
        <v>-2.405994083077416E-2</v>
      </c>
      <c r="Q24" s="34">
        <f t="shared" si="21"/>
        <v>-2.4213084048153494E-2</v>
      </c>
      <c r="R24" s="34">
        <f t="shared" si="21"/>
        <v>-2.0927810749135984E-2</v>
      </c>
      <c r="S24" s="34">
        <f t="shared" si="21"/>
        <v>-1.8782906089341762E-2</v>
      </c>
      <c r="T24" s="34">
        <f t="shared" si="21"/>
        <v>-1.6702314930120237E-2</v>
      </c>
      <c r="U24" s="34">
        <f t="shared" si="21"/>
        <v>-1.4448341174296922E-2</v>
      </c>
      <c r="V24" s="34">
        <f t="shared" si="21"/>
        <v>-1.2006536272154998E-2</v>
      </c>
      <c r="W24" s="34">
        <f t="shared" si="21"/>
        <v>-1.2610255564675854E-2</v>
      </c>
      <c r="X24" s="34">
        <f t="shared" si="21"/>
        <v>-1.3264284798240109E-2</v>
      </c>
      <c r="Y24" s="34">
        <f t="shared" si="21"/>
        <v>-1.4022419642537897E-2</v>
      </c>
      <c r="Z24" s="34">
        <f t="shared" si="21"/>
        <v>-1.4870441792236566E-2</v>
      </c>
    </row>
    <row r="25" spans="2:26">
      <c r="B25" s="8" t="s">
        <v>22</v>
      </c>
      <c r="D25" s="28">
        <f>D78/D$53</f>
        <v>-2.2222222222222223E-2</v>
      </c>
      <c r="E25" s="28">
        <f t="shared" ref="E25:O25" si="22">E78/E$53</f>
        <v>-1.8181818181818181E-2</v>
      </c>
      <c r="F25" s="28">
        <f t="shared" si="22"/>
        <v>-1.3333333333333334E-2</v>
      </c>
      <c r="G25" s="28">
        <f t="shared" si="22"/>
        <v>-1.2500000000000001E-2</v>
      </c>
      <c r="H25" s="28">
        <f t="shared" si="22"/>
        <v>-1.2500000000000001E-2</v>
      </c>
      <c r="I25" s="28">
        <f t="shared" si="22"/>
        <v>-1.2500000000000001E-2</v>
      </c>
      <c r="J25" s="28">
        <f t="shared" si="22"/>
        <v>-9.5238095238095247E-3</v>
      </c>
      <c r="K25" s="28">
        <f t="shared" si="22"/>
        <v>-9.5238095238095247E-3</v>
      </c>
      <c r="L25" s="28">
        <f t="shared" si="22"/>
        <v>-8.3333333333333332E-3</v>
      </c>
      <c r="M25" s="28">
        <f t="shared" si="22"/>
        <v>-7.6923076923076927E-3</v>
      </c>
      <c r="N25" s="28">
        <f t="shared" si="22"/>
        <v>-7.4074074074074077E-3</v>
      </c>
      <c r="O25" s="28">
        <f t="shared" si="22"/>
        <v>-7.4074074074074077E-3</v>
      </c>
      <c r="P25" s="34">
        <f t="shared" ref="P25:Z25" si="23">AVERAGE(D25:O25)</f>
        <v>-1.1760454052120719E-2</v>
      </c>
      <c r="Q25" s="34">
        <f t="shared" si="23"/>
        <v>-1.0888640037945594E-2</v>
      </c>
      <c r="R25" s="34">
        <f t="shared" si="23"/>
        <v>-1.0280875192622876E-2</v>
      </c>
      <c r="S25" s="34">
        <f t="shared" si="23"/>
        <v>-1.0026503680897006E-2</v>
      </c>
      <c r="T25" s="34">
        <f t="shared" si="23"/>
        <v>-9.8203789876384236E-3</v>
      </c>
      <c r="U25" s="34">
        <f t="shared" si="23"/>
        <v>-9.597077236608291E-3</v>
      </c>
      <c r="V25" s="34">
        <f t="shared" si="23"/>
        <v>-9.3551670063256476E-3</v>
      </c>
      <c r="W25" s="34">
        <f t="shared" si="23"/>
        <v>-9.3411134632019922E-3</v>
      </c>
      <c r="X25" s="34">
        <f t="shared" si="23"/>
        <v>-9.3258887914846982E-3</v>
      </c>
      <c r="Y25" s="34">
        <f t="shared" si="23"/>
        <v>-9.4086017463306457E-3</v>
      </c>
      <c r="Z25" s="34">
        <f t="shared" si="23"/>
        <v>-9.5516262508325584E-3</v>
      </c>
    </row>
    <row r="26" spans="2:26">
      <c r="B26" s="8" t="s">
        <v>23</v>
      </c>
      <c r="D26" s="28">
        <f t="shared" ref="D26:O26" si="24">D79/D$53</f>
        <v>0</v>
      </c>
      <c r="E26" s="28">
        <f t="shared" si="24"/>
        <v>-4.5454545454545456E-2</v>
      </c>
      <c r="F26" s="28">
        <f t="shared" si="24"/>
        <v>0</v>
      </c>
      <c r="G26" s="28">
        <f t="shared" si="24"/>
        <v>-6.25E-2</v>
      </c>
      <c r="H26" s="28">
        <f t="shared" si="24"/>
        <v>0</v>
      </c>
      <c r="I26" s="28">
        <f t="shared" si="24"/>
        <v>0</v>
      </c>
      <c r="J26" s="28">
        <f t="shared" si="24"/>
        <v>-2.3809523809523808E-2</v>
      </c>
      <c r="K26" s="28">
        <f t="shared" si="24"/>
        <v>-9.5238095238095247E-3</v>
      </c>
      <c r="L26" s="28">
        <f t="shared" si="24"/>
        <v>0</v>
      </c>
      <c r="M26" s="28">
        <f t="shared" si="24"/>
        <v>0</v>
      </c>
      <c r="N26" s="28">
        <f t="shared" si="24"/>
        <v>0</v>
      </c>
      <c r="O26" s="28">
        <f t="shared" si="24"/>
        <v>0</v>
      </c>
      <c r="P26" s="34">
        <f t="shared" ref="P26:Z26" si="25">AVERAGE(D26:O26)</f>
        <v>-1.1773989898989897E-2</v>
      </c>
      <c r="Q26" s="34">
        <f t="shared" si="25"/>
        <v>-1.2755155723905722E-2</v>
      </c>
      <c r="R26" s="34">
        <f t="shared" si="25"/>
        <v>-1.0030206579685745E-2</v>
      </c>
      <c r="S26" s="34">
        <f t="shared" si="25"/>
        <v>-1.0866057127992891E-2</v>
      </c>
      <c r="T26" s="34">
        <f t="shared" si="25"/>
        <v>-6.5632285553256326E-3</v>
      </c>
      <c r="U26" s="34">
        <f t="shared" si="25"/>
        <v>-7.1101642682694357E-3</v>
      </c>
      <c r="V26" s="34">
        <f t="shared" si="25"/>
        <v>-7.7026779572918888E-3</v>
      </c>
      <c r="W26" s="34">
        <f t="shared" si="25"/>
        <v>-6.3604408029392275E-3</v>
      </c>
      <c r="X26" s="34">
        <f t="shared" si="25"/>
        <v>-6.0968267428667027E-3</v>
      </c>
      <c r="Y26" s="34">
        <f t="shared" si="25"/>
        <v>-6.6048956381055948E-3</v>
      </c>
      <c r="Z26" s="34">
        <f t="shared" si="25"/>
        <v>-7.1553036079477278E-3</v>
      </c>
    </row>
    <row r="27" spans="2:26">
      <c r="B27" s="8" t="s">
        <v>24</v>
      </c>
      <c r="D27" s="28">
        <f t="shared" ref="D27:O27" si="26">D80/D$53</f>
        <v>-0.12444444444444444</v>
      </c>
      <c r="E27" s="28">
        <f t="shared" si="26"/>
        <v>-0.10181818181818182</v>
      </c>
      <c r="F27" s="28">
        <f t="shared" si="26"/>
        <v>-7.4666666666666673E-2</v>
      </c>
      <c r="G27" s="28">
        <f t="shared" si="26"/>
        <v>-7.0000000000000007E-2</v>
      </c>
      <c r="H27" s="28">
        <f t="shared" si="26"/>
        <v>-7.0000000000000007E-2</v>
      </c>
      <c r="I27" s="28">
        <f t="shared" si="26"/>
        <v>-7.0000000000000007E-2</v>
      </c>
      <c r="J27" s="28">
        <f t="shared" si="26"/>
        <v>-7.1428571428571425E-2</v>
      </c>
      <c r="K27" s="28">
        <f t="shared" si="26"/>
        <v>-7.1428571428571425E-2</v>
      </c>
      <c r="L27" s="28">
        <f t="shared" si="26"/>
        <v>-6.25E-2</v>
      </c>
      <c r="M27" s="28">
        <f t="shared" si="26"/>
        <v>-5.7692307692307696E-2</v>
      </c>
      <c r="N27" s="28">
        <f t="shared" si="26"/>
        <v>-5.5555555555555552E-2</v>
      </c>
      <c r="O27" s="28">
        <f t="shared" si="26"/>
        <v>-6.2962962962962957E-2</v>
      </c>
      <c r="P27" s="34">
        <f t="shared" ref="P27:Z27" si="27">AVERAGE(D27:O27)</f>
        <v>-7.4374771833105174E-2</v>
      </c>
      <c r="Q27" s="34">
        <f t="shared" si="27"/>
        <v>-7.0202299115493569E-2</v>
      </c>
      <c r="R27" s="34">
        <f t="shared" si="27"/>
        <v>-6.7567642223602883E-2</v>
      </c>
      <c r="S27" s="34">
        <f t="shared" si="27"/>
        <v>-6.6976056853347565E-2</v>
      </c>
      <c r="T27" s="34">
        <f t="shared" si="27"/>
        <v>-6.6724061591126524E-2</v>
      </c>
      <c r="U27" s="34">
        <f t="shared" si="27"/>
        <v>-6.6451066723720406E-2</v>
      </c>
      <c r="V27" s="34">
        <f t="shared" si="27"/>
        <v>-6.6155322284030441E-2</v>
      </c>
      <c r="W27" s="34">
        <f t="shared" si="27"/>
        <v>-6.5715884855318693E-2</v>
      </c>
      <c r="X27" s="34">
        <f t="shared" si="27"/>
        <v>-6.5239827640880946E-2</v>
      </c>
      <c r="Y27" s="34">
        <f t="shared" si="27"/>
        <v>-6.5468146610954361E-2</v>
      </c>
      <c r="Z27" s="34">
        <f t="shared" si="27"/>
        <v>-6.6116133187508253E-2</v>
      </c>
    </row>
    <row r="28" spans="2:26">
      <c r="B28" s="8" t="s">
        <v>26</v>
      </c>
      <c r="D28" s="28">
        <f>D83/D$53</f>
        <v>0</v>
      </c>
      <c r="E28" s="28">
        <f t="shared" ref="E28:O28" si="28">E83/E$53</f>
        <v>0</v>
      </c>
      <c r="F28" s="28">
        <f t="shared" si="28"/>
        <v>0</v>
      </c>
      <c r="G28" s="28">
        <f t="shared" si="28"/>
        <v>0</v>
      </c>
      <c r="H28" s="28">
        <f t="shared" si="28"/>
        <v>-0.10625</v>
      </c>
      <c r="I28" s="28">
        <f t="shared" si="28"/>
        <v>0</v>
      </c>
      <c r="J28" s="28">
        <f t="shared" si="28"/>
        <v>0</v>
      </c>
      <c r="K28" s="28">
        <f t="shared" si="28"/>
        <v>0</v>
      </c>
      <c r="L28" s="28">
        <f t="shared" si="28"/>
        <v>0</v>
      </c>
      <c r="M28" s="28">
        <f t="shared" si="28"/>
        <v>0</v>
      </c>
      <c r="N28" s="28">
        <f t="shared" si="28"/>
        <v>-3.7037037037037035E-2</v>
      </c>
      <c r="O28" s="28">
        <f t="shared" si="28"/>
        <v>0</v>
      </c>
      <c r="P28" s="34">
        <f t="shared" ref="P28:Z28" si="29">AVERAGE(D28:O28)</f>
        <v>-1.1940586419753088E-2</v>
      </c>
      <c r="Q28" s="34">
        <f t="shared" si="29"/>
        <v>-1.2935635288065845E-2</v>
      </c>
      <c r="R28" s="34">
        <f t="shared" si="29"/>
        <v>-1.4013604895404666E-2</v>
      </c>
      <c r="S28" s="34">
        <f t="shared" si="29"/>
        <v>-1.5181405303355053E-2</v>
      </c>
      <c r="T28" s="34">
        <f t="shared" si="29"/>
        <v>-1.6446522411967975E-2</v>
      </c>
      <c r="U28" s="34">
        <f t="shared" si="29"/>
        <v>-8.962899279631972E-3</v>
      </c>
      <c r="V28" s="34">
        <f t="shared" si="29"/>
        <v>-9.7098075529346364E-3</v>
      </c>
      <c r="W28" s="34">
        <f t="shared" si="29"/>
        <v>-1.0518958182345856E-2</v>
      </c>
      <c r="X28" s="34">
        <f t="shared" si="29"/>
        <v>-1.1395538030874676E-2</v>
      </c>
      <c r="Y28" s="34">
        <f t="shared" si="29"/>
        <v>-1.2345166200114234E-2</v>
      </c>
      <c r="Z28" s="34">
        <f t="shared" si="29"/>
        <v>-1.3373930050123752E-2</v>
      </c>
    </row>
    <row r="29" spans="2:26">
      <c r="B29" s="8" t="s">
        <v>27</v>
      </c>
      <c r="D29" s="28">
        <f t="shared" ref="D29:O29" si="30">D84/D$53</f>
        <v>-3.3333333333333333E-2</v>
      </c>
      <c r="E29" s="28">
        <f t="shared" si="30"/>
        <v>-1.4545454545454545E-2</v>
      </c>
      <c r="F29" s="28">
        <f t="shared" si="30"/>
        <v>-8.0000000000000002E-3</v>
      </c>
      <c r="G29" s="28">
        <f t="shared" si="30"/>
        <v>-1.4999999999999999E-2</v>
      </c>
      <c r="H29" s="28">
        <f t="shared" si="30"/>
        <v>-0.9375</v>
      </c>
      <c r="I29" s="28">
        <f t="shared" si="30"/>
        <v>-2.2499999999999999E-2</v>
      </c>
      <c r="J29" s="28">
        <f t="shared" si="30"/>
        <v>-2.3809523809523812E-3</v>
      </c>
      <c r="K29" s="28">
        <f t="shared" si="30"/>
        <v>-4.7619047619047623E-3</v>
      </c>
      <c r="L29" s="28">
        <f t="shared" si="30"/>
        <v>-6.2500000000000003E-3</v>
      </c>
      <c r="M29" s="28">
        <f t="shared" si="30"/>
        <v>-3.4615384615384616E-3</v>
      </c>
      <c r="N29" s="28">
        <f t="shared" si="30"/>
        <v>-0.62962962962962965</v>
      </c>
      <c r="O29" s="28">
        <f t="shared" si="30"/>
        <v>-3.3333333333333335E-3</v>
      </c>
      <c r="P29" s="34">
        <f t="shared" ref="P29:Z29" si="31">AVERAGE(D29:O29)</f>
        <v>-0.14005801220384553</v>
      </c>
      <c r="Q29" s="34">
        <f t="shared" si="31"/>
        <v>-0.1489517354430549</v>
      </c>
      <c r="R29" s="34">
        <f t="shared" si="31"/>
        <v>-0.16015225885118825</v>
      </c>
      <c r="S29" s="34">
        <f t="shared" si="31"/>
        <v>-0.17283161375545394</v>
      </c>
      <c r="T29" s="34">
        <f t="shared" si="31"/>
        <v>-0.18598424823507509</v>
      </c>
      <c r="U29" s="34">
        <f t="shared" si="31"/>
        <v>-0.12335793558799803</v>
      </c>
      <c r="V29" s="34">
        <f t="shared" si="31"/>
        <v>-0.13176276355366454</v>
      </c>
      <c r="W29" s="34">
        <f t="shared" si="31"/>
        <v>-0.14254458115139054</v>
      </c>
      <c r="X29" s="34">
        <f t="shared" si="31"/>
        <v>-0.15402647085051438</v>
      </c>
      <c r="Y29" s="34">
        <f t="shared" si="31"/>
        <v>-0.1663411767547239</v>
      </c>
      <c r="Z29" s="34">
        <f t="shared" si="31"/>
        <v>-0.17991447994582269</v>
      </c>
    </row>
    <row r="30" spans="2:26">
      <c r="B30" s="31" t="s">
        <v>28</v>
      </c>
      <c r="D30" s="28">
        <f>D86/D$53</f>
        <v>-3.3333333333333333E-2</v>
      </c>
      <c r="E30" s="28">
        <f t="shared" ref="E30:O30" si="32">E86/E$53</f>
        <v>-2.7272727272727271E-2</v>
      </c>
      <c r="F30" s="28">
        <f t="shared" si="32"/>
        <v>-0.02</v>
      </c>
      <c r="G30" s="28">
        <f t="shared" si="32"/>
        <v>-1.8749999999999999E-2</v>
      </c>
      <c r="H30" s="28">
        <f t="shared" si="32"/>
        <v>-1.8749999999999999E-2</v>
      </c>
      <c r="I30" s="28">
        <f t="shared" si="32"/>
        <v>-1.8749999999999999E-2</v>
      </c>
      <c r="J30" s="28">
        <f t="shared" si="32"/>
        <v>-1.4285714285714285E-2</v>
      </c>
      <c r="K30" s="28">
        <f t="shared" si="32"/>
        <v>-1.4285714285714285E-2</v>
      </c>
      <c r="L30" s="28">
        <f t="shared" si="32"/>
        <v>-1.2500000000000001E-2</v>
      </c>
      <c r="M30" s="28">
        <f t="shared" si="32"/>
        <v>-1.1538461538461539E-2</v>
      </c>
      <c r="N30" s="28">
        <f t="shared" si="32"/>
        <v>-1.1111111111111112E-2</v>
      </c>
      <c r="O30" s="28">
        <f t="shared" si="32"/>
        <v>-1.1111111111111112E-2</v>
      </c>
      <c r="P30" s="34">
        <f t="shared" ref="P30:Z30" si="33">AVERAGE(D30:O30)</f>
        <v>-1.7640681078181078E-2</v>
      </c>
      <c r="Q30" s="34">
        <f t="shared" si="33"/>
        <v>-1.6332960056918391E-2</v>
      </c>
      <c r="R30" s="34">
        <f t="shared" si="33"/>
        <v>-1.5421312788934315E-2</v>
      </c>
      <c r="S30" s="34">
        <f t="shared" si="33"/>
        <v>-1.5039755521345512E-2</v>
      </c>
      <c r="T30" s="34">
        <f t="shared" si="33"/>
        <v>-1.4730568481457637E-2</v>
      </c>
      <c r="U30" s="34">
        <f t="shared" si="33"/>
        <v>-1.4395615854912438E-2</v>
      </c>
      <c r="V30" s="34">
        <f t="shared" si="33"/>
        <v>-1.4032750509488476E-2</v>
      </c>
      <c r="W30" s="34">
        <f t="shared" si="33"/>
        <v>-1.4011670194802992E-2</v>
      </c>
      <c r="X30" s="34">
        <f t="shared" si="33"/>
        <v>-1.3988833187227051E-2</v>
      </c>
      <c r="Y30" s="34">
        <f t="shared" si="33"/>
        <v>-1.411290261949597E-2</v>
      </c>
      <c r="Z30" s="34">
        <f t="shared" si="33"/>
        <v>-1.4327439376248837E-2</v>
      </c>
    </row>
    <row r="32" spans="2:26">
      <c r="B32" s="12" t="s">
        <v>10</v>
      </c>
    </row>
    <row r="33" spans="2:26">
      <c r="B33" s="8" t="s">
        <v>11</v>
      </c>
      <c r="C33" s="8" t="s">
        <v>83</v>
      </c>
      <c r="E33" s="8">
        <v>2850</v>
      </c>
    </row>
    <row r="34" spans="2:26">
      <c r="C34" s="8" t="s">
        <v>84</v>
      </c>
      <c r="E34" s="8">
        <v>2250</v>
      </c>
    </row>
    <row r="35" spans="2:26">
      <c r="B35" s="8" t="s">
        <v>85</v>
      </c>
      <c r="C35" s="39">
        <f>(E33-E34)/E34</f>
        <v>0.26666666666666666</v>
      </c>
    </row>
    <row r="37" spans="2:26">
      <c r="B37" s="12" t="s">
        <v>86</v>
      </c>
      <c r="C37" s="8" t="s">
        <v>87</v>
      </c>
    </row>
    <row r="38" spans="2:26">
      <c r="C38" s="28">
        <v>8.7499999999999994E-2</v>
      </c>
      <c r="D38" s="8" t="s">
        <v>88</v>
      </c>
    </row>
    <row r="40" spans="2:26">
      <c r="B40" s="12" t="s">
        <v>89</v>
      </c>
      <c r="C40" s="35">
        <f>-C56/C53</f>
        <v>0.2857142857142857</v>
      </c>
      <c r="D40" s="35">
        <f t="shared" ref="D40:O40" si="34">-D56/D53</f>
        <v>0.22222222222222221</v>
      </c>
      <c r="E40" s="35">
        <f t="shared" si="34"/>
        <v>0.18181818181818182</v>
      </c>
      <c r="F40" s="35">
        <f t="shared" si="34"/>
        <v>0.13333333333333333</v>
      </c>
      <c r="G40" s="35">
        <f t="shared" si="34"/>
        <v>0.15625</v>
      </c>
      <c r="H40" s="35">
        <f t="shared" si="34"/>
        <v>0.15625</v>
      </c>
      <c r="I40" s="35">
        <f t="shared" si="34"/>
        <v>0.15625</v>
      </c>
      <c r="J40" s="35">
        <f t="shared" si="34"/>
        <v>0.11904761904761904</v>
      </c>
      <c r="K40" s="35">
        <f t="shared" si="34"/>
        <v>0.14285714285714285</v>
      </c>
      <c r="L40" s="35">
        <f t="shared" si="34"/>
        <v>0.125</v>
      </c>
      <c r="M40" s="35">
        <f t="shared" si="34"/>
        <v>0.11538461538461539</v>
      </c>
      <c r="N40" s="35">
        <f t="shared" si="34"/>
        <v>0.1111111111111111</v>
      </c>
      <c r="O40" s="35">
        <f t="shared" si="34"/>
        <v>0.1111111111111111</v>
      </c>
      <c r="P40" s="30">
        <v>0.16</v>
      </c>
      <c r="Q40" s="30">
        <v>0.16</v>
      </c>
      <c r="R40" s="30">
        <v>0.16</v>
      </c>
      <c r="S40" s="30">
        <v>0.16</v>
      </c>
      <c r="T40" s="30">
        <v>0.16</v>
      </c>
      <c r="U40" s="30">
        <v>0.16</v>
      </c>
      <c r="V40" s="30">
        <v>0.16</v>
      </c>
      <c r="W40" s="30">
        <v>0.16</v>
      </c>
      <c r="X40" s="30">
        <v>0.16</v>
      </c>
      <c r="Y40" s="30">
        <v>0.16</v>
      </c>
      <c r="Z40" s="30">
        <v>0.16</v>
      </c>
    </row>
    <row r="41" spans="2:26">
      <c r="B41" s="12" t="s">
        <v>33</v>
      </c>
      <c r="C41" s="35">
        <f>-C93/C91</f>
        <v>0</v>
      </c>
      <c r="D41" s="35">
        <f t="shared" ref="D41:O41" si="35">-D93/D91</f>
        <v>0</v>
      </c>
      <c r="E41" s="35">
        <f t="shared" si="35"/>
        <v>-0.1276527844263603</v>
      </c>
      <c r="F41" s="35">
        <f t="shared" si="35"/>
        <v>0</v>
      </c>
      <c r="G41" s="35">
        <f t="shared" si="35"/>
        <v>0</v>
      </c>
      <c r="H41" s="35">
        <f t="shared" si="35"/>
        <v>0</v>
      </c>
      <c r="I41" s="35">
        <f t="shared" si="35"/>
        <v>0</v>
      </c>
      <c r="J41" s="35">
        <f t="shared" si="35"/>
        <v>0</v>
      </c>
      <c r="K41" s="35">
        <f t="shared" si="35"/>
        <v>0</v>
      </c>
      <c r="L41" s="35">
        <f t="shared" si="35"/>
        <v>0</v>
      </c>
      <c r="M41" s="35">
        <f t="shared" si="35"/>
        <v>0</v>
      </c>
      <c r="N41" s="35">
        <f t="shared" si="35"/>
        <v>0</v>
      </c>
      <c r="O41" s="35">
        <f t="shared" si="35"/>
        <v>0</v>
      </c>
      <c r="P41" s="29">
        <v>5.0000000000000001E-3</v>
      </c>
      <c r="Q41" s="29">
        <v>5.0000000000000001E-3</v>
      </c>
      <c r="R41" s="29">
        <v>5.0000000000000001E-3</v>
      </c>
      <c r="S41" s="29">
        <v>5.0000000000000001E-3</v>
      </c>
      <c r="T41" s="29">
        <v>5.0000000000000001E-3</v>
      </c>
      <c r="U41" s="29">
        <v>5.0000000000000001E-3</v>
      </c>
      <c r="V41" s="29">
        <v>5.0000000000000001E-3</v>
      </c>
      <c r="W41" s="29">
        <v>5.0000000000000001E-3</v>
      </c>
      <c r="X41" s="29">
        <v>5.0000000000000001E-3</v>
      </c>
      <c r="Y41" s="29">
        <v>5.0000000000000001E-3</v>
      </c>
      <c r="Z41" s="29">
        <v>5.0000000000000001E-3</v>
      </c>
    </row>
    <row r="45" spans="2:26" ht="23" thickBot="1">
      <c r="B45" s="26" t="s">
        <v>77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2:26" ht="10" customHeight="1" thickTop="1"/>
    <row r="47" spans="2:26">
      <c r="B47" s="11" t="s">
        <v>0</v>
      </c>
      <c r="C47" s="18">
        <v>44957</v>
      </c>
      <c r="D47" s="18">
        <v>44985</v>
      </c>
      <c r="E47" s="18">
        <v>45016</v>
      </c>
      <c r="F47" s="18">
        <v>45046</v>
      </c>
      <c r="G47" s="18">
        <v>45077</v>
      </c>
      <c r="H47" s="18">
        <v>45107</v>
      </c>
      <c r="I47" s="18">
        <v>45138</v>
      </c>
      <c r="J47" s="18">
        <v>45169</v>
      </c>
      <c r="K47" s="18">
        <v>45199</v>
      </c>
      <c r="L47" s="18">
        <v>45230</v>
      </c>
      <c r="M47" s="18">
        <v>45260</v>
      </c>
      <c r="N47" s="18">
        <v>45291</v>
      </c>
      <c r="O47" s="18">
        <v>45322</v>
      </c>
      <c r="P47" s="18">
        <v>45351</v>
      </c>
      <c r="Q47" s="18">
        <v>45382</v>
      </c>
      <c r="R47" s="18">
        <v>45412</v>
      </c>
      <c r="S47" s="18">
        <v>45443</v>
      </c>
      <c r="T47" s="18">
        <v>45473</v>
      </c>
      <c r="U47" s="18">
        <v>45504</v>
      </c>
      <c r="V47" s="18">
        <v>45535</v>
      </c>
      <c r="W47" s="18">
        <v>45565</v>
      </c>
      <c r="X47" s="18">
        <v>45596</v>
      </c>
      <c r="Y47" s="18">
        <v>45626</v>
      </c>
      <c r="Z47" s="18">
        <v>45657</v>
      </c>
    </row>
    <row r="48" spans="2:26">
      <c r="C48" s="32" t="s">
        <v>1</v>
      </c>
      <c r="D48" s="32" t="s">
        <v>1</v>
      </c>
      <c r="E48" s="32" t="s">
        <v>1</v>
      </c>
      <c r="F48" s="32" t="s">
        <v>1</v>
      </c>
      <c r="G48" s="32" t="s">
        <v>1</v>
      </c>
      <c r="H48" s="32" t="s">
        <v>1</v>
      </c>
      <c r="I48" s="32" t="s">
        <v>1</v>
      </c>
      <c r="J48" s="32" t="s">
        <v>1</v>
      </c>
      <c r="K48" s="32" t="s">
        <v>1</v>
      </c>
      <c r="L48" s="32" t="s">
        <v>1</v>
      </c>
      <c r="M48" s="32" t="s">
        <v>1</v>
      </c>
      <c r="N48" s="32" t="s">
        <v>1</v>
      </c>
      <c r="O48" s="32" t="s">
        <v>1</v>
      </c>
      <c r="P48" s="33" t="s">
        <v>2</v>
      </c>
      <c r="Q48" s="33" t="s">
        <v>2</v>
      </c>
      <c r="R48" s="33" t="s">
        <v>2</v>
      </c>
      <c r="S48" s="33" t="s">
        <v>2</v>
      </c>
      <c r="T48" s="33" t="s">
        <v>2</v>
      </c>
      <c r="U48" s="33" t="s">
        <v>2</v>
      </c>
      <c r="V48" s="33" t="s">
        <v>2</v>
      </c>
      <c r="W48" s="33" t="s">
        <v>2</v>
      </c>
      <c r="X48" s="33" t="s">
        <v>2</v>
      </c>
      <c r="Y48" s="33" t="s">
        <v>2</v>
      </c>
      <c r="Z48" s="33" t="s">
        <v>2</v>
      </c>
    </row>
    <row r="49" spans="2:26" ht="11" customHeight="1"/>
    <row r="50" spans="2:26">
      <c r="B50" s="12" t="s">
        <v>70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2:26">
      <c r="B51" s="12" t="s">
        <v>72</v>
      </c>
      <c r="C51" s="14">
        <v>25000</v>
      </c>
      <c r="D51" s="14">
        <v>35000</v>
      </c>
      <c r="E51" s="14">
        <v>45000</v>
      </c>
      <c r="F51" s="14">
        <v>65000</v>
      </c>
      <c r="G51" s="14">
        <v>70000</v>
      </c>
      <c r="H51" s="14">
        <v>70000</v>
      </c>
      <c r="I51" s="14">
        <v>70000</v>
      </c>
      <c r="J51" s="14">
        <v>70000</v>
      </c>
      <c r="K51" s="14">
        <v>70000</v>
      </c>
      <c r="L51" s="14">
        <v>85000</v>
      </c>
      <c r="M51" s="14">
        <v>95000</v>
      </c>
      <c r="N51" s="14">
        <v>100000</v>
      </c>
      <c r="O51" s="14">
        <v>100000</v>
      </c>
      <c r="P51" s="14">
        <f>O51+'Sales Forecast 2024'!B2+'Sales Forecast 2024'!B3</f>
        <v>105500</v>
      </c>
      <c r="Q51" s="14">
        <f>P51+'Sales Forecast 2024'!B4</f>
        <v>108000</v>
      </c>
      <c r="R51" s="14">
        <f>Q51+'Sales Forecast 2024'!B5+'Sales Forecast 2024'!B6+'Sales Forecast 2024'!B7+'Sales Forecast 2024'!B8</f>
        <v>122500</v>
      </c>
      <c r="S51" s="14">
        <f>R51+'Sales Forecast 2024'!B9+'Sales Forecast 2024'!B10</f>
        <v>131000</v>
      </c>
      <c r="T51" s="14">
        <f>S51+'Sales Forecast 2024'!B11+'Sales Forecast 2024'!B12</f>
        <v>144000</v>
      </c>
      <c r="U51" s="14">
        <f>T51+'Sales Forecast 2024'!B13+'Sales Forecast 2024'!B14</f>
        <v>157000</v>
      </c>
      <c r="V51" s="14">
        <f>U51+'Sales Forecast 2024'!B15</f>
        <v>162500</v>
      </c>
      <c r="W51" s="14">
        <f>V51+'Sales Forecast 2024'!B16+'Sales Forecast 2024'!B17+'Sales Forecast 2024'!B18+'Sales Forecast 2024'!B19</f>
        <v>188000</v>
      </c>
      <c r="X51" s="14">
        <f>W51+'Sales Forecast 2024'!B20+'Sales Forecast 2024'!B21+'Sales Forecast 2024'!B22</f>
        <v>201000</v>
      </c>
      <c r="Y51" s="14">
        <f>X51+'Sales Forecast 2024'!B23+'Sales Forecast 2024'!B24+'Sales Forecast 2024'!B25+'Sales Forecast 2024'!B26</f>
        <v>213500</v>
      </c>
      <c r="Z51" s="14">
        <f>Y51+'Sales Forecast 2024'!B27+'Sales Forecast 2024'!B28+'Sales Forecast 2024'!B29+'Sales Forecast 2024'!B30+'Sales Forecast 2024'!B31</f>
        <v>235000</v>
      </c>
    </row>
    <row r="52" spans="2:26">
      <c r="B52" s="12" t="s">
        <v>71</v>
      </c>
      <c r="C52" s="14">
        <v>10000</v>
      </c>
      <c r="D52" s="14">
        <v>10000</v>
      </c>
      <c r="E52" s="14">
        <v>10000</v>
      </c>
      <c r="F52" s="14">
        <v>10000</v>
      </c>
      <c r="G52" s="14">
        <v>10000</v>
      </c>
      <c r="H52" s="14">
        <v>10000</v>
      </c>
      <c r="I52" s="14">
        <v>10000</v>
      </c>
      <c r="J52" s="14">
        <v>35000</v>
      </c>
      <c r="K52" s="14">
        <v>35000</v>
      </c>
      <c r="L52" s="14">
        <v>35000</v>
      </c>
      <c r="M52" s="14">
        <v>35000</v>
      </c>
      <c r="N52" s="14">
        <v>35000</v>
      </c>
      <c r="O52" s="14">
        <v>35000</v>
      </c>
      <c r="P52" s="14">
        <f>O52*(1+$J$12)</f>
        <v>38540.685274083182</v>
      </c>
      <c r="Q52" s="14">
        <f>P52*(1+$J$12)</f>
        <v>42439.554897026639</v>
      </c>
      <c r="R52" s="14">
        <f t="shared" ref="R52:Z52" si="36">Q52*(1+$J$12)</f>
        <v>46732.84367024227</v>
      </c>
      <c r="S52" s="14">
        <f t="shared" si="36"/>
        <v>51460.451995935364</v>
      </c>
      <c r="T52" s="14">
        <f t="shared" si="36"/>
        <v>56666.316698211733</v>
      </c>
      <c r="U52" s="14">
        <f t="shared" si="36"/>
        <v>62398.819357351509</v>
      </c>
      <c r="V52" s="14">
        <f t="shared" si="36"/>
        <v>68711.235952172967</v>
      </c>
      <c r="W52" s="14">
        <f t="shared" si="36"/>
        <v>75662.231989313368</v>
      </c>
      <c r="X52" s="14">
        <f t="shared" si="36"/>
        <v>83316.407720994146</v>
      </c>
      <c r="Y52" s="14">
        <f t="shared" si="36"/>
        <v>91744.898518343703</v>
      </c>
      <c r="Z52" s="14">
        <f t="shared" si="36"/>
        <v>101026.03597994815</v>
      </c>
    </row>
    <row r="53" spans="2:26" ht="17" thickBot="1">
      <c r="B53" s="19" t="s">
        <v>3</v>
      </c>
      <c r="C53" s="24">
        <f>C51+C52</f>
        <v>35000</v>
      </c>
      <c r="D53" s="24">
        <f t="shared" ref="D53:Z53" si="37">D51+D52</f>
        <v>45000</v>
      </c>
      <c r="E53" s="24">
        <f t="shared" si="37"/>
        <v>55000</v>
      </c>
      <c r="F53" s="24">
        <f t="shared" si="37"/>
        <v>75000</v>
      </c>
      <c r="G53" s="24">
        <f t="shared" si="37"/>
        <v>80000</v>
      </c>
      <c r="H53" s="24">
        <f t="shared" si="37"/>
        <v>80000</v>
      </c>
      <c r="I53" s="24">
        <f t="shared" si="37"/>
        <v>80000</v>
      </c>
      <c r="J53" s="24">
        <f t="shared" si="37"/>
        <v>105000</v>
      </c>
      <c r="K53" s="24">
        <f t="shared" si="37"/>
        <v>105000</v>
      </c>
      <c r="L53" s="24">
        <f t="shared" si="37"/>
        <v>120000</v>
      </c>
      <c r="M53" s="24">
        <f t="shared" si="37"/>
        <v>130000</v>
      </c>
      <c r="N53" s="24">
        <f t="shared" si="37"/>
        <v>135000</v>
      </c>
      <c r="O53" s="24">
        <f t="shared" si="37"/>
        <v>135000</v>
      </c>
      <c r="P53" s="24">
        <f t="shared" si="37"/>
        <v>144040.68527408317</v>
      </c>
      <c r="Q53" s="24">
        <f t="shared" si="37"/>
        <v>150439.55489702662</v>
      </c>
      <c r="R53" s="24">
        <f t="shared" si="37"/>
        <v>169232.84367024226</v>
      </c>
      <c r="S53" s="24">
        <f t="shared" si="37"/>
        <v>182460.45199593535</v>
      </c>
      <c r="T53" s="24">
        <f t="shared" si="37"/>
        <v>200666.31669821174</v>
      </c>
      <c r="U53" s="24">
        <f t="shared" si="37"/>
        <v>219398.81935735152</v>
      </c>
      <c r="V53" s="24">
        <f t="shared" si="37"/>
        <v>231211.23595217295</v>
      </c>
      <c r="W53" s="24">
        <f t="shared" si="37"/>
        <v>263662.23198931338</v>
      </c>
      <c r="X53" s="24">
        <f t="shared" si="37"/>
        <v>284316.40772099415</v>
      </c>
      <c r="Y53" s="24">
        <f t="shared" si="37"/>
        <v>305244.89851834369</v>
      </c>
      <c r="Z53" s="25">
        <f t="shared" si="37"/>
        <v>336026.03597994812</v>
      </c>
    </row>
    <row r="54" spans="2:26" ht="17" thickTop="1"/>
    <row r="55" spans="2:26">
      <c r="B55" s="12" t="s">
        <v>4</v>
      </c>
    </row>
    <row r="56" spans="2:26">
      <c r="B56" s="8" t="s">
        <v>5</v>
      </c>
      <c r="C56" s="16">
        <v>-10000</v>
      </c>
      <c r="D56" s="16">
        <v>-10000</v>
      </c>
      <c r="E56" s="16">
        <v>-10000</v>
      </c>
      <c r="F56" s="16">
        <v>-10000</v>
      </c>
      <c r="G56" s="16">
        <v>-12500</v>
      </c>
      <c r="H56" s="16">
        <v>-12500</v>
      </c>
      <c r="I56" s="16">
        <v>-12500</v>
      </c>
      <c r="J56" s="16">
        <v>-12500</v>
      </c>
      <c r="K56" s="16">
        <v>-15000</v>
      </c>
      <c r="L56" s="16">
        <v>-15000</v>
      </c>
      <c r="M56" s="16">
        <v>-15000</v>
      </c>
      <c r="N56" s="16">
        <v>-15000</v>
      </c>
      <c r="O56" s="16">
        <v>-15000</v>
      </c>
      <c r="P56" s="16">
        <f>-P40*P53</f>
        <v>-23046.509643853307</v>
      </c>
      <c r="Q56" s="16">
        <f t="shared" ref="Q56:Z56" si="38">-Q40*Q53</f>
        <v>-24070.328783524259</v>
      </c>
      <c r="R56" s="16">
        <f t="shared" si="38"/>
        <v>-27077.254987238761</v>
      </c>
      <c r="S56" s="16">
        <f t="shared" si="38"/>
        <v>-29193.672319349658</v>
      </c>
      <c r="T56" s="16">
        <f t="shared" si="38"/>
        <v>-32106.610671713879</v>
      </c>
      <c r="U56" s="16">
        <f t="shared" si="38"/>
        <v>-35103.811097176243</v>
      </c>
      <c r="V56" s="16">
        <f t="shared" si="38"/>
        <v>-36993.797752347673</v>
      </c>
      <c r="W56" s="16">
        <f t="shared" si="38"/>
        <v>-42185.957118290142</v>
      </c>
      <c r="X56" s="16">
        <f t="shared" si="38"/>
        <v>-45490.625235359061</v>
      </c>
      <c r="Y56" s="16">
        <f t="shared" si="38"/>
        <v>-48839.18376293499</v>
      </c>
      <c r="Z56" s="16">
        <f t="shared" si="38"/>
        <v>-53764.165756791699</v>
      </c>
    </row>
    <row r="57" spans="2:26" ht="17" thickBot="1">
      <c r="B57" s="19" t="s">
        <v>6</v>
      </c>
      <c r="C57" s="24">
        <f>C53+C56</f>
        <v>25000</v>
      </c>
      <c r="D57" s="24">
        <f t="shared" ref="D57:Z57" si="39">D53+D56</f>
        <v>35000</v>
      </c>
      <c r="E57" s="24">
        <f t="shared" si="39"/>
        <v>45000</v>
      </c>
      <c r="F57" s="24">
        <f t="shared" si="39"/>
        <v>65000</v>
      </c>
      <c r="G57" s="24">
        <f t="shared" si="39"/>
        <v>67500</v>
      </c>
      <c r="H57" s="24">
        <f t="shared" si="39"/>
        <v>67500</v>
      </c>
      <c r="I57" s="24">
        <f t="shared" si="39"/>
        <v>67500</v>
      </c>
      <c r="J57" s="24">
        <f t="shared" si="39"/>
        <v>92500</v>
      </c>
      <c r="K57" s="24">
        <f t="shared" si="39"/>
        <v>90000</v>
      </c>
      <c r="L57" s="24">
        <f t="shared" si="39"/>
        <v>105000</v>
      </c>
      <c r="M57" s="24">
        <f t="shared" si="39"/>
        <v>115000</v>
      </c>
      <c r="N57" s="24">
        <f t="shared" si="39"/>
        <v>120000</v>
      </c>
      <c r="O57" s="24">
        <f t="shared" si="39"/>
        <v>120000</v>
      </c>
      <c r="P57" s="24">
        <f t="shared" si="39"/>
        <v>120994.17563022986</v>
      </c>
      <c r="Q57" s="24">
        <f t="shared" si="39"/>
        <v>126369.22611350237</v>
      </c>
      <c r="R57" s="24">
        <f t="shared" si="39"/>
        <v>142155.5886830035</v>
      </c>
      <c r="S57" s="24">
        <f t="shared" si="39"/>
        <v>153266.77967658569</v>
      </c>
      <c r="T57" s="24">
        <f t="shared" si="39"/>
        <v>168559.70602649785</v>
      </c>
      <c r="U57" s="24">
        <f t="shared" si="39"/>
        <v>184295.00826017527</v>
      </c>
      <c r="V57" s="24">
        <f t="shared" si="39"/>
        <v>194217.43819982529</v>
      </c>
      <c r="W57" s="24">
        <f t="shared" si="39"/>
        <v>221476.27487102326</v>
      </c>
      <c r="X57" s="24">
        <f t="shared" si="39"/>
        <v>238825.78248563508</v>
      </c>
      <c r="Y57" s="24">
        <f t="shared" si="39"/>
        <v>256405.7147554087</v>
      </c>
      <c r="Z57" s="25">
        <f t="shared" si="39"/>
        <v>282261.87022315641</v>
      </c>
    </row>
    <row r="58" spans="2:26" ht="12" customHeight="1" thickTop="1"/>
    <row r="59" spans="2:26">
      <c r="B59" s="12" t="s">
        <v>7</v>
      </c>
      <c r="C59" s="17">
        <f>C60+C61</f>
        <v>-92437.5</v>
      </c>
      <c r="D59" s="17">
        <f t="shared" ref="D59:Z59" si="40">D60+D61</f>
        <v>-92437.5</v>
      </c>
      <c r="E59" s="17">
        <f t="shared" si="40"/>
        <v>-92437.5</v>
      </c>
      <c r="F59" s="17">
        <f t="shared" si="40"/>
        <v>-97875</v>
      </c>
      <c r="G59" s="17">
        <f t="shared" si="40"/>
        <v>-103312.5</v>
      </c>
      <c r="H59" s="17">
        <f t="shared" si="40"/>
        <v>-114187.5</v>
      </c>
      <c r="I59" s="17">
        <f t="shared" si="40"/>
        <v>-119625</v>
      </c>
      <c r="J59" s="17">
        <f t="shared" si="40"/>
        <v>-119625</v>
      </c>
      <c r="K59" s="17">
        <f t="shared" si="40"/>
        <v>-119625</v>
      </c>
      <c r="L59" s="17">
        <f t="shared" si="40"/>
        <v>-119625</v>
      </c>
      <c r="M59" s="17">
        <f t="shared" si="40"/>
        <v>-119625</v>
      </c>
      <c r="N59" s="17">
        <f t="shared" si="40"/>
        <v>-239250</v>
      </c>
      <c r="O59" s="17">
        <f t="shared" si="40"/>
        <v>-125062.5</v>
      </c>
      <c r="P59" s="17">
        <f t="shared" si="40"/>
        <v>-125062.5</v>
      </c>
      <c r="Q59" s="17">
        <f t="shared" si="40"/>
        <v>-125062.5</v>
      </c>
      <c r="R59" s="17">
        <f t="shared" si="40"/>
        <v>-125062.5</v>
      </c>
      <c r="S59" s="17">
        <f t="shared" si="40"/>
        <v>-129956.25</v>
      </c>
      <c r="T59" s="17">
        <f t="shared" si="40"/>
        <v>-129956.25</v>
      </c>
      <c r="U59" s="17">
        <f t="shared" si="40"/>
        <v>-140287.5</v>
      </c>
      <c r="V59" s="17">
        <f t="shared" si="40"/>
        <v>-148987.5</v>
      </c>
      <c r="W59" s="17">
        <f t="shared" si="40"/>
        <v>-154425</v>
      </c>
      <c r="X59" s="17">
        <f t="shared" si="40"/>
        <v>-157143.75</v>
      </c>
      <c r="Y59" s="17">
        <f t="shared" si="40"/>
        <v>-157143.75</v>
      </c>
      <c r="Z59" s="17">
        <f t="shared" si="40"/>
        <v>-157143.75</v>
      </c>
    </row>
    <row r="60" spans="2:26">
      <c r="B60" s="8" t="s">
        <v>8</v>
      </c>
      <c r="C60" s="16">
        <v>-85000</v>
      </c>
      <c r="D60" s="16">
        <v>-85000</v>
      </c>
      <c r="E60" s="16">
        <v>-85000</v>
      </c>
      <c r="F60" s="16">
        <v>-90000</v>
      </c>
      <c r="G60" s="16">
        <v>-95000</v>
      </c>
      <c r="H60" s="16">
        <v>-105000</v>
      </c>
      <c r="I60" s="16">
        <v>-110000</v>
      </c>
      <c r="J60" s="16">
        <v>-110000</v>
      </c>
      <c r="K60" s="16">
        <v>-110000</v>
      </c>
      <c r="L60" s="16">
        <v>-110000</v>
      </c>
      <c r="M60" s="16">
        <v>-110000</v>
      </c>
      <c r="N60" s="16">
        <v>-220000</v>
      </c>
      <c r="O60" s="16">
        <v>-115000</v>
      </c>
      <c r="P60" s="38">
        <f>O60</f>
        <v>-115000</v>
      </c>
      <c r="Q60" s="38">
        <f>P60</f>
        <v>-115000</v>
      </c>
      <c r="R60" s="38">
        <f>Q60</f>
        <v>-115000</v>
      </c>
      <c r="S60" s="38">
        <f>R60-('Hiring 2024'!C2)</f>
        <v>-119500</v>
      </c>
      <c r="T60" s="38">
        <f>S60</f>
        <v>-119500</v>
      </c>
      <c r="U60" s="38">
        <f>T60-('Hiring 2024'!C3+'Hiring 2024'!C4)</f>
        <v>-129000</v>
      </c>
      <c r="V60" s="38">
        <f>U60-('Hiring 2024'!C5)</f>
        <v>-137000</v>
      </c>
      <c r="W60" s="38">
        <f>V60-('Hiring 2024'!C6)</f>
        <v>-142000</v>
      </c>
      <c r="X60" s="38">
        <f>W60-('Hiring 2024'!C7)</f>
        <v>-144500</v>
      </c>
      <c r="Y60" s="38">
        <f>X60</f>
        <v>-144500</v>
      </c>
      <c r="Z60" s="38">
        <f>Y60</f>
        <v>-144500</v>
      </c>
    </row>
    <row r="61" spans="2:26">
      <c r="B61" s="8" t="s">
        <v>9</v>
      </c>
      <c r="C61" s="16">
        <v>-7437.4999999999991</v>
      </c>
      <c r="D61" s="16">
        <v>-7437.4999999999991</v>
      </c>
      <c r="E61" s="16">
        <v>-7437.4999999999991</v>
      </c>
      <c r="F61" s="16">
        <v>-7874.9999999999991</v>
      </c>
      <c r="G61" s="16">
        <v>-8312.5</v>
      </c>
      <c r="H61" s="16">
        <v>-9187.5</v>
      </c>
      <c r="I61" s="16">
        <v>-9625</v>
      </c>
      <c r="J61" s="16">
        <v>-9625</v>
      </c>
      <c r="K61" s="16">
        <v>-9625</v>
      </c>
      <c r="L61" s="16">
        <v>-9625</v>
      </c>
      <c r="M61" s="16">
        <v>-9625</v>
      </c>
      <c r="N61" s="16">
        <v>-19250</v>
      </c>
      <c r="O61" s="16">
        <v>-10062.5</v>
      </c>
      <c r="P61" s="13">
        <f t="shared" ref="P61:Z61" si="41">(P60*8.75)/100</f>
        <v>-10062.5</v>
      </c>
      <c r="Q61" s="13">
        <f t="shared" si="41"/>
        <v>-10062.5</v>
      </c>
      <c r="R61" s="13">
        <f t="shared" si="41"/>
        <v>-10062.5</v>
      </c>
      <c r="S61" s="13">
        <f t="shared" si="41"/>
        <v>-10456.25</v>
      </c>
      <c r="T61" s="13">
        <f t="shared" si="41"/>
        <v>-10456.25</v>
      </c>
      <c r="U61" s="13">
        <f t="shared" si="41"/>
        <v>-11287.5</v>
      </c>
      <c r="V61" s="13">
        <f t="shared" si="41"/>
        <v>-11987.5</v>
      </c>
      <c r="W61" s="13">
        <f t="shared" si="41"/>
        <v>-12425</v>
      </c>
      <c r="X61" s="13">
        <f t="shared" si="41"/>
        <v>-12643.75</v>
      </c>
      <c r="Y61" s="13">
        <f t="shared" si="41"/>
        <v>-12643.75</v>
      </c>
      <c r="Z61" s="13">
        <f t="shared" si="41"/>
        <v>-12643.75</v>
      </c>
    </row>
    <row r="63" spans="2:26">
      <c r="B63" s="12" t="s">
        <v>10</v>
      </c>
      <c r="C63" s="17">
        <f>C64+C65+C66+C67</f>
        <v>-4500</v>
      </c>
      <c r="D63" s="17">
        <f t="shared" ref="D63:O63" si="42">D64+D65+D66+D67</f>
        <v>-4500</v>
      </c>
      <c r="E63" s="17">
        <f t="shared" si="42"/>
        <v>-4500</v>
      </c>
      <c r="F63" s="17">
        <f t="shared" si="42"/>
        <v>-4500</v>
      </c>
      <c r="G63" s="17">
        <f t="shared" si="42"/>
        <v>-4500</v>
      </c>
      <c r="H63" s="17">
        <f t="shared" si="42"/>
        <v>-4500</v>
      </c>
      <c r="I63" s="17">
        <f t="shared" si="42"/>
        <v>-4500</v>
      </c>
      <c r="J63" s="17">
        <f t="shared" si="42"/>
        <v>-5700</v>
      </c>
      <c r="K63" s="17">
        <f t="shared" si="42"/>
        <v>-5700</v>
      </c>
      <c r="L63" s="17">
        <f t="shared" si="42"/>
        <v>-5700</v>
      </c>
      <c r="M63" s="17">
        <f t="shared" si="42"/>
        <v>-5700</v>
      </c>
      <c r="N63" s="17">
        <f t="shared" si="42"/>
        <v>-5700</v>
      </c>
      <c r="O63" s="17">
        <f t="shared" si="42"/>
        <v>-5700</v>
      </c>
      <c r="P63" s="17">
        <f t="shared" ref="P63:Z63" si="43">P64+P65+P66</f>
        <v>-5100</v>
      </c>
      <c r="Q63" s="17">
        <f t="shared" si="43"/>
        <v>-5100</v>
      </c>
      <c r="R63" s="17">
        <f t="shared" si="43"/>
        <v>-5100</v>
      </c>
      <c r="S63" s="17">
        <f t="shared" si="43"/>
        <v>-5100</v>
      </c>
      <c r="T63" s="17">
        <f t="shared" si="43"/>
        <v>-5100</v>
      </c>
      <c r="U63" s="17">
        <f t="shared" si="43"/>
        <v>-5100</v>
      </c>
      <c r="V63" s="17">
        <f t="shared" si="43"/>
        <v>-5860</v>
      </c>
      <c r="W63" s="17">
        <f t="shared" si="43"/>
        <v>-5860</v>
      </c>
      <c r="X63" s="17">
        <f t="shared" si="43"/>
        <v>-5860</v>
      </c>
      <c r="Y63" s="17">
        <f t="shared" si="43"/>
        <v>-5860</v>
      </c>
      <c r="Z63" s="17">
        <f t="shared" si="43"/>
        <v>-5860</v>
      </c>
    </row>
    <row r="64" spans="2:26">
      <c r="B64" s="8" t="s">
        <v>11</v>
      </c>
      <c r="C64" s="16">
        <v>-2250</v>
      </c>
      <c r="D64" s="16">
        <v>-2250</v>
      </c>
      <c r="E64" s="16">
        <v>-2250</v>
      </c>
      <c r="F64" s="16">
        <v>-2250</v>
      </c>
      <c r="G64" s="16">
        <v>-2250</v>
      </c>
      <c r="H64" s="16">
        <v>-2250</v>
      </c>
      <c r="I64" s="16">
        <v>-2250</v>
      </c>
      <c r="J64" s="16">
        <v>-2850</v>
      </c>
      <c r="K64" s="16">
        <v>-2850</v>
      </c>
      <c r="L64" s="16">
        <v>-2850</v>
      </c>
      <c r="M64" s="16">
        <v>-2850</v>
      </c>
      <c r="N64" s="16">
        <v>-2850</v>
      </c>
      <c r="O64" s="16">
        <v>-2850</v>
      </c>
      <c r="P64" s="16">
        <v>-2850</v>
      </c>
      <c r="Q64" s="16">
        <v>-2850</v>
      </c>
      <c r="R64" s="16">
        <v>-2850</v>
      </c>
      <c r="S64" s="16">
        <v>-2850</v>
      </c>
      <c r="T64" s="16">
        <v>-2850</v>
      </c>
      <c r="U64" s="16">
        <v>-2850</v>
      </c>
      <c r="V64" s="38">
        <f>U64+(U64*C35)</f>
        <v>-3610</v>
      </c>
      <c r="W64" s="38">
        <f t="shared" ref="W64:Z64" si="44">V64+(V64*D35)</f>
        <v>-3610</v>
      </c>
      <c r="X64" s="38">
        <f t="shared" si="44"/>
        <v>-3610</v>
      </c>
      <c r="Y64" s="38">
        <f t="shared" si="44"/>
        <v>-3610</v>
      </c>
      <c r="Z64" s="38">
        <f t="shared" si="44"/>
        <v>-3610</v>
      </c>
    </row>
    <row r="65" spans="2:26">
      <c r="B65" s="8" t="s">
        <v>12</v>
      </c>
      <c r="C65" s="16">
        <v>-1250</v>
      </c>
      <c r="D65" s="16">
        <v>-1250</v>
      </c>
      <c r="E65" s="16">
        <v>-1250</v>
      </c>
      <c r="F65" s="16">
        <v>-1250</v>
      </c>
      <c r="G65" s="16">
        <v>-1250</v>
      </c>
      <c r="H65" s="16">
        <v>-1250</v>
      </c>
      <c r="I65" s="16">
        <v>-1250</v>
      </c>
      <c r="J65" s="16">
        <v>-1250</v>
      </c>
      <c r="K65" s="16">
        <v>-1250</v>
      </c>
      <c r="L65" s="16">
        <v>-1250</v>
      </c>
      <c r="M65" s="16">
        <v>-1250</v>
      </c>
      <c r="N65" s="16">
        <v>-1250</v>
      </c>
      <c r="O65" s="16">
        <v>-1250</v>
      </c>
      <c r="P65" s="16">
        <v>-1250</v>
      </c>
      <c r="Q65" s="16">
        <v>-1250</v>
      </c>
      <c r="R65" s="16">
        <v>-1250</v>
      </c>
      <c r="S65" s="16">
        <v>-1250</v>
      </c>
      <c r="T65" s="16">
        <v>-1250</v>
      </c>
      <c r="U65" s="16">
        <v>-1250</v>
      </c>
      <c r="V65" s="16">
        <v>-1250</v>
      </c>
      <c r="W65" s="16">
        <v>-1250</v>
      </c>
      <c r="X65" s="16">
        <v>-1250</v>
      </c>
      <c r="Y65" s="16">
        <v>-1250</v>
      </c>
      <c r="Z65" s="16">
        <v>-1250</v>
      </c>
    </row>
    <row r="66" spans="2:26">
      <c r="B66" s="8" t="s">
        <v>13</v>
      </c>
      <c r="C66" s="16">
        <v>-1000</v>
      </c>
      <c r="D66" s="16">
        <v>-1000</v>
      </c>
      <c r="E66" s="16">
        <v>-1000</v>
      </c>
      <c r="F66" s="16">
        <v>-1000</v>
      </c>
      <c r="G66" s="16">
        <v>-1000</v>
      </c>
      <c r="H66" s="16">
        <v>-1000</v>
      </c>
      <c r="I66" s="16">
        <v>-1000</v>
      </c>
      <c r="J66" s="16">
        <v>-1000</v>
      </c>
      <c r="K66" s="16">
        <v>-1000</v>
      </c>
      <c r="L66" s="16">
        <v>-1000</v>
      </c>
      <c r="M66" s="16">
        <v>-1000</v>
      </c>
      <c r="N66" s="16">
        <v>-1000</v>
      </c>
      <c r="O66" s="16">
        <v>-1000</v>
      </c>
      <c r="P66" s="16">
        <v>-1000</v>
      </c>
      <c r="Q66" s="16">
        <v>-1000</v>
      </c>
      <c r="R66" s="16">
        <v>-1000</v>
      </c>
      <c r="S66" s="16">
        <v>-1000</v>
      </c>
      <c r="T66" s="16">
        <v>-1000</v>
      </c>
      <c r="U66" s="16">
        <v>-1000</v>
      </c>
      <c r="V66" s="16">
        <v>-1000</v>
      </c>
      <c r="W66" s="16">
        <v>-1000</v>
      </c>
      <c r="X66" s="16">
        <v>-1000</v>
      </c>
      <c r="Y66" s="16">
        <v>-1000</v>
      </c>
      <c r="Z66" s="16">
        <v>-1000</v>
      </c>
    </row>
    <row r="67" spans="2:26">
      <c r="B67" s="8" t="s">
        <v>14</v>
      </c>
      <c r="C67" s="16"/>
      <c r="D67" s="16"/>
      <c r="E67" s="16"/>
      <c r="F67" s="16"/>
      <c r="G67" s="16"/>
      <c r="H67" s="16"/>
      <c r="I67" s="16"/>
      <c r="J67" s="16">
        <v>-600</v>
      </c>
      <c r="K67" s="16">
        <v>-600</v>
      </c>
      <c r="L67" s="16">
        <v>-600</v>
      </c>
      <c r="M67" s="16">
        <v>-600</v>
      </c>
      <c r="N67" s="16">
        <v>-600</v>
      </c>
      <c r="O67" s="16">
        <v>-600</v>
      </c>
      <c r="P67" s="16">
        <v>-600</v>
      </c>
      <c r="Q67" s="16">
        <v>-600</v>
      </c>
      <c r="R67" s="16">
        <v>-600</v>
      </c>
      <c r="S67" s="16">
        <v>-600</v>
      </c>
      <c r="T67" s="16">
        <v>-600</v>
      </c>
      <c r="U67" s="16">
        <v>-600</v>
      </c>
      <c r="V67" s="16">
        <v>-600</v>
      </c>
      <c r="W67" s="16">
        <v>-600</v>
      </c>
      <c r="X67" s="16">
        <v>-600</v>
      </c>
      <c r="Y67" s="16">
        <v>-600</v>
      </c>
      <c r="Z67" s="16">
        <v>-600</v>
      </c>
    </row>
    <row r="69" spans="2:26">
      <c r="B69" s="12" t="s">
        <v>15</v>
      </c>
      <c r="C69" s="17">
        <f>C70+C71</f>
        <v>-3500</v>
      </c>
      <c r="D69" s="17">
        <f t="shared" ref="D69:O69" si="45">D70+D71</f>
        <v>-4500</v>
      </c>
      <c r="E69" s="17">
        <f t="shared" si="45"/>
        <v>-3500</v>
      </c>
      <c r="F69" s="17">
        <f t="shared" si="45"/>
        <v>-5500</v>
      </c>
      <c r="G69" s="17">
        <f t="shared" si="45"/>
        <v>-4500</v>
      </c>
      <c r="H69" s="17">
        <f t="shared" si="45"/>
        <v>-6500</v>
      </c>
      <c r="I69" s="17">
        <f t="shared" si="45"/>
        <v>-5500</v>
      </c>
      <c r="J69" s="17">
        <f t="shared" si="45"/>
        <v>-7500</v>
      </c>
      <c r="K69" s="17">
        <f t="shared" si="45"/>
        <v>-6500</v>
      </c>
      <c r="L69" s="17">
        <f t="shared" si="45"/>
        <v>-8500</v>
      </c>
      <c r="M69" s="17">
        <f t="shared" si="45"/>
        <v>-8500</v>
      </c>
      <c r="N69" s="17">
        <f t="shared" si="45"/>
        <v>-8500</v>
      </c>
      <c r="O69" s="17">
        <f t="shared" si="45"/>
        <v>-8500</v>
      </c>
      <c r="P69" s="17">
        <f t="shared" ref="P69" si="46">P70+P71</f>
        <v>-10067.20641048373</v>
      </c>
      <c r="Q69" s="17">
        <f t="shared" ref="Q69" si="47">Q70+Q71</f>
        <v>-10136.972167236174</v>
      </c>
      <c r="R69" s="17">
        <f t="shared" ref="R69" si="48">R70+R71</f>
        <v>-11456.137101062302</v>
      </c>
      <c r="S69" s="17">
        <f t="shared" ref="S69" si="49">S70+S71</f>
        <v>-12265.835493036026</v>
      </c>
      <c r="T69" s="17">
        <f t="shared" ref="T69" si="50">T70+T71</f>
        <v>-13673.237724234674</v>
      </c>
      <c r="U69" s="17">
        <f t="shared" ref="U69" si="51">U70+U71</f>
        <v>-14709.946791067687</v>
      </c>
      <c r="V69" s="17">
        <f t="shared" ref="V69" si="52">V70+V71</f>
        <v>-15469.108997039693</v>
      </c>
      <c r="W69" s="17">
        <f t="shared" ref="W69" si="53">W70+W71</f>
        <v>-17540.833106991518</v>
      </c>
      <c r="X69" s="17">
        <f t="shared" ref="X69" si="54">X70+X71</f>
        <v>-19024.437869079149</v>
      </c>
      <c r="Y69" s="17">
        <f t="shared" ref="Y69" si="55">Y70+Y71</f>
        <v>-20325.099934173151</v>
      </c>
      <c r="Z69" s="17">
        <f t="shared" ref="Z69" si="56">Z70+Z71</f>
        <v>-22408.346284793377</v>
      </c>
    </row>
    <row r="70" spans="2:26">
      <c r="B70" s="8" t="s">
        <v>16</v>
      </c>
      <c r="C70" s="16">
        <v>-1000</v>
      </c>
      <c r="D70" s="16">
        <v>-2000</v>
      </c>
      <c r="E70" s="16">
        <v>-1000</v>
      </c>
      <c r="F70" s="16">
        <v>-3000</v>
      </c>
      <c r="G70" s="16">
        <v>-2000</v>
      </c>
      <c r="H70" s="16">
        <v>-4000</v>
      </c>
      <c r="I70" s="16">
        <v>-3000</v>
      </c>
      <c r="J70" s="16">
        <v>-5000</v>
      </c>
      <c r="K70" s="16">
        <v>-4000</v>
      </c>
      <c r="L70" s="16">
        <v>-6000</v>
      </c>
      <c r="M70" s="16">
        <v>-6000</v>
      </c>
      <c r="N70" s="16">
        <v>-6000</v>
      </c>
      <c r="O70" s="16">
        <v>-6000</v>
      </c>
      <c r="P70" s="43">
        <f>P21*P$53</f>
        <v>-5832.2467584791393</v>
      </c>
      <c r="Q70" s="43">
        <f t="shared" ref="Q70:Z70" si="57">Q21*Q$53</f>
        <v>-6041.7667653799781</v>
      </c>
      <c r="R70" s="43">
        <f t="shared" si="57"/>
        <v>-7106.4827403962545</v>
      </c>
      <c r="S70" s="43">
        <f t="shared" si="57"/>
        <v>-7692.2345091475809</v>
      </c>
      <c r="T70" s="43">
        <f t="shared" si="57"/>
        <v>-8746.689524159885</v>
      </c>
      <c r="U70" s="43">
        <f t="shared" si="57"/>
        <v>-9445.9782535847553</v>
      </c>
      <c r="V70" s="43">
        <f t="shared" si="57"/>
        <v>-10061.559681860834</v>
      </c>
      <c r="W70" s="43">
        <f t="shared" si="57"/>
        <v>-11383.586044558362</v>
      </c>
      <c r="X70" s="43">
        <f t="shared" si="57"/>
        <v>-12395.679869078118</v>
      </c>
      <c r="Y70" s="43">
        <f t="shared" si="57"/>
        <v>-13145.280721027628</v>
      </c>
      <c r="Z70" s="43">
        <f t="shared" si="57"/>
        <v>-14384.358519220179</v>
      </c>
    </row>
    <row r="71" spans="2:26">
      <c r="B71" s="8" t="s">
        <v>17</v>
      </c>
      <c r="C71" s="16">
        <v>-2500</v>
      </c>
      <c r="D71" s="16">
        <v>-2500</v>
      </c>
      <c r="E71" s="16">
        <v>-2500</v>
      </c>
      <c r="F71" s="16">
        <v>-2500</v>
      </c>
      <c r="G71" s="16">
        <v>-2500</v>
      </c>
      <c r="H71" s="16">
        <v>-2500</v>
      </c>
      <c r="I71" s="16">
        <v>-2500</v>
      </c>
      <c r="J71" s="16">
        <v>-2500</v>
      </c>
      <c r="K71" s="16">
        <v>-2500</v>
      </c>
      <c r="L71" s="16">
        <v>-2500</v>
      </c>
      <c r="M71" s="16">
        <v>-2500</v>
      </c>
      <c r="N71" s="16">
        <v>-2500</v>
      </c>
      <c r="O71" s="16">
        <v>-2500</v>
      </c>
      <c r="P71" s="43">
        <f>P22*P$53</f>
        <v>-4234.9596520045907</v>
      </c>
      <c r="Q71" s="43">
        <f t="shared" ref="Q71:Z71" si="58">Q22*Q$53</f>
        <v>-4095.2054018561957</v>
      </c>
      <c r="R71" s="43">
        <f t="shared" si="58"/>
        <v>-4349.654360666048</v>
      </c>
      <c r="S71" s="43">
        <f t="shared" si="58"/>
        <v>-4573.6009838884438</v>
      </c>
      <c r="T71" s="43">
        <f t="shared" si="58"/>
        <v>-4926.5482000747897</v>
      </c>
      <c r="U71" s="43">
        <f t="shared" si="58"/>
        <v>-5263.9685374829323</v>
      </c>
      <c r="V71" s="43">
        <f t="shared" si="58"/>
        <v>-5407.5493151788587</v>
      </c>
      <c r="W71" s="43">
        <f t="shared" si="58"/>
        <v>-6157.2470624331572</v>
      </c>
      <c r="X71" s="43">
        <f t="shared" si="58"/>
        <v>-6628.7580000010321</v>
      </c>
      <c r="Y71" s="43">
        <f t="shared" si="58"/>
        <v>-7179.8192131455244</v>
      </c>
      <c r="Z71" s="43">
        <f t="shared" si="58"/>
        <v>-8023.987765573198</v>
      </c>
    </row>
    <row r="73" spans="2:26">
      <c r="B73" s="12" t="s">
        <v>18</v>
      </c>
      <c r="C73" s="17">
        <f>C74+C75</f>
        <v>-16500</v>
      </c>
      <c r="D73" s="17">
        <f t="shared" ref="D73:O73" si="59">D74+D75</f>
        <v>-7000</v>
      </c>
      <c r="E73" s="17">
        <f t="shared" si="59"/>
        <v>-11500</v>
      </c>
      <c r="F73" s="17">
        <f t="shared" si="59"/>
        <v>-5000</v>
      </c>
      <c r="G73" s="17">
        <f t="shared" si="59"/>
        <v>-5000</v>
      </c>
      <c r="H73" s="17">
        <f t="shared" si="59"/>
        <v>-5000</v>
      </c>
      <c r="I73" s="17">
        <f t="shared" si="59"/>
        <v>-18500</v>
      </c>
      <c r="J73" s="17">
        <f t="shared" si="59"/>
        <v>-10500</v>
      </c>
      <c r="K73" s="17">
        <f t="shared" si="59"/>
        <v>-9000</v>
      </c>
      <c r="L73" s="17">
        <f t="shared" si="59"/>
        <v>-6000</v>
      </c>
      <c r="M73" s="17">
        <f t="shared" si="59"/>
        <v>-2000</v>
      </c>
      <c r="N73" s="17">
        <f t="shared" si="59"/>
        <v>-2000</v>
      </c>
      <c r="O73" s="17">
        <f t="shared" si="59"/>
        <v>-2000</v>
      </c>
      <c r="P73" s="17">
        <f t="shared" ref="P73" si="60">P74+P75</f>
        <v>-12823.121922755852</v>
      </c>
      <c r="Q73" s="17">
        <f t="shared" ref="Q73" si="61">Q74+Q75</f>
        <v>-12558.699203585636</v>
      </c>
      <c r="R73" s="17">
        <f t="shared" ref="R73" si="62">R74+R75</f>
        <v>-12356.106467073314</v>
      </c>
      <c r="S73" s="17">
        <f t="shared" ref="S73" si="63">S74+S75</f>
        <v>-13418.374757476331</v>
      </c>
      <c r="T73" s="17">
        <f t="shared" ref="T73" si="64">T74+T75</f>
        <v>-14941.89168432171</v>
      </c>
      <c r="U73" s="17">
        <f t="shared" ref="U73" si="65">U74+U75</f>
        <v>-16555.432555896707</v>
      </c>
      <c r="V73" s="17">
        <f t="shared" ref="V73" si="66">V74+V75</f>
        <v>-14445.040644125384</v>
      </c>
      <c r="W73" s="17">
        <f t="shared" ref="W73" si="67">W74+W75</f>
        <v>-15647.950784871889</v>
      </c>
      <c r="X73" s="17">
        <f t="shared" ref="X73" si="68">X74+X75</f>
        <v>-16249.05846713631</v>
      </c>
      <c r="Y73" s="17">
        <f t="shared" ref="Y73" si="69">Y74+Y75</f>
        <v>-17627.058080475319</v>
      </c>
      <c r="Z73" s="17">
        <f t="shared" ref="Z73" si="70">Z74+Z75</f>
        <v>-20590.830691362455</v>
      </c>
    </row>
    <row r="74" spans="2:26">
      <c r="B74" s="8" t="s">
        <v>19</v>
      </c>
      <c r="C74" s="16">
        <v>-15000</v>
      </c>
      <c r="D74" s="16">
        <v>-6000</v>
      </c>
      <c r="E74" s="16">
        <v>-8000</v>
      </c>
      <c r="F74" s="16">
        <v>-1500</v>
      </c>
      <c r="G74" s="16">
        <v>-1500</v>
      </c>
      <c r="H74" s="16">
        <v>-1500</v>
      </c>
      <c r="I74" s="16">
        <v>-15000</v>
      </c>
      <c r="J74" s="16">
        <v>-10000</v>
      </c>
      <c r="K74" s="16">
        <v>-8500</v>
      </c>
      <c r="L74" s="16">
        <v>-5500</v>
      </c>
      <c r="M74" s="16">
        <v>-1500</v>
      </c>
      <c r="N74" s="16">
        <v>-1500</v>
      </c>
      <c r="O74" s="16">
        <v>-1500</v>
      </c>
      <c r="P74" s="16">
        <f>P23*P$53</f>
        <v>-9357.5115578372479</v>
      </c>
      <c r="Q74" s="16">
        <f t="shared" ref="Q74:Z74" si="71">Q23*Q$53</f>
        <v>-8916.0936166971296</v>
      </c>
      <c r="R74" s="16">
        <f t="shared" si="71"/>
        <v>-8814.4335422043678</v>
      </c>
      <c r="S74" s="16">
        <f t="shared" si="71"/>
        <v>-9991.2372226178268</v>
      </c>
      <c r="T74" s="16">
        <f t="shared" si="71"/>
        <v>-11590.299666960933</v>
      </c>
      <c r="U74" s="16">
        <f t="shared" si="71"/>
        <v>-13385.483560583752</v>
      </c>
      <c r="V74" s="16">
        <f t="shared" si="71"/>
        <v>-11668.994553135832</v>
      </c>
      <c r="W74" s="16">
        <f t="shared" si="71"/>
        <v>-12323.102656733794</v>
      </c>
      <c r="X74" s="16">
        <f t="shared" si="71"/>
        <v>-12477.80466231249</v>
      </c>
      <c r="Y74" s="16">
        <f t="shared" si="71"/>
        <v>-13346.78601970721</v>
      </c>
      <c r="Z74" s="16">
        <f t="shared" si="71"/>
        <v>-15593.975082646646</v>
      </c>
    </row>
    <row r="75" spans="2:26">
      <c r="B75" s="8" t="s">
        <v>20</v>
      </c>
      <c r="C75" s="16">
        <v>-1500</v>
      </c>
      <c r="D75" s="16">
        <v>-1000</v>
      </c>
      <c r="E75" s="16">
        <v>-3500</v>
      </c>
      <c r="F75" s="16">
        <v>-3500</v>
      </c>
      <c r="G75" s="16">
        <v>-3500</v>
      </c>
      <c r="H75" s="16">
        <v>-3500</v>
      </c>
      <c r="I75" s="16">
        <v>-3500</v>
      </c>
      <c r="J75" s="16">
        <v>-500</v>
      </c>
      <c r="K75" s="16">
        <v>-500</v>
      </c>
      <c r="L75" s="16">
        <v>-500</v>
      </c>
      <c r="M75" s="16">
        <v>-500</v>
      </c>
      <c r="N75" s="16">
        <v>-500</v>
      </c>
      <c r="O75" s="16">
        <v>-500</v>
      </c>
      <c r="P75" s="16">
        <f>P24*P$53</f>
        <v>-3465.6103649186039</v>
      </c>
      <c r="Q75" s="16">
        <f t="shared" ref="Q75:Z75" si="72">Q24*Q$53</f>
        <v>-3642.6055868885073</v>
      </c>
      <c r="R75" s="16">
        <f t="shared" si="72"/>
        <v>-3541.6729248689458</v>
      </c>
      <c r="S75" s="16">
        <f t="shared" si="72"/>
        <v>-3427.1375348585043</v>
      </c>
      <c r="T75" s="16">
        <f t="shared" si="72"/>
        <v>-3351.5920173607778</v>
      </c>
      <c r="U75" s="16">
        <f t="shared" si="72"/>
        <v>-3169.9489953129546</v>
      </c>
      <c r="V75" s="16">
        <f t="shared" si="72"/>
        <v>-2776.0460909895523</v>
      </c>
      <c r="W75" s="16">
        <f t="shared" si="72"/>
        <v>-3324.848128138095</v>
      </c>
      <c r="X75" s="16">
        <f t="shared" si="72"/>
        <v>-3771.2538048238193</v>
      </c>
      <c r="Y75" s="16">
        <f t="shared" si="72"/>
        <v>-4280.2720607681094</v>
      </c>
      <c r="Z75" s="16">
        <f t="shared" si="72"/>
        <v>-4996.8556087158086</v>
      </c>
    </row>
    <row r="77" spans="2:26">
      <c r="B77" s="12" t="s">
        <v>21</v>
      </c>
      <c r="C77" s="17">
        <f>C78+C79+C80</f>
        <v>-11800</v>
      </c>
      <c r="D77" s="17">
        <f t="shared" ref="D77:O77" si="73">D78+D79+D80</f>
        <v>-6600</v>
      </c>
      <c r="E77" s="17">
        <f t="shared" si="73"/>
        <v>-9100</v>
      </c>
      <c r="F77" s="17">
        <f t="shared" si="73"/>
        <v>-6600</v>
      </c>
      <c r="G77" s="17">
        <f t="shared" si="73"/>
        <v>-11600</v>
      </c>
      <c r="H77" s="17">
        <f t="shared" si="73"/>
        <v>-6600</v>
      </c>
      <c r="I77" s="17">
        <f t="shared" si="73"/>
        <v>-6600</v>
      </c>
      <c r="J77" s="17">
        <f t="shared" si="73"/>
        <v>-11000</v>
      </c>
      <c r="K77" s="17">
        <f t="shared" si="73"/>
        <v>-9500</v>
      </c>
      <c r="L77" s="17">
        <f t="shared" si="73"/>
        <v>-8500</v>
      </c>
      <c r="M77" s="17">
        <f t="shared" si="73"/>
        <v>-8500</v>
      </c>
      <c r="N77" s="17">
        <f t="shared" si="73"/>
        <v>-8500</v>
      </c>
      <c r="O77" s="17">
        <f t="shared" si="73"/>
        <v>-9500</v>
      </c>
      <c r="P77" s="17">
        <f t="shared" ref="P77" si="74">P78+P79+P80</f>
        <v>-14102.910536206524</v>
      </c>
      <c r="Q77" s="17">
        <f t="shared" ref="Q77" si="75">Q78+Q79+Q80</f>
        <v>-14118.164742171895</v>
      </c>
      <c r="R77" s="17">
        <f t="shared" ref="R77" si="76">R78+R79+R80</f>
        <v>-14871.966359940459</v>
      </c>
      <c r="S77" s="17">
        <f t="shared" ref="S77" si="77">S78+S79+S80</f>
        <v>-16032.547694909876</v>
      </c>
      <c r="T77" s="17">
        <f t="shared" ref="T77" si="78">T78+T79+T80</f>
        <v>-16676.909854511618</v>
      </c>
      <c r="U77" s="17">
        <f t="shared" ref="U77" si="79">U78+U79+U80</f>
        <v>-18244.83464510916</v>
      </c>
      <c r="V77" s="17">
        <f t="shared" ref="V77" si="80">V78+V79+V80</f>
        <v>-19239.819246823565</v>
      </c>
      <c r="W77" s="17">
        <f t="shared" ref="W77" si="81">W78+W79+W80</f>
        <v>-21466.703721618163</v>
      </c>
      <c r="X77" s="17">
        <f t="shared" ref="X77" si="82">X78+X79+X80</f>
        <v>-22933.684513221655</v>
      </c>
      <c r="Y77" s="17">
        <f t="shared" ref="Y77" si="83">Y78+Y79+Y80</f>
        <v>-24871.85615248081</v>
      </c>
      <c r="Z77" s="17">
        <f t="shared" ref="Z77" si="84">Z78+Z79+Z80</f>
        <v>-27830.705563161664</v>
      </c>
    </row>
    <row r="78" spans="2:26">
      <c r="B78" s="8" t="s">
        <v>22</v>
      </c>
      <c r="C78" s="16">
        <v>-1000</v>
      </c>
      <c r="D78" s="16">
        <v>-1000</v>
      </c>
      <c r="E78" s="16">
        <v>-1000</v>
      </c>
      <c r="F78" s="16">
        <v>-1000</v>
      </c>
      <c r="G78" s="16">
        <v>-1000</v>
      </c>
      <c r="H78" s="16">
        <v>-1000</v>
      </c>
      <c r="I78" s="16">
        <v>-1000</v>
      </c>
      <c r="J78" s="16">
        <v>-1000</v>
      </c>
      <c r="K78" s="16">
        <v>-1000</v>
      </c>
      <c r="L78" s="16">
        <v>-1000</v>
      </c>
      <c r="M78" s="16">
        <v>-1000</v>
      </c>
      <c r="N78" s="16">
        <v>-1000</v>
      </c>
      <c r="O78" s="16">
        <v>-1000</v>
      </c>
      <c r="P78" s="16">
        <f>P25*P$53</f>
        <v>-1693.9838608018365</v>
      </c>
      <c r="Q78" s="16">
        <f t="shared" ref="Q78:Z78" si="85">Q25*Q$53</f>
        <v>-1638.0821607424782</v>
      </c>
      <c r="R78" s="16">
        <f t="shared" si="85"/>
        <v>-1739.861744266419</v>
      </c>
      <c r="S78" s="16">
        <f t="shared" si="85"/>
        <v>-1829.4403935553773</v>
      </c>
      <c r="T78" s="16">
        <f t="shared" si="85"/>
        <v>-1970.6192800299159</v>
      </c>
      <c r="U78" s="16">
        <f t="shared" si="85"/>
        <v>-2105.5874149931728</v>
      </c>
      <c r="V78" s="16">
        <f t="shared" si="85"/>
        <v>-2163.0197260715427</v>
      </c>
      <c r="W78" s="16">
        <f t="shared" si="85"/>
        <v>-2462.8988249732624</v>
      </c>
      <c r="X78" s="16">
        <f t="shared" si="85"/>
        <v>-2651.503200000413</v>
      </c>
      <c r="Y78" s="16">
        <f t="shared" si="85"/>
        <v>-2871.9276852582093</v>
      </c>
      <c r="Z78" s="16">
        <f t="shared" si="85"/>
        <v>-3209.5951062292784</v>
      </c>
    </row>
    <row r="79" spans="2:26">
      <c r="B79" s="8" t="s">
        <v>23</v>
      </c>
      <c r="C79" s="16">
        <v>-5000</v>
      </c>
      <c r="D79" s="16">
        <v>0</v>
      </c>
      <c r="E79" s="16">
        <v>-2500</v>
      </c>
      <c r="F79" s="16">
        <v>0</v>
      </c>
      <c r="G79" s="16">
        <v>-5000</v>
      </c>
      <c r="H79" s="16">
        <v>0</v>
      </c>
      <c r="I79" s="16">
        <v>0</v>
      </c>
      <c r="J79" s="16">
        <v>-2500</v>
      </c>
      <c r="K79" s="16">
        <v>-1000</v>
      </c>
      <c r="L79" s="16">
        <v>0</v>
      </c>
      <c r="M79" s="16">
        <v>0</v>
      </c>
      <c r="N79" s="16">
        <v>0</v>
      </c>
      <c r="O79" s="16">
        <v>0</v>
      </c>
      <c r="P79" s="16">
        <f t="shared" ref="P79:Z80" si="86">P26*P$53</f>
        <v>-1695.9335734606379</v>
      </c>
      <c r="Q79" s="16">
        <f t="shared" si="86"/>
        <v>-1918.8799497466382</v>
      </c>
      <c r="R79" s="16">
        <f t="shared" si="86"/>
        <v>-1697.4403820801931</v>
      </c>
      <c r="S79" s="16">
        <f t="shared" si="86"/>
        <v>-1982.6256949872379</v>
      </c>
      <c r="T79" s="16">
        <f t="shared" si="86"/>
        <v>-1317.0188998457202</v>
      </c>
      <c r="U79" s="16">
        <f t="shared" si="86"/>
        <v>-1559.9616458951414</v>
      </c>
      <c r="V79" s="16">
        <f t="shared" si="86"/>
        <v>-1780.9456906470164</v>
      </c>
      <c r="W79" s="16">
        <f t="shared" si="86"/>
        <v>-1677.0080185388572</v>
      </c>
      <c r="X79" s="16">
        <f t="shared" si="86"/>
        <v>-1733.4278780291502</v>
      </c>
      <c r="Y79" s="16">
        <f t="shared" si="86"/>
        <v>-2016.1106987777932</v>
      </c>
      <c r="Z79" s="16">
        <f t="shared" si="86"/>
        <v>-2404.3683076116959</v>
      </c>
    </row>
    <row r="80" spans="2:26">
      <c r="B80" s="8" t="s">
        <v>24</v>
      </c>
      <c r="C80" s="16">
        <v>-5800</v>
      </c>
      <c r="D80" s="16">
        <v>-5600</v>
      </c>
      <c r="E80" s="16">
        <v>-5600</v>
      </c>
      <c r="F80" s="16">
        <v>-5600</v>
      </c>
      <c r="G80" s="16">
        <v>-5600</v>
      </c>
      <c r="H80" s="16">
        <v>-5600</v>
      </c>
      <c r="I80" s="16">
        <v>-5600</v>
      </c>
      <c r="J80" s="16">
        <v>-7500</v>
      </c>
      <c r="K80" s="16">
        <v>-7500</v>
      </c>
      <c r="L80" s="16">
        <v>-7500</v>
      </c>
      <c r="M80" s="16">
        <v>-7500</v>
      </c>
      <c r="N80" s="16">
        <v>-7500</v>
      </c>
      <c r="O80" s="16">
        <v>-8500</v>
      </c>
      <c r="P80" s="16">
        <f t="shared" si="86"/>
        <v>-10712.993101944048</v>
      </c>
      <c r="Q80" s="16">
        <f t="shared" si="86"/>
        <v>-10561.202631682778</v>
      </c>
      <c r="R80" s="16">
        <f t="shared" si="86"/>
        <v>-11434.664233593847</v>
      </c>
      <c r="S80" s="16">
        <f t="shared" si="86"/>
        <v>-12220.481606367261</v>
      </c>
      <c r="T80" s="16">
        <f t="shared" si="86"/>
        <v>-13389.27167463598</v>
      </c>
      <c r="U80" s="16">
        <f t="shared" si="86"/>
        <v>-14579.285584220846</v>
      </c>
      <c r="V80" s="16">
        <f t="shared" si="86"/>
        <v>-15295.853830105007</v>
      </c>
      <c r="W80" s="16">
        <f t="shared" si="86"/>
        <v>-17326.796878106044</v>
      </c>
      <c r="X80" s="16">
        <f t="shared" si="86"/>
        <v>-18548.753435192091</v>
      </c>
      <c r="Y80" s="16">
        <f t="shared" si="86"/>
        <v>-19983.817768444809</v>
      </c>
      <c r="Z80" s="16">
        <f t="shared" si="86"/>
        <v>-22216.742149320689</v>
      </c>
    </row>
    <row r="82" spans="2:26">
      <c r="B82" s="12" t="s">
        <v>25</v>
      </c>
      <c r="C82" s="17">
        <f>C83+C84</f>
        <v>-750</v>
      </c>
      <c r="D82" s="17">
        <f t="shared" ref="D82:O82" si="87">D83+D84</f>
        <v>-1500</v>
      </c>
      <c r="E82" s="17">
        <f t="shared" si="87"/>
        <v>-800</v>
      </c>
      <c r="F82" s="17">
        <f t="shared" si="87"/>
        <v>-600</v>
      </c>
      <c r="G82" s="17">
        <f t="shared" si="87"/>
        <v>-1200</v>
      </c>
      <c r="H82" s="17">
        <f t="shared" si="87"/>
        <v>-83500</v>
      </c>
      <c r="I82" s="17">
        <f t="shared" si="87"/>
        <v>-1800</v>
      </c>
      <c r="J82" s="17">
        <f t="shared" si="87"/>
        <v>-250</v>
      </c>
      <c r="K82" s="17">
        <f t="shared" si="87"/>
        <v>-500</v>
      </c>
      <c r="L82" s="17">
        <f t="shared" si="87"/>
        <v>-750</v>
      </c>
      <c r="M82" s="17">
        <f t="shared" si="87"/>
        <v>-450</v>
      </c>
      <c r="N82" s="17">
        <f t="shared" si="87"/>
        <v>-90000</v>
      </c>
      <c r="O82" s="17">
        <f t="shared" si="87"/>
        <v>-450</v>
      </c>
      <c r="P82" s="17">
        <f t="shared" ref="P82" si="88">P83+P84</f>
        <v>-21893.98230644346</v>
      </c>
      <c r="Q82" s="17">
        <f t="shared" ref="Q82" si="89">Q83+Q84</f>
        <v>-24354.263996239741</v>
      </c>
      <c r="R82" s="17">
        <f t="shared" ref="R82" si="90">R83+R84</f>
        <v>-29474.584392119876</v>
      </c>
      <c r="S82" s="17">
        <f t="shared" ref="S82" si="91">S83+S84</f>
        <v>-34304.940438590696</v>
      </c>
      <c r="T82" s="17">
        <f t="shared" ref="T82" si="92">T83+T84</f>
        <v>-40621.037132122605</v>
      </c>
      <c r="U82" s="17">
        <f t="shared" ref="U82" si="93">U83+U84</f>
        <v>-29031.034946337095</v>
      </c>
      <c r="V82" s="17">
        <f t="shared" ref="V82" si="94">V83+V84</f>
        <v>-32710.048018888465</v>
      </c>
      <c r="W82" s="17">
        <f t="shared" ref="W82" si="95">W83+W84</f>
        <v>-40357.074416916999</v>
      </c>
      <c r="X82" s="17">
        <f t="shared" ref="X82" si="96">X83+X84</f>
        <v>-47032.19132314693</v>
      </c>
      <c r="Y82" s="17">
        <f t="shared" ref="Y82" si="97">Y83+Y84</f>
        <v>-54543.094621863522</v>
      </c>
      <c r="Z82" s="17">
        <f t="shared" ref="Z82" si="98">Z83+Z84</f>
        <v>-64949.93821180486</v>
      </c>
    </row>
    <row r="83" spans="2:26">
      <c r="B83" s="8" t="s">
        <v>26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-8500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-5000</v>
      </c>
      <c r="O83" s="16">
        <v>0</v>
      </c>
      <c r="P83" s="16">
        <f>P28*P$53</f>
        <v>-1719.9302504756461</v>
      </c>
      <c r="Q83" s="16">
        <f t="shared" ref="Q83:Z83" si="99">Q28*Q$53</f>
        <v>-1946.0312150468965</v>
      </c>
      <c r="R83" s="16">
        <f t="shared" si="99"/>
        <v>-2371.5622065205594</v>
      </c>
      <c r="S83" s="16">
        <f t="shared" si="99"/>
        <v>-2770.0060735836528</v>
      </c>
      <c r="T83" s="16">
        <f t="shared" si="99"/>
        <v>-3300.2630749042028</v>
      </c>
      <c r="U83" s="16">
        <f t="shared" si="99"/>
        <v>-1966.4495199701109</v>
      </c>
      <c r="V83" s="16">
        <f t="shared" si="99"/>
        <v>-2245.0166051717615</v>
      </c>
      <c r="W83" s="16">
        <f t="shared" si="99"/>
        <v>-2773.4519925595591</v>
      </c>
      <c r="X83" s="16">
        <f t="shared" si="99"/>
        <v>-3239.9384369862591</v>
      </c>
      <c r="Y83" s="16">
        <f t="shared" si="99"/>
        <v>-3768.299003945956</v>
      </c>
      <c r="Z83" s="16">
        <f t="shared" si="99"/>
        <v>-4493.9887002161931</v>
      </c>
    </row>
    <row r="84" spans="2:26">
      <c r="B84" s="8" t="s">
        <v>27</v>
      </c>
      <c r="C84" s="16">
        <v>-750</v>
      </c>
      <c r="D84" s="16">
        <v>-1500</v>
      </c>
      <c r="E84" s="16">
        <v>-800</v>
      </c>
      <c r="F84" s="16">
        <v>-600</v>
      </c>
      <c r="G84" s="16">
        <v>-1200</v>
      </c>
      <c r="H84" s="16">
        <v>-75000</v>
      </c>
      <c r="I84" s="16">
        <v>-1800</v>
      </c>
      <c r="J84" s="16">
        <v>-250</v>
      </c>
      <c r="K84" s="16">
        <v>-500</v>
      </c>
      <c r="L84" s="16">
        <v>-750</v>
      </c>
      <c r="M84" s="16">
        <v>-450</v>
      </c>
      <c r="N84" s="16">
        <v>-85000</v>
      </c>
      <c r="O84" s="16">
        <v>-450</v>
      </c>
      <c r="P84" s="16">
        <f>P29*P$53</f>
        <v>-20174.052055967815</v>
      </c>
      <c r="Q84" s="16">
        <f t="shared" ref="Q84:Z84" si="100">Q29*Q$53</f>
        <v>-22408.232781192844</v>
      </c>
      <c r="R84" s="16">
        <f t="shared" si="100"/>
        <v>-27103.022185599315</v>
      </c>
      <c r="S84" s="16">
        <f t="shared" si="100"/>
        <v>-31534.934365007044</v>
      </c>
      <c r="T84" s="16">
        <f t="shared" si="100"/>
        <v>-37320.774057218405</v>
      </c>
      <c r="U84" s="16">
        <f t="shared" si="100"/>
        <v>-27064.585426366983</v>
      </c>
      <c r="V84" s="16">
        <f t="shared" si="100"/>
        <v>-30465.031413716704</v>
      </c>
      <c r="W84" s="16">
        <f t="shared" si="100"/>
        <v>-37583.62242435744</v>
      </c>
      <c r="X84" s="16">
        <f t="shared" si="100"/>
        <v>-43792.25288616067</v>
      </c>
      <c r="Y84" s="16">
        <f t="shared" si="100"/>
        <v>-50774.795617917567</v>
      </c>
      <c r="Z84" s="16">
        <f t="shared" si="100"/>
        <v>-60455.949511588668</v>
      </c>
    </row>
    <row r="86" spans="2:26">
      <c r="B86" s="12" t="s">
        <v>28</v>
      </c>
      <c r="C86" s="17">
        <v>-1500</v>
      </c>
      <c r="D86" s="17">
        <v>-1500</v>
      </c>
      <c r="E86" s="17">
        <v>-1500</v>
      </c>
      <c r="F86" s="17">
        <v>-1500</v>
      </c>
      <c r="G86" s="17">
        <v>-1500</v>
      </c>
      <c r="H86" s="17">
        <v>-1500</v>
      </c>
      <c r="I86" s="17">
        <v>-1500</v>
      </c>
      <c r="J86" s="17">
        <v>-1500</v>
      </c>
      <c r="K86" s="17">
        <v>-1500</v>
      </c>
      <c r="L86" s="17">
        <v>-1500</v>
      </c>
      <c r="M86" s="17">
        <v>-1500</v>
      </c>
      <c r="N86" s="17">
        <v>-1500</v>
      </c>
      <c r="O86" s="17">
        <v>-1500</v>
      </c>
      <c r="P86" s="17">
        <v>-1500</v>
      </c>
      <c r="Q86" s="17">
        <v>-1500</v>
      </c>
      <c r="R86" s="17">
        <v>-1500</v>
      </c>
      <c r="S86" s="17">
        <v>-1500</v>
      </c>
      <c r="T86" s="17">
        <v>-1500</v>
      </c>
      <c r="U86" s="17">
        <v>-1500</v>
      </c>
      <c r="V86" s="17">
        <v>-1500</v>
      </c>
      <c r="W86" s="17">
        <v>-1500</v>
      </c>
      <c r="X86" s="17">
        <v>-1500</v>
      </c>
      <c r="Y86" s="17">
        <v>-1500</v>
      </c>
      <c r="Z86" s="17">
        <v>-1500</v>
      </c>
    </row>
    <row r="88" spans="2:26" ht="17" thickBot="1">
      <c r="B88" s="19" t="s">
        <v>29</v>
      </c>
      <c r="C88" s="23">
        <f>C86+C82+C77+C73+C69+C63+C59</f>
        <v>-130987.5</v>
      </c>
      <c r="D88" s="23">
        <f t="shared" ref="D88:Z88" si="101">D86+D82+D77+D73+D69+D63+D59</f>
        <v>-118037.5</v>
      </c>
      <c r="E88" s="23">
        <f t="shared" si="101"/>
        <v>-123337.5</v>
      </c>
      <c r="F88" s="23">
        <f t="shared" si="101"/>
        <v>-121575</v>
      </c>
      <c r="G88" s="23">
        <f t="shared" si="101"/>
        <v>-131612.5</v>
      </c>
      <c r="H88" s="23">
        <f t="shared" si="101"/>
        <v>-221787.5</v>
      </c>
      <c r="I88" s="23">
        <f t="shared" si="101"/>
        <v>-158025</v>
      </c>
      <c r="J88" s="23">
        <f t="shared" si="101"/>
        <v>-156075</v>
      </c>
      <c r="K88" s="23">
        <f t="shared" si="101"/>
        <v>-152325</v>
      </c>
      <c r="L88" s="23">
        <f t="shared" si="101"/>
        <v>-150575</v>
      </c>
      <c r="M88" s="23">
        <f t="shared" si="101"/>
        <v>-146275</v>
      </c>
      <c r="N88" s="23">
        <f t="shared" si="101"/>
        <v>-355450</v>
      </c>
      <c r="O88" s="23">
        <f t="shared" si="101"/>
        <v>-152712.5</v>
      </c>
      <c r="P88" s="23">
        <f t="shared" si="101"/>
        <v>-190549.72117588957</v>
      </c>
      <c r="Q88" s="23">
        <f t="shared" si="101"/>
        <v>-192830.60010923346</v>
      </c>
      <c r="R88" s="23">
        <f t="shared" si="101"/>
        <v>-199821.29432019594</v>
      </c>
      <c r="S88" s="23">
        <f t="shared" si="101"/>
        <v>-212577.94838401291</v>
      </c>
      <c r="T88" s="23">
        <f t="shared" si="101"/>
        <v>-222469.32639519061</v>
      </c>
      <c r="U88" s="23">
        <f t="shared" si="101"/>
        <v>-225428.74893841066</v>
      </c>
      <c r="V88" s="23">
        <f t="shared" si="101"/>
        <v>-238211.51690687711</v>
      </c>
      <c r="W88" s="23">
        <f t="shared" si="101"/>
        <v>-256797.56203039858</v>
      </c>
      <c r="X88" s="23">
        <f t="shared" si="101"/>
        <v>-269743.12217258406</v>
      </c>
      <c r="Y88" s="23">
        <f t="shared" si="101"/>
        <v>-281870.8587889928</v>
      </c>
      <c r="Z88" s="23">
        <f t="shared" si="101"/>
        <v>-300283.57075112237</v>
      </c>
    </row>
    <row r="89" spans="2:26" ht="17" thickTop="1"/>
    <row r="90" spans="2:26">
      <c r="B90" s="21" t="s">
        <v>30</v>
      </c>
      <c r="C90" s="22">
        <f>C86+C91</f>
        <v>-107487.5</v>
      </c>
      <c r="D90" s="22">
        <f t="shared" ref="D90:O90" si="102">D86+D91</f>
        <v>-84537.5</v>
      </c>
      <c r="E90" s="22">
        <f t="shared" si="102"/>
        <v>-79837.5</v>
      </c>
      <c r="F90" s="22">
        <f t="shared" si="102"/>
        <v>-58075</v>
      </c>
      <c r="G90" s="22">
        <f t="shared" si="102"/>
        <v>-65612.5</v>
      </c>
      <c r="H90" s="22">
        <f t="shared" si="102"/>
        <v>-155787.5</v>
      </c>
      <c r="I90" s="22">
        <f t="shared" si="102"/>
        <v>-92025</v>
      </c>
      <c r="J90" s="22">
        <f t="shared" si="102"/>
        <v>-65075</v>
      </c>
      <c r="K90" s="22">
        <f t="shared" si="102"/>
        <v>-63825</v>
      </c>
      <c r="L90" s="22">
        <f t="shared" si="102"/>
        <v>-47075</v>
      </c>
      <c r="M90" s="22">
        <f t="shared" si="102"/>
        <v>-32775</v>
      </c>
      <c r="N90" s="22">
        <f t="shared" si="102"/>
        <v>-236950</v>
      </c>
      <c r="O90" s="22">
        <f t="shared" si="102"/>
        <v>-34212.5</v>
      </c>
      <c r="P90" s="22">
        <f t="shared" ref="P90" si="103">P86+P91</f>
        <v>-71055.545545659712</v>
      </c>
      <c r="Q90" s="22">
        <f t="shared" ref="Q90" si="104">Q86+Q91</f>
        <v>-67961.37399573109</v>
      </c>
      <c r="R90" s="22">
        <f t="shared" ref="R90" si="105">R86+R91</f>
        <v>-59165.705637192441</v>
      </c>
      <c r="S90" s="22">
        <f t="shared" ref="S90" si="106">S86+S91</f>
        <v>-60811.168707427219</v>
      </c>
      <c r="T90" s="22">
        <f t="shared" ref="T90" si="107">T86+T91</f>
        <v>-55409.620368692762</v>
      </c>
      <c r="U90" s="22">
        <f t="shared" ref="U90" si="108">U86+U91</f>
        <v>-42633.740678235394</v>
      </c>
      <c r="V90" s="22">
        <f t="shared" ref="V90" si="109">V86+V91</f>
        <v>-45494.078707051813</v>
      </c>
      <c r="W90" s="22">
        <f t="shared" ref="W90" si="110">W86+W91</f>
        <v>-36821.287159375323</v>
      </c>
      <c r="X90" s="22">
        <f t="shared" ref="X90" si="111">X86+X91</f>
        <v>-32417.339686948981</v>
      </c>
      <c r="Y90" s="22">
        <f t="shared" ref="Y90" si="112">Y86+Y91</f>
        <v>-26965.144033584103</v>
      </c>
      <c r="Z90" s="22">
        <f t="shared" ref="Z90" si="113">Z86+Z91</f>
        <v>-19521.700527965964</v>
      </c>
    </row>
    <row r="91" spans="2:26" ht="17" thickBot="1">
      <c r="B91" s="19" t="s">
        <v>31</v>
      </c>
      <c r="C91" s="20">
        <f>C57+C88</f>
        <v>-105987.5</v>
      </c>
      <c r="D91" s="20">
        <f t="shared" ref="D91:Z91" si="114">D57+D88</f>
        <v>-83037.5</v>
      </c>
      <c r="E91" s="20">
        <f t="shared" si="114"/>
        <v>-78337.5</v>
      </c>
      <c r="F91" s="20">
        <f t="shared" si="114"/>
        <v>-56575</v>
      </c>
      <c r="G91" s="20">
        <f t="shared" si="114"/>
        <v>-64112.5</v>
      </c>
      <c r="H91" s="20">
        <f t="shared" si="114"/>
        <v>-154287.5</v>
      </c>
      <c r="I91" s="20">
        <f t="shared" si="114"/>
        <v>-90525</v>
      </c>
      <c r="J91" s="20">
        <f t="shared" si="114"/>
        <v>-63575</v>
      </c>
      <c r="K91" s="20">
        <f t="shared" si="114"/>
        <v>-62325</v>
      </c>
      <c r="L91" s="20">
        <f t="shared" si="114"/>
        <v>-45575</v>
      </c>
      <c r="M91" s="20">
        <f t="shared" si="114"/>
        <v>-31275</v>
      </c>
      <c r="N91" s="20">
        <f t="shared" si="114"/>
        <v>-235450</v>
      </c>
      <c r="O91" s="20">
        <f t="shared" si="114"/>
        <v>-32712.5</v>
      </c>
      <c r="P91" s="20">
        <f t="shared" si="114"/>
        <v>-69555.545545659712</v>
      </c>
      <c r="Q91" s="20">
        <f t="shared" si="114"/>
        <v>-66461.37399573109</v>
      </c>
      <c r="R91" s="20">
        <f t="shared" si="114"/>
        <v>-57665.705637192441</v>
      </c>
      <c r="S91" s="20">
        <f t="shared" si="114"/>
        <v>-59311.168707427219</v>
      </c>
      <c r="T91" s="20">
        <f t="shared" si="114"/>
        <v>-53909.620368692762</v>
      </c>
      <c r="U91" s="20">
        <f t="shared" si="114"/>
        <v>-41133.740678235394</v>
      </c>
      <c r="V91" s="20">
        <f t="shared" si="114"/>
        <v>-43994.078707051813</v>
      </c>
      <c r="W91" s="20">
        <f t="shared" si="114"/>
        <v>-35321.287159375323</v>
      </c>
      <c r="X91" s="20">
        <f t="shared" si="114"/>
        <v>-30917.339686948981</v>
      </c>
      <c r="Y91" s="20">
        <f t="shared" si="114"/>
        <v>-25465.144033584103</v>
      </c>
      <c r="Z91" s="20">
        <f t="shared" si="114"/>
        <v>-18021.700527965964</v>
      </c>
    </row>
    <row r="92" spans="2:26" ht="17" thickTop="1">
      <c r="B92" s="8" t="s">
        <v>32</v>
      </c>
      <c r="C92" s="15">
        <v>5000</v>
      </c>
      <c r="D92" s="15">
        <v>5000</v>
      </c>
      <c r="E92" s="15">
        <v>5000</v>
      </c>
      <c r="F92" s="15">
        <v>5000</v>
      </c>
      <c r="G92" s="15">
        <v>5000</v>
      </c>
      <c r="H92" s="15">
        <v>5000</v>
      </c>
      <c r="I92" s="15">
        <v>5000</v>
      </c>
      <c r="J92" s="15">
        <v>5000</v>
      </c>
      <c r="K92" s="15">
        <v>5000</v>
      </c>
      <c r="L92" s="15">
        <v>5000</v>
      </c>
      <c r="M92" s="15">
        <v>5000</v>
      </c>
      <c r="N92" s="15">
        <v>5000</v>
      </c>
      <c r="O92" s="15">
        <v>5000</v>
      </c>
      <c r="P92" s="15">
        <v>5000</v>
      </c>
      <c r="Q92" s="15">
        <v>5000</v>
      </c>
      <c r="R92" s="15">
        <v>5000</v>
      </c>
      <c r="S92" s="15">
        <v>5000</v>
      </c>
      <c r="T92" s="15">
        <v>5000</v>
      </c>
      <c r="U92" s="15">
        <v>5000</v>
      </c>
      <c r="V92" s="15">
        <v>5000</v>
      </c>
      <c r="W92" s="15">
        <v>5000</v>
      </c>
      <c r="X92" s="15">
        <v>5000</v>
      </c>
      <c r="Y92" s="15">
        <v>5000</v>
      </c>
      <c r="Z92" s="15">
        <v>5000</v>
      </c>
    </row>
    <row r="93" spans="2:26">
      <c r="B93" s="8" t="s">
        <v>33</v>
      </c>
      <c r="C93" s="16">
        <v>0</v>
      </c>
      <c r="D93" s="16">
        <v>0</v>
      </c>
      <c r="E93" s="16">
        <v>-10000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f>P41*P$91</f>
        <v>-347.77772772829854</v>
      </c>
      <c r="Q93" s="16">
        <f t="shared" ref="Q93:Z93" si="115">Q41*Q$91</f>
        <v>-332.30686997865547</v>
      </c>
      <c r="R93" s="16">
        <f t="shared" si="115"/>
        <v>-288.32852818596223</v>
      </c>
      <c r="S93" s="16">
        <f t="shared" si="115"/>
        <v>-296.55584353713613</v>
      </c>
      <c r="T93" s="16">
        <f t="shared" si="115"/>
        <v>-269.54810184346383</v>
      </c>
      <c r="U93" s="16">
        <f t="shared" si="115"/>
        <v>-205.66870339117696</v>
      </c>
      <c r="V93" s="16">
        <f t="shared" si="115"/>
        <v>-219.97039353525906</v>
      </c>
      <c r="W93" s="16">
        <f t="shared" si="115"/>
        <v>-176.60643579687661</v>
      </c>
      <c r="X93" s="16">
        <f t="shared" si="115"/>
        <v>-154.5866984347449</v>
      </c>
      <c r="Y93" s="16">
        <f t="shared" si="115"/>
        <v>-127.32572016792052</v>
      </c>
      <c r="Z93" s="16">
        <f t="shared" si="115"/>
        <v>-90.108502639829823</v>
      </c>
    </row>
    <row r="94" spans="2:26" ht="17" thickBot="1">
      <c r="B94" s="19" t="s">
        <v>34</v>
      </c>
      <c r="C94" s="20">
        <f>C91+C92+C93</f>
        <v>-100987.5</v>
      </c>
      <c r="D94" s="20">
        <f t="shared" ref="D94:O94" si="116">D91+D92+D93</f>
        <v>-78037.5</v>
      </c>
      <c r="E94" s="20">
        <f t="shared" si="116"/>
        <v>-83337.5</v>
      </c>
      <c r="F94" s="20">
        <f t="shared" si="116"/>
        <v>-51575</v>
      </c>
      <c r="G94" s="20">
        <f t="shared" si="116"/>
        <v>-59112.5</v>
      </c>
      <c r="H94" s="20">
        <f t="shared" si="116"/>
        <v>-149287.5</v>
      </c>
      <c r="I94" s="20">
        <f t="shared" si="116"/>
        <v>-85525</v>
      </c>
      <c r="J94" s="20">
        <f t="shared" si="116"/>
        <v>-58575</v>
      </c>
      <c r="K94" s="20">
        <f t="shared" si="116"/>
        <v>-57325</v>
      </c>
      <c r="L94" s="20">
        <f t="shared" si="116"/>
        <v>-40575</v>
      </c>
      <c r="M94" s="20">
        <f t="shared" si="116"/>
        <v>-26275</v>
      </c>
      <c r="N94" s="20">
        <f t="shared" si="116"/>
        <v>-230450</v>
      </c>
      <c r="O94" s="20">
        <f t="shared" si="116"/>
        <v>-27712.5</v>
      </c>
      <c r="P94" s="20">
        <f t="shared" ref="P94" si="117">P91+P92+P93</f>
        <v>-64903.323273388014</v>
      </c>
      <c r="Q94" s="20">
        <f t="shared" ref="Q94" si="118">Q91+Q92+Q93</f>
        <v>-61793.680865709743</v>
      </c>
      <c r="R94" s="20">
        <f t="shared" ref="R94" si="119">R91+R92+R93</f>
        <v>-52954.034165378405</v>
      </c>
      <c r="S94" s="20">
        <f t="shared" ref="S94" si="120">S91+S92+S93</f>
        <v>-54607.724550964354</v>
      </c>
      <c r="T94" s="20">
        <f t="shared" ref="T94" si="121">T91+T92+T93</f>
        <v>-49179.168470536228</v>
      </c>
      <c r="U94" s="20">
        <f t="shared" ref="U94" si="122">U91+U92+U93</f>
        <v>-36339.409381626574</v>
      </c>
      <c r="V94" s="20">
        <f t="shared" ref="V94" si="123">V91+V92+V93</f>
        <v>-39214.049100587072</v>
      </c>
      <c r="W94" s="20">
        <f t="shared" ref="W94" si="124">W91+W92+W93</f>
        <v>-30497.893595172198</v>
      </c>
      <c r="X94" s="20">
        <f t="shared" ref="X94" si="125">X91+X92+X93</f>
        <v>-26071.926385383726</v>
      </c>
      <c r="Y94" s="20">
        <f t="shared" ref="Y94" si="126">Y91+Y92+Y93</f>
        <v>-20592.469753752022</v>
      </c>
      <c r="Z94" s="20">
        <f t="shared" ref="Z94" si="127">Z91+Z92+Z93</f>
        <v>-13111.809030605795</v>
      </c>
    </row>
    <row r="95" spans="2:26" ht="17" thickTop="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3C53-EFD2-5944-9341-0EDDE11628C4}">
  <sheetPr>
    <tabColor theme="9" tint="0.79998168889431442"/>
  </sheetPr>
  <dimension ref="B1:Z55"/>
  <sheetViews>
    <sheetView workbookViewId="0">
      <pane xSplit="2" topLeftCell="N1" activePane="topRight" state="frozen"/>
      <selection activeCell="A24" sqref="A24"/>
      <selection pane="topRight" activeCell="O3" sqref="O3"/>
    </sheetView>
  </sheetViews>
  <sheetFormatPr baseColWidth="10" defaultRowHeight="16"/>
  <cols>
    <col min="1" max="1" width="2.5" style="8" customWidth="1"/>
    <col min="2" max="2" width="41.83203125" style="8" customWidth="1"/>
    <col min="3" max="3" width="15.6640625" style="8" bestFit="1" customWidth="1"/>
    <col min="4" max="15" width="17" style="8" bestFit="1" customWidth="1"/>
    <col min="16" max="16" width="16.83203125" style="8" bestFit="1" customWidth="1"/>
    <col min="17" max="26" width="11.6640625" style="8" bestFit="1" customWidth="1"/>
    <col min="27" max="16384" width="10.83203125" style="8"/>
  </cols>
  <sheetData>
    <row r="1" spans="2:26" ht="62">
      <c r="B1" s="10" t="s">
        <v>113</v>
      </c>
    </row>
    <row r="3" spans="2:26" ht="28" thickBot="1">
      <c r="B3" s="9" t="s">
        <v>76</v>
      </c>
    </row>
    <row r="4" spans="2:26" ht="17" thickTop="1"/>
    <row r="5" spans="2:26" ht="23" thickBot="1">
      <c r="B5" s="26" t="s">
        <v>78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2:26" ht="17" thickTop="1"/>
    <row r="7" spans="2:26">
      <c r="B7" s="11" t="s">
        <v>0</v>
      </c>
      <c r="C7" s="18">
        <v>44957</v>
      </c>
      <c r="D7" s="18">
        <v>44985</v>
      </c>
      <c r="E7" s="18">
        <v>45016</v>
      </c>
      <c r="F7" s="18">
        <v>45046</v>
      </c>
      <c r="G7" s="18">
        <v>45077</v>
      </c>
      <c r="H7" s="18">
        <v>45107</v>
      </c>
      <c r="I7" s="18">
        <v>45138</v>
      </c>
      <c r="J7" s="18">
        <v>45169</v>
      </c>
      <c r="K7" s="18">
        <v>45199</v>
      </c>
      <c r="L7" s="18">
        <v>45230</v>
      </c>
      <c r="M7" s="18">
        <v>45260</v>
      </c>
      <c r="N7" s="18">
        <v>45291</v>
      </c>
      <c r="O7" s="18">
        <v>45322</v>
      </c>
      <c r="P7" s="18">
        <v>45351</v>
      </c>
      <c r="Q7" s="18">
        <v>45382</v>
      </c>
      <c r="R7" s="18">
        <v>45412</v>
      </c>
      <c r="S7" s="18">
        <v>45443</v>
      </c>
      <c r="T7" s="18">
        <v>45473</v>
      </c>
      <c r="U7" s="18">
        <v>45504</v>
      </c>
      <c r="V7" s="18">
        <v>45535</v>
      </c>
      <c r="W7" s="18">
        <v>45565</v>
      </c>
      <c r="X7" s="18">
        <v>45596</v>
      </c>
      <c r="Y7" s="18">
        <v>45626</v>
      </c>
      <c r="Z7" s="18">
        <v>45657</v>
      </c>
    </row>
    <row r="8" spans="2:26">
      <c r="C8" s="32" t="s">
        <v>1</v>
      </c>
      <c r="D8" s="32" t="s">
        <v>1</v>
      </c>
      <c r="E8" s="32" t="s">
        <v>1</v>
      </c>
      <c r="F8" s="32" t="s">
        <v>1</v>
      </c>
      <c r="G8" s="32" t="s">
        <v>1</v>
      </c>
      <c r="H8" s="32" t="s">
        <v>1</v>
      </c>
      <c r="I8" s="32" t="s">
        <v>1</v>
      </c>
      <c r="J8" s="32" t="s">
        <v>1</v>
      </c>
      <c r="K8" s="32" t="s">
        <v>1</v>
      </c>
      <c r="L8" s="32" t="s">
        <v>1</v>
      </c>
      <c r="M8" s="32" t="s">
        <v>1</v>
      </c>
      <c r="N8" s="32" t="s">
        <v>1</v>
      </c>
      <c r="O8" s="32" t="s">
        <v>1</v>
      </c>
      <c r="P8" s="33" t="s">
        <v>2</v>
      </c>
      <c r="Q8" s="33" t="s">
        <v>2</v>
      </c>
      <c r="R8" s="33" t="s">
        <v>2</v>
      </c>
      <c r="S8" s="33" t="s">
        <v>2</v>
      </c>
      <c r="T8" s="33" t="s">
        <v>2</v>
      </c>
      <c r="U8" s="33" t="s">
        <v>2</v>
      </c>
      <c r="V8" s="33" t="s">
        <v>2</v>
      </c>
      <c r="W8" s="33" t="s">
        <v>2</v>
      </c>
      <c r="X8" s="33" t="s">
        <v>2</v>
      </c>
      <c r="Y8" s="33" t="s">
        <v>2</v>
      </c>
      <c r="Z8" s="33" t="s">
        <v>2</v>
      </c>
    </row>
    <row r="9" spans="2:26">
      <c r="B9" s="8" t="s">
        <v>96</v>
      </c>
      <c r="C9" s="45">
        <f>C35/'P&amp;L Forecasting 2024'!$C$53*365</f>
        <v>521.42857142857144</v>
      </c>
      <c r="D9" s="45">
        <f>D35/'P&amp;L Forecasting 2024'!$C$53*365</f>
        <v>521.42857142857144</v>
      </c>
      <c r="E9" s="45">
        <f>E35/'P&amp;L Forecasting 2024'!$C$53*365</f>
        <v>521.42857142857144</v>
      </c>
      <c r="F9" s="45">
        <f>F35/'P&amp;L Forecasting 2024'!$C$53*365</f>
        <v>521.42857142857144</v>
      </c>
      <c r="G9" s="45">
        <f>G35/'P&amp;L Forecasting 2024'!$C$53*365</f>
        <v>521.42857142857144</v>
      </c>
      <c r="H9" s="45">
        <f>H35/'P&amp;L Forecasting 2024'!$C$53*365</f>
        <v>521.42857142857144</v>
      </c>
      <c r="I9" s="45">
        <f>I35/'P&amp;L Forecasting 2024'!$C$53*365</f>
        <v>521.42857142857144</v>
      </c>
      <c r="J9" s="45">
        <f>J35/'P&amp;L Forecasting 2024'!$C$53*365</f>
        <v>521.42857142857144</v>
      </c>
      <c r="K9" s="45">
        <f>K35/'P&amp;L Forecasting 2024'!$C$53*365</f>
        <v>521.42857142857144</v>
      </c>
      <c r="L9" s="45">
        <f>L35/'P&amp;L Forecasting 2024'!$C$53*365</f>
        <v>521.42857142857144</v>
      </c>
      <c r="M9" s="45">
        <f>M35/'P&amp;L Forecasting 2024'!$C$53*365</f>
        <v>521.42857142857144</v>
      </c>
      <c r="N9" s="45">
        <f>N35/'P&amp;L Forecasting 2024'!$C$53*365</f>
        <v>521.42857142857144</v>
      </c>
      <c r="O9" s="45">
        <f>O35/'P&amp;L Forecasting 2024'!$C$53*365</f>
        <v>521.42857142857144</v>
      </c>
      <c r="P9" s="45">
        <f>O9-P12</f>
        <v>516.42857142857144</v>
      </c>
      <c r="Q9" s="45">
        <f>P9-Q12</f>
        <v>511.42857142857144</v>
      </c>
      <c r="R9" s="45">
        <f>Q9-R12</f>
        <v>506.42857142857144</v>
      </c>
      <c r="S9" s="45">
        <f>R9-S12</f>
        <v>501.42857142857144</v>
      </c>
      <c r="T9" s="45">
        <f t="shared" ref="T9:Z9" si="0">S9-T12</f>
        <v>498.42857142857144</v>
      </c>
      <c r="U9" s="45">
        <f t="shared" si="0"/>
        <v>495.42857142857144</v>
      </c>
      <c r="V9" s="45">
        <f t="shared" si="0"/>
        <v>492.42857142857144</v>
      </c>
      <c r="W9" s="45">
        <f t="shared" si="0"/>
        <v>489.42857142857144</v>
      </c>
      <c r="X9" s="45">
        <f t="shared" si="0"/>
        <v>484.42857142857144</v>
      </c>
      <c r="Y9" s="45">
        <f t="shared" si="0"/>
        <v>479.42857142857144</v>
      </c>
      <c r="Z9" s="45">
        <f t="shared" si="0"/>
        <v>476.42857142857144</v>
      </c>
    </row>
    <row r="10" spans="2:26">
      <c r="B10" s="8" t="s">
        <v>97</v>
      </c>
      <c r="C10" s="45">
        <f>C38/'P&amp;L Forecasting 2024'!$C$53*365</f>
        <v>312.85714285714283</v>
      </c>
      <c r="D10" s="45">
        <f>D38/'P&amp;L Forecasting 2024'!$C$53*365</f>
        <v>365</v>
      </c>
      <c r="E10" s="45">
        <f>E38/'P&amp;L Forecasting 2024'!$C$53*365</f>
        <v>417.14285714285711</v>
      </c>
      <c r="F10" s="45">
        <f>F38/'P&amp;L Forecasting 2024'!$C$53*365</f>
        <v>469.28571428571433</v>
      </c>
      <c r="G10" s="45">
        <f>G38/'P&amp;L Forecasting 2024'!$C$53*365</f>
        <v>521.42857142857144</v>
      </c>
      <c r="H10" s="45">
        <f>H38/'P&amp;L Forecasting 2024'!$C$53*365</f>
        <v>573.57142857142856</v>
      </c>
      <c r="I10" s="45">
        <f>I38/'P&amp;L Forecasting 2024'!$C$53*365</f>
        <v>625.71428571428567</v>
      </c>
      <c r="J10" s="45">
        <f>J38/'P&amp;L Forecasting 2024'!$C$53*365</f>
        <v>677.85714285714289</v>
      </c>
      <c r="K10" s="45">
        <f>K38/'P&amp;L Forecasting 2024'!$C$53*365</f>
        <v>730</v>
      </c>
      <c r="L10" s="45">
        <f>L38/'P&amp;L Forecasting 2024'!$C$53*365</f>
        <v>782.14285714285711</v>
      </c>
      <c r="M10" s="45">
        <f>M38/'P&amp;L Forecasting 2024'!$C$53*365</f>
        <v>834.28571428571422</v>
      </c>
      <c r="N10" s="45">
        <f>N38/'P&amp;L Forecasting 2024'!$C$53*365</f>
        <v>886.42857142857133</v>
      </c>
      <c r="O10" s="45">
        <f>O38/'P&amp;L Forecasting 2024'!$C$53*365</f>
        <v>938.57142857142867</v>
      </c>
      <c r="P10" s="45">
        <f>O10-P13</f>
        <v>936.57142857142867</v>
      </c>
      <c r="Q10" s="45">
        <f>P10-Q13</f>
        <v>934.57142857142867</v>
      </c>
      <c r="R10" s="45">
        <f t="shared" ref="R10:Z10" si="1">Q10-R13</f>
        <v>932.57142857142867</v>
      </c>
      <c r="S10" s="45">
        <f t="shared" si="1"/>
        <v>930.57142857142867</v>
      </c>
      <c r="T10" s="45">
        <f t="shared" si="1"/>
        <v>928.57142857142867</v>
      </c>
      <c r="U10" s="45">
        <f t="shared" si="1"/>
        <v>926.57142857142867</v>
      </c>
      <c r="V10" s="45">
        <f t="shared" si="1"/>
        <v>924.57142857142867</v>
      </c>
      <c r="W10" s="45">
        <f t="shared" si="1"/>
        <v>922.57142857142867</v>
      </c>
      <c r="X10" s="45">
        <f t="shared" si="1"/>
        <v>920.57142857142867</v>
      </c>
      <c r="Y10" s="45">
        <f t="shared" si="1"/>
        <v>918.57142857142867</v>
      </c>
      <c r="Z10" s="45">
        <f t="shared" si="1"/>
        <v>916.57142857142867</v>
      </c>
    </row>
    <row r="11" spans="2:26">
      <c r="B11" s="8" t="s">
        <v>98</v>
      </c>
      <c r="C11" s="46">
        <f>C50/'P&amp;L Forecasting 2024'!$C$53*365</f>
        <v>339.45000000000005</v>
      </c>
      <c r="D11" s="46">
        <f>D50/'P&amp;L Forecasting 2024'!$C$53*365</f>
        <v>204.4</v>
      </c>
      <c r="E11" s="46">
        <f>E50/'P&amp;L Forecasting 2024'!$C$53*365</f>
        <v>259.67142857142858</v>
      </c>
      <c r="F11" s="46">
        <f>F50/'P&amp;L Forecasting 2024'!$C$53*365</f>
        <v>184.58571428571426</v>
      </c>
      <c r="G11" s="46">
        <f>G50/'P&amp;L Forecasting 2024'!$C$53*365</f>
        <v>232.55714285714285</v>
      </c>
      <c r="H11" s="46">
        <f>H50/'P&amp;L Forecasting 2024'!$C$53*365</f>
        <v>1059.5428571428572</v>
      </c>
      <c r="I11" s="46">
        <f>I50/'P&amp;L Forecasting 2024'!$C$53*365</f>
        <v>337.8857142857143</v>
      </c>
      <c r="J11" s="46">
        <f>J50/'P&amp;L Forecasting 2024'!$C$53*365</f>
        <v>305.03571428571428</v>
      </c>
      <c r="K11" s="46">
        <f>K50/'P&amp;L Forecasting 2024'!$C$53*365</f>
        <v>265.92857142857139</v>
      </c>
      <c r="L11" s="46">
        <f>L50/'P&amp;L Forecasting 2024'!$C$53*365</f>
        <v>247.67857142857144</v>
      </c>
      <c r="M11" s="46">
        <f>M50/'P&amp;L Forecasting 2024'!$C$53*365</f>
        <v>202.83571428571429</v>
      </c>
      <c r="N11" s="46">
        <f>N50/'P&amp;L Forecasting 2024'!$C$53*365</f>
        <v>1136.7142857142858</v>
      </c>
      <c r="O11" s="46">
        <f>O50/'P&amp;L Forecasting 2024'!$C$53*365</f>
        <v>213.26428571428571</v>
      </c>
      <c r="P11" s="46">
        <f>O11+P14</f>
        <v>214.26428571428571</v>
      </c>
      <c r="Q11" s="46">
        <f t="shared" ref="Q11:Z11" si="2">P11+Q14</f>
        <v>215.26428571428571</v>
      </c>
      <c r="R11" s="46">
        <f t="shared" si="2"/>
        <v>216.26428571428571</v>
      </c>
      <c r="S11" s="46">
        <f t="shared" si="2"/>
        <v>217.26428571428571</v>
      </c>
      <c r="T11" s="46">
        <f t="shared" si="2"/>
        <v>218.26428571428571</v>
      </c>
      <c r="U11" s="46">
        <f t="shared" si="2"/>
        <v>219.26428571428571</v>
      </c>
      <c r="V11" s="46">
        <f t="shared" si="2"/>
        <v>220.26428571428571</v>
      </c>
      <c r="W11" s="46">
        <f t="shared" si="2"/>
        <v>221.26428571428571</v>
      </c>
      <c r="X11" s="46">
        <f t="shared" si="2"/>
        <v>222.26428571428571</v>
      </c>
      <c r="Y11" s="46">
        <f t="shared" si="2"/>
        <v>223.26428571428571</v>
      </c>
      <c r="Z11" s="46">
        <f t="shared" si="2"/>
        <v>224.26428571428571</v>
      </c>
    </row>
    <row r="12" spans="2:26">
      <c r="B12" s="12" t="s">
        <v>99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7">
        <v>5</v>
      </c>
      <c r="Q12" s="47">
        <v>5</v>
      </c>
      <c r="R12" s="47">
        <v>5</v>
      </c>
      <c r="S12" s="47">
        <v>5</v>
      </c>
      <c r="T12" s="47">
        <v>3</v>
      </c>
      <c r="U12" s="47">
        <v>3</v>
      </c>
      <c r="V12" s="47">
        <v>3</v>
      </c>
      <c r="W12" s="47">
        <v>3</v>
      </c>
      <c r="X12" s="47">
        <v>5</v>
      </c>
      <c r="Y12" s="47">
        <v>5</v>
      </c>
      <c r="Z12" s="47">
        <v>3</v>
      </c>
    </row>
    <row r="13" spans="2:26">
      <c r="B13" s="8" t="s">
        <v>96</v>
      </c>
      <c r="P13" s="47">
        <v>2</v>
      </c>
      <c r="Q13" s="47">
        <v>2</v>
      </c>
      <c r="R13" s="47">
        <v>2</v>
      </c>
      <c r="S13" s="47">
        <v>2</v>
      </c>
      <c r="T13" s="47">
        <v>2</v>
      </c>
      <c r="U13" s="47">
        <v>2</v>
      </c>
      <c r="V13" s="47">
        <v>2</v>
      </c>
      <c r="W13" s="47">
        <v>2</v>
      </c>
      <c r="X13" s="47">
        <v>2</v>
      </c>
      <c r="Y13" s="47">
        <v>2</v>
      </c>
      <c r="Z13" s="47">
        <v>2</v>
      </c>
    </row>
    <row r="14" spans="2:26">
      <c r="B14" s="8" t="s">
        <v>97</v>
      </c>
      <c r="P14" s="47">
        <v>1</v>
      </c>
      <c r="Q14" s="47">
        <v>1</v>
      </c>
      <c r="R14" s="47">
        <v>1</v>
      </c>
      <c r="S14" s="47">
        <v>1</v>
      </c>
      <c r="T14" s="47">
        <v>1</v>
      </c>
      <c r="U14" s="47">
        <v>1</v>
      </c>
      <c r="V14" s="47">
        <v>1</v>
      </c>
      <c r="W14" s="47">
        <v>1</v>
      </c>
      <c r="X14" s="47">
        <v>1</v>
      </c>
      <c r="Y14" s="47">
        <v>1</v>
      </c>
      <c r="Z14" s="47">
        <v>1</v>
      </c>
    </row>
    <row r="15" spans="2:26">
      <c r="B15" s="8" t="s">
        <v>98</v>
      </c>
    </row>
    <row r="16" spans="2:26">
      <c r="B16" s="8" t="s">
        <v>52</v>
      </c>
      <c r="D16" s="38">
        <f>D50-C50</f>
        <v>-12950</v>
      </c>
      <c r="E16" s="38">
        <f>E50-D50</f>
        <v>5300</v>
      </c>
      <c r="F16" s="38">
        <f t="shared" ref="F16:O16" si="3">F50-E50</f>
        <v>-7200</v>
      </c>
      <c r="G16" s="38">
        <f t="shared" si="3"/>
        <v>4600</v>
      </c>
      <c r="H16" s="38">
        <f t="shared" si="3"/>
        <v>79300</v>
      </c>
      <c r="I16" s="38">
        <f t="shared" si="3"/>
        <v>-69200</v>
      </c>
      <c r="J16" s="38">
        <f t="shared" si="3"/>
        <v>-3150</v>
      </c>
      <c r="K16" s="38">
        <f t="shared" si="3"/>
        <v>-3750</v>
      </c>
      <c r="L16" s="38">
        <f t="shared" si="3"/>
        <v>-1750</v>
      </c>
      <c r="M16" s="38">
        <f t="shared" si="3"/>
        <v>-4300</v>
      </c>
      <c r="N16" s="38">
        <f t="shared" si="3"/>
        <v>89550</v>
      </c>
      <c r="O16" s="38">
        <f t="shared" si="3"/>
        <v>-88550</v>
      </c>
    </row>
    <row r="17" spans="2:26">
      <c r="B17" s="12" t="s">
        <v>100</v>
      </c>
      <c r="D17" s="38">
        <f>AVERAGE(D16:O16)</f>
        <v>-1008.3333333333334</v>
      </c>
    </row>
    <row r="18" spans="2:26">
      <c r="B18" s="8" t="s">
        <v>101</v>
      </c>
      <c r="P18" s="15">
        <f>'P&amp;L Forecasting 2024'!P53*('Balance Sheet Forecasting 2024'!P11/365)</f>
        <v>84555.546696020989</v>
      </c>
      <c r="Q18" s="15">
        <f>'P&amp;L Forecasting 2024'!Q53*('Balance Sheet Forecasting 2024'!Q11/365)</f>
        <v>88724.009118037007</v>
      </c>
      <c r="R18" s="15">
        <f>'P&amp;L Forecasting 2024'!R53*('Balance Sheet Forecasting 2024'!R11/365)</f>
        <v>100271.28782395156</v>
      </c>
      <c r="S18" s="15">
        <f>'P&amp;L Forecasting 2024'!S53*('Balance Sheet Forecasting 2024'!S11/365)</f>
        <v>108608.60212055509</v>
      </c>
      <c r="T18" s="15">
        <f>'P&amp;L Forecasting 2024'!T53*('Balance Sheet Forecasting 2024'!T11/365)</f>
        <v>119995.31583849815</v>
      </c>
      <c r="U18" s="15">
        <f>'P&amp;L Forecasting 2024'!U53*('Balance Sheet Forecasting 2024'!U11/365)</f>
        <v>131798.15181629392</v>
      </c>
      <c r="V18" s="15">
        <f>'P&amp;L Forecasting 2024'!V53*('Balance Sheet Forecasting 2024'!V11/365)</f>
        <v>139527.61023595219</v>
      </c>
      <c r="W18" s="15">
        <f>'P&amp;L Forecasting 2024'!W53*('Balance Sheet Forecasting 2024'!W11/365)</f>
        <v>159832.97378342386</v>
      </c>
      <c r="X18" s="15">
        <f>'P&amp;L Forecasting 2024'!X53*('Balance Sheet Forecasting 2024'!X11/365)</f>
        <v>173132.55692865312</v>
      </c>
      <c r="Y18" s="15">
        <f>'P&amp;L Forecasting 2024'!Y53*('Balance Sheet Forecasting 2024'!Y11/365)</f>
        <v>186713.10749487023</v>
      </c>
      <c r="Z18" s="15">
        <f>'P&amp;L Forecasting 2024'!Z53*('Balance Sheet Forecasting 2024'!Z11/365)</f>
        <v>206462.02449437242</v>
      </c>
    </row>
    <row r="19" spans="2:26">
      <c r="B19" s="8" t="s">
        <v>97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1" spans="2:26">
      <c r="B21" s="12" t="s">
        <v>102</v>
      </c>
      <c r="C21" s="48" t="s">
        <v>103</v>
      </c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2:26">
      <c r="B22" s="12" t="s">
        <v>47</v>
      </c>
      <c r="C22" s="49" t="s">
        <v>104</v>
      </c>
    </row>
    <row r="24" spans="2:26" ht="19">
      <c r="B24" s="50" t="s">
        <v>105</v>
      </c>
    </row>
    <row r="25" spans="2:26" ht="19">
      <c r="B25" s="50" t="s">
        <v>106</v>
      </c>
    </row>
    <row r="26" spans="2:26" ht="19">
      <c r="B26" s="50" t="s">
        <v>107</v>
      </c>
    </row>
    <row r="28" spans="2:26" ht="23" thickBot="1">
      <c r="B28" s="26" t="s">
        <v>35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2:26" ht="10" customHeight="1" thickTop="1"/>
    <row r="30" spans="2:26">
      <c r="B30" s="11" t="s">
        <v>0</v>
      </c>
      <c r="C30" s="18">
        <v>44957</v>
      </c>
      <c r="D30" s="18">
        <v>44985</v>
      </c>
      <c r="E30" s="18">
        <v>45016</v>
      </c>
      <c r="F30" s="18">
        <v>45046</v>
      </c>
      <c r="G30" s="18">
        <v>45077</v>
      </c>
      <c r="H30" s="18">
        <v>45107</v>
      </c>
      <c r="I30" s="18">
        <v>45138</v>
      </c>
      <c r="J30" s="18">
        <v>45169</v>
      </c>
      <c r="K30" s="18">
        <v>45199</v>
      </c>
      <c r="L30" s="18">
        <v>45230</v>
      </c>
      <c r="M30" s="18">
        <v>45260</v>
      </c>
      <c r="N30" s="18">
        <v>45291</v>
      </c>
      <c r="O30" s="18">
        <v>45322</v>
      </c>
      <c r="P30" s="18">
        <v>45351</v>
      </c>
      <c r="Q30" s="18">
        <v>45382</v>
      </c>
      <c r="R30" s="18">
        <v>45412</v>
      </c>
      <c r="S30" s="18">
        <v>45443</v>
      </c>
      <c r="T30" s="18">
        <v>45473</v>
      </c>
      <c r="U30" s="18">
        <v>45504</v>
      </c>
      <c r="V30" s="18">
        <v>45535</v>
      </c>
      <c r="W30" s="18">
        <v>45565</v>
      </c>
      <c r="X30" s="18">
        <v>45596</v>
      </c>
      <c r="Y30" s="18">
        <v>45626</v>
      </c>
      <c r="Z30" s="18">
        <v>45657</v>
      </c>
    </row>
    <row r="31" spans="2:26">
      <c r="C31" s="32" t="s">
        <v>1</v>
      </c>
      <c r="D31" s="32" t="s">
        <v>1</v>
      </c>
      <c r="E31" s="32" t="s">
        <v>1</v>
      </c>
      <c r="F31" s="32" t="s">
        <v>1</v>
      </c>
      <c r="G31" s="32" t="s">
        <v>1</v>
      </c>
      <c r="H31" s="32" t="s">
        <v>1</v>
      </c>
      <c r="I31" s="32" t="s">
        <v>1</v>
      </c>
      <c r="J31" s="32" t="s">
        <v>1</v>
      </c>
      <c r="K31" s="32" t="s">
        <v>1</v>
      </c>
      <c r="L31" s="32" t="s">
        <v>1</v>
      </c>
      <c r="M31" s="32" t="s">
        <v>1</v>
      </c>
      <c r="N31" s="32" t="s">
        <v>1</v>
      </c>
      <c r="O31" s="32" t="s">
        <v>1</v>
      </c>
      <c r="P31" s="33" t="s">
        <v>2</v>
      </c>
      <c r="Q31" s="33" t="s">
        <v>2</v>
      </c>
      <c r="R31" s="33" t="s">
        <v>2</v>
      </c>
      <c r="S31" s="33" t="s">
        <v>2</v>
      </c>
      <c r="T31" s="33" t="s">
        <v>2</v>
      </c>
      <c r="U31" s="33" t="s">
        <v>2</v>
      </c>
      <c r="V31" s="33" t="s">
        <v>2</v>
      </c>
      <c r="W31" s="33" t="s">
        <v>2</v>
      </c>
      <c r="X31" s="33" t="s">
        <v>2</v>
      </c>
      <c r="Y31" s="33" t="s">
        <v>2</v>
      </c>
      <c r="Z31" s="33" t="s">
        <v>2</v>
      </c>
    </row>
    <row r="32" spans="2:26">
      <c r="B32" s="12" t="s">
        <v>36</v>
      </c>
    </row>
    <row r="33" spans="2:26">
      <c r="B33" s="12" t="s">
        <v>37</v>
      </c>
      <c r="C33" s="17">
        <f>C34+C35</f>
        <v>4955007.99</v>
      </c>
      <c r="D33" s="17">
        <f t="shared" ref="D33:F33" si="4">D34+D35</f>
        <v>4860520.49</v>
      </c>
      <c r="E33" s="17">
        <f t="shared" si="4"/>
        <v>4778982.99</v>
      </c>
      <c r="F33" s="17">
        <f t="shared" si="4"/>
        <v>4716707.99</v>
      </c>
      <c r="G33" s="17">
        <f t="shared" ref="G33" si="5">G34+G35</f>
        <v>4658695.49</v>
      </c>
      <c r="H33" s="17">
        <f t="shared" ref="H33:I33" si="6">H34+H35</f>
        <v>4585207.99</v>
      </c>
      <c r="I33" s="17">
        <f t="shared" si="6"/>
        <v>4426982.99</v>
      </c>
      <c r="J33" s="17">
        <f t="shared" ref="J33" si="7">J34+J35</f>
        <v>4361757.99</v>
      </c>
      <c r="K33" s="17">
        <f t="shared" ref="K33:L33" si="8">K34+K35</f>
        <v>4297182.99</v>
      </c>
      <c r="L33" s="17">
        <f t="shared" si="8"/>
        <v>4251357.99</v>
      </c>
      <c r="M33" s="17">
        <f t="shared" ref="M33" si="9">M34+M35</f>
        <v>4217282.99</v>
      </c>
      <c r="N33" s="17">
        <f t="shared" ref="N33:O33" si="10">N34+N35</f>
        <v>4072882.99</v>
      </c>
      <c r="O33" s="17">
        <f t="shared" si="10"/>
        <v>3953120.49</v>
      </c>
      <c r="P33" s="17">
        <f t="shared" ref="P33" si="11">P34+P35</f>
        <v>3877708.8333932785</v>
      </c>
      <c r="Q33" s="17">
        <f t="shared" ref="Q33:R33" si="12">Q34+Q35</f>
        <v>3811406.8191942354</v>
      </c>
      <c r="R33" s="17">
        <f t="shared" si="12"/>
        <v>3753944.4516955237</v>
      </c>
      <c r="S33" s="17">
        <f t="shared" ref="S33" si="13">S34+S35</f>
        <v>3694828.3938112264</v>
      </c>
      <c r="T33" s="17">
        <f t="shared" ref="T33:U33" si="14">T34+T35</f>
        <v>3641140.892007357</v>
      </c>
      <c r="U33" s="17">
        <f t="shared" si="14"/>
        <v>3600293.1492923973</v>
      </c>
      <c r="V33" s="17">
        <f t="shared" ref="V33" si="15">V34+V35</f>
        <v>3556570.7668584767</v>
      </c>
      <c r="W33" s="17">
        <f t="shared" ref="W33:X33" si="16">W34+W35</f>
        <v>3521564.5399299706</v>
      </c>
      <c r="X33" s="17">
        <f t="shared" si="16"/>
        <v>3490984.280211254</v>
      </c>
      <c r="Y33" s="17">
        <f t="shared" ref="Y33" si="17">Y34+Y35</f>
        <v>3465883.4771241685</v>
      </c>
      <c r="Z33" s="17">
        <f t="shared" ref="Z33" si="18">Z34+Z35</f>
        <v>3448263.3347602291</v>
      </c>
    </row>
    <row r="34" spans="2:26">
      <c r="B34" s="8" t="s">
        <v>38</v>
      </c>
      <c r="C34" s="16">
        <v>4905007.99</v>
      </c>
      <c r="D34" s="16">
        <v>4810520.49</v>
      </c>
      <c r="E34" s="16">
        <v>4728982.99</v>
      </c>
      <c r="F34" s="16">
        <v>4666707.99</v>
      </c>
      <c r="G34" s="16">
        <v>4608695.49</v>
      </c>
      <c r="H34" s="16">
        <v>4535207.99</v>
      </c>
      <c r="I34" s="16">
        <v>4376982.99</v>
      </c>
      <c r="J34" s="16">
        <v>4311757.99</v>
      </c>
      <c r="K34" s="16">
        <v>4247182.99</v>
      </c>
      <c r="L34" s="16">
        <v>4201357.99</v>
      </c>
      <c r="M34" s="16">
        <v>4167282.99</v>
      </c>
      <c r="N34" s="16">
        <v>4022882.99</v>
      </c>
      <c r="O34" s="16">
        <v>3903120.49</v>
      </c>
      <c r="P34" s="38">
        <f>O34+('Cash Flow Forecasting 2024'!P32)</f>
        <v>3793153.2866972578</v>
      </c>
      <c r="Q34" s="38">
        <f>P34+('Cash Flow Forecasting 2024'!Q32)</f>
        <v>3722682.8100761985</v>
      </c>
      <c r="R34" s="38">
        <f>Q34+('Cash Flow Forecasting 2024'!R32)</f>
        <v>3653673.1638715724</v>
      </c>
      <c r="S34" s="38">
        <f>R34+('Cash Flow Forecasting 2024'!S32)</f>
        <v>3586219.7916906714</v>
      </c>
      <c r="T34" s="38">
        <f>S34+('Cash Flow Forecasting 2024'!T32)</f>
        <v>3521145.5761688589</v>
      </c>
      <c r="U34" s="38">
        <f>T34+('Cash Flow Forecasting 2024'!U32)</f>
        <v>3468494.9974761032</v>
      </c>
      <c r="V34" s="38">
        <f>U34+('Cash Flow Forecasting 2024'!V32)</f>
        <v>3417043.1566225244</v>
      </c>
      <c r="W34" s="38">
        <f>V34+('Cash Flow Forecasting 2024'!W32)</f>
        <v>3361731.566146547</v>
      </c>
      <c r="X34" s="38">
        <f>W34+('Cash Flow Forecasting 2024'!X32)</f>
        <v>3317851.7232826008</v>
      </c>
      <c r="Y34" s="38">
        <f>X34+('Cash Flow Forecasting 2024'!Y32)</f>
        <v>3279170.3696292983</v>
      </c>
      <c r="Z34" s="38">
        <f>Y34+('Cash Flow Forecasting 2024'!Z32)</f>
        <v>3241801.3102658568</v>
      </c>
    </row>
    <row r="35" spans="2:26">
      <c r="B35" s="8" t="s">
        <v>39</v>
      </c>
      <c r="C35" s="16">
        <v>50000</v>
      </c>
      <c r="D35" s="16">
        <v>50000</v>
      </c>
      <c r="E35" s="16">
        <v>50000</v>
      </c>
      <c r="F35" s="16">
        <v>50000</v>
      </c>
      <c r="G35" s="16">
        <v>50000</v>
      </c>
      <c r="H35" s="16">
        <v>50000</v>
      </c>
      <c r="I35" s="16">
        <v>50000</v>
      </c>
      <c r="J35" s="16">
        <v>50000</v>
      </c>
      <c r="K35" s="16">
        <v>50000</v>
      </c>
      <c r="L35" s="16">
        <v>50000</v>
      </c>
      <c r="M35" s="16">
        <v>50000</v>
      </c>
      <c r="N35" s="16">
        <v>50000</v>
      </c>
      <c r="O35" s="16">
        <v>50000</v>
      </c>
      <c r="P35" s="16">
        <f>P18</f>
        <v>84555.546696020989</v>
      </c>
      <c r="Q35" s="16">
        <f>Q18</f>
        <v>88724.009118037007</v>
      </c>
      <c r="R35" s="16">
        <f t="shared" ref="R35:Z35" si="19">R18</f>
        <v>100271.28782395156</v>
      </c>
      <c r="S35" s="16">
        <f t="shared" si="19"/>
        <v>108608.60212055509</v>
      </c>
      <c r="T35" s="16">
        <f t="shared" si="19"/>
        <v>119995.31583849815</v>
      </c>
      <c r="U35" s="16">
        <f t="shared" si="19"/>
        <v>131798.15181629392</v>
      </c>
      <c r="V35" s="16">
        <f t="shared" si="19"/>
        <v>139527.61023595219</v>
      </c>
      <c r="W35" s="16">
        <f t="shared" si="19"/>
        <v>159832.97378342386</v>
      </c>
      <c r="X35" s="16">
        <f t="shared" si="19"/>
        <v>173132.55692865312</v>
      </c>
      <c r="Y35" s="16">
        <f t="shared" si="19"/>
        <v>186713.10749487023</v>
      </c>
      <c r="Z35" s="16">
        <f t="shared" si="19"/>
        <v>206462.02449437242</v>
      </c>
    </row>
    <row r="36" spans="2:26">
      <c r="B36" s="12" t="s">
        <v>40</v>
      </c>
      <c r="C36" s="17">
        <f>C37+C38</f>
        <v>28500</v>
      </c>
      <c r="D36" s="17">
        <f t="shared" ref="D36:Z36" si="20">D37+D38</f>
        <v>32000</v>
      </c>
      <c r="E36" s="17">
        <f t="shared" si="20"/>
        <v>35500</v>
      </c>
      <c r="F36" s="17">
        <f t="shared" si="20"/>
        <v>39000</v>
      </c>
      <c r="G36" s="17">
        <f t="shared" si="20"/>
        <v>42500</v>
      </c>
      <c r="H36" s="17">
        <f t="shared" si="20"/>
        <v>46000</v>
      </c>
      <c r="I36" s="17">
        <f t="shared" si="20"/>
        <v>49500</v>
      </c>
      <c r="J36" s="17">
        <f t="shared" si="20"/>
        <v>53000</v>
      </c>
      <c r="K36" s="17">
        <f t="shared" si="20"/>
        <v>56500</v>
      </c>
      <c r="L36" s="17">
        <f t="shared" si="20"/>
        <v>60000</v>
      </c>
      <c r="M36" s="17">
        <f t="shared" si="20"/>
        <v>63500</v>
      </c>
      <c r="N36" s="17">
        <f t="shared" si="20"/>
        <v>67000</v>
      </c>
      <c r="O36" s="17">
        <f t="shared" si="20"/>
        <v>70500</v>
      </c>
      <c r="P36" s="17">
        <f t="shared" si="20"/>
        <v>74000</v>
      </c>
      <c r="Q36" s="17">
        <f t="shared" si="20"/>
        <v>77500</v>
      </c>
      <c r="R36" s="17">
        <f t="shared" si="20"/>
        <v>81000</v>
      </c>
      <c r="S36" s="17">
        <f t="shared" si="20"/>
        <v>84500</v>
      </c>
      <c r="T36" s="17">
        <f t="shared" si="20"/>
        <v>88000</v>
      </c>
      <c r="U36" s="17">
        <f t="shared" si="20"/>
        <v>91500</v>
      </c>
      <c r="V36" s="17">
        <f t="shared" si="20"/>
        <v>95000</v>
      </c>
      <c r="W36" s="17">
        <f t="shared" si="20"/>
        <v>98500</v>
      </c>
      <c r="X36" s="17">
        <f t="shared" si="20"/>
        <v>102000</v>
      </c>
      <c r="Y36" s="17">
        <f t="shared" si="20"/>
        <v>105500</v>
      </c>
      <c r="Z36" s="17">
        <f t="shared" si="20"/>
        <v>109000</v>
      </c>
    </row>
    <row r="37" spans="2:26">
      <c r="B37" s="8" t="s">
        <v>41</v>
      </c>
      <c r="C37" s="16">
        <v>-1500</v>
      </c>
      <c r="D37" s="16">
        <v>-3000</v>
      </c>
      <c r="E37" s="16">
        <v>-4500</v>
      </c>
      <c r="F37" s="16">
        <v>-6000</v>
      </c>
      <c r="G37" s="16">
        <v>-7500</v>
      </c>
      <c r="H37" s="16">
        <v>-9000</v>
      </c>
      <c r="I37" s="16">
        <v>-10500</v>
      </c>
      <c r="J37" s="16">
        <v>-12000</v>
      </c>
      <c r="K37" s="16">
        <v>-13500</v>
      </c>
      <c r="L37" s="16">
        <v>-15000</v>
      </c>
      <c r="M37" s="16">
        <v>-16500</v>
      </c>
      <c r="N37" s="16">
        <v>-18000</v>
      </c>
      <c r="O37" s="16">
        <v>-19500</v>
      </c>
      <c r="P37" s="38">
        <f>O37+(-1500)</f>
        <v>-21000</v>
      </c>
      <c r="Q37" s="38">
        <f>P37+(-1500)</f>
        <v>-22500</v>
      </c>
      <c r="R37" s="38">
        <f>Q37+(-1500)</f>
        <v>-24000</v>
      </c>
      <c r="S37" s="38">
        <f t="shared" ref="S37:Z37" si="21">R37+(-1500)</f>
        <v>-25500</v>
      </c>
      <c r="T37" s="38">
        <f t="shared" si="21"/>
        <v>-27000</v>
      </c>
      <c r="U37" s="38">
        <f t="shared" si="21"/>
        <v>-28500</v>
      </c>
      <c r="V37" s="38">
        <f t="shared" si="21"/>
        <v>-30000</v>
      </c>
      <c r="W37" s="38">
        <f t="shared" si="21"/>
        <v>-31500</v>
      </c>
      <c r="X37" s="38">
        <f t="shared" si="21"/>
        <v>-33000</v>
      </c>
      <c r="Y37" s="38">
        <f t="shared" si="21"/>
        <v>-34500</v>
      </c>
      <c r="Z37" s="38">
        <f t="shared" si="21"/>
        <v>-36000</v>
      </c>
    </row>
    <row r="38" spans="2:26">
      <c r="B38" s="8" t="s">
        <v>42</v>
      </c>
      <c r="C38" s="16">
        <v>30000</v>
      </c>
      <c r="D38" s="16">
        <v>35000</v>
      </c>
      <c r="E38" s="16">
        <v>40000</v>
      </c>
      <c r="F38" s="16">
        <v>45000</v>
      </c>
      <c r="G38" s="16">
        <v>50000</v>
      </c>
      <c r="H38" s="16">
        <v>55000</v>
      </c>
      <c r="I38" s="16">
        <v>60000</v>
      </c>
      <c r="J38" s="16">
        <v>65000</v>
      </c>
      <c r="K38" s="16">
        <v>70000</v>
      </c>
      <c r="L38" s="16">
        <v>75000</v>
      </c>
      <c r="M38" s="16">
        <v>80000</v>
      </c>
      <c r="N38" s="16">
        <v>85000</v>
      </c>
      <c r="O38" s="16">
        <v>90000</v>
      </c>
      <c r="P38" s="8">
        <v>95000</v>
      </c>
      <c r="Q38" s="16">
        <v>100000</v>
      </c>
      <c r="R38" s="8">
        <v>105000</v>
      </c>
      <c r="S38" s="16">
        <v>110000</v>
      </c>
      <c r="T38" s="8">
        <v>115000</v>
      </c>
      <c r="U38" s="16">
        <v>120000</v>
      </c>
      <c r="V38" s="8">
        <v>125000</v>
      </c>
      <c r="W38" s="16">
        <v>130000</v>
      </c>
      <c r="X38" s="8">
        <v>135000</v>
      </c>
      <c r="Y38" s="16">
        <v>140000</v>
      </c>
      <c r="Z38" s="8">
        <v>145000</v>
      </c>
    </row>
    <row r="39" spans="2:26" ht="17" thickBot="1">
      <c r="B39" s="19" t="s">
        <v>43</v>
      </c>
      <c r="C39" s="23">
        <f>C33+C36</f>
        <v>4983507.99</v>
      </c>
      <c r="D39" s="23">
        <f>D33+D36</f>
        <v>4892520.49</v>
      </c>
      <c r="E39" s="23">
        <f>E33+E36</f>
        <v>4814482.99</v>
      </c>
      <c r="F39" s="23">
        <f t="shared" ref="F39:Z39" si="22">F33+F36</f>
        <v>4755707.99</v>
      </c>
      <c r="G39" s="23">
        <f t="shared" si="22"/>
        <v>4701195.49</v>
      </c>
      <c r="H39" s="23">
        <f t="shared" si="22"/>
        <v>4631207.99</v>
      </c>
      <c r="I39" s="23">
        <f t="shared" si="22"/>
        <v>4476482.99</v>
      </c>
      <c r="J39" s="23">
        <f t="shared" si="22"/>
        <v>4414757.99</v>
      </c>
      <c r="K39" s="23">
        <f t="shared" si="22"/>
        <v>4353682.99</v>
      </c>
      <c r="L39" s="23">
        <f t="shared" si="22"/>
        <v>4311357.99</v>
      </c>
      <c r="M39" s="23">
        <f t="shared" si="22"/>
        <v>4280782.99</v>
      </c>
      <c r="N39" s="23">
        <f t="shared" si="22"/>
        <v>4139882.99</v>
      </c>
      <c r="O39" s="23">
        <f t="shared" si="22"/>
        <v>4023620.49</v>
      </c>
      <c r="P39" s="23">
        <f t="shared" si="22"/>
        <v>3951708.8333932785</v>
      </c>
      <c r="Q39" s="23">
        <f t="shared" si="22"/>
        <v>3888906.8191942354</v>
      </c>
      <c r="R39" s="23">
        <f t="shared" si="22"/>
        <v>3834944.4516955237</v>
      </c>
      <c r="S39" s="23">
        <f t="shared" si="22"/>
        <v>3779328.3938112264</v>
      </c>
      <c r="T39" s="23">
        <f t="shared" si="22"/>
        <v>3729140.892007357</v>
      </c>
      <c r="U39" s="23">
        <f t="shared" si="22"/>
        <v>3691793.1492923973</v>
      </c>
      <c r="V39" s="23">
        <f t="shared" si="22"/>
        <v>3651570.7668584767</v>
      </c>
      <c r="W39" s="23">
        <f t="shared" si="22"/>
        <v>3620064.5399299706</v>
      </c>
      <c r="X39" s="23">
        <f t="shared" si="22"/>
        <v>3592984.280211254</v>
      </c>
      <c r="Y39" s="23">
        <f t="shared" si="22"/>
        <v>3571383.4771241685</v>
      </c>
      <c r="Z39" s="23">
        <f t="shared" si="22"/>
        <v>3557263.3347602291</v>
      </c>
    </row>
    <row r="40" spans="2:26" ht="8" customHeight="1" thickTop="1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 spans="2:26">
      <c r="B41" s="12" t="s">
        <v>44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  <row r="42" spans="2:26" ht="17" thickBot="1">
      <c r="B42" s="19" t="s">
        <v>45</v>
      </c>
      <c r="C42" s="23">
        <f>SUM(C43:C46)</f>
        <v>4900957.99</v>
      </c>
      <c r="D42" s="23">
        <f t="shared" ref="D42:Z42" si="23">SUM(D43:D46)</f>
        <v>4822920.49</v>
      </c>
      <c r="E42" s="23">
        <f t="shared" si="23"/>
        <v>4739582.99</v>
      </c>
      <c r="F42" s="23">
        <f t="shared" si="23"/>
        <v>4688007.99</v>
      </c>
      <c r="G42" s="23">
        <f t="shared" si="23"/>
        <v>4628895.49</v>
      </c>
      <c r="H42" s="23">
        <f t="shared" si="23"/>
        <v>4479607.99</v>
      </c>
      <c r="I42" s="23">
        <f t="shared" si="23"/>
        <v>4394082.99</v>
      </c>
      <c r="J42" s="23">
        <f t="shared" si="23"/>
        <v>4335507.99</v>
      </c>
      <c r="K42" s="23">
        <f t="shared" si="23"/>
        <v>4278182.99</v>
      </c>
      <c r="L42" s="23">
        <f t="shared" si="23"/>
        <v>4237607.99</v>
      </c>
      <c r="M42" s="23">
        <f t="shared" si="23"/>
        <v>4211332.99</v>
      </c>
      <c r="N42" s="23">
        <f t="shared" si="23"/>
        <v>3980882.99</v>
      </c>
      <c r="O42" s="23">
        <f t="shared" si="23"/>
        <v>3953170.49</v>
      </c>
      <c r="P42" s="23">
        <f t="shared" si="23"/>
        <v>3888267.1667266116</v>
      </c>
      <c r="Q42" s="23">
        <f t="shared" si="23"/>
        <v>3826473.4858609028</v>
      </c>
      <c r="R42" s="23">
        <f t="shared" si="23"/>
        <v>3773519.4516955242</v>
      </c>
      <c r="S42" s="23">
        <f t="shared" si="23"/>
        <v>3718911.7271445598</v>
      </c>
      <c r="T42" s="23">
        <f t="shared" si="23"/>
        <v>3669732.5586740244</v>
      </c>
      <c r="U42" s="23">
        <f t="shared" si="23"/>
        <v>3633393.1492923964</v>
      </c>
      <c r="V42" s="23">
        <f t="shared" si="23"/>
        <v>3594179.1001918092</v>
      </c>
      <c r="W42" s="23">
        <f t="shared" si="23"/>
        <v>3563681.2065966371</v>
      </c>
      <c r="X42" s="23">
        <f t="shared" si="23"/>
        <v>3537609.2802112531</v>
      </c>
      <c r="Y42" s="23">
        <f t="shared" si="23"/>
        <v>3517016.8104575016</v>
      </c>
      <c r="Z42" s="23">
        <f t="shared" si="23"/>
        <v>3503905.0014268961</v>
      </c>
    </row>
    <row r="43" spans="2:26" ht="17" thickTop="1">
      <c r="B43" s="8" t="s">
        <v>46</v>
      </c>
      <c r="C43" s="16">
        <v>10000000</v>
      </c>
      <c r="D43" s="16">
        <v>10000000</v>
      </c>
      <c r="E43" s="16">
        <v>10000000</v>
      </c>
      <c r="F43" s="16">
        <v>10000000</v>
      </c>
      <c r="G43" s="16">
        <v>10000000</v>
      </c>
      <c r="H43" s="16">
        <v>10000000</v>
      </c>
      <c r="I43" s="16">
        <v>10000000</v>
      </c>
      <c r="J43" s="16">
        <v>10000000</v>
      </c>
      <c r="K43" s="16">
        <v>10000000</v>
      </c>
      <c r="L43" s="16">
        <v>10000000</v>
      </c>
      <c r="M43" s="16">
        <v>10000000</v>
      </c>
      <c r="N43" s="16">
        <v>10000000</v>
      </c>
      <c r="O43" s="16">
        <v>10000000</v>
      </c>
      <c r="P43" s="16">
        <v>10000000</v>
      </c>
      <c r="Q43" s="16">
        <v>10000000</v>
      </c>
      <c r="R43" s="16">
        <v>10000000</v>
      </c>
      <c r="S43" s="16">
        <v>10000000</v>
      </c>
      <c r="T43" s="16">
        <v>10000000</v>
      </c>
      <c r="U43" s="16">
        <v>10000000</v>
      </c>
      <c r="V43" s="16">
        <v>10000000</v>
      </c>
      <c r="W43" s="16">
        <v>10000000</v>
      </c>
      <c r="X43" s="16">
        <v>10000000</v>
      </c>
      <c r="Y43" s="16">
        <v>10000000</v>
      </c>
      <c r="Z43" s="16">
        <v>10000000</v>
      </c>
    </row>
    <row r="44" spans="2:26">
      <c r="B44" s="8" t="s">
        <v>47</v>
      </c>
      <c r="C44" s="16">
        <v>-100987.5</v>
      </c>
      <c r="D44" s="16">
        <v>-179025</v>
      </c>
      <c r="E44" s="16">
        <v>-262362.5</v>
      </c>
      <c r="F44" s="16">
        <v>-313937.5</v>
      </c>
      <c r="G44" s="16">
        <v>-373050</v>
      </c>
      <c r="H44" s="16">
        <v>-522337.5</v>
      </c>
      <c r="I44" s="16">
        <v>-607862.5</v>
      </c>
      <c r="J44" s="16">
        <v>-666437.5</v>
      </c>
      <c r="K44" s="16">
        <v>-723762.5</v>
      </c>
      <c r="L44" s="16">
        <v>-764337.5</v>
      </c>
      <c r="M44" s="16">
        <v>-790612.5</v>
      </c>
      <c r="N44" s="16">
        <v>-1021062.5</v>
      </c>
      <c r="O44" s="16">
        <v>-1048775</v>
      </c>
      <c r="P44" s="38">
        <f>O44+('P&amp;L Forecasting 2024'!P94)</f>
        <v>-1113678.323273388</v>
      </c>
      <c r="Q44" s="38">
        <f>P44+('P&amp;L Forecasting 2024'!Q94)</f>
        <v>-1175472.0041390976</v>
      </c>
      <c r="R44" s="38">
        <f>Q44+('P&amp;L Forecasting 2024'!R94)</f>
        <v>-1228426.0383044761</v>
      </c>
      <c r="S44" s="38">
        <f>R44+('P&amp;L Forecasting 2024'!S94)</f>
        <v>-1283033.7628554404</v>
      </c>
      <c r="T44" s="38">
        <f>S44+('P&amp;L Forecasting 2024'!T94)</f>
        <v>-1332212.9313259765</v>
      </c>
      <c r="U44" s="38">
        <f>T44+('P&amp;L Forecasting 2024'!U94)</f>
        <v>-1368552.3407076031</v>
      </c>
      <c r="V44" s="38">
        <f>U44+('P&amp;L Forecasting 2024'!V94)</f>
        <v>-1407766.3898081903</v>
      </c>
      <c r="W44" s="38">
        <f>V44+('P&amp;L Forecasting 2024'!W94)</f>
        <v>-1438264.2834033624</v>
      </c>
      <c r="X44" s="38">
        <f>W44+('P&amp;L Forecasting 2024'!X94)</f>
        <v>-1464336.2097887462</v>
      </c>
      <c r="Y44" s="38">
        <f>X44+('P&amp;L Forecasting 2024'!Y94)</f>
        <v>-1484928.6795424982</v>
      </c>
      <c r="Z44" s="38">
        <f>Y44+('P&amp;L Forecasting 2024'!Z94)</f>
        <v>-1498040.4885731039</v>
      </c>
    </row>
    <row r="45" spans="2:26">
      <c r="B45" s="8" t="s">
        <v>48</v>
      </c>
      <c r="C45" s="16">
        <v>-5098054.51</v>
      </c>
      <c r="D45" s="16">
        <v>-5098054.51</v>
      </c>
      <c r="E45" s="16">
        <v>-5098054.51</v>
      </c>
      <c r="F45" s="16">
        <v>-5098054.51</v>
      </c>
      <c r="G45" s="16">
        <v>-5098054.51</v>
      </c>
      <c r="H45" s="16">
        <v>-5098054.51</v>
      </c>
      <c r="I45" s="16">
        <v>-5098054.51</v>
      </c>
      <c r="J45" s="16">
        <v>-5098054.51</v>
      </c>
      <c r="K45" s="16">
        <v>-5098054.51</v>
      </c>
      <c r="L45" s="16">
        <v>-5098054.51</v>
      </c>
      <c r="M45" s="16">
        <v>-5098054.51</v>
      </c>
      <c r="N45" s="16">
        <v>-5098054.51</v>
      </c>
      <c r="O45" s="16">
        <v>-5098054.51</v>
      </c>
      <c r="P45" s="16">
        <v>-5098054.51</v>
      </c>
      <c r="Q45" s="16">
        <v>-5098054.51</v>
      </c>
      <c r="R45" s="16">
        <v>-5098054.51</v>
      </c>
      <c r="S45" s="16">
        <v>-5098054.51</v>
      </c>
      <c r="T45" s="16">
        <v>-5098054.51</v>
      </c>
      <c r="U45" s="16">
        <v>-5098054.51</v>
      </c>
      <c r="V45" s="16">
        <v>-5098054.51</v>
      </c>
      <c r="W45" s="16">
        <v>-5098054.51</v>
      </c>
      <c r="X45" s="16">
        <v>-5098054.51</v>
      </c>
      <c r="Y45" s="16">
        <v>-5098054.51</v>
      </c>
      <c r="Z45" s="16">
        <v>-5098054.51</v>
      </c>
    </row>
    <row r="46" spans="2:26">
      <c r="B46" s="8" t="s">
        <v>49</v>
      </c>
      <c r="C46" s="16">
        <v>100000</v>
      </c>
      <c r="D46" s="16">
        <v>100000</v>
      </c>
      <c r="E46" s="16">
        <v>100000</v>
      </c>
      <c r="F46" s="16">
        <v>100000</v>
      </c>
      <c r="G46" s="16">
        <v>100000</v>
      </c>
      <c r="H46" s="16">
        <v>100000</v>
      </c>
      <c r="I46" s="16">
        <v>100000</v>
      </c>
      <c r="J46" s="16">
        <v>100000</v>
      </c>
      <c r="K46" s="16">
        <v>100000</v>
      </c>
      <c r="L46" s="16">
        <v>100000</v>
      </c>
      <c r="M46" s="16">
        <v>100000</v>
      </c>
      <c r="N46" s="16">
        <v>100000</v>
      </c>
      <c r="O46" s="16">
        <v>100000</v>
      </c>
      <c r="P46" s="16">
        <v>100000</v>
      </c>
      <c r="Q46" s="16">
        <v>100000</v>
      </c>
      <c r="R46" s="16">
        <v>100000</v>
      </c>
      <c r="S46" s="16">
        <v>100000</v>
      </c>
      <c r="T46" s="16">
        <v>100000</v>
      </c>
      <c r="U46" s="16">
        <v>100000</v>
      </c>
      <c r="V46" s="16">
        <v>100000</v>
      </c>
      <c r="W46" s="16">
        <v>100000</v>
      </c>
      <c r="X46" s="16">
        <v>100000</v>
      </c>
      <c r="Y46" s="16">
        <v>100000</v>
      </c>
      <c r="Z46" s="16">
        <v>100000</v>
      </c>
    </row>
    <row r="47" spans="2:26" ht="8" customHeight="1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</row>
    <row r="48" spans="2:26">
      <c r="B48" s="12" t="s">
        <v>50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spans="2:26">
      <c r="B49" s="12" t="s">
        <v>51</v>
      </c>
      <c r="C49" s="17">
        <f>SUM(C50:C51)</f>
        <v>82550</v>
      </c>
      <c r="D49" s="17">
        <f t="shared" ref="D49:Z49" si="24">SUM(D50:D51)</f>
        <v>69600</v>
      </c>
      <c r="E49" s="17">
        <f t="shared" si="24"/>
        <v>74900</v>
      </c>
      <c r="F49" s="17">
        <f t="shared" si="24"/>
        <v>67700</v>
      </c>
      <c r="G49" s="17">
        <f t="shared" si="24"/>
        <v>72300</v>
      </c>
      <c r="H49" s="17">
        <f t="shared" si="24"/>
        <v>151600</v>
      </c>
      <c r="I49" s="17">
        <f t="shared" si="24"/>
        <v>82400</v>
      </c>
      <c r="J49" s="17">
        <f t="shared" si="24"/>
        <v>79250</v>
      </c>
      <c r="K49" s="17">
        <f t="shared" si="24"/>
        <v>75500</v>
      </c>
      <c r="L49" s="17">
        <f t="shared" si="24"/>
        <v>73750</v>
      </c>
      <c r="M49" s="17">
        <f t="shared" si="24"/>
        <v>69450</v>
      </c>
      <c r="N49" s="17">
        <f t="shared" si="24"/>
        <v>159000</v>
      </c>
      <c r="O49" s="17">
        <f t="shared" si="24"/>
        <v>70450</v>
      </c>
      <c r="P49" s="17">
        <f t="shared" si="24"/>
        <v>69441.666666666672</v>
      </c>
      <c r="Q49" s="17">
        <f t="shared" si="24"/>
        <v>68433.333333333343</v>
      </c>
      <c r="R49" s="17">
        <f t="shared" si="24"/>
        <v>67425</v>
      </c>
      <c r="S49" s="17">
        <f t="shared" si="24"/>
        <v>66416.666666666672</v>
      </c>
      <c r="T49" s="17">
        <f t="shared" si="24"/>
        <v>65408.333333333336</v>
      </c>
      <c r="U49" s="17">
        <f t="shared" si="24"/>
        <v>64400</v>
      </c>
      <c r="V49" s="17">
        <f t="shared" si="24"/>
        <v>63391.666666666672</v>
      </c>
      <c r="W49" s="17">
        <f t="shared" si="24"/>
        <v>62383.333333333336</v>
      </c>
      <c r="X49" s="17">
        <f t="shared" si="24"/>
        <v>61375</v>
      </c>
      <c r="Y49" s="17">
        <f t="shared" si="24"/>
        <v>60366.666666666672</v>
      </c>
      <c r="Z49" s="17">
        <f t="shared" si="24"/>
        <v>59358.333333333336</v>
      </c>
    </row>
    <row r="50" spans="2:26">
      <c r="B50" s="8" t="s">
        <v>52</v>
      </c>
      <c r="C50" s="16">
        <v>32550</v>
      </c>
      <c r="D50" s="16">
        <v>19600</v>
      </c>
      <c r="E50" s="16">
        <v>24900</v>
      </c>
      <c r="F50" s="16">
        <v>17700</v>
      </c>
      <c r="G50" s="16">
        <v>22300</v>
      </c>
      <c r="H50" s="16">
        <v>101600</v>
      </c>
      <c r="I50" s="16">
        <v>32400</v>
      </c>
      <c r="J50" s="16">
        <v>29250</v>
      </c>
      <c r="K50" s="16">
        <v>25500</v>
      </c>
      <c r="L50" s="16">
        <v>23750</v>
      </c>
      <c r="M50" s="16">
        <v>19450</v>
      </c>
      <c r="N50" s="16">
        <v>109000</v>
      </c>
      <c r="O50" s="16">
        <v>20450</v>
      </c>
      <c r="P50" s="38">
        <f>O50+($D$17)</f>
        <v>19441.666666666668</v>
      </c>
      <c r="Q50" s="38">
        <f>P50+($D$17)</f>
        <v>18433.333333333336</v>
      </c>
      <c r="R50" s="38">
        <f t="shared" ref="R50:Z50" si="25">Q50+($D$17)</f>
        <v>17425.000000000004</v>
      </c>
      <c r="S50" s="38">
        <f t="shared" si="25"/>
        <v>16416.666666666672</v>
      </c>
      <c r="T50" s="38">
        <f t="shared" si="25"/>
        <v>15408.333333333338</v>
      </c>
      <c r="U50" s="38">
        <f t="shared" si="25"/>
        <v>14400.000000000004</v>
      </c>
      <c r="V50" s="38">
        <f t="shared" si="25"/>
        <v>13391.66666666667</v>
      </c>
      <c r="W50" s="38">
        <f t="shared" si="25"/>
        <v>12383.333333333336</v>
      </c>
      <c r="X50" s="38">
        <f t="shared" si="25"/>
        <v>11375.000000000002</v>
      </c>
      <c r="Y50" s="38">
        <f t="shared" si="25"/>
        <v>10366.666666666668</v>
      </c>
      <c r="Z50" s="38">
        <f t="shared" si="25"/>
        <v>9358.3333333333339</v>
      </c>
    </row>
    <row r="51" spans="2:26">
      <c r="B51" s="8" t="s">
        <v>25</v>
      </c>
      <c r="C51" s="16">
        <v>50000</v>
      </c>
      <c r="D51" s="16">
        <v>50000</v>
      </c>
      <c r="E51" s="16">
        <v>50000</v>
      </c>
      <c r="F51" s="16">
        <v>50000</v>
      </c>
      <c r="G51" s="16">
        <v>50000</v>
      </c>
      <c r="H51" s="16">
        <v>50000</v>
      </c>
      <c r="I51" s="16">
        <v>50000</v>
      </c>
      <c r="J51" s="16">
        <v>50000</v>
      </c>
      <c r="K51" s="16">
        <v>50000</v>
      </c>
      <c r="L51" s="16">
        <v>50000</v>
      </c>
      <c r="M51" s="16">
        <v>50000</v>
      </c>
      <c r="N51" s="16">
        <v>50000</v>
      </c>
      <c r="O51" s="16">
        <v>50000</v>
      </c>
      <c r="P51" s="16">
        <v>50000</v>
      </c>
      <c r="Q51" s="16">
        <v>50000</v>
      </c>
      <c r="R51" s="16">
        <v>50000</v>
      </c>
      <c r="S51" s="16">
        <v>50000</v>
      </c>
      <c r="T51" s="16">
        <v>50000</v>
      </c>
      <c r="U51" s="16">
        <v>50000</v>
      </c>
      <c r="V51" s="16">
        <v>50000</v>
      </c>
      <c r="W51" s="16">
        <v>50000</v>
      </c>
      <c r="X51" s="16">
        <v>50000</v>
      </c>
      <c r="Y51" s="16">
        <v>50000</v>
      </c>
      <c r="Z51" s="16">
        <v>50000</v>
      </c>
    </row>
    <row r="52" spans="2:26">
      <c r="B52" s="12" t="s">
        <v>53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</row>
    <row r="53" spans="2:26">
      <c r="B53" s="8" t="s">
        <v>54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</row>
    <row r="54" spans="2:26" ht="17" thickBot="1">
      <c r="B54" s="19" t="s">
        <v>55</v>
      </c>
      <c r="C54" s="23">
        <f>C42+C49+C52</f>
        <v>4983507.99</v>
      </c>
      <c r="D54" s="23">
        <f t="shared" ref="D54:Z54" si="26">D42+D49+D52</f>
        <v>4892520.49</v>
      </c>
      <c r="E54" s="23">
        <f t="shared" si="26"/>
        <v>4814482.99</v>
      </c>
      <c r="F54" s="23">
        <f t="shared" si="26"/>
        <v>4755707.99</v>
      </c>
      <c r="G54" s="23">
        <f t="shared" si="26"/>
        <v>4701195.49</v>
      </c>
      <c r="H54" s="23">
        <f t="shared" si="26"/>
        <v>4631207.99</v>
      </c>
      <c r="I54" s="23">
        <f t="shared" si="26"/>
        <v>4476482.99</v>
      </c>
      <c r="J54" s="23">
        <f t="shared" si="26"/>
        <v>4414757.99</v>
      </c>
      <c r="K54" s="23">
        <f t="shared" si="26"/>
        <v>4353682.99</v>
      </c>
      <c r="L54" s="23">
        <f t="shared" si="26"/>
        <v>4311357.99</v>
      </c>
      <c r="M54" s="23">
        <f t="shared" si="26"/>
        <v>4280782.99</v>
      </c>
      <c r="N54" s="23">
        <f t="shared" si="26"/>
        <v>4139882.99</v>
      </c>
      <c r="O54" s="23">
        <f t="shared" si="26"/>
        <v>4023620.49</v>
      </c>
      <c r="P54" s="23">
        <f t="shared" si="26"/>
        <v>3957708.8333932781</v>
      </c>
      <c r="Q54" s="23">
        <f t="shared" si="26"/>
        <v>3894906.8191942363</v>
      </c>
      <c r="R54" s="23">
        <f t="shared" si="26"/>
        <v>3840944.4516955242</v>
      </c>
      <c r="S54" s="23">
        <f t="shared" si="26"/>
        <v>3785328.3938112264</v>
      </c>
      <c r="T54" s="23">
        <f t="shared" si="26"/>
        <v>3735140.8920073579</v>
      </c>
      <c r="U54" s="23">
        <f t="shared" si="26"/>
        <v>3697793.1492923964</v>
      </c>
      <c r="V54" s="23">
        <f t="shared" si="26"/>
        <v>3657570.7668584757</v>
      </c>
      <c r="W54" s="23">
        <f t="shared" si="26"/>
        <v>3626064.5399299706</v>
      </c>
      <c r="X54" s="23">
        <f t="shared" si="26"/>
        <v>3598984.2802112531</v>
      </c>
      <c r="Y54" s="23">
        <f t="shared" si="26"/>
        <v>3577383.4771241681</v>
      </c>
      <c r="Z54" s="23">
        <f t="shared" si="26"/>
        <v>3563263.3347602296</v>
      </c>
    </row>
    <row r="55" spans="2:26" ht="17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DEB4-A061-2E4E-8AE3-A5329BBDACDB}">
  <sheetPr>
    <tabColor theme="9" tint="0.79998168889431442"/>
  </sheetPr>
  <dimension ref="B1:AA33"/>
  <sheetViews>
    <sheetView topLeftCell="A2" workbookViewId="0">
      <pane xSplit="2" topLeftCell="K1" activePane="topRight" state="frozen"/>
      <selection pane="topRight" activeCell="D1" sqref="D1"/>
    </sheetView>
  </sheetViews>
  <sheetFormatPr baseColWidth="10" defaultRowHeight="16"/>
  <cols>
    <col min="1" max="1" width="2.6640625" style="8" customWidth="1"/>
    <col min="2" max="2" width="41.83203125" style="8" customWidth="1"/>
    <col min="3" max="3" width="10.83203125" style="8"/>
    <col min="4" max="4" width="14" style="8" bestFit="1" customWidth="1"/>
    <col min="5" max="8" width="13" style="8" bestFit="1" customWidth="1"/>
    <col min="9" max="10" width="14" style="8" bestFit="1" customWidth="1"/>
    <col min="11" max="14" width="13" style="8" bestFit="1" customWidth="1"/>
    <col min="15" max="16" width="14" style="8" bestFit="1" customWidth="1"/>
    <col min="17" max="16384" width="10.83203125" style="8"/>
  </cols>
  <sheetData>
    <row r="1" spans="2:26" ht="62">
      <c r="B1" s="10" t="s">
        <v>113</v>
      </c>
    </row>
    <row r="3" spans="2:26" ht="28" thickBot="1">
      <c r="B3" s="9" t="s">
        <v>76</v>
      </c>
    </row>
    <row r="4" spans="2:26" ht="17" thickTop="1"/>
    <row r="5" spans="2:26" ht="23" thickBot="1">
      <c r="B5" s="26" t="s">
        <v>78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2:26" ht="17" thickTop="1"/>
    <row r="7" spans="2:26">
      <c r="B7" s="11" t="s">
        <v>0</v>
      </c>
      <c r="C7" s="18">
        <v>44957</v>
      </c>
      <c r="D7" s="18">
        <v>44985</v>
      </c>
      <c r="E7" s="18">
        <v>45016</v>
      </c>
      <c r="F7" s="18">
        <v>45046</v>
      </c>
      <c r="G7" s="18">
        <v>45077</v>
      </c>
      <c r="H7" s="18">
        <v>45107</v>
      </c>
      <c r="I7" s="18">
        <v>45138</v>
      </c>
      <c r="J7" s="18">
        <v>45169</v>
      </c>
      <c r="K7" s="18">
        <v>45199</v>
      </c>
      <c r="L7" s="18">
        <v>45230</v>
      </c>
      <c r="M7" s="18">
        <v>45260</v>
      </c>
      <c r="N7" s="18">
        <v>45291</v>
      </c>
      <c r="O7" s="18">
        <v>45322</v>
      </c>
      <c r="P7" s="18">
        <v>45351</v>
      </c>
      <c r="Q7" s="18">
        <v>45382</v>
      </c>
      <c r="R7" s="18">
        <v>45412</v>
      </c>
      <c r="S7" s="18">
        <v>45443</v>
      </c>
      <c r="T7" s="18">
        <v>45473</v>
      </c>
      <c r="U7" s="18">
        <v>45504</v>
      </c>
      <c r="V7" s="18">
        <v>45535</v>
      </c>
      <c r="W7" s="18">
        <v>45565</v>
      </c>
      <c r="X7" s="18">
        <v>45596</v>
      </c>
      <c r="Y7" s="18">
        <v>45626</v>
      </c>
      <c r="Z7" s="18">
        <v>45657</v>
      </c>
    </row>
    <row r="8" spans="2:26">
      <c r="C8" s="32" t="s">
        <v>1</v>
      </c>
      <c r="D8" s="32" t="s">
        <v>1</v>
      </c>
      <c r="E8" s="32" t="s">
        <v>1</v>
      </c>
      <c r="F8" s="32" t="s">
        <v>1</v>
      </c>
      <c r="G8" s="32" t="s">
        <v>1</v>
      </c>
      <c r="H8" s="32" t="s">
        <v>1</v>
      </c>
      <c r="I8" s="32" t="s">
        <v>1</v>
      </c>
      <c r="J8" s="32" t="s">
        <v>1</v>
      </c>
      <c r="K8" s="32" t="s">
        <v>1</v>
      </c>
      <c r="L8" s="32" t="s">
        <v>1</v>
      </c>
      <c r="M8" s="32" t="s">
        <v>1</v>
      </c>
      <c r="N8" s="32" t="s">
        <v>1</v>
      </c>
      <c r="O8" s="32" t="s">
        <v>1</v>
      </c>
      <c r="P8" s="33" t="s">
        <v>2</v>
      </c>
      <c r="Q8" s="33" t="s">
        <v>2</v>
      </c>
      <c r="R8" s="33" t="s">
        <v>2</v>
      </c>
      <c r="S8" s="33" t="s">
        <v>2</v>
      </c>
      <c r="T8" s="33" t="s">
        <v>2</v>
      </c>
      <c r="U8" s="33" t="s">
        <v>2</v>
      </c>
      <c r="V8" s="33" t="s">
        <v>2</v>
      </c>
      <c r="W8" s="33" t="s">
        <v>2</v>
      </c>
      <c r="X8" s="33" t="s">
        <v>2</v>
      </c>
      <c r="Y8" s="33" t="s">
        <v>2</v>
      </c>
      <c r="Z8" s="33" t="s">
        <v>2</v>
      </c>
    </row>
    <row r="9" spans="2:26">
      <c r="B9" s="12" t="s">
        <v>57</v>
      </c>
      <c r="P9" s="51" t="s">
        <v>108</v>
      </c>
    </row>
    <row r="10" spans="2:26">
      <c r="B10" s="12" t="s">
        <v>109</v>
      </c>
      <c r="P10" s="8" t="s">
        <v>110</v>
      </c>
    </row>
    <row r="11" spans="2:26">
      <c r="B11" s="12" t="s">
        <v>62</v>
      </c>
      <c r="P11" s="52" t="s">
        <v>111</v>
      </c>
    </row>
    <row r="12" spans="2:26">
      <c r="B12" s="31"/>
      <c r="P12" s="52" t="s">
        <v>112</v>
      </c>
    </row>
    <row r="13" spans="2:26">
      <c r="B13" s="12"/>
    </row>
    <row r="15" spans="2:26" ht="23" thickBot="1">
      <c r="B15" s="26" t="s">
        <v>95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2:26" ht="10" customHeight="1" thickTop="1"/>
    <row r="17" spans="2:27">
      <c r="B17" s="11" t="s">
        <v>0</v>
      </c>
      <c r="C17" s="18">
        <v>44957</v>
      </c>
      <c r="D17" s="18">
        <v>44985</v>
      </c>
      <c r="E17" s="18">
        <v>45016</v>
      </c>
      <c r="F17" s="18">
        <v>45046</v>
      </c>
      <c r="G17" s="18">
        <v>45077</v>
      </c>
      <c r="H17" s="18">
        <v>45107</v>
      </c>
      <c r="I17" s="18">
        <v>45138</v>
      </c>
      <c r="J17" s="18">
        <v>45169</v>
      </c>
      <c r="K17" s="18">
        <v>45199</v>
      </c>
      <c r="L17" s="18">
        <v>45230</v>
      </c>
      <c r="M17" s="18">
        <v>45260</v>
      </c>
      <c r="N17" s="18">
        <v>45291</v>
      </c>
      <c r="O17" s="18">
        <v>45322</v>
      </c>
      <c r="P17" s="18">
        <v>45351</v>
      </c>
      <c r="Q17" s="18">
        <v>45382</v>
      </c>
      <c r="R17" s="18">
        <v>45412</v>
      </c>
      <c r="S17" s="18">
        <v>45443</v>
      </c>
      <c r="T17" s="18">
        <v>45473</v>
      </c>
      <c r="U17" s="18">
        <v>45504</v>
      </c>
      <c r="V17" s="18">
        <v>45535</v>
      </c>
      <c r="W17" s="18">
        <v>45565</v>
      </c>
      <c r="X17" s="18">
        <v>45596</v>
      </c>
      <c r="Y17" s="18">
        <v>45626</v>
      </c>
      <c r="Z17" s="18">
        <v>45657</v>
      </c>
    </row>
    <row r="18" spans="2:27">
      <c r="C18" s="32" t="s">
        <v>1</v>
      </c>
      <c r="D18" s="32" t="s">
        <v>1</v>
      </c>
      <c r="E18" s="32" t="s">
        <v>1</v>
      </c>
      <c r="F18" s="32" t="s">
        <v>1</v>
      </c>
      <c r="G18" s="32" t="s">
        <v>1</v>
      </c>
      <c r="H18" s="32" t="s">
        <v>1</v>
      </c>
      <c r="I18" s="32" t="s">
        <v>1</v>
      </c>
      <c r="J18" s="32" t="s">
        <v>1</v>
      </c>
      <c r="K18" s="32" t="s">
        <v>1</v>
      </c>
      <c r="L18" s="32" t="s">
        <v>1</v>
      </c>
      <c r="M18" s="32" t="s">
        <v>1</v>
      </c>
      <c r="N18" s="32" t="s">
        <v>1</v>
      </c>
      <c r="O18" s="32" t="s">
        <v>1</v>
      </c>
      <c r="P18" s="33" t="s">
        <v>2</v>
      </c>
      <c r="Q18" s="33" t="s">
        <v>2</v>
      </c>
      <c r="R18" s="33" t="s">
        <v>2</v>
      </c>
      <c r="S18" s="33" t="s">
        <v>2</v>
      </c>
      <c r="T18" s="33" t="s">
        <v>2</v>
      </c>
      <c r="U18" s="33" t="s">
        <v>2</v>
      </c>
      <c r="V18" s="33" t="s">
        <v>2</v>
      </c>
      <c r="W18" s="33" t="s">
        <v>2</v>
      </c>
      <c r="X18" s="33" t="s">
        <v>2</v>
      </c>
      <c r="Y18" s="33" t="s">
        <v>2</v>
      </c>
      <c r="Z18" s="33" t="s">
        <v>2</v>
      </c>
    </row>
    <row r="19" spans="2:27" ht="7" customHeight="1"/>
    <row r="20" spans="2:27">
      <c r="B20" s="12" t="s">
        <v>56</v>
      </c>
      <c r="C20" s="17">
        <f>SUM(C21:C24)</f>
        <v>-109487.5</v>
      </c>
      <c r="D20" s="17">
        <f t="shared" ref="D20:O20" si="0">SUM(D21:D24)</f>
        <v>-89487.5</v>
      </c>
      <c r="E20" s="17">
        <f t="shared" si="0"/>
        <v>-76537.5</v>
      </c>
      <c r="F20" s="17">
        <f t="shared" si="0"/>
        <v>-57275</v>
      </c>
      <c r="G20" s="17">
        <f t="shared" si="0"/>
        <v>-53012.5</v>
      </c>
      <c r="H20" s="17">
        <f t="shared" si="0"/>
        <v>-68487.5</v>
      </c>
      <c r="I20" s="17">
        <f t="shared" si="0"/>
        <v>-153225</v>
      </c>
      <c r="J20" s="17">
        <f t="shared" si="0"/>
        <v>-60225</v>
      </c>
      <c r="K20" s="17">
        <f t="shared" si="0"/>
        <v>-59575</v>
      </c>
      <c r="L20" s="17">
        <f t="shared" si="0"/>
        <v>-40825</v>
      </c>
      <c r="M20" s="17">
        <f t="shared" si="0"/>
        <v>-29075</v>
      </c>
      <c r="N20" s="17">
        <f t="shared" si="0"/>
        <v>-139400</v>
      </c>
      <c r="O20" s="17">
        <f t="shared" si="0"/>
        <v>-114762.5</v>
      </c>
      <c r="P20" s="17">
        <f t="shared" ref="P20" si="1">SUM(P21:P24)</f>
        <v>-104967.20330274233</v>
      </c>
      <c r="Q20" s="17">
        <f t="shared" ref="Q20" si="2">SUM(Q21:Q24)</f>
        <v>-65470.47662105909</v>
      </c>
      <c r="R20" s="17">
        <f t="shared" ref="R20" si="3">SUM(R21:R24)</f>
        <v>-64009.64620462629</v>
      </c>
      <c r="S20" s="17">
        <f t="shared" ref="S20" si="4">SUM(S21:S24)</f>
        <v>-62453.37218090122</v>
      </c>
      <c r="T20" s="17">
        <f t="shared" ref="T20" si="5">SUM(T21:T24)</f>
        <v>-60074.215521812621</v>
      </c>
      <c r="U20" s="17">
        <f t="shared" ref="U20" si="6">SUM(U21:U24)</f>
        <v>-47650.578692755676</v>
      </c>
      <c r="V20" s="17">
        <f t="shared" ref="V20" si="7">SUM(V21:V24)</f>
        <v>-46451.84085357868</v>
      </c>
      <c r="W20" s="17">
        <f t="shared" ref="W20" si="8">SUM(W21:W24)</f>
        <v>-50311.590475977209</v>
      </c>
      <c r="X20" s="17">
        <f t="shared" ref="X20" si="9">SUM(X21:X24)</f>
        <v>-38879.842863946324</v>
      </c>
      <c r="Y20" s="17">
        <f t="shared" ref="Y20" si="10">SUM(Y21:Y24)</f>
        <v>-33681.35365330246</v>
      </c>
      <c r="Z20" s="17">
        <f t="shared" ref="Z20" si="11">SUM(Z21:Z24)</f>
        <v>-32369.059363441324</v>
      </c>
    </row>
    <row r="21" spans="2:27">
      <c r="B21" s="8" t="s">
        <v>57</v>
      </c>
      <c r="C21" s="16">
        <v>-100987.5</v>
      </c>
      <c r="D21" s="16">
        <v>-78037.5</v>
      </c>
      <c r="E21" s="16">
        <v>-83337.5</v>
      </c>
      <c r="F21" s="16">
        <v>-51575</v>
      </c>
      <c r="G21" s="16">
        <v>-59112.5</v>
      </c>
      <c r="H21" s="16">
        <v>-149287.5</v>
      </c>
      <c r="I21" s="16">
        <v>-85525</v>
      </c>
      <c r="J21" s="16">
        <v>-58575</v>
      </c>
      <c r="K21" s="16">
        <v>-57325</v>
      </c>
      <c r="L21" s="16">
        <v>-40575</v>
      </c>
      <c r="M21" s="16">
        <v>-26275</v>
      </c>
      <c r="N21" s="16">
        <v>-230450</v>
      </c>
      <c r="O21" s="16">
        <v>-27712.5</v>
      </c>
      <c r="P21" s="38">
        <f>'P&amp;L Forecasting 2024'!P94</f>
        <v>-64903.323273388014</v>
      </c>
      <c r="Q21" s="38">
        <f>'P&amp;L Forecasting 2024'!Q94</f>
        <v>-61793.680865709743</v>
      </c>
      <c r="R21" s="38">
        <f>'P&amp;L Forecasting 2024'!R94</f>
        <v>-52954.034165378405</v>
      </c>
      <c r="S21" s="38">
        <f>'P&amp;L Forecasting 2024'!S94</f>
        <v>-54607.724550964354</v>
      </c>
      <c r="T21" s="38">
        <f>'P&amp;L Forecasting 2024'!T94</f>
        <v>-49179.168470536228</v>
      </c>
      <c r="U21" s="38">
        <f>'P&amp;L Forecasting 2024'!U94</f>
        <v>-36339.409381626574</v>
      </c>
      <c r="V21" s="38">
        <f>'P&amp;L Forecasting 2024'!V94</f>
        <v>-39214.049100587072</v>
      </c>
      <c r="W21" s="38">
        <f>'P&amp;L Forecasting 2024'!W94</f>
        <v>-30497.893595172198</v>
      </c>
      <c r="X21" s="38">
        <f>'P&amp;L Forecasting 2024'!X94</f>
        <v>-26071.926385383726</v>
      </c>
      <c r="Y21" s="38">
        <f>'P&amp;L Forecasting 2024'!Y94</f>
        <v>-20592.469753752022</v>
      </c>
      <c r="Z21" s="38">
        <f>'P&amp;L Forecasting 2024'!Z94</f>
        <v>-13111.809030605795</v>
      </c>
    </row>
    <row r="22" spans="2:27">
      <c r="B22" s="8" t="s">
        <v>58</v>
      </c>
      <c r="C22" s="16">
        <v>1500</v>
      </c>
      <c r="D22" s="16">
        <v>1500</v>
      </c>
      <c r="E22" s="16">
        <v>1500</v>
      </c>
      <c r="F22" s="16">
        <v>1500</v>
      </c>
      <c r="G22" s="16">
        <v>1500</v>
      </c>
      <c r="H22" s="16">
        <v>1500</v>
      </c>
      <c r="I22" s="16">
        <v>1500</v>
      </c>
      <c r="J22" s="16">
        <v>1500</v>
      </c>
      <c r="K22" s="16">
        <v>1500</v>
      </c>
      <c r="L22" s="16">
        <v>1500</v>
      </c>
      <c r="M22" s="16">
        <v>1500</v>
      </c>
      <c r="N22" s="16">
        <v>1500</v>
      </c>
      <c r="O22" s="16">
        <v>1500</v>
      </c>
      <c r="P22" s="16">
        <v>1500</v>
      </c>
      <c r="Q22" s="16">
        <v>1500</v>
      </c>
      <c r="R22" s="16">
        <v>1500</v>
      </c>
      <c r="S22" s="16">
        <v>1500</v>
      </c>
      <c r="T22" s="16">
        <v>1500</v>
      </c>
      <c r="U22" s="16">
        <v>1500</v>
      </c>
      <c r="V22" s="16">
        <v>1500</v>
      </c>
      <c r="W22" s="16">
        <v>1500</v>
      </c>
      <c r="X22" s="16">
        <v>1500</v>
      </c>
      <c r="Y22" s="16">
        <v>1500</v>
      </c>
      <c r="Z22" s="16">
        <v>1500</v>
      </c>
    </row>
    <row r="23" spans="2:27">
      <c r="B23" s="8" t="s">
        <v>59</v>
      </c>
      <c r="C23" s="16">
        <v>-5000</v>
      </c>
      <c r="D23" s="16">
        <v>-12950</v>
      </c>
      <c r="E23" s="16">
        <v>5300</v>
      </c>
      <c r="F23" s="16">
        <v>-7200</v>
      </c>
      <c r="G23" s="16">
        <v>4600</v>
      </c>
      <c r="H23" s="16">
        <v>79300</v>
      </c>
      <c r="I23" s="16">
        <v>-69200</v>
      </c>
      <c r="J23" s="16">
        <v>-3150</v>
      </c>
      <c r="K23" s="16">
        <v>-3750</v>
      </c>
      <c r="L23" s="16">
        <v>-1750</v>
      </c>
      <c r="M23" s="16">
        <v>-4300</v>
      </c>
      <c r="N23" s="16">
        <v>89550</v>
      </c>
      <c r="O23" s="16">
        <v>-88550</v>
      </c>
      <c r="P23" s="38">
        <f>'Balance Sheet Forecasting 2024'!O35-'Balance Sheet Forecasting 2024'!P35+'Balance Sheet Forecasting 2024'!P50-'Balance Sheet Forecasting 2024'!O50</f>
        <v>-35563.880029354317</v>
      </c>
      <c r="Q23" s="38">
        <f>'Balance Sheet Forecasting 2024'!P35-'Balance Sheet Forecasting 2024'!Q35+'Balance Sheet Forecasting 2024'!Q50-'Balance Sheet Forecasting 2024'!P50</f>
        <v>-5176.7957553493507</v>
      </c>
      <c r="R23" s="38">
        <f>'Balance Sheet Forecasting 2024'!Q35-'Balance Sheet Forecasting 2024'!R35+'Balance Sheet Forecasting 2024'!R50-'Balance Sheet Forecasting 2024'!Q50</f>
        <v>-12555.612039247881</v>
      </c>
      <c r="S23" s="38">
        <f>'Balance Sheet Forecasting 2024'!R35-'Balance Sheet Forecasting 2024'!S35+'Balance Sheet Forecasting 2024'!S50-'Balance Sheet Forecasting 2024'!R50</f>
        <v>-9345.6476299368696</v>
      </c>
      <c r="T23" s="38">
        <f>'Balance Sheet Forecasting 2024'!S35-'Balance Sheet Forecasting 2024'!T35+'Balance Sheet Forecasting 2024'!T50-'Balance Sheet Forecasting 2024'!S50</f>
        <v>-12395.047051276391</v>
      </c>
      <c r="U23" s="38">
        <f>'Balance Sheet Forecasting 2024'!T35-'Balance Sheet Forecasting 2024'!U35+'Balance Sheet Forecasting 2024'!U50-'Balance Sheet Forecasting 2024'!T50</f>
        <v>-12811.169311129101</v>
      </c>
      <c r="V23" s="38">
        <f>'Balance Sheet Forecasting 2024'!U35-'Balance Sheet Forecasting 2024'!V35+'Balance Sheet Forecasting 2024'!V50-'Balance Sheet Forecasting 2024'!U50</f>
        <v>-8737.7917529916067</v>
      </c>
      <c r="W23" s="38">
        <f>'Balance Sheet Forecasting 2024'!V35-'Balance Sheet Forecasting 2024'!W35+'Balance Sheet Forecasting 2024'!W50-'Balance Sheet Forecasting 2024'!V50</f>
        <v>-21313.696880805008</v>
      </c>
      <c r="X23" s="38">
        <f>'Balance Sheet Forecasting 2024'!W35-'Balance Sheet Forecasting 2024'!X35+'Balance Sheet Forecasting 2024'!X50-'Balance Sheet Forecasting 2024'!W50</f>
        <v>-14307.916478562596</v>
      </c>
      <c r="Y23" s="38">
        <f>'Balance Sheet Forecasting 2024'!X35-'Balance Sheet Forecasting 2024'!Y35+'Balance Sheet Forecasting 2024'!Y50-'Balance Sheet Forecasting 2024'!X50</f>
        <v>-14588.883899550439</v>
      </c>
      <c r="Z23" s="38">
        <f>'Balance Sheet Forecasting 2024'!Y35-'Balance Sheet Forecasting 2024'!Z35+'Balance Sheet Forecasting 2024'!Z50-'Balance Sheet Forecasting 2024'!Y50</f>
        <v>-20757.250332835531</v>
      </c>
    </row>
    <row r="24" spans="2:27">
      <c r="B24" s="8" t="s">
        <v>60</v>
      </c>
      <c r="C24" s="16">
        <v>-5000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-6000</v>
      </c>
    </row>
    <row r="25" spans="2:27" ht="7" customHeight="1"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2:27">
      <c r="B26" s="12" t="s">
        <v>61</v>
      </c>
      <c r="C26" s="17">
        <f>SUM(C27)</f>
        <v>-5000</v>
      </c>
      <c r="D26" s="17">
        <f t="shared" ref="D26:Z26" si="12">SUM(D27)</f>
        <v>-5000</v>
      </c>
      <c r="E26" s="17">
        <f t="shared" si="12"/>
        <v>-5000</v>
      </c>
      <c r="F26" s="17">
        <f t="shared" si="12"/>
        <v>-5000</v>
      </c>
      <c r="G26" s="17">
        <f t="shared" si="12"/>
        <v>-5000</v>
      </c>
      <c r="H26" s="17">
        <f t="shared" si="12"/>
        <v>-5000</v>
      </c>
      <c r="I26" s="17">
        <f t="shared" si="12"/>
        <v>-5000</v>
      </c>
      <c r="J26" s="17">
        <f t="shared" si="12"/>
        <v>-5000</v>
      </c>
      <c r="K26" s="17">
        <f t="shared" si="12"/>
        <v>-5000</v>
      </c>
      <c r="L26" s="17">
        <f t="shared" si="12"/>
        <v>-5000</v>
      </c>
      <c r="M26" s="17">
        <f t="shared" si="12"/>
        <v>-5000</v>
      </c>
      <c r="N26" s="17">
        <f t="shared" si="12"/>
        <v>-5000</v>
      </c>
      <c r="O26" s="17">
        <f t="shared" si="12"/>
        <v>-5000</v>
      </c>
      <c r="P26" s="17">
        <f t="shared" si="12"/>
        <v>-5000</v>
      </c>
      <c r="Q26" s="17">
        <f t="shared" si="12"/>
        <v>-5000</v>
      </c>
      <c r="R26" s="17">
        <f t="shared" si="12"/>
        <v>-5000</v>
      </c>
      <c r="S26" s="17">
        <f t="shared" si="12"/>
        <v>-5000</v>
      </c>
      <c r="T26" s="17">
        <f t="shared" si="12"/>
        <v>-5000</v>
      </c>
      <c r="U26" s="17">
        <f t="shared" si="12"/>
        <v>-5000</v>
      </c>
      <c r="V26" s="17">
        <f t="shared" si="12"/>
        <v>-5000</v>
      </c>
      <c r="W26" s="17">
        <f t="shared" si="12"/>
        <v>-5000</v>
      </c>
      <c r="X26" s="17">
        <f t="shared" si="12"/>
        <v>-5000</v>
      </c>
      <c r="Y26" s="17">
        <f t="shared" si="12"/>
        <v>-5000</v>
      </c>
      <c r="Z26" s="17">
        <f t="shared" si="12"/>
        <v>-5000</v>
      </c>
    </row>
    <row r="27" spans="2:27">
      <c r="B27" s="8" t="s">
        <v>62</v>
      </c>
      <c r="C27" s="16">
        <v>-5000</v>
      </c>
      <c r="D27" s="16">
        <v>-5000</v>
      </c>
      <c r="E27" s="16">
        <v>-5000</v>
      </c>
      <c r="F27" s="16">
        <v>-5000</v>
      </c>
      <c r="G27" s="16">
        <v>-5000</v>
      </c>
      <c r="H27" s="16">
        <v>-5000</v>
      </c>
      <c r="I27" s="16">
        <v>-5000</v>
      </c>
      <c r="J27" s="16">
        <v>-5000</v>
      </c>
      <c r="K27" s="16">
        <v>-5000</v>
      </c>
      <c r="L27" s="16">
        <v>-5000</v>
      </c>
      <c r="M27" s="16">
        <v>-5000</v>
      </c>
      <c r="N27" s="16">
        <v>-5000</v>
      </c>
      <c r="O27" s="16">
        <v>-5000</v>
      </c>
      <c r="P27" s="16">
        <v>-5000</v>
      </c>
      <c r="Q27" s="16">
        <v>-5000</v>
      </c>
      <c r="R27" s="16">
        <v>-5000</v>
      </c>
      <c r="S27" s="16">
        <v>-5000</v>
      </c>
      <c r="T27" s="16">
        <v>-5000</v>
      </c>
      <c r="U27" s="16">
        <v>-5000</v>
      </c>
      <c r="V27" s="16">
        <v>-5000</v>
      </c>
      <c r="W27" s="16">
        <v>-5000</v>
      </c>
      <c r="X27" s="16">
        <v>-5000</v>
      </c>
      <c r="Y27" s="16">
        <v>-5000</v>
      </c>
      <c r="Z27" s="16">
        <v>-5000</v>
      </c>
    </row>
    <row r="28" spans="2:27" ht="7" customHeight="1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2:27">
      <c r="B29" s="12" t="s">
        <v>63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</row>
    <row r="30" spans="2:27">
      <c r="B30" s="8" t="s">
        <v>64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</row>
    <row r="31" spans="2:27" ht="8" customHeight="1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 spans="2:27" ht="17" thickBot="1">
      <c r="B32" s="19" t="s">
        <v>65</v>
      </c>
      <c r="C32" s="23">
        <f>C20+C26+C29</f>
        <v>-114487.5</v>
      </c>
      <c r="D32" s="23">
        <f t="shared" ref="D32:Z32" si="13">D20+D26+D29</f>
        <v>-94487.5</v>
      </c>
      <c r="E32" s="23">
        <f t="shared" si="13"/>
        <v>-81537.5</v>
      </c>
      <c r="F32" s="23">
        <f t="shared" si="13"/>
        <v>-62275</v>
      </c>
      <c r="G32" s="23">
        <f t="shared" si="13"/>
        <v>-58012.5</v>
      </c>
      <c r="H32" s="23">
        <f t="shared" si="13"/>
        <v>-73487.5</v>
      </c>
      <c r="I32" s="23">
        <f t="shared" si="13"/>
        <v>-158225</v>
      </c>
      <c r="J32" s="23">
        <f t="shared" si="13"/>
        <v>-65225</v>
      </c>
      <c r="K32" s="23">
        <f t="shared" si="13"/>
        <v>-64575</v>
      </c>
      <c r="L32" s="23">
        <f t="shared" si="13"/>
        <v>-45825</v>
      </c>
      <c r="M32" s="23">
        <f t="shared" si="13"/>
        <v>-34075</v>
      </c>
      <c r="N32" s="23">
        <f t="shared" si="13"/>
        <v>-144400</v>
      </c>
      <c r="O32" s="23">
        <f t="shared" si="13"/>
        <v>-119762.5</v>
      </c>
      <c r="P32" s="23">
        <f t="shared" si="13"/>
        <v>-109967.20330274233</v>
      </c>
      <c r="Q32" s="23">
        <f t="shared" si="13"/>
        <v>-70470.47662105909</v>
      </c>
      <c r="R32" s="23">
        <f t="shared" si="13"/>
        <v>-69009.64620462629</v>
      </c>
      <c r="S32" s="23">
        <f t="shared" si="13"/>
        <v>-67453.37218090122</v>
      </c>
      <c r="T32" s="23">
        <f t="shared" si="13"/>
        <v>-65074.215521812621</v>
      </c>
      <c r="U32" s="23">
        <f t="shared" si="13"/>
        <v>-52650.578692755676</v>
      </c>
      <c r="V32" s="23">
        <f t="shared" si="13"/>
        <v>-51451.84085357868</v>
      </c>
      <c r="W32" s="23">
        <f t="shared" si="13"/>
        <v>-55311.590475977209</v>
      </c>
      <c r="X32" s="23">
        <f t="shared" si="13"/>
        <v>-43879.842863946324</v>
      </c>
      <c r="Y32" s="23">
        <f t="shared" si="13"/>
        <v>-38681.35365330246</v>
      </c>
      <c r="Z32" s="23">
        <f t="shared" si="13"/>
        <v>-37369.059363441324</v>
      </c>
      <c r="AA32"/>
    </row>
    <row r="33" ht="17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9F93-4057-47EC-B45E-8B54554805D7}">
  <dimension ref="A1:D31"/>
  <sheetViews>
    <sheetView tabSelected="1" workbookViewId="0">
      <selection activeCell="E17" sqref="E17"/>
    </sheetView>
  </sheetViews>
  <sheetFormatPr baseColWidth="10" defaultColWidth="20.1640625" defaultRowHeight="16"/>
  <cols>
    <col min="1" max="1" width="50.1640625" style="1" customWidth="1"/>
    <col min="2" max="2" width="26.33203125" style="1" customWidth="1"/>
    <col min="3" max="3" width="22.83203125" style="1" bestFit="1" customWidth="1"/>
    <col min="4" max="16384" width="20.1640625" style="1"/>
  </cols>
  <sheetData>
    <row r="1" spans="1:4">
      <c r="A1" s="7" t="s">
        <v>66</v>
      </c>
      <c r="B1" s="7" t="s">
        <v>74</v>
      </c>
      <c r="C1" s="7" t="s">
        <v>73</v>
      </c>
    </row>
    <row r="2" spans="1:4">
      <c r="A2" s="2" t="s">
        <v>120</v>
      </c>
      <c r="B2" s="6">
        <v>2500</v>
      </c>
      <c r="C2" s="3">
        <v>45351</v>
      </c>
      <c r="D2" s="3"/>
    </row>
    <row r="3" spans="1:4">
      <c r="A3" s="2" t="s">
        <v>121</v>
      </c>
      <c r="B3" s="6">
        <v>3000</v>
      </c>
      <c r="C3" s="3">
        <v>45351</v>
      </c>
      <c r="D3" s="3"/>
    </row>
    <row r="4" spans="1:4">
      <c r="A4" s="2" t="s">
        <v>122</v>
      </c>
      <c r="B4" s="6">
        <v>2500</v>
      </c>
      <c r="C4" s="3">
        <v>45382</v>
      </c>
      <c r="D4" s="3"/>
    </row>
    <row r="5" spans="1:4">
      <c r="A5" s="2" t="s">
        <v>123</v>
      </c>
      <c r="B5" s="6">
        <v>7000</v>
      </c>
      <c r="C5" s="3">
        <v>45412</v>
      </c>
      <c r="D5" s="3"/>
    </row>
    <row r="6" spans="1:4">
      <c r="A6" s="2" t="s">
        <v>124</v>
      </c>
      <c r="B6" s="6">
        <v>3500</v>
      </c>
      <c r="C6" s="3">
        <v>45412</v>
      </c>
      <c r="D6" s="3"/>
    </row>
    <row r="7" spans="1:4">
      <c r="A7" s="2" t="s">
        <v>125</v>
      </c>
      <c r="B7" s="6">
        <v>1500</v>
      </c>
      <c r="C7" s="3">
        <v>45412</v>
      </c>
      <c r="D7" s="3"/>
    </row>
    <row r="8" spans="1:4">
      <c r="A8" s="2" t="s">
        <v>126</v>
      </c>
      <c r="B8" s="6">
        <v>2500</v>
      </c>
      <c r="C8" s="3">
        <v>45412</v>
      </c>
      <c r="D8" s="3"/>
    </row>
    <row r="9" spans="1:4">
      <c r="A9" s="2" t="s">
        <v>127</v>
      </c>
      <c r="B9" s="6">
        <v>3500</v>
      </c>
      <c r="C9" s="3">
        <v>45443</v>
      </c>
      <c r="D9" s="3"/>
    </row>
    <row r="10" spans="1:4">
      <c r="A10" s="2" t="s">
        <v>128</v>
      </c>
      <c r="B10" s="6">
        <v>5000</v>
      </c>
      <c r="C10" s="3">
        <v>45443</v>
      </c>
      <c r="D10" s="3"/>
    </row>
    <row r="11" spans="1:4">
      <c r="A11" s="2" t="s">
        <v>129</v>
      </c>
      <c r="B11" s="6">
        <v>7000</v>
      </c>
      <c r="C11" s="3">
        <v>45473</v>
      </c>
      <c r="D11" s="3"/>
    </row>
    <row r="12" spans="1:4">
      <c r="A12" s="2" t="s">
        <v>130</v>
      </c>
      <c r="B12" s="6">
        <v>6000</v>
      </c>
      <c r="C12" s="3">
        <v>45473</v>
      </c>
      <c r="D12" s="3"/>
    </row>
    <row r="13" spans="1:4">
      <c r="A13" s="2" t="s">
        <v>131</v>
      </c>
      <c r="B13" s="6">
        <v>6500</v>
      </c>
      <c r="C13" s="3">
        <v>45504</v>
      </c>
      <c r="D13" s="3"/>
    </row>
    <row r="14" spans="1:4">
      <c r="A14" s="2" t="s">
        <v>132</v>
      </c>
      <c r="B14" s="6">
        <v>6500</v>
      </c>
      <c r="C14" s="3">
        <v>45504</v>
      </c>
      <c r="D14" s="3"/>
    </row>
    <row r="15" spans="1:4">
      <c r="A15" s="2" t="s">
        <v>133</v>
      </c>
      <c r="B15" s="6">
        <v>5500</v>
      </c>
      <c r="C15" s="3">
        <v>45535</v>
      </c>
      <c r="D15" s="3"/>
    </row>
    <row r="16" spans="1:4">
      <c r="A16" s="2" t="s">
        <v>134</v>
      </c>
      <c r="B16" s="6">
        <v>6500</v>
      </c>
      <c r="C16" s="3">
        <v>45565</v>
      </c>
      <c r="D16" s="3"/>
    </row>
    <row r="17" spans="1:4">
      <c r="A17" s="2" t="s">
        <v>135</v>
      </c>
      <c r="B17" s="6">
        <v>6000</v>
      </c>
      <c r="C17" s="3">
        <v>45565</v>
      </c>
      <c r="D17" s="3"/>
    </row>
    <row r="18" spans="1:4">
      <c r="A18" s="2" t="s">
        <v>136</v>
      </c>
      <c r="B18" s="6">
        <v>6500</v>
      </c>
      <c r="C18" s="3">
        <v>45565</v>
      </c>
      <c r="D18" s="3"/>
    </row>
    <row r="19" spans="1:4">
      <c r="A19" s="2" t="s">
        <v>137</v>
      </c>
      <c r="B19" s="6">
        <v>6500</v>
      </c>
      <c r="C19" s="3">
        <v>45565</v>
      </c>
      <c r="D19" s="3"/>
    </row>
    <row r="20" spans="1:4">
      <c r="A20" s="2" t="s">
        <v>138</v>
      </c>
      <c r="B20" s="6">
        <v>5000</v>
      </c>
      <c r="C20" s="3">
        <v>45596</v>
      </c>
      <c r="D20" s="3"/>
    </row>
    <row r="21" spans="1:4">
      <c r="A21" s="2" t="s">
        <v>139</v>
      </c>
      <c r="B21" s="6">
        <v>2000</v>
      </c>
      <c r="C21" s="3">
        <v>45596</v>
      </c>
      <c r="D21" s="3"/>
    </row>
    <row r="22" spans="1:4">
      <c r="A22" s="2" t="s">
        <v>140</v>
      </c>
      <c r="B22" s="6">
        <v>6000</v>
      </c>
      <c r="C22" s="3">
        <v>45596</v>
      </c>
      <c r="D22" s="3"/>
    </row>
    <row r="23" spans="1:4">
      <c r="A23" s="2" t="s">
        <v>141</v>
      </c>
      <c r="B23" s="6">
        <v>1000</v>
      </c>
      <c r="C23" s="3">
        <v>45626</v>
      </c>
      <c r="D23" s="3"/>
    </row>
    <row r="24" spans="1:4">
      <c r="A24" s="2" t="s">
        <v>142</v>
      </c>
      <c r="B24" s="6">
        <v>4000</v>
      </c>
      <c r="C24" s="3">
        <v>45626</v>
      </c>
      <c r="D24" s="3"/>
    </row>
    <row r="25" spans="1:4">
      <c r="A25" s="2" t="s">
        <v>143</v>
      </c>
      <c r="B25" s="6">
        <v>3500</v>
      </c>
      <c r="C25" s="3">
        <v>45626</v>
      </c>
      <c r="D25" s="3"/>
    </row>
    <row r="26" spans="1:4">
      <c r="A26" s="2" t="s">
        <v>144</v>
      </c>
      <c r="B26" s="6">
        <v>4000</v>
      </c>
      <c r="C26" s="3">
        <v>45626</v>
      </c>
      <c r="D26" s="3"/>
    </row>
    <row r="27" spans="1:4">
      <c r="A27" s="2" t="s">
        <v>145</v>
      </c>
      <c r="B27" s="6">
        <v>4000</v>
      </c>
      <c r="C27" s="3">
        <v>45657</v>
      </c>
      <c r="D27" s="3"/>
    </row>
    <row r="28" spans="1:4">
      <c r="A28" s="2" t="s">
        <v>67</v>
      </c>
      <c r="B28" s="6">
        <v>1000</v>
      </c>
      <c r="C28" s="3">
        <v>45657</v>
      </c>
      <c r="D28" s="3"/>
    </row>
    <row r="29" spans="1:4">
      <c r="A29" s="2" t="s">
        <v>146</v>
      </c>
      <c r="B29" s="6">
        <v>6000</v>
      </c>
      <c r="C29" s="3">
        <v>45657</v>
      </c>
      <c r="D29" s="3"/>
    </row>
    <row r="30" spans="1:4">
      <c r="A30" s="2" t="s">
        <v>148</v>
      </c>
      <c r="B30" s="6">
        <v>4500</v>
      </c>
      <c r="C30" s="3">
        <v>45657</v>
      </c>
      <c r="D30" s="3"/>
    </row>
    <row r="31" spans="1:4">
      <c r="A31" s="2" t="s">
        <v>147</v>
      </c>
      <c r="B31" s="6">
        <v>6000</v>
      </c>
      <c r="C31" s="3">
        <v>45657</v>
      </c>
      <c r="D31" s="3"/>
    </row>
  </sheetData>
  <autoFilter ref="A1:C1" xr:uid="{5A279F93-4057-47EC-B45E-8B54554805D7}">
    <sortState xmlns:xlrd2="http://schemas.microsoft.com/office/spreadsheetml/2017/richdata2" ref="A2:C31">
      <sortCondition ref="C1:C31"/>
    </sortState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1CA1-90EF-4B42-9626-674324B52121}">
  <dimension ref="A1:D10"/>
  <sheetViews>
    <sheetView workbookViewId="0">
      <selection activeCell="A6" sqref="A6"/>
    </sheetView>
  </sheetViews>
  <sheetFormatPr baseColWidth="10" defaultColWidth="8.83203125" defaultRowHeight="16"/>
  <cols>
    <col min="1" max="1" width="24.1640625" style="5" customWidth="1"/>
    <col min="2" max="2" width="17.5" customWidth="1"/>
    <col min="3" max="3" width="19" customWidth="1"/>
    <col min="4" max="4" width="16" customWidth="1"/>
  </cols>
  <sheetData>
    <row r="1" spans="1:4">
      <c r="A1" s="37" t="s">
        <v>75</v>
      </c>
      <c r="B1" s="37" t="s">
        <v>68</v>
      </c>
      <c r="C1" s="37" t="s">
        <v>69</v>
      </c>
    </row>
    <row r="2" spans="1:4">
      <c r="A2" s="5" t="s">
        <v>119</v>
      </c>
      <c r="B2" s="3">
        <v>45413</v>
      </c>
      <c r="C2" s="4">
        <v>4500</v>
      </c>
      <c r="D2" s="3"/>
    </row>
    <row r="3" spans="1:4">
      <c r="A3" s="5" t="s">
        <v>114</v>
      </c>
      <c r="B3" s="3">
        <v>45474</v>
      </c>
      <c r="C3" s="4">
        <v>3500</v>
      </c>
      <c r="D3" s="3"/>
    </row>
    <row r="4" spans="1:4">
      <c r="A4" s="5" t="s">
        <v>115</v>
      </c>
      <c r="B4" s="3">
        <v>45474</v>
      </c>
      <c r="C4" s="4">
        <v>6000</v>
      </c>
      <c r="D4" s="3"/>
    </row>
    <row r="5" spans="1:4">
      <c r="A5" s="5" t="s">
        <v>116</v>
      </c>
      <c r="B5" s="3">
        <v>45505</v>
      </c>
      <c r="C5" s="4">
        <v>8000</v>
      </c>
      <c r="D5" s="3"/>
    </row>
    <row r="6" spans="1:4">
      <c r="A6" s="5" t="s">
        <v>117</v>
      </c>
      <c r="B6" s="3">
        <v>45536</v>
      </c>
      <c r="C6" s="4">
        <v>5000</v>
      </c>
      <c r="D6" s="3"/>
    </row>
    <row r="7" spans="1:4">
      <c r="A7" s="5" t="s">
        <v>118</v>
      </c>
      <c r="B7" s="3">
        <v>45566</v>
      </c>
      <c r="C7" s="4">
        <v>2500</v>
      </c>
      <c r="D7" s="3"/>
    </row>
    <row r="8" spans="1:4">
      <c r="B8" s="3"/>
    </row>
    <row r="9" spans="1:4">
      <c r="B9" s="3"/>
    </row>
    <row r="10" spans="1:4">
      <c r="B10" s="3"/>
    </row>
  </sheetData>
  <autoFilter ref="A1:C1" xr:uid="{D7A31CA1-90EF-4B42-9626-674324B52121}">
    <sortState xmlns:xlrd2="http://schemas.microsoft.com/office/spreadsheetml/2017/richdata2" ref="A2:C7">
      <sortCondition ref="B1:B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P&amp;L Forecasting 2024</vt:lpstr>
      <vt:lpstr>Balance Sheet Forecasting 2024</vt:lpstr>
      <vt:lpstr>Cash Flow Forecasting 2024</vt:lpstr>
      <vt:lpstr>Sales Forecast 2024</vt:lpstr>
      <vt:lpstr>Hiring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 Ruland</dc:creator>
  <cp:lastModifiedBy>Muhammad Arslan Khalid</cp:lastModifiedBy>
  <dcterms:created xsi:type="dcterms:W3CDTF">2024-03-06T16:27:54Z</dcterms:created>
  <dcterms:modified xsi:type="dcterms:W3CDTF">2024-04-08T11:14:28Z</dcterms:modified>
</cp:coreProperties>
</file>