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ain\Downloads\"/>
    </mc:Choice>
  </mc:AlternateContent>
  <xr:revisionPtr revIDLastSave="0" documentId="13_ncr:1_{BB35AAE2-92FB-4539-9CE6-F3F3F357ECE0}" xr6:coauthVersionLast="47" xr6:coauthVersionMax="47" xr10:uidLastSave="{00000000-0000-0000-0000-000000000000}"/>
  <bookViews>
    <workbookView xWindow="-120" yWindow="-120" windowWidth="20730" windowHeight="11160" tabRatio="610" xr2:uid="{00000000-000D-0000-FFFF-FFFF00000000}"/>
  </bookViews>
  <sheets>
    <sheet name="T.Balance" sheetId="6" r:id="rId1"/>
    <sheet name="SCHEDULES" sheetId="5" state="hidden" r:id="rId2"/>
    <sheet name="Balance Sheet " sheetId="4" r:id="rId3"/>
    <sheet name="P &amp; L" sheetId="7" r:id="rId4"/>
    <sheet name="Dep schedule" sheetId="12" state="hidden" r:id="rId5"/>
    <sheet name="Tax working" sheetId="13" state="hidden" r:id="rId6"/>
    <sheet name="Jan 2022" sheetId="14" state="hidden" r:id="rId7"/>
    <sheet name="Bank Rec." sheetId="8" state="hidden" r:id="rId8"/>
    <sheet name="Sheet1" sheetId="9" state="hidden" r:id="rId9"/>
    <sheet name="Sheet2" sheetId="10" state="hidden" r:id="rId10"/>
    <sheet name="Sheet3" sheetId="11" state="hidden" r:id="rId11"/>
  </sheets>
  <externalReferences>
    <externalReference r:id="rId12"/>
  </externalReferences>
  <definedNames>
    <definedName name="_xlnm._FilterDatabase" localSheetId="0" hidden="1">T.Balance!$A$2:$I$98</definedName>
    <definedName name="_xlnm.Print_Area" localSheetId="2">'Balance Sheet '!$A$1:$E$41</definedName>
    <definedName name="_xlnm.Print_Area" localSheetId="4">'Dep schedule'!$B$2:$BV$18</definedName>
    <definedName name="_xlnm.Print_Area" localSheetId="3">'P &amp; L'!$A$1:$D$30</definedName>
    <definedName name="_xlnm.Print_Area" localSheetId="0">T.Balance!$A$1:$G$98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6" l="1"/>
  <c r="B64" i="6"/>
  <c r="B76" i="6"/>
  <c r="C8" i="7"/>
  <c r="G73" i="6"/>
  <c r="D10" i="5" s="1"/>
  <c r="E13" i="6"/>
  <c r="L7" i="6"/>
  <c r="C12" i="7" l="1"/>
  <c r="H16" i="7"/>
  <c r="H24" i="7" s="1"/>
  <c r="H29" i="7" s="1"/>
  <c r="F64" i="6" l="1"/>
  <c r="F13" i="6"/>
  <c r="C97" i="6" l="1"/>
  <c r="B97" i="6"/>
  <c r="G22" i="6" l="1"/>
  <c r="F21" i="6"/>
  <c r="F20" i="6"/>
  <c r="I17" i="7"/>
  <c r="F96" i="6" l="1"/>
  <c r="G46" i="6" l="1"/>
  <c r="F29" i="6"/>
  <c r="G70" i="6"/>
  <c r="C14" i="7" s="1"/>
  <c r="I14" i="7" s="1"/>
  <c r="D18" i="14" l="1"/>
  <c r="D26" i="14"/>
  <c r="D7" i="14" l="1"/>
  <c r="D5" i="14"/>
  <c r="G50" i="6"/>
  <c r="C26" i="7" l="1"/>
  <c r="I26" i="7" s="1"/>
  <c r="G40" i="6" l="1"/>
  <c r="F80" i="6"/>
  <c r="F84" i="6" l="1"/>
  <c r="C22" i="7" s="1"/>
  <c r="F89" i="6" l="1"/>
  <c r="F32" i="6" l="1"/>
  <c r="C16" i="4" s="1"/>
  <c r="BU21" i="12" l="1"/>
  <c r="G49" i="6" l="1"/>
  <c r="G55" i="6"/>
  <c r="BT10" i="12" l="1"/>
  <c r="G72" i="6"/>
  <c r="C10" i="7" s="1"/>
  <c r="C51" i="5" l="1"/>
  <c r="G71" i="6" l="1"/>
  <c r="G104" i="6" s="1"/>
  <c r="F85" i="6" l="1"/>
  <c r="C3" i="7" l="1"/>
  <c r="F90" i="6"/>
  <c r="F93" i="6" l="1"/>
  <c r="G54" i="6" l="1"/>
  <c r="F26" i="6" l="1"/>
  <c r="G52" i="6" l="1"/>
  <c r="K26" i="6" s="1"/>
  <c r="F77" i="6"/>
  <c r="F78" i="6"/>
  <c r="C15" i="4" l="1"/>
  <c r="F76" i="6"/>
  <c r="F31" i="6" l="1"/>
  <c r="C14" i="4" s="1"/>
  <c r="G30" i="6"/>
  <c r="F87" i="6" l="1"/>
  <c r="G38" i="6" l="1"/>
  <c r="G27" i="6" l="1"/>
  <c r="C44" i="5" l="1"/>
  <c r="D42" i="5" l="1"/>
  <c r="B51" i="5" l="1"/>
  <c r="C52" i="5" l="1"/>
  <c r="G57" i="6" l="1"/>
  <c r="G48" i="6" l="1"/>
  <c r="F7" i="6"/>
  <c r="K7" i="6" s="1"/>
  <c r="K70" i="6" l="1"/>
  <c r="M7" i="6"/>
  <c r="D24" i="5"/>
  <c r="F24" i="6"/>
  <c r="C43" i="5" s="1"/>
  <c r="F5" i="6"/>
  <c r="F86" i="6"/>
  <c r="G100" i="6"/>
  <c r="C11" i="7" l="1"/>
  <c r="G44" i="6"/>
  <c r="G37" i="6"/>
  <c r="F15" i="6" l="1"/>
  <c r="D7" i="12" l="1"/>
  <c r="F18" i="6" l="1"/>
  <c r="C45" i="5" l="1"/>
  <c r="E4" i="12" l="1"/>
  <c r="F91" i="6" l="1"/>
  <c r="F19" i="6" l="1"/>
  <c r="F17" i="6"/>
  <c r="D5" i="12"/>
  <c r="D10" i="12" l="1"/>
  <c r="G39" i="6"/>
  <c r="C49" i="5"/>
  <c r="G61" i="6"/>
  <c r="C63" i="5" l="1"/>
  <c r="C48" i="5"/>
  <c r="F75" i="6"/>
  <c r="D11" i="5" l="1"/>
  <c r="K22" i="6"/>
  <c r="F4" i="12" l="1"/>
  <c r="C5" i="12"/>
  <c r="C6" i="12" s="1"/>
  <c r="A18" i="4"/>
  <c r="BO4" i="12" l="1"/>
  <c r="BP4" i="12"/>
  <c r="BN4" i="12"/>
  <c r="BL4" i="12"/>
  <c r="BM4" i="12"/>
  <c r="BK4" i="12"/>
  <c r="BJ4" i="12"/>
  <c r="BI4" i="12"/>
  <c r="BH4" i="12"/>
  <c r="BG4" i="12"/>
  <c r="BF4" i="12"/>
  <c r="BE4" i="12"/>
  <c r="BD4" i="12"/>
  <c r="BC4" i="12"/>
  <c r="BB4" i="12"/>
  <c r="BA4" i="12"/>
  <c r="AX4" i="12"/>
  <c r="AZ4" i="12"/>
  <c r="AY4" i="12"/>
  <c r="AW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I4" i="12"/>
  <c r="R4" i="12"/>
  <c r="Q4" i="12"/>
  <c r="P4" i="12"/>
  <c r="O4" i="12"/>
  <c r="N4" i="12"/>
  <c r="M4" i="12"/>
  <c r="L4" i="12"/>
  <c r="K4" i="12"/>
  <c r="H4" i="12"/>
  <c r="J4" i="12"/>
  <c r="G4" i="12"/>
  <c r="E5" i="12"/>
  <c r="E6" i="12" s="1"/>
  <c r="BU4" i="12" l="1"/>
  <c r="AV4" i="12"/>
  <c r="AI4" i="12"/>
  <c r="E7" i="12"/>
  <c r="F6" i="12"/>
  <c r="F5" i="12"/>
  <c r="BO5" i="12" l="1"/>
  <c r="BP5" i="12"/>
  <c r="BP6" i="12"/>
  <c r="BO6" i="12"/>
  <c r="BN6" i="12"/>
  <c r="BN5" i="12"/>
  <c r="BL6" i="12"/>
  <c r="BM6" i="12"/>
  <c r="BL5" i="12"/>
  <c r="BM5" i="12"/>
  <c r="BI5" i="12"/>
  <c r="BJ5" i="12"/>
  <c r="BK5" i="12"/>
  <c r="BI6" i="12"/>
  <c r="BJ6" i="12"/>
  <c r="BK6" i="12"/>
  <c r="BH5" i="12"/>
  <c r="BG5" i="12"/>
  <c r="BF5" i="12"/>
  <c r="BE5" i="12"/>
  <c r="BD5" i="12"/>
  <c r="BC5" i="12"/>
  <c r="BB5" i="12"/>
  <c r="BH6" i="12"/>
  <c r="BG6" i="12"/>
  <c r="BF6" i="12"/>
  <c r="BE6" i="12"/>
  <c r="BD6" i="12"/>
  <c r="BC6" i="12"/>
  <c r="BB6" i="12"/>
  <c r="BA6" i="12"/>
  <c r="AY6" i="12"/>
  <c r="AZ6" i="12"/>
  <c r="AW6" i="12"/>
  <c r="AX6" i="12"/>
  <c r="BA5" i="12"/>
  <c r="AX5" i="12"/>
  <c r="AY5" i="12"/>
  <c r="AW5" i="12"/>
  <c r="AZ5" i="12"/>
  <c r="BV4" i="12"/>
  <c r="AU5" i="12"/>
  <c r="AT5" i="12"/>
  <c r="AS5" i="12"/>
  <c r="AR5" i="12"/>
  <c r="AQ5" i="12"/>
  <c r="AP5" i="12"/>
  <c r="AU6" i="12"/>
  <c r="AT6" i="12"/>
  <c r="AS6" i="12"/>
  <c r="AR6" i="12"/>
  <c r="AQ6" i="12"/>
  <c r="AP6" i="12"/>
  <c r="AO5" i="12"/>
  <c r="AN5" i="12"/>
  <c r="AM5" i="12"/>
  <c r="AK5" i="12"/>
  <c r="AL5" i="12"/>
  <c r="AJ5" i="12"/>
  <c r="AO6" i="12"/>
  <c r="AN6" i="12"/>
  <c r="AM6" i="12"/>
  <c r="AK6" i="12"/>
  <c r="AL6" i="12"/>
  <c r="AJ6" i="12"/>
  <c r="AH5" i="12"/>
  <c r="AG5" i="12"/>
  <c r="AH6" i="12"/>
  <c r="AG6" i="12"/>
  <c r="AF5" i="12"/>
  <c r="AE5" i="12"/>
  <c r="AD5" i="12"/>
  <c r="AC5" i="12"/>
  <c r="AF6" i="12"/>
  <c r="AE6" i="12"/>
  <c r="AD6" i="12"/>
  <c r="AC6" i="12"/>
  <c r="F7" i="12"/>
  <c r="BS7" i="12" s="1"/>
  <c r="E8" i="12"/>
  <c r="AB5" i="12"/>
  <c r="AA5" i="12"/>
  <c r="Z5" i="12"/>
  <c r="AB6" i="12"/>
  <c r="AA6" i="12"/>
  <c r="Z6" i="12"/>
  <c r="Y5" i="12"/>
  <c r="X5" i="12"/>
  <c r="W5" i="12"/>
  <c r="Y6" i="12"/>
  <c r="X6" i="12"/>
  <c r="W6" i="12"/>
  <c r="H5" i="12"/>
  <c r="V5" i="12"/>
  <c r="U5" i="12"/>
  <c r="T5" i="12"/>
  <c r="S5" i="12"/>
  <c r="V6" i="12"/>
  <c r="U6" i="12"/>
  <c r="T6" i="12"/>
  <c r="S6" i="12"/>
  <c r="R6" i="12"/>
  <c r="Q6" i="12"/>
  <c r="H6" i="12"/>
  <c r="G6" i="12"/>
  <c r="K6" i="12"/>
  <c r="P6" i="12"/>
  <c r="O6" i="12"/>
  <c r="J6" i="12"/>
  <c r="I6" i="12"/>
  <c r="N6" i="12"/>
  <c r="M6" i="12"/>
  <c r="L6" i="12"/>
  <c r="G5" i="12"/>
  <c r="R5" i="12"/>
  <c r="Q5" i="12"/>
  <c r="P5" i="12"/>
  <c r="O5" i="12"/>
  <c r="N5" i="12"/>
  <c r="M5" i="12"/>
  <c r="M10" i="12" s="1"/>
  <c r="L5" i="12"/>
  <c r="K5" i="12"/>
  <c r="I5" i="12"/>
  <c r="J5" i="12"/>
  <c r="BU5" i="12" l="1"/>
  <c r="BU6" i="12"/>
  <c r="BQ7" i="12"/>
  <c r="BR7" i="12"/>
  <c r="BP7" i="12"/>
  <c r="BO7" i="12"/>
  <c r="BN7" i="12"/>
  <c r="BL7" i="12"/>
  <c r="BM7" i="12"/>
  <c r="BK7" i="12"/>
  <c r="BI7" i="12"/>
  <c r="BJ7" i="12"/>
  <c r="BH7" i="12"/>
  <c r="BG7" i="12"/>
  <c r="BF7" i="12"/>
  <c r="BE7" i="12"/>
  <c r="BD7" i="12"/>
  <c r="BC7" i="12"/>
  <c r="BB7" i="12"/>
  <c r="BA7" i="12"/>
  <c r="AY7" i="12"/>
  <c r="AW7" i="12"/>
  <c r="AX7" i="12"/>
  <c r="AZ7" i="12"/>
  <c r="J10" i="12"/>
  <c r="AA7" i="12"/>
  <c r="AA10" i="12" s="1"/>
  <c r="AU7" i="12"/>
  <c r="AT7" i="12"/>
  <c r="AS7" i="12"/>
  <c r="AR7" i="12"/>
  <c r="AQ7" i="12"/>
  <c r="AP7" i="12"/>
  <c r="AV5" i="12"/>
  <c r="AV6" i="12"/>
  <c r="V7" i="12"/>
  <c r="V10" i="12" s="1"/>
  <c r="Z7" i="12"/>
  <c r="Z10" i="12" s="1"/>
  <c r="F8" i="12"/>
  <c r="BS8" i="12" s="1"/>
  <c r="E9" i="12"/>
  <c r="F9" i="12" s="1"/>
  <c r="BS9" i="12" s="1"/>
  <c r="AO7" i="12"/>
  <c r="AN7" i="12"/>
  <c r="AM7" i="12"/>
  <c r="AK7" i="12"/>
  <c r="AL7" i="12"/>
  <c r="AJ7" i="12"/>
  <c r="AB7" i="12"/>
  <c r="AB10" i="12" s="1"/>
  <c r="AH7" i="12"/>
  <c r="AG7" i="12"/>
  <c r="W7" i="12"/>
  <c r="W10" i="12" s="1"/>
  <c r="X7" i="12"/>
  <c r="X10" i="12" s="1"/>
  <c r="Y7" i="12"/>
  <c r="Y10" i="12" s="1"/>
  <c r="AI6" i="12"/>
  <c r="S10" i="12"/>
  <c r="N10" i="12"/>
  <c r="H10" i="12"/>
  <c r="AF7" i="12"/>
  <c r="AE7" i="12"/>
  <c r="AD7" i="12"/>
  <c r="AC7" i="12"/>
  <c r="L10" i="12"/>
  <c r="I10" i="12"/>
  <c r="R10" i="12"/>
  <c r="K10" i="12"/>
  <c r="AI5" i="12"/>
  <c r="T10" i="12"/>
  <c r="U10" i="12"/>
  <c r="Q10" i="12"/>
  <c r="O10" i="12"/>
  <c r="G10" i="12"/>
  <c r="P10" i="12"/>
  <c r="BU7" i="12" l="1"/>
  <c r="BS10" i="12"/>
  <c r="BV5" i="12"/>
  <c r="BQ8" i="12"/>
  <c r="BR8" i="12"/>
  <c r="BQ9" i="12"/>
  <c r="BR9" i="12"/>
  <c r="BR10" i="12" s="1"/>
  <c r="BO9" i="12"/>
  <c r="BP9" i="12"/>
  <c r="BO8" i="12"/>
  <c r="BP8" i="12"/>
  <c r="BN9" i="12"/>
  <c r="BN8" i="12"/>
  <c r="BL9" i="12"/>
  <c r="BM9" i="12"/>
  <c r="BL8" i="12"/>
  <c r="BM8" i="12"/>
  <c r="BJ9" i="12"/>
  <c r="BK9" i="12"/>
  <c r="BI9" i="12"/>
  <c r="BI8" i="12"/>
  <c r="BJ8" i="12"/>
  <c r="BK8" i="12"/>
  <c r="BH9" i="12"/>
  <c r="BG9" i="12"/>
  <c r="BF9" i="12"/>
  <c r="BE9" i="12"/>
  <c r="BD9" i="12"/>
  <c r="BC9" i="12"/>
  <c r="BB9" i="12"/>
  <c r="BH8" i="12"/>
  <c r="BG8" i="12"/>
  <c r="BF8" i="12"/>
  <c r="BE8" i="12"/>
  <c r="BD8" i="12"/>
  <c r="BC8" i="12"/>
  <c r="BB8" i="12"/>
  <c r="BV6" i="12"/>
  <c r="BA8" i="12"/>
  <c r="AZ8" i="12"/>
  <c r="AY8" i="12"/>
  <c r="AW8" i="12"/>
  <c r="AX8" i="12"/>
  <c r="BA9" i="12"/>
  <c r="AZ9" i="12"/>
  <c r="AY9" i="12"/>
  <c r="AW9" i="12"/>
  <c r="AX9" i="12"/>
  <c r="AU9" i="12"/>
  <c r="AT9" i="12"/>
  <c r="AS9" i="12"/>
  <c r="AR9" i="12"/>
  <c r="AQ9" i="12"/>
  <c r="AP9" i="12"/>
  <c r="AU8" i="12"/>
  <c r="AT8" i="12"/>
  <c r="AS8" i="12"/>
  <c r="AR8" i="12"/>
  <c r="AQ8" i="12"/>
  <c r="AP8" i="12"/>
  <c r="AV7" i="12"/>
  <c r="AO8" i="12"/>
  <c r="AO10" i="12" s="1"/>
  <c r="AN8" i="12"/>
  <c r="AN10" i="12" s="1"/>
  <c r="AM8" i="12"/>
  <c r="AM10" i="12" s="1"/>
  <c r="AL8" i="12"/>
  <c r="AL10" i="12" s="1"/>
  <c r="AK8" i="12"/>
  <c r="AK10" i="12" s="1"/>
  <c r="AJ8" i="12"/>
  <c r="AE8" i="12"/>
  <c r="AE10" i="12" s="1"/>
  <c r="AG8" i="12"/>
  <c r="AG10" i="12" s="1"/>
  <c r="AD8" i="12"/>
  <c r="AF8" i="12"/>
  <c r="AF10" i="12" s="1"/>
  <c r="AH8" i="12"/>
  <c r="AH10" i="12" s="1"/>
  <c r="AI7" i="12"/>
  <c r="AC10" i="12"/>
  <c r="B8" i="5"/>
  <c r="A11" i="7" s="1"/>
  <c r="BU9" i="12" l="1"/>
  <c r="BU8" i="12"/>
  <c r="BQ10" i="12"/>
  <c r="BM10" i="12"/>
  <c r="BP10" i="12"/>
  <c r="BJ10" i="12"/>
  <c r="BL10" i="12"/>
  <c r="BO10" i="12"/>
  <c r="BN10" i="12"/>
  <c r="BI10" i="12"/>
  <c r="BK10" i="12"/>
  <c r="BF10" i="12"/>
  <c r="BH10" i="12"/>
  <c r="D97" i="6"/>
  <c r="BC10" i="12"/>
  <c r="BD10" i="12"/>
  <c r="BE10" i="12"/>
  <c r="BB10" i="12"/>
  <c r="AZ10" i="12"/>
  <c r="BG10" i="12"/>
  <c r="BA10" i="12"/>
  <c r="AX10" i="12"/>
  <c r="AR10" i="12"/>
  <c r="AS10" i="12"/>
  <c r="BV7" i="12"/>
  <c r="AY10" i="12"/>
  <c r="AU10" i="12"/>
  <c r="AW10" i="12"/>
  <c r="AQ10" i="12"/>
  <c r="AT10" i="12"/>
  <c r="AI8" i="12"/>
  <c r="AI10" i="12" s="1"/>
  <c r="AV8" i="12"/>
  <c r="AV9" i="12"/>
  <c r="AP10" i="12"/>
  <c r="AD10" i="12"/>
  <c r="AJ10" i="12"/>
  <c r="G25" i="6"/>
  <c r="F9" i="6"/>
  <c r="C24" i="4" l="1"/>
  <c r="H15" i="4" s="1"/>
  <c r="BU10" i="12"/>
  <c r="D37" i="5"/>
  <c r="C18" i="4" s="1"/>
  <c r="BV9" i="12"/>
  <c r="BV8" i="12"/>
  <c r="AV10" i="12"/>
  <c r="C41" i="5"/>
  <c r="C59" i="5"/>
  <c r="BV10" i="12" l="1"/>
  <c r="BV13" i="12" s="1"/>
  <c r="C7" i="7"/>
  <c r="BV12" i="12" l="1"/>
  <c r="C7" i="4"/>
  <c r="F79" i="6" l="1"/>
  <c r="F81" i="6"/>
  <c r="F82" i="6"/>
  <c r="F83" i="6"/>
  <c r="D12" i="5" s="1"/>
  <c r="B20" i="5"/>
  <c r="B52" i="5"/>
  <c r="D20" i="5"/>
  <c r="G51" i="6"/>
  <c r="C29" i="4" s="1"/>
  <c r="C21" i="7" l="1"/>
  <c r="D13" i="5"/>
  <c r="C20" i="7"/>
  <c r="I20" i="7" s="1"/>
  <c r="F104" i="6"/>
  <c r="G105" i="6" s="1"/>
  <c r="F100" i="6"/>
  <c r="G101" i="6" s="1"/>
  <c r="C9" i="7"/>
  <c r="B42" i="5" l="1"/>
  <c r="B41" i="5"/>
  <c r="B40" i="5"/>
  <c r="B46" i="5"/>
  <c r="B33" i="5"/>
  <c r="G35" i="6" l="1"/>
  <c r="D19" i="5"/>
  <c r="C19" i="7" s="1"/>
  <c r="I19" i="7" s="1"/>
  <c r="G60" i="6"/>
  <c r="G59" i="6"/>
  <c r="C61" i="5" s="1"/>
  <c r="D33" i="5"/>
  <c r="C62" i="5" l="1"/>
  <c r="C36" i="4"/>
  <c r="C35" i="4"/>
  <c r="D22" i="5"/>
  <c r="C40" i="5"/>
  <c r="G97" i="6"/>
  <c r="C9" i="4"/>
  <c r="C46" i="5"/>
  <c r="B49" i="5"/>
  <c r="B48" i="5"/>
  <c r="B45" i="5"/>
  <c r="D23" i="5"/>
  <c r="D25" i="5" l="1"/>
  <c r="C8" i="4" s="1"/>
  <c r="C64" i="5" l="1"/>
  <c r="C38" i="4" l="1"/>
  <c r="C98" i="6" l="1"/>
  <c r="B15" i="5" l="1"/>
  <c r="B16" i="5"/>
  <c r="D16" i="5"/>
  <c r="D15" i="5" l="1"/>
  <c r="C28" i="7" l="1"/>
  <c r="I28" i="7" s="1"/>
  <c r="C16" i="7" l="1"/>
  <c r="I16" i="7" s="1"/>
  <c r="C24" i="7" l="1"/>
  <c r="I24" i="7" s="1"/>
  <c r="B19" i="5"/>
  <c r="B11" i="5"/>
  <c r="B7" i="13" l="1"/>
  <c r="B9" i="13" s="1"/>
  <c r="C27" i="7" s="1"/>
  <c r="C56" i="5"/>
  <c r="C60" i="5"/>
  <c r="C29" i="7" l="1"/>
  <c r="C32" i="7" s="1"/>
  <c r="I27" i="7"/>
  <c r="C65" i="5"/>
  <c r="G107" i="6" l="1"/>
  <c r="C37" i="4"/>
  <c r="I29" i="7"/>
  <c r="A28" i="7"/>
  <c r="A27" i="7"/>
  <c r="A26" i="7"/>
  <c r="C50" i="5" l="1"/>
  <c r="B8" i="4" l="1"/>
  <c r="C33" i="4" l="1"/>
  <c r="C53" i="5"/>
  <c r="B50" i="5"/>
  <c r="B47" i="5"/>
  <c r="D66" i="5" l="1"/>
  <c r="B23" i="5"/>
  <c r="B22" i="5"/>
  <c r="C25" i="4" l="1"/>
  <c r="L17" i="8"/>
  <c r="E17" i="8"/>
  <c r="B33" i="4" l="1"/>
  <c r="D29" i="4" l="1"/>
  <c r="B28" i="4"/>
  <c r="B24" i="4" l="1"/>
  <c r="D23" i="4"/>
  <c r="B63" i="5" l="1"/>
  <c r="D36" i="4"/>
  <c r="B62" i="5"/>
  <c r="D35" i="4"/>
  <c r="B61" i="5"/>
  <c r="D34" i="4"/>
  <c r="B60" i="5"/>
  <c r="D33" i="4"/>
  <c r="B59" i="5"/>
  <c r="B58" i="5"/>
  <c r="C57" i="5"/>
  <c r="C28" i="4" l="1"/>
  <c r="D8" i="4" l="1"/>
  <c r="C30" i="4" l="1"/>
  <c r="D28" i="4" l="1"/>
  <c r="D24" i="4" l="1"/>
  <c r="C39" i="4" l="1"/>
  <c r="D37" i="4"/>
  <c r="C40" i="4" l="1"/>
  <c r="E97" i="6" l="1"/>
  <c r="E98" i="6" s="1"/>
  <c r="F97" i="6"/>
  <c r="G98" i="6" s="1"/>
  <c r="D28" i="5" l="1"/>
  <c r="C10" i="4" l="1"/>
  <c r="C12" i="4" s="1"/>
  <c r="C19" i="4" s="1"/>
  <c r="C42" i="4" s="1"/>
  <c r="D67" i="5"/>
  <c r="D6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Sandeep Viswanathan</author>
  </authors>
  <commentList>
    <comment ref="D31" authorId="0" shapeId="0" xr:uid="{453C0B68-6813-479A-8795-05849C0DA413}">
      <text>
        <r>
          <rPr>
            <b/>
            <sz val="9"/>
            <color indexed="81"/>
            <rFont val="Tahoma"/>
            <family val="2"/>
          </rPr>
          <t>Sandeep Viswanathan:</t>
        </r>
        <r>
          <rPr>
            <sz val="9"/>
            <color indexed="81"/>
            <rFont val="Tahoma"/>
            <family val="2"/>
          </rPr>
          <t xml:space="preserve">
Land lease pending from Nov-21 till Mar 2022 P.m  458.333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tc={F898492B-F0E7-4B1B-9909-397E64035897}</author>
  </authors>
  <commentList>
    <comment ref="BV10" authorId="0" shapeId="0" xr:uid="{F898492B-F0E7-4B1B-9909-397E640358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Property sold on 12 Dec 2021 - so fully written off in 201</t>
      </text>
    </comment>
  </commentList>
</comments>
</file>

<file path=xl/sharedStrings.xml><?xml version="1.0" encoding="utf-8"?>
<sst xmlns="http://schemas.openxmlformats.org/spreadsheetml/2006/main" count="1128" uniqueCount="533">
  <si>
    <t>Schedules</t>
  </si>
  <si>
    <t>Interest Income</t>
  </si>
  <si>
    <t>A</t>
  </si>
  <si>
    <t>Rental Income</t>
  </si>
  <si>
    <t xml:space="preserve">Total Income </t>
  </si>
  <si>
    <t>Assets</t>
  </si>
  <si>
    <t>Cash &amp; Cash equivalents</t>
  </si>
  <si>
    <t>Total Assets</t>
  </si>
  <si>
    <t>Liabilities &amp; Shareholders' equity</t>
  </si>
  <si>
    <t>Due to related party</t>
  </si>
  <si>
    <t>J</t>
  </si>
  <si>
    <t>K</t>
  </si>
  <si>
    <t>Total Current liablities</t>
  </si>
  <si>
    <t>Non current liabilities</t>
  </si>
  <si>
    <t xml:space="preserve">Provision for staff Indeminity </t>
  </si>
  <si>
    <t>M</t>
  </si>
  <si>
    <t>Total Non current liabilities</t>
  </si>
  <si>
    <t>Shareholders' equity</t>
  </si>
  <si>
    <t>Share capital</t>
  </si>
  <si>
    <t>Share premium</t>
  </si>
  <si>
    <t>Statutory reserve</t>
  </si>
  <si>
    <t>Voluntary reserve</t>
  </si>
  <si>
    <t>Retained earnings</t>
  </si>
  <si>
    <t>Total liabilities &amp; shareholders' equity</t>
  </si>
  <si>
    <t>Description</t>
  </si>
  <si>
    <t>Amount</t>
  </si>
  <si>
    <t>Interest On Short Term Deposit</t>
  </si>
  <si>
    <t>Other Bank Charges</t>
  </si>
  <si>
    <t>Insurance Charge Payable</t>
  </si>
  <si>
    <t>Provision For Leave Salary</t>
  </si>
  <si>
    <t>Provision For Staff Indemnity</t>
  </si>
  <si>
    <t xml:space="preserve"> </t>
  </si>
  <si>
    <t>N</t>
  </si>
  <si>
    <t>CR</t>
  </si>
  <si>
    <t>Gen. Admin. Exp.</t>
  </si>
  <si>
    <t>Pre operating Exp.</t>
  </si>
  <si>
    <t>Total</t>
  </si>
  <si>
    <t xml:space="preserve"> DR</t>
  </si>
  <si>
    <t>AMAKEN UNITED REAL ESTATE CO.</t>
  </si>
  <si>
    <t>BANK RECONCILIATION</t>
  </si>
  <si>
    <t>BANK</t>
  </si>
  <si>
    <t>:</t>
  </si>
  <si>
    <t>BURGAN BANK</t>
  </si>
  <si>
    <t>GULF BANK</t>
  </si>
  <si>
    <t>A/C. NO.</t>
  </si>
  <si>
    <t>C/A KD-2060293670</t>
  </si>
  <si>
    <t>C/A KD-5447707</t>
  </si>
  <si>
    <t>CODE NO.</t>
  </si>
  <si>
    <t>MONTH</t>
  </si>
  <si>
    <t>Balance as per Bank Statement</t>
  </si>
  <si>
    <t>Less : Cheques issued but not cleared</t>
  </si>
  <si>
    <t xml:space="preserve">Add  : Cheques in transit  </t>
  </si>
  <si>
    <t>Balance as per G/L</t>
  </si>
  <si>
    <t>Cheques not cleared</t>
  </si>
  <si>
    <t>No.#</t>
  </si>
  <si>
    <t>Internet -old Amount</t>
  </si>
  <si>
    <t>Prepared by :-</t>
  </si>
  <si>
    <t>Checked by :-</t>
  </si>
  <si>
    <t>Net Profit ( Loss ) Before KFAS</t>
  </si>
  <si>
    <t>Net Profit ( Loss ) For The Period</t>
  </si>
  <si>
    <t>Related Party Receivables</t>
  </si>
  <si>
    <t>Bad Debt Provision For Other Receivables</t>
  </si>
  <si>
    <t>Investments Unquoted Securities</t>
  </si>
  <si>
    <t>Due To Related Parties</t>
  </si>
  <si>
    <t>Audit Fees Payable</t>
  </si>
  <si>
    <t>Zakat Exp. Payable</t>
  </si>
  <si>
    <t>Due to KFAS</t>
  </si>
  <si>
    <t>Other Accruals</t>
  </si>
  <si>
    <t>Staff Accruals</t>
  </si>
  <si>
    <t>Issued Share Capital</t>
  </si>
  <si>
    <t>Shareholder's Fund</t>
  </si>
  <si>
    <t>Share Premium</t>
  </si>
  <si>
    <t>Statutary  Reserve</t>
  </si>
  <si>
    <t>Voluntry Reserve</t>
  </si>
  <si>
    <t>Retained Earnings</t>
  </si>
  <si>
    <t>Staff Expenses</t>
  </si>
  <si>
    <t>General Expenses</t>
  </si>
  <si>
    <t>CMBC 19/20</t>
  </si>
  <si>
    <t>Other Income</t>
  </si>
  <si>
    <t>Burgan Bank - C/A</t>
  </si>
  <si>
    <t>Bonus Payable</t>
  </si>
  <si>
    <t>Cash Balances</t>
  </si>
  <si>
    <t>Other Receivables</t>
  </si>
  <si>
    <t>Burgan Bank - F/D</t>
  </si>
  <si>
    <t>Retention Shortek - 19&amp;20</t>
  </si>
  <si>
    <t>Lease Obligations</t>
  </si>
  <si>
    <t>Provision for Derwaza</t>
  </si>
  <si>
    <t>Finance Charge</t>
  </si>
  <si>
    <t>Management Fees</t>
  </si>
  <si>
    <t>C</t>
  </si>
  <si>
    <t>KD</t>
  </si>
  <si>
    <t>P &amp; L</t>
  </si>
  <si>
    <t>Balance Sheet</t>
  </si>
  <si>
    <t>DR</t>
  </si>
  <si>
    <t>Insurance - Staff Medical And Group Life</t>
  </si>
  <si>
    <t>Indemnity</t>
  </si>
  <si>
    <t>ZAKAT</t>
  </si>
  <si>
    <t>Total Expenses</t>
  </si>
  <si>
    <t>Acrrued income - Receivable</t>
  </si>
  <si>
    <t>Sr No</t>
  </si>
  <si>
    <t>Post Date</t>
  </si>
  <si>
    <t>Reference</t>
  </si>
  <si>
    <t>Narrative</t>
  </si>
  <si>
    <t>Value Date</t>
  </si>
  <si>
    <t>CHQ WDWAL-INWARD CLEARING</t>
  </si>
  <si>
    <t>1205</t>
  </si>
  <si>
    <t>TRANSFER TO GL ACCOUNT</t>
  </si>
  <si>
    <t>SALARY 216991     1</t>
  </si>
  <si>
    <t>CH</t>
  </si>
  <si>
    <t>CHEQUE WITHDRAWAL - CASH</t>
  </si>
  <si>
    <t>1207</t>
  </si>
  <si>
    <t>1209</t>
  </si>
  <si>
    <t>TRANSFER DEPOSIT</t>
  </si>
  <si>
    <t>CLOSE FD</t>
  </si>
  <si>
    <t>CHEQUE WITHDRAWAL JOURNAL</t>
  </si>
  <si>
    <t>1204</t>
  </si>
  <si>
    <t>1210</t>
  </si>
  <si>
    <t xml:space="preserve">باشنر احكد ~ CID ~ 279020902379 ~ 11 ~ </t>
  </si>
  <si>
    <t>1208</t>
  </si>
  <si>
    <t>B-DINAR SALARY - DR</t>
  </si>
  <si>
    <t>B-DINAR Salary</t>
  </si>
  <si>
    <t>COMMISSION ON B-DINAR  - DR</t>
  </si>
  <si>
    <t>Normal commission for B-DINAR Salary</t>
  </si>
  <si>
    <t>1206</t>
  </si>
  <si>
    <t>1189</t>
  </si>
  <si>
    <t>BULK CHEQUE WITHDRAWAL-INW</t>
  </si>
  <si>
    <t>1211</t>
  </si>
  <si>
    <t>TRANSFER WITHDRAWAL</t>
  </si>
  <si>
    <t>LTR DTD 10.2.2013</t>
  </si>
  <si>
    <t>BONUS  SAL      218642</t>
  </si>
  <si>
    <t>CHQ DEPOSIT JOURNAL - SINGLE</t>
  </si>
  <si>
    <t>46534</t>
  </si>
  <si>
    <t xml:space="preserve">باشنر احكد غبدافحكٍد ~ CID ~ 279020902379 ~ IN ~ </t>
  </si>
  <si>
    <t>TRANSFER</t>
  </si>
  <si>
    <t>AUDIT311212</t>
  </si>
  <si>
    <t>FEE AUDIT CONFIRMATION 31-DEC-2012</t>
  </si>
  <si>
    <t>LTR  DTD 14.2.2013</t>
  </si>
  <si>
    <t>1213</t>
  </si>
  <si>
    <t>NEW FD AS PER REQ</t>
  </si>
  <si>
    <t>1214</t>
  </si>
  <si>
    <t xml:space="preserve">MUBARAK ALI ~ CID ~ 276021503149 ~ IN ~ </t>
  </si>
  <si>
    <t>60764702131</t>
  </si>
  <si>
    <t>SAL219554</t>
  </si>
  <si>
    <t>.CHARGES</t>
  </si>
  <si>
    <t>-1216</t>
  </si>
  <si>
    <t>1215</t>
  </si>
  <si>
    <t>60764702132</t>
  </si>
  <si>
    <t>TELEGRAPHIC TRANSFER DEBIT</t>
  </si>
  <si>
    <t>TTST-21317164</t>
  </si>
  <si>
    <t>31/55414</t>
  </si>
  <si>
    <t>1219</t>
  </si>
  <si>
    <t>1218</t>
  </si>
  <si>
    <t>1220</t>
  </si>
  <si>
    <t>1217</t>
  </si>
  <si>
    <t>1212</t>
  </si>
  <si>
    <t>SAL 03/2013                         221338/3</t>
  </si>
  <si>
    <t>60764703132</t>
  </si>
  <si>
    <t>1221</t>
  </si>
  <si>
    <t xml:space="preserve">METHOU MOUHER ALDEEN ~ CID ~ 270110202359 ~ BD ~ </t>
  </si>
  <si>
    <t>1223</t>
  </si>
  <si>
    <t>1222</t>
  </si>
  <si>
    <t>NEW FD</t>
  </si>
  <si>
    <t>1225</t>
  </si>
  <si>
    <t>1229</t>
  </si>
  <si>
    <t xml:space="preserve">FAYROUZ MOHAMMAD HUSSAIN ~ CID ~ 281092002946 ~ IN ~ </t>
  </si>
  <si>
    <t>1228</t>
  </si>
  <si>
    <t>1226</t>
  </si>
  <si>
    <t>letter dated 26/3/2013 اشارة: ا غ / غ ب/ م ا / 13/175</t>
  </si>
  <si>
    <t>1230</t>
  </si>
  <si>
    <t>1231</t>
  </si>
  <si>
    <t xml:space="preserve">كثٍن كنمٍر افدٍل ~ CID ~ 270110202359 ~ IN ~ </t>
  </si>
  <si>
    <t>1232</t>
  </si>
  <si>
    <t xml:space="preserve">GHALEB SAEED ARBEH ~ CID ~ 274030900913 ~ IQ ~ </t>
  </si>
  <si>
    <t>1233</t>
  </si>
  <si>
    <t xml:space="preserve">EBTEHAL MOHMAD AL GHAZALI ~ CID ~ 276111100722 ~ EG ~ </t>
  </si>
  <si>
    <t>1235</t>
  </si>
  <si>
    <t xml:space="preserve">NABIL FAHMI ~ CID ~ 276081602042 ~ EG ~ </t>
  </si>
  <si>
    <t>LTR DTD 3.4.2013</t>
  </si>
  <si>
    <t>Chequebook cancellation charge</t>
  </si>
  <si>
    <t>1301</t>
  </si>
  <si>
    <t>4156</t>
  </si>
  <si>
    <t xml:space="preserve">USAMAH YOUNES MOHD ~ CID ~ 265120300239 ~ 09 ~ </t>
  </si>
  <si>
    <t>1236</t>
  </si>
  <si>
    <t>-1238</t>
  </si>
  <si>
    <t>1241</t>
  </si>
  <si>
    <t>1237</t>
  </si>
  <si>
    <t>1239</t>
  </si>
  <si>
    <t xml:space="preserve">GHALIB SAEED ERBEH ~ CID ~ 274030900913 ~ IQ ~ </t>
  </si>
  <si>
    <t>DEMAND DRAFT ISSUE DEBIT</t>
  </si>
  <si>
    <t>DDBC-21327542</t>
  </si>
  <si>
    <t>DDBC-21327544</t>
  </si>
  <si>
    <t>1244</t>
  </si>
  <si>
    <t>1245</t>
  </si>
  <si>
    <t xml:space="preserve">HAIDAR MOHAMAD HAIDER ~ CID ~ 275030200073 ~ 01 ~ </t>
  </si>
  <si>
    <t>1246</t>
  </si>
  <si>
    <t>HALA FAWZI ARNAOOT ~ CID ~ 273022400084 ~ LB ~ 65549215</t>
  </si>
  <si>
    <t>SALARY 223661</t>
  </si>
  <si>
    <t>60764704131</t>
  </si>
  <si>
    <t>AS PER LETTER</t>
  </si>
  <si>
    <t>4176</t>
  </si>
  <si>
    <t xml:space="preserve">BASHOUR AHMAD ABDULHAMEED ~ CID ~ 279020902379 ~ IN ~ </t>
  </si>
  <si>
    <t>SALARY 224352</t>
  </si>
  <si>
    <t>1247</t>
  </si>
  <si>
    <t>1251</t>
  </si>
  <si>
    <t>1253</t>
  </si>
  <si>
    <t>1254</t>
  </si>
  <si>
    <t>1240</t>
  </si>
  <si>
    <t>1257</t>
  </si>
  <si>
    <t>1256</t>
  </si>
  <si>
    <t>1258</t>
  </si>
  <si>
    <t>1259</t>
  </si>
  <si>
    <t>1248</t>
  </si>
  <si>
    <t xml:space="preserve">MUBARAK AL NAMWORI ~ CID ~ 265012303109 ~ YE ~ </t>
  </si>
  <si>
    <t>DDBC-21334012</t>
  </si>
  <si>
    <t>1252</t>
  </si>
  <si>
    <t>1261</t>
  </si>
  <si>
    <t>ON CHEQUE BOOK ISSUE - 50 NO.</t>
  </si>
  <si>
    <t>1260</t>
  </si>
  <si>
    <t>1262</t>
  </si>
  <si>
    <t>1263</t>
  </si>
  <si>
    <t>OSAMA YOUNIS ~ CID ~ 265120300239 ~ JO ~ 67046041</t>
  </si>
  <si>
    <t>1250</t>
  </si>
  <si>
    <t>60764705131</t>
  </si>
  <si>
    <t>SAL 226119 MAY</t>
  </si>
  <si>
    <t>1255</t>
  </si>
  <si>
    <t>1264</t>
  </si>
  <si>
    <t xml:space="preserve">LILA SEWAKOUTI ~ CID ~ 286092105286 ~ NP ~ </t>
  </si>
  <si>
    <t>1265</t>
  </si>
  <si>
    <t>1267</t>
  </si>
  <si>
    <t>1269</t>
  </si>
  <si>
    <t>1266</t>
  </si>
  <si>
    <t>1270</t>
  </si>
  <si>
    <t>1268</t>
  </si>
  <si>
    <t>1272</t>
  </si>
  <si>
    <t>1276</t>
  </si>
  <si>
    <t>1274</t>
  </si>
  <si>
    <t>1277</t>
  </si>
  <si>
    <t>SAL 228551</t>
  </si>
  <si>
    <t>60764706131</t>
  </si>
  <si>
    <t>1279</t>
  </si>
  <si>
    <t>1280</t>
  </si>
  <si>
    <t>1281</t>
  </si>
  <si>
    <t>LTR DTD 27.6.2013</t>
  </si>
  <si>
    <t>CLOSE FD AS PER REQ</t>
  </si>
  <si>
    <t>LTR DTD 1.7.2013</t>
  </si>
  <si>
    <t>1278</t>
  </si>
  <si>
    <t>1283</t>
  </si>
  <si>
    <t>1284</t>
  </si>
  <si>
    <t>1282</t>
  </si>
  <si>
    <t>AS PER REQ</t>
  </si>
  <si>
    <t>1286</t>
  </si>
  <si>
    <t xml:space="preserve">BASHOUR AHMED ABDULHAMIED ~ CID ~ 279020902379 ~ IN ~ </t>
  </si>
  <si>
    <t>1285</t>
  </si>
  <si>
    <t>1287</t>
  </si>
  <si>
    <t>1288</t>
  </si>
  <si>
    <t>1290</t>
  </si>
  <si>
    <t xml:space="preserve">HAIDAR MHMD HAIDAR ALZANKAWI ~ CID ~ 275030200073 ~    ~ </t>
  </si>
  <si>
    <t>60764707131</t>
  </si>
  <si>
    <t>SAL 231076</t>
  </si>
  <si>
    <t>1291</t>
  </si>
  <si>
    <t>4241</t>
  </si>
  <si>
    <t xml:space="preserve">BASHOR AHMED ABDULMAJEED ~ CID ~ 279020902379 ~ IN ~ </t>
  </si>
  <si>
    <t>REVERSAL CHQ DEP JOURNAL SINGL</t>
  </si>
  <si>
    <t xml:space="preserve">OSAMA ~ CID ~  ~    ~ </t>
  </si>
  <si>
    <t>1292</t>
  </si>
  <si>
    <t xml:space="preserve">MUBARAK SARAB ~ CID ~ 276021503149 ~ IN ~ </t>
  </si>
  <si>
    <t>4247</t>
  </si>
  <si>
    <t xml:space="preserve">BASHOR AHMAD ~ CID ~ 279020902379 ~ IN ~ </t>
  </si>
  <si>
    <t>1293</t>
  </si>
  <si>
    <t>1294</t>
  </si>
  <si>
    <t>1295</t>
  </si>
  <si>
    <t>1298</t>
  </si>
  <si>
    <t>1289</t>
  </si>
  <si>
    <t>1297</t>
  </si>
  <si>
    <t>1355</t>
  </si>
  <si>
    <t xml:space="preserve">HAIDAR MHMD ALZNKAWI ~ CID ~ 275030200073 ~ KW ~ </t>
  </si>
  <si>
    <t>1300</t>
  </si>
  <si>
    <t>1351</t>
  </si>
  <si>
    <t>1357</t>
  </si>
  <si>
    <t>1354</t>
  </si>
  <si>
    <t>60764708131</t>
  </si>
  <si>
    <t>SAL  233551</t>
  </si>
  <si>
    <t>60764708132</t>
  </si>
  <si>
    <t>1353</t>
  </si>
  <si>
    <t>1361</t>
  </si>
  <si>
    <t>1358</t>
  </si>
  <si>
    <t>1363</t>
  </si>
  <si>
    <t>1364</t>
  </si>
  <si>
    <t xml:space="preserve">GHALEN SAED ARBEH ~ CID ~ 274030900913 ~ IQ ~ </t>
  </si>
  <si>
    <t>TTST-21367798</t>
  </si>
  <si>
    <t>31/63141</t>
  </si>
  <si>
    <t>1366</t>
  </si>
  <si>
    <t>1368</t>
  </si>
  <si>
    <t>1369</t>
  </si>
  <si>
    <t>1362</t>
  </si>
  <si>
    <t>1370</t>
  </si>
  <si>
    <t>60764709131</t>
  </si>
  <si>
    <t>1371</t>
  </si>
  <si>
    <t>SAL 235875</t>
  </si>
  <si>
    <t>1367</t>
  </si>
  <si>
    <t>1372</t>
  </si>
  <si>
    <t>LTR DTD 30.9.2013</t>
  </si>
  <si>
    <t>1376</t>
  </si>
  <si>
    <t>1378</t>
  </si>
  <si>
    <t>1380</t>
  </si>
  <si>
    <t>1379</t>
  </si>
  <si>
    <t>LTR DTD 1.10.2013</t>
  </si>
  <si>
    <t>1373</t>
  </si>
  <si>
    <t>1375</t>
  </si>
  <si>
    <t>1382</t>
  </si>
  <si>
    <t>1384</t>
  </si>
  <si>
    <t>1386</t>
  </si>
  <si>
    <t>1352</t>
  </si>
  <si>
    <t>غكنفة تصدٍ� تن�ٍغ �ف كل             صباح افصباح - صباح افصباح -         خفٍ�م افصباح</t>
  </si>
  <si>
    <t>60764710131</t>
  </si>
  <si>
    <t>SAL 238435</t>
  </si>
  <si>
    <t>1387</t>
  </si>
  <si>
    <t>1393</t>
  </si>
  <si>
    <t>1389</t>
  </si>
  <si>
    <t xml:space="preserve">GHALEB SAEED ~ CID ~ 274030900913 ~ IQ ~ </t>
  </si>
  <si>
    <t>1392</t>
  </si>
  <si>
    <t>1390</t>
  </si>
  <si>
    <t>1391</t>
  </si>
  <si>
    <t>1381</t>
  </si>
  <si>
    <t>1394</t>
  </si>
  <si>
    <t xml:space="preserve">GHALIB SAEED ~ CID ~ 274030900913 ~ IQ ~ </t>
  </si>
  <si>
    <t>1388</t>
  </si>
  <si>
    <t>1397</t>
  </si>
  <si>
    <t>1399</t>
  </si>
  <si>
    <t>1398</t>
  </si>
  <si>
    <t xml:space="preserve">GHALIB SAED ~ CID ~ 2740300900913 ~ IQ ~ </t>
  </si>
  <si>
    <t>TTST-21385933</t>
  </si>
  <si>
    <t>31/66070</t>
  </si>
  <si>
    <t>1401</t>
  </si>
  <si>
    <t xml:space="preserve">EMAD ESSA ~ CID ~ 268030201011 ~ JO ~ </t>
  </si>
  <si>
    <t>1400</t>
  </si>
  <si>
    <t>REV BULK CHEQUE WITHDRAWAL-INW</t>
  </si>
  <si>
    <t>1402</t>
  </si>
  <si>
    <t>1403</t>
  </si>
  <si>
    <t>SAL 241114</t>
  </si>
  <si>
    <t>60764711131</t>
  </si>
  <si>
    <t>1405</t>
  </si>
  <si>
    <t>1296</t>
  </si>
  <si>
    <t>1406</t>
  </si>
  <si>
    <t>1409</t>
  </si>
  <si>
    <t>1408</t>
  </si>
  <si>
    <t xml:space="preserve">MURTDA KATPOLA ~ CID ~ 276091202093 ~ IN ~ </t>
  </si>
  <si>
    <t>1407</t>
  </si>
  <si>
    <t>1395</t>
  </si>
  <si>
    <t>1410</t>
  </si>
  <si>
    <t>1412</t>
  </si>
  <si>
    <t>1414</t>
  </si>
  <si>
    <t>1411</t>
  </si>
  <si>
    <t>1415</t>
  </si>
  <si>
    <t xml:space="preserve">BASHOR AHMED ~ CID ~ 279020902379 ~ IN ~ </t>
  </si>
  <si>
    <t>1413</t>
  </si>
  <si>
    <t>1416</t>
  </si>
  <si>
    <t xml:space="preserve">كحكد غبداففظٍ� با�اثن ~ CID ~ 279031510709 ~ IN ~ </t>
  </si>
  <si>
    <t>1418</t>
  </si>
  <si>
    <t>1420</t>
  </si>
  <si>
    <t>SAL 244615</t>
  </si>
  <si>
    <t>60764712131</t>
  </si>
  <si>
    <t>1423</t>
  </si>
  <si>
    <t>1424</t>
  </si>
  <si>
    <t>1425</t>
  </si>
  <si>
    <t>1422</t>
  </si>
  <si>
    <t>4343</t>
  </si>
  <si>
    <t xml:space="preserve">BASHOUR AHMED ~ CID ~ 279020902379 ~ IN ~ </t>
  </si>
  <si>
    <t>1426</t>
  </si>
  <si>
    <t>1427</t>
  </si>
  <si>
    <t>1428</t>
  </si>
  <si>
    <t>1430</t>
  </si>
  <si>
    <t xml:space="preserve">AMAKEN UNITED REAL ESTATE CO ~ BRN ~ 109468 ~    ~ </t>
  </si>
  <si>
    <t>1432</t>
  </si>
  <si>
    <t>1431</t>
  </si>
  <si>
    <t>Balance</t>
  </si>
  <si>
    <t xml:space="preserve">اماكن </t>
  </si>
  <si>
    <t>عدد الاسهم</t>
  </si>
  <si>
    <t xml:space="preserve">ملكية الصفاة </t>
  </si>
  <si>
    <t xml:space="preserve">نسبه الصفاة </t>
  </si>
  <si>
    <t xml:space="preserve">القيمه الدفتريه </t>
  </si>
  <si>
    <t xml:space="preserve">قيمة الحصه الدفتريه </t>
  </si>
  <si>
    <t>القيمه الدفتريه المعدله *</t>
  </si>
  <si>
    <t xml:space="preserve">قيمة الحصة المعدله </t>
  </si>
  <si>
    <t>العرض السابق</t>
  </si>
  <si>
    <t xml:space="preserve">اسكان </t>
  </si>
  <si>
    <t xml:space="preserve">عدد الاسهم </t>
  </si>
  <si>
    <t>ملكية ol</t>
  </si>
  <si>
    <t xml:space="preserve">نسبه الملكيه </t>
  </si>
  <si>
    <t>فلس</t>
  </si>
  <si>
    <t>التكلفه الدفتريه للسهم</t>
  </si>
  <si>
    <t xml:space="preserve">التكلفه الاجماليه </t>
  </si>
  <si>
    <t xml:space="preserve">سعر السوق </t>
  </si>
  <si>
    <t xml:space="preserve">القيمه السوقيه </t>
  </si>
  <si>
    <t xml:space="preserve">الربخ </t>
  </si>
  <si>
    <t>العرض بدون زياده</t>
  </si>
  <si>
    <t xml:space="preserve">سعر السهم </t>
  </si>
  <si>
    <t xml:space="preserve">عدد اسهم اسكان </t>
  </si>
  <si>
    <t xml:space="preserve">قيمة الصفقه </t>
  </si>
  <si>
    <t>النسبه</t>
  </si>
  <si>
    <t>الربح</t>
  </si>
  <si>
    <t>العرض مع زياده</t>
  </si>
  <si>
    <t>الفرق</t>
  </si>
  <si>
    <t>Rental Income - DMC</t>
  </si>
  <si>
    <t>United Industrial Gas</t>
  </si>
  <si>
    <t>Investment in subsidiary</t>
  </si>
  <si>
    <t>Goodwill</t>
  </si>
  <si>
    <t>Goodwill-UIG</t>
  </si>
  <si>
    <t>Other reserve-goodwill</t>
  </si>
  <si>
    <t>D</t>
  </si>
  <si>
    <t>UIG</t>
  </si>
  <si>
    <t>Other reserve -goodwill</t>
  </si>
  <si>
    <t>Investment in Subs</t>
  </si>
  <si>
    <t>Other reserve</t>
  </si>
  <si>
    <t>Investment in Bada'el</t>
  </si>
  <si>
    <t>General and Administration expenses</t>
  </si>
  <si>
    <t>Investment - in Subsidiary</t>
  </si>
  <si>
    <t>ec,</t>
  </si>
  <si>
    <t>Investment Property</t>
  </si>
  <si>
    <t>Sabhan Plot</t>
  </si>
  <si>
    <t>Share of income</t>
  </si>
  <si>
    <t>Accrued interest payable -Amaken</t>
  </si>
  <si>
    <t>Interest on Amaken loan</t>
  </si>
  <si>
    <t>Amaken United Real Estate -inter co</t>
  </si>
  <si>
    <t>Sahban property expense</t>
  </si>
  <si>
    <t>E</t>
  </si>
  <si>
    <t>Investment property</t>
  </si>
  <si>
    <t xml:space="preserve">Balance Sheet </t>
  </si>
  <si>
    <t>Change in Fair Value of IP</t>
  </si>
  <si>
    <t>Overland -inter co</t>
  </si>
  <si>
    <t>Overland inter co</t>
  </si>
  <si>
    <t>FIXED ASSETS</t>
  </si>
  <si>
    <t>ForkLift</t>
  </si>
  <si>
    <t>Air conditioning</t>
  </si>
  <si>
    <t>Fixed Assets</t>
  </si>
  <si>
    <t>Date of Purchase</t>
  </si>
  <si>
    <t>Dep %</t>
  </si>
  <si>
    <t>Dep Amount</t>
  </si>
  <si>
    <t>NAV</t>
  </si>
  <si>
    <t>Forklift</t>
  </si>
  <si>
    <t>Airconditining</t>
  </si>
  <si>
    <t>PA</t>
  </si>
  <si>
    <t>Sep</t>
  </si>
  <si>
    <t>Oct</t>
  </si>
  <si>
    <t>Nov</t>
  </si>
  <si>
    <t>Dec</t>
  </si>
  <si>
    <t>2016</t>
  </si>
  <si>
    <t xml:space="preserve">Depreciation </t>
  </si>
  <si>
    <t>Accumalated Depreciation</t>
  </si>
  <si>
    <t>Depreciation</t>
  </si>
  <si>
    <t>Deprecation</t>
  </si>
  <si>
    <t>Sabhan Workshop</t>
  </si>
  <si>
    <t>Alternative energy</t>
  </si>
  <si>
    <t>2017</t>
  </si>
  <si>
    <t>20 Nos Fire doors</t>
  </si>
  <si>
    <t>20 Nos fire door</t>
  </si>
  <si>
    <t>Valauation expenses</t>
  </si>
  <si>
    <t>Kamco PF</t>
  </si>
  <si>
    <t>Other receivables</t>
  </si>
  <si>
    <t>2018</t>
  </si>
  <si>
    <t>Other Payable</t>
  </si>
  <si>
    <t>Ventelation installation</t>
  </si>
  <si>
    <t xml:space="preserve">Smoke ventelation </t>
  </si>
  <si>
    <t>Carrying value of Subhan property</t>
  </si>
  <si>
    <t>Sale proceeds from Subhan sale</t>
  </si>
  <si>
    <t>Gain on sale of IP</t>
  </si>
  <si>
    <t>Net gain on sale of IP</t>
  </si>
  <si>
    <t>Fixed assets</t>
  </si>
  <si>
    <t xml:space="preserve">Carrying value of FA dep till Nov 2018 written off </t>
  </si>
  <si>
    <t>Sale of Subhan property under UIG</t>
  </si>
  <si>
    <t>Prepaid Exp - Land Lease</t>
  </si>
  <si>
    <t>2 aircondition</t>
  </si>
  <si>
    <t>Salaries</t>
  </si>
  <si>
    <t>Staff cost</t>
  </si>
  <si>
    <t>Leave</t>
  </si>
  <si>
    <t>Other payables</t>
  </si>
  <si>
    <t>Bonus</t>
  </si>
  <si>
    <t>Subscription - Kuwait Clearing Company</t>
  </si>
  <si>
    <t>Land rental to govt.</t>
  </si>
  <si>
    <t>Prepaid rent</t>
  </si>
  <si>
    <t>Other income</t>
  </si>
  <si>
    <t>Profit on sale Sabhan</t>
  </si>
  <si>
    <t>Profit on sale of IP</t>
  </si>
  <si>
    <t>Property sold on 12 Dec 2021 - so fully written off</t>
  </si>
  <si>
    <t>Other Recievables</t>
  </si>
  <si>
    <t>Add: indemnity Provision</t>
  </si>
  <si>
    <t>Profit for Zakat</t>
  </si>
  <si>
    <t>Zakat 1%</t>
  </si>
  <si>
    <t xml:space="preserve">P&amp;L </t>
  </si>
  <si>
    <t>Writte off of PPE</t>
  </si>
  <si>
    <t>Directors remuneration</t>
  </si>
  <si>
    <t>Directors remuneration Payable</t>
  </si>
  <si>
    <t>Commission payable</t>
  </si>
  <si>
    <t>Entries to be passed</t>
  </si>
  <si>
    <t>Dr</t>
  </si>
  <si>
    <t>Cr</t>
  </si>
  <si>
    <t>Indemnity expense</t>
  </si>
  <si>
    <t>Indemnity accrual</t>
  </si>
  <si>
    <t>Leave expense</t>
  </si>
  <si>
    <t>Leave accrual</t>
  </si>
  <si>
    <t>Provison for Leave and indemnity for the Month Aug 2021</t>
  </si>
  <si>
    <t>Depreciation expenses for Aug 2021</t>
  </si>
  <si>
    <t>Land rent</t>
  </si>
  <si>
    <t>preppaid land rent</t>
  </si>
  <si>
    <t>Audit fees</t>
  </si>
  <si>
    <t>Audit fees Payable</t>
  </si>
  <si>
    <t>Profit on sale Sabhan IP</t>
  </si>
  <si>
    <t>Dr.</t>
  </si>
  <si>
    <t>Cr.</t>
  </si>
  <si>
    <t>Managed Funds (Portfolio 3730530602)</t>
  </si>
  <si>
    <t>Dividend receivables</t>
  </si>
  <si>
    <t>Dividend income</t>
  </si>
  <si>
    <t>Management fee Payable</t>
  </si>
  <si>
    <t>Net gain (loss) on Managed funds FVTPL</t>
  </si>
  <si>
    <t>Managed Rfunds</t>
  </si>
  <si>
    <t>Portfolio with KAMCO</t>
  </si>
  <si>
    <t>Total Non-Current Assets</t>
  </si>
  <si>
    <t>Management fees KAMCO Portfolio</t>
  </si>
  <si>
    <t>Due from Related party</t>
  </si>
  <si>
    <t>KFAS</t>
  </si>
  <si>
    <t>Audit &amp; Professional Fee Expenses</t>
  </si>
  <si>
    <t>1/11/2022 - 30/11/2022</t>
  </si>
  <si>
    <t>Kamco PF - Cash</t>
  </si>
  <si>
    <t>FX Gain / (loss)</t>
  </si>
  <si>
    <t>FX gain / (loss)</t>
  </si>
  <si>
    <t xml:space="preserve">FX gain/(loss) </t>
  </si>
  <si>
    <t>Amaken</t>
  </si>
  <si>
    <t>Investment income (Managed fund)</t>
  </si>
  <si>
    <t>Managed Fund</t>
  </si>
  <si>
    <t>United Industrial Gas Co. K.S.C.C</t>
  </si>
  <si>
    <t>United Industrial Gas Co. K.S.C.C.</t>
  </si>
  <si>
    <t>B</t>
  </si>
  <si>
    <t>Company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</si>
</sst>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#,##0.000"/>
    <numFmt numFmtId="165" formatCode="_(* #,##0_);_(* \(#,##0\);_(* &quot;-&quot;??_);_(@_)"/>
    <numFmt numFmtId="166" formatCode="[$-409]d\-mmm\-yy;@"/>
    <numFmt numFmtId="167" formatCode="[$-409]mmmm\-yy;@"/>
    <numFmt numFmtId="168" formatCode="0.000"/>
    <numFmt numFmtId="169" formatCode="_(* #,##0.000_);_(* \(#,##0.000\);_(* &quot;-&quot;??_);_(@_)"/>
    <numFmt numFmtId="170" formatCode="_(* #,##0.0_);_(* \(#,##0.0\);_(* &quot;-&quot;??_);_(@_)"/>
    <numFmt numFmtId="171" formatCode="##0"/>
    <numFmt numFmtId="172" formatCode="############0.000"/>
    <numFmt numFmtId="173" formatCode="[$-409]d/mmm/yy;@"/>
    <numFmt numFmtId="174" formatCode="[$-409]mmm/yy;@"/>
    <numFmt numFmtId="175" formatCode="_(* #,##0.000_);_(* \(#,##0.000\);_(* &quot;-&quot;???_);_(@_)"/>
    <numFmt numFmtId="176" formatCode="_(* #,##0.0000_);_(* \(#,##0.0000\);_(* &quot;-&quot;??_);_(@_)"/>
    <numFmt numFmtId="177" formatCode="_(* #,##0.000000000_);_(* \(#,##0.000000000\);_(* &quot;-&quot;??_);_(@_)"/>
  </numFmts>
  <fonts count="9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2"/>
      <name val="Cambria"/>
      <family val="1"/>
      <scheme val="major"/>
    </font>
    <font>
      <b/>
      <i/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4"/>
      <name val="Cambria"/>
      <family val="1"/>
      <scheme val="major"/>
    </font>
    <font>
      <u/>
      <sz val="12"/>
      <name val="Cambria"/>
      <family val="1"/>
      <scheme val="major"/>
    </font>
    <font>
      <b/>
      <i/>
      <sz val="12"/>
      <color theme="0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u/>
      <sz val="11"/>
      <name val="Aharoni"/>
      <charset val="177"/>
    </font>
    <font>
      <sz val="11"/>
      <name val="Aharoni"/>
      <charset val="177"/>
    </font>
    <font>
      <u/>
      <sz val="11"/>
      <name val="Aharoni"/>
      <charset val="177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b/>
      <sz val="9"/>
      <name val="Cambria"/>
      <family val="1"/>
      <scheme val="major"/>
    </font>
    <font>
      <u val="singleAccounting"/>
      <sz val="11"/>
      <color theme="1"/>
      <name val="Cambria"/>
      <family val="1"/>
      <scheme val="major"/>
    </font>
    <font>
      <u val="doubleAccounting"/>
      <sz val="11"/>
      <color theme="1"/>
      <name val="Calibri"/>
      <family val="2"/>
      <scheme val="minor"/>
    </font>
    <font>
      <b/>
      <sz val="10"/>
      <name val="Cambria"/>
      <family val="1"/>
      <scheme val="maj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name val="Cambria"/>
      <family val="1"/>
      <scheme val="major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u val="double"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b/>
      <sz val="11"/>
      <name val="Cambria"/>
      <family val="1"/>
      <scheme val="major"/>
    </font>
    <font>
      <b/>
      <sz val="14"/>
      <name val="Calibri"/>
      <family val="2"/>
      <scheme val="minor"/>
    </font>
    <font>
      <sz val="14"/>
      <color theme="1"/>
      <name val="Cambria"/>
      <family val="1"/>
      <scheme val="major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Cambria"/>
      <family val="1"/>
      <scheme val="major"/>
    </font>
    <font>
      <sz val="14"/>
      <name val="Cambria"/>
      <family val="1"/>
      <scheme val="major"/>
    </font>
    <font>
      <b/>
      <sz val="13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i/>
      <sz val="12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sz val="15"/>
      <name val="Cambria"/>
      <family val="1"/>
      <scheme val="major"/>
    </font>
    <font>
      <b/>
      <sz val="12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u val="singleAccounting"/>
      <sz val="12"/>
      <color theme="1" tint="4.9989318521683403E-2"/>
      <name val="Cambria"/>
      <family val="1"/>
      <scheme val="major"/>
    </font>
    <font>
      <b/>
      <sz val="12"/>
      <color rgb="FFC0000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indexed="1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u val="doubleAccounting"/>
      <sz val="12"/>
      <color rgb="FFFF0000"/>
      <name val="Cambria"/>
      <family val="1"/>
      <scheme val="major"/>
    </font>
    <font>
      <sz val="12"/>
      <color rgb="FFFF0000"/>
      <name val="Cambria"/>
      <family val="1"/>
      <scheme val="major"/>
    </font>
    <font>
      <b/>
      <u val="doubleAccounting"/>
      <sz val="12"/>
      <name val="Cambria"/>
      <family val="1"/>
      <scheme val="major"/>
    </font>
    <font>
      <u val="doubleAccounting"/>
      <sz val="12"/>
      <color theme="1"/>
      <name val="Cambria"/>
      <family val="1"/>
      <scheme val="major"/>
    </font>
    <font>
      <b/>
      <u val="singleAccounting"/>
      <sz val="12"/>
      <name val="Cambria"/>
      <family val="1"/>
      <scheme val="major"/>
    </font>
    <font>
      <u val="singleAccounting"/>
      <sz val="12"/>
      <color theme="1"/>
      <name val="Cambria"/>
      <family val="1"/>
      <scheme val="major"/>
    </font>
    <font>
      <b/>
      <u val="singleAccounting"/>
      <sz val="12"/>
      <color theme="1"/>
      <name val="Cambria"/>
      <family val="1"/>
      <scheme val="major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double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8">
    <xf numFmtId="166" fontId="0" fillId="0" borderId="0"/>
    <xf numFmtId="166" fontId="8" fillId="2" borderId="0" applyNumberFormat="0" applyBorder="0" applyAlignment="0" applyProtection="0"/>
    <xf numFmtId="166" fontId="8" fillId="3" borderId="0" applyNumberFormat="0" applyBorder="0" applyAlignment="0" applyProtection="0"/>
    <xf numFmtId="166" fontId="8" fillId="4" borderId="0" applyNumberFormat="0" applyBorder="0" applyAlignment="0" applyProtection="0"/>
    <xf numFmtId="166" fontId="8" fillId="5" borderId="0" applyNumberFormat="0" applyBorder="0" applyAlignment="0" applyProtection="0"/>
    <xf numFmtId="166" fontId="8" fillId="19" borderId="0" applyNumberFormat="0" applyBorder="0" applyAlignment="0" applyProtection="0"/>
    <xf numFmtId="166" fontId="8" fillId="6" borderId="0" applyNumberFormat="0" applyBorder="0" applyAlignment="0" applyProtection="0"/>
    <xf numFmtId="166" fontId="8" fillId="7" borderId="0" applyNumberFormat="0" applyBorder="0" applyAlignment="0" applyProtection="0"/>
    <xf numFmtId="166" fontId="8" fillId="20" borderId="0" applyNumberFormat="0" applyBorder="0" applyAlignment="0" applyProtection="0"/>
    <xf numFmtId="166" fontId="8" fillId="9" borderId="0" applyNumberFormat="0" applyBorder="0" applyAlignment="0" applyProtection="0"/>
    <xf numFmtId="166" fontId="8" fillId="5" borderId="0" applyNumberFormat="0" applyBorder="0" applyAlignment="0" applyProtection="0"/>
    <xf numFmtId="166" fontId="8" fillId="7" borderId="0" applyNumberFormat="0" applyBorder="0" applyAlignment="0" applyProtection="0"/>
    <xf numFmtId="166" fontId="8" fillId="10" borderId="0" applyNumberFormat="0" applyBorder="0" applyAlignment="0" applyProtection="0"/>
    <xf numFmtId="166" fontId="9" fillId="11" borderId="0" applyNumberFormat="0" applyBorder="0" applyAlignment="0" applyProtection="0"/>
    <xf numFmtId="166" fontId="9" fillId="8" borderId="0" applyNumberFormat="0" applyBorder="0" applyAlignment="0" applyProtection="0"/>
    <xf numFmtId="166" fontId="9" fillId="9" borderId="0" applyNumberFormat="0" applyBorder="0" applyAlignment="0" applyProtection="0"/>
    <xf numFmtId="166" fontId="9" fillId="12" borderId="0" applyNumberFormat="0" applyBorder="0" applyAlignment="0" applyProtection="0"/>
    <xf numFmtId="166" fontId="9" fillId="13" borderId="0" applyNumberFormat="0" applyBorder="0" applyAlignment="0" applyProtection="0"/>
    <xf numFmtId="166" fontId="9" fillId="14" borderId="0" applyNumberFormat="0" applyBorder="0" applyAlignment="0" applyProtection="0"/>
    <xf numFmtId="166" fontId="9" fillId="15" borderId="0" applyNumberFormat="0" applyBorder="0" applyAlignment="0" applyProtection="0"/>
    <xf numFmtId="166" fontId="9" fillId="16" borderId="0" applyNumberFormat="0" applyBorder="0" applyAlignment="0" applyProtection="0"/>
    <xf numFmtId="166" fontId="9" fillId="17" borderId="0" applyNumberFormat="0" applyBorder="0" applyAlignment="0" applyProtection="0"/>
    <xf numFmtId="166" fontId="9" fillId="12" borderId="0" applyNumberFormat="0" applyBorder="0" applyAlignment="0" applyProtection="0"/>
    <xf numFmtId="166" fontId="9" fillId="21" borderId="0" applyNumberFormat="0" applyBorder="0" applyAlignment="0" applyProtection="0"/>
    <xf numFmtId="166" fontId="9" fillId="18" borderId="0" applyNumberFormat="0" applyBorder="0" applyAlignment="0" applyProtection="0"/>
    <xf numFmtId="166" fontId="10" fillId="3" borderId="0" applyNumberFormat="0" applyBorder="0" applyAlignment="0" applyProtection="0"/>
    <xf numFmtId="166" fontId="11" fillId="6" borderId="8" applyNumberFormat="0" applyAlignment="0" applyProtection="0"/>
    <xf numFmtId="166" fontId="12" fillId="22" borderId="9" applyNumberFormat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3" fillId="0" borderId="0" applyNumberFormat="0" applyFill="0" applyBorder="0" applyAlignment="0" applyProtection="0"/>
    <xf numFmtId="166" fontId="14" fillId="4" borderId="0" applyNumberFormat="0" applyBorder="0" applyAlignment="0" applyProtection="0"/>
    <xf numFmtId="166" fontId="2" fillId="0" borderId="1" applyNumberFormat="0" applyFill="0" applyAlignment="0" applyProtection="0"/>
    <xf numFmtId="166" fontId="3" fillId="0" borderId="2" applyNumberFormat="0" applyFill="0" applyAlignment="0" applyProtection="0"/>
    <xf numFmtId="166" fontId="4" fillId="0" borderId="3" applyNumberFormat="0" applyFill="0" applyAlignment="0" applyProtection="0"/>
    <xf numFmtId="166" fontId="4" fillId="0" borderId="0" applyNumberFormat="0" applyFill="0" applyBorder="0" applyAlignment="0" applyProtection="0"/>
    <xf numFmtId="166" fontId="15" fillId="6" borderId="8" applyNumberFormat="0" applyAlignment="0" applyProtection="0"/>
    <xf numFmtId="166" fontId="5" fillId="0" borderId="4" applyNumberFormat="0" applyFill="0" applyAlignment="0" applyProtection="0"/>
    <xf numFmtId="166" fontId="16" fillId="23" borderId="0" applyNumberFormat="0" applyBorder="0" applyAlignment="0" applyProtection="0"/>
    <xf numFmtId="166" fontId="7" fillId="0" borderId="0"/>
    <xf numFmtId="166" fontId="1" fillId="24" borderId="10" applyNumberFormat="0" applyFont="0" applyAlignment="0" applyProtection="0"/>
    <xf numFmtId="166" fontId="17" fillId="6" borderId="11" applyNumberFormat="0" applyAlignment="0" applyProtection="0"/>
    <xf numFmtId="166" fontId="6" fillId="0" borderId="0" applyNumberFormat="0" applyFill="0" applyBorder="0" applyAlignment="0" applyProtection="0"/>
    <xf numFmtId="166" fontId="18" fillId="0" borderId="5" applyNumberFormat="0" applyFill="0" applyAlignment="0" applyProtection="0"/>
    <xf numFmtId="166" fontId="19" fillId="0" borderId="0" applyNumberFormat="0" applyFill="0" applyBorder="0" applyAlignment="0" applyProtection="0"/>
    <xf numFmtId="166" fontId="8" fillId="0" borderId="0"/>
    <xf numFmtId="43" fontId="1" fillId="0" borderId="0" applyFont="0" applyFill="0" applyBorder="0" applyAlignment="0" applyProtection="0"/>
    <xf numFmtId="0" fontId="8" fillId="0" borderId="0"/>
    <xf numFmtId="0" fontId="38" fillId="0" borderId="0" applyNumberFormat="0" applyFill="0" applyBorder="0" applyAlignment="0" applyProtection="0"/>
    <xf numFmtId="0" fontId="39" fillId="0" borderId="40" applyNumberFormat="0" applyFill="0" applyAlignment="0" applyProtection="0"/>
    <xf numFmtId="0" fontId="40" fillId="0" borderId="41" applyNumberFormat="0" applyFill="0" applyAlignment="0" applyProtection="0"/>
    <xf numFmtId="0" fontId="41" fillId="0" borderId="42" applyNumberFormat="0" applyFill="0" applyAlignment="0" applyProtection="0"/>
    <xf numFmtId="0" fontId="41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0" fillId="30" borderId="0" applyNumberFormat="0" applyBorder="0" applyAlignment="0" applyProtection="0"/>
    <xf numFmtId="0" fontId="42" fillId="23" borderId="0" applyNumberFormat="0" applyBorder="0" applyAlignment="0" applyProtection="0"/>
    <xf numFmtId="0" fontId="15" fillId="31" borderId="8" applyNumberFormat="0" applyAlignment="0" applyProtection="0"/>
    <xf numFmtId="0" fontId="17" fillId="32" borderId="11" applyNumberFormat="0" applyAlignment="0" applyProtection="0"/>
    <xf numFmtId="0" fontId="43" fillId="32" borderId="8" applyNumberFormat="0" applyAlignment="0" applyProtection="0"/>
    <xf numFmtId="0" fontId="44" fillId="0" borderId="43" applyNumberFormat="0" applyFill="0" applyAlignment="0" applyProtection="0"/>
    <xf numFmtId="0" fontId="12" fillId="22" borderId="9" applyNumberFormat="0" applyAlignment="0" applyProtection="0"/>
    <xf numFmtId="0" fontId="19" fillId="0" borderId="0" applyNumberFormat="0" applyFill="0" applyBorder="0" applyAlignment="0" applyProtection="0"/>
    <xf numFmtId="0" fontId="8" fillId="24" borderId="10" applyNumberFormat="0" applyFont="0" applyAlignment="0" applyProtection="0"/>
    <xf numFmtId="0" fontId="13" fillId="0" borderId="0" applyNumberFormat="0" applyFill="0" applyBorder="0" applyAlignment="0" applyProtection="0"/>
    <xf numFmtId="0" fontId="18" fillId="0" borderId="44" applyNumberFormat="0" applyFill="0" applyAlignment="0" applyProtection="0"/>
    <xf numFmtId="0" fontId="9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20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21" borderId="0" applyNumberFormat="0" applyBorder="0" applyAlignment="0" applyProtection="0"/>
    <xf numFmtId="0" fontId="8" fillId="19" borderId="0" applyNumberFormat="0" applyBorder="0" applyAlignment="0" applyProtection="0"/>
    <xf numFmtId="0" fontId="8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2" borderId="0" applyNumberFormat="0" applyBorder="0" applyAlignment="0" applyProtection="0"/>
    <xf numFmtId="0" fontId="9" fillId="53" borderId="0" applyNumberFormat="0" applyBorder="0" applyAlignment="0" applyProtection="0"/>
    <xf numFmtId="0" fontId="8" fillId="0" borderId="0"/>
    <xf numFmtId="0" fontId="8" fillId="0" borderId="0"/>
    <xf numFmtId="0" fontId="58" fillId="0" borderId="0" applyNumberFormat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</cellStyleXfs>
  <cellXfs count="417">
    <xf numFmtId="166" fontId="0" fillId="0" borderId="0" xfId="0"/>
    <xf numFmtId="3" fontId="0" fillId="0" borderId="0" xfId="0" applyNumberFormat="1"/>
    <xf numFmtId="0" fontId="0" fillId="0" borderId="0" xfId="0" applyNumberFormat="1"/>
    <xf numFmtId="166" fontId="20" fillId="0" borderId="6" xfId="0" applyFont="1" applyBorder="1"/>
    <xf numFmtId="166" fontId="20" fillId="0" borderId="6" xfId="0" applyFont="1" applyBorder="1" applyAlignment="1">
      <alignment horizontal="center"/>
    </xf>
    <xf numFmtId="166" fontId="22" fillId="0" borderId="6" xfId="0" applyFont="1" applyBorder="1" applyAlignment="1">
      <alignment horizontal="centerContinuous"/>
    </xf>
    <xf numFmtId="166" fontId="20" fillId="0" borderId="6" xfId="0" applyFont="1" applyBorder="1" applyAlignment="1">
      <alignment horizontal="left"/>
    </xf>
    <xf numFmtId="166" fontId="22" fillId="0" borderId="6" xfId="0" applyFont="1" applyBorder="1" applyAlignment="1">
      <alignment horizontal="center"/>
    </xf>
    <xf numFmtId="166" fontId="20" fillId="0" borderId="0" xfId="0" applyFont="1"/>
    <xf numFmtId="166" fontId="21" fillId="0" borderId="0" xfId="0" applyFont="1"/>
    <xf numFmtId="167" fontId="23" fillId="0" borderId="0" xfId="0" applyNumberFormat="1" applyFont="1" applyAlignment="1">
      <alignment horizontal="left"/>
    </xf>
    <xf numFmtId="166" fontId="25" fillId="0" borderId="16" xfId="45" applyFont="1" applyBorder="1" applyAlignment="1">
      <alignment horizontal="centerContinuous"/>
    </xf>
    <xf numFmtId="166" fontId="25" fillId="0" borderId="17" xfId="45" applyFont="1" applyBorder="1" applyAlignment="1">
      <alignment horizontal="centerContinuous"/>
    </xf>
    <xf numFmtId="166" fontId="25" fillId="0" borderId="18" xfId="45" applyFont="1" applyBorder="1" applyAlignment="1">
      <alignment horizontal="centerContinuous"/>
    </xf>
    <xf numFmtId="166" fontId="8" fillId="26" borderId="19" xfId="45" applyFill="1" applyBorder="1"/>
    <xf numFmtId="166" fontId="8" fillId="26" borderId="20" xfId="45" applyFill="1" applyBorder="1"/>
    <xf numFmtId="166" fontId="25" fillId="0" borderId="21" xfId="45" applyFont="1" applyBorder="1" applyAlignment="1">
      <alignment horizontal="centerContinuous"/>
    </xf>
    <xf numFmtId="166" fontId="25" fillId="0" borderId="22" xfId="45" applyFont="1" applyBorder="1" applyAlignment="1">
      <alignment horizontal="centerContinuous"/>
    </xf>
    <xf numFmtId="166" fontId="25" fillId="0" borderId="23" xfId="45" applyFont="1" applyBorder="1" applyAlignment="1">
      <alignment horizontal="centerContinuous"/>
    </xf>
    <xf numFmtId="166" fontId="26" fillId="0" borderId="24" xfId="45" applyFont="1" applyBorder="1" applyAlignment="1">
      <alignment horizontal="centerContinuous"/>
    </xf>
    <xf numFmtId="166" fontId="26" fillId="0" borderId="0" xfId="45" applyFont="1" applyAlignment="1">
      <alignment horizontal="centerContinuous"/>
    </xf>
    <xf numFmtId="166" fontId="26" fillId="0" borderId="25" xfId="45" applyFont="1" applyBorder="1" applyAlignment="1">
      <alignment horizontal="centerContinuous"/>
    </xf>
    <xf numFmtId="166" fontId="8" fillId="26" borderId="26" xfId="45" applyFill="1" applyBorder="1"/>
    <xf numFmtId="166" fontId="8" fillId="26" borderId="27" xfId="45" applyFill="1" applyBorder="1"/>
    <xf numFmtId="166" fontId="26" fillId="0" borderId="28" xfId="45" applyFont="1" applyBorder="1" applyAlignment="1">
      <alignment horizontal="centerContinuous"/>
    </xf>
    <xf numFmtId="166" fontId="23" fillId="0" borderId="24" xfId="45" applyFont="1" applyBorder="1"/>
    <xf numFmtId="166" fontId="23" fillId="0" borderId="0" xfId="45" applyFont="1"/>
    <xf numFmtId="166" fontId="27" fillId="27" borderId="0" xfId="45" applyFont="1" applyFill="1"/>
    <xf numFmtId="166" fontId="20" fillId="0" borderId="25" xfId="45" applyFont="1" applyBorder="1"/>
    <xf numFmtId="166" fontId="23" fillId="0" borderId="28" xfId="45" applyFont="1" applyBorder="1"/>
    <xf numFmtId="166" fontId="27" fillId="28" borderId="0" xfId="45" applyFont="1" applyFill="1"/>
    <xf numFmtId="0" fontId="23" fillId="0" borderId="0" xfId="45" applyNumberFormat="1" applyFont="1" applyAlignment="1">
      <alignment horizontal="left"/>
    </xf>
    <xf numFmtId="166" fontId="23" fillId="0" borderId="0" xfId="45" applyFont="1" applyAlignment="1">
      <alignment horizontal="center"/>
    </xf>
    <xf numFmtId="167" fontId="23" fillId="0" borderId="0" xfId="45" applyNumberFormat="1" applyFont="1" applyAlignment="1">
      <alignment horizontal="left"/>
    </xf>
    <xf numFmtId="166" fontId="20" fillId="0" borderId="24" xfId="45" applyFont="1" applyBorder="1"/>
    <xf numFmtId="166" fontId="20" fillId="0" borderId="0" xfId="45" applyFont="1"/>
    <xf numFmtId="166" fontId="20" fillId="0" borderId="28" xfId="45" applyFont="1" applyBorder="1"/>
    <xf numFmtId="168" fontId="28" fillId="27" borderId="29" xfId="45" applyNumberFormat="1" applyFont="1" applyFill="1" applyBorder="1"/>
    <xf numFmtId="168" fontId="28" fillId="28" borderId="29" xfId="45" applyNumberFormat="1" applyFont="1" applyFill="1" applyBorder="1"/>
    <xf numFmtId="0" fontId="20" fillId="0" borderId="24" xfId="45" applyNumberFormat="1" applyFont="1" applyBorder="1" applyAlignment="1">
      <alignment horizontal="left" vertical="top"/>
    </xf>
    <xf numFmtId="168" fontId="20" fillId="0" borderId="0" xfId="45" applyNumberFormat="1" applyFont="1"/>
    <xf numFmtId="166" fontId="24" fillId="0" borderId="25" xfId="45" applyFont="1" applyBorder="1"/>
    <xf numFmtId="0" fontId="20" fillId="0" borderId="28" xfId="45" applyNumberFormat="1" applyFont="1" applyBorder="1" applyAlignment="1">
      <alignment horizontal="left" vertical="top"/>
    </xf>
    <xf numFmtId="164" fontId="20" fillId="0" borderId="25" xfId="45" applyNumberFormat="1" applyFont="1" applyBorder="1"/>
    <xf numFmtId="168" fontId="20" fillId="0" borderId="25" xfId="45" applyNumberFormat="1" applyFont="1" applyBorder="1"/>
    <xf numFmtId="0" fontId="8" fillId="26" borderId="27" xfId="45" applyNumberFormat="1" applyFill="1" applyBorder="1"/>
    <xf numFmtId="168" fontId="21" fillId="0" borderId="30" xfId="45" applyNumberFormat="1" applyFont="1" applyBorder="1"/>
    <xf numFmtId="43" fontId="8" fillId="26" borderId="27" xfId="46" applyFont="1" applyFill="1" applyBorder="1"/>
    <xf numFmtId="168" fontId="29" fillId="0" borderId="24" xfId="45" applyNumberFormat="1" applyFont="1" applyBorder="1" applyAlignment="1">
      <alignment horizontal="center"/>
    </xf>
    <xf numFmtId="166" fontId="30" fillId="0" borderId="0" xfId="45" applyFont="1" applyAlignment="1">
      <alignment horizontal="center"/>
    </xf>
    <xf numFmtId="166" fontId="31" fillId="0" borderId="0" xfId="45" applyFont="1" applyAlignment="1">
      <alignment horizontal="right"/>
    </xf>
    <xf numFmtId="168" fontId="31" fillId="0" borderId="25" xfId="45" applyNumberFormat="1" applyFont="1" applyBorder="1" applyAlignment="1">
      <alignment horizontal="center"/>
    </xf>
    <xf numFmtId="4" fontId="8" fillId="26" borderId="27" xfId="45" applyNumberFormat="1" applyFill="1" applyBorder="1"/>
    <xf numFmtId="168" fontId="30" fillId="0" borderId="24" xfId="45" applyNumberFormat="1" applyFont="1" applyBorder="1" applyAlignment="1">
      <alignment horizontal="center"/>
    </xf>
    <xf numFmtId="43" fontId="24" fillId="0" borderId="0" xfId="46" applyFont="1" applyBorder="1" applyAlignment="1">
      <alignment horizontal="right"/>
    </xf>
    <xf numFmtId="168" fontId="30" fillId="0" borderId="25" xfId="45" applyNumberFormat="1" applyFont="1" applyBorder="1" applyAlignment="1">
      <alignment horizontal="center"/>
    </xf>
    <xf numFmtId="166" fontId="32" fillId="0" borderId="24" xfId="45" applyFont="1" applyBorder="1"/>
    <xf numFmtId="166" fontId="24" fillId="0" borderId="0" xfId="45" applyFont="1"/>
    <xf numFmtId="1" fontId="24" fillId="0" borderId="25" xfId="45" applyNumberFormat="1" applyFont="1" applyBorder="1" applyAlignment="1">
      <alignment horizontal="center"/>
    </xf>
    <xf numFmtId="168" fontId="32" fillId="0" borderId="24" xfId="45" applyNumberFormat="1" applyFont="1" applyBorder="1"/>
    <xf numFmtId="166" fontId="24" fillId="0" borderId="28" xfId="45" applyFont="1" applyBorder="1"/>
    <xf numFmtId="168" fontId="24" fillId="0" borderId="25" xfId="45" applyNumberFormat="1" applyFont="1" applyBorder="1"/>
    <xf numFmtId="168" fontId="33" fillId="0" borderId="24" xfId="45" applyNumberFormat="1" applyFont="1" applyBorder="1"/>
    <xf numFmtId="168" fontId="34" fillId="0" borderId="28" xfId="45" applyNumberFormat="1" applyFont="1" applyBorder="1"/>
    <xf numFmtId="168" fontId="24" fillId="0" borderId="28" xfId="45" applyNumberFormat="1" applyFont="1" applyBorder="1"/>
    <xf numFmtId="43" fontId="35" fillId="0" borderId="0" xfId="46" applyFont="1" applyBorder="1" applyAlignment="1">
      <alignment horizontal="right"/>
    </xf>
    <xf numFmtId="166" fontId="8" fillId="0" borderId="24" xfId="45" applyBorder="1"/>
    <xf numFmtId="166" fontId="8" fillId="0" borderId="0" xfId="45"/>
    <xf numFmtId="43" fontId="36" fillId="0" borderId="0" xfId="46" applyFont="1" applyBorder="1" applyAlignment="1">
      <alignment horizontal="right"/>
    </xf>
    <xf numFmtId="168" fontId="37" fillId="0" borderId="31" xfId="45" applyNumberFormat="1" applyFont="1" applyBorder="1"/>
    <xf numFmtId="166" fontId="24" fillId="0" borderId="24" xfId="45" applyFont="1" applyBorder="1"/>
    <xf numFmtId="166" fontId="24" fillId="0" borderId="32" xfId="45" applyFont="1" applyBorder="1"/>
    <xf numFmtId="166" fontId="24" fillId="0" borderId="33" xfId="45" applyFont="1" applyBorder="1"/>
    <xf numFmtId="166" fontId="24" fillId="0" borderId="34" xfId="45" applyFont="1" applyBorder="1"/>
    <xf numFmtId="166" fontId="8" fillId="26" borderId="35" xfId="45" applyFill="1" applyBorder="1"/>
    <xf numFmtId="166" fontId="8" fillId="26" borderId="36" xfId="45" applyFill="1" applyBorder="1"/>
    <xf numFmtId="166" fontId="8" fillId="0" borderId="37" xfId="45" applyBorder="1"/>
    <xf numFmtId="166" fontId="8" fillId="0" borderId="38" xfId="45" applyBorder="1"/>
    <xf numFmtId="166" fontId="8" fillId="0" borderId="39" xfId="45" applyBorder="1"/>
    <xf numFmtId="166" fontId="45" fillId="0" borderId="0" xfId="0" applyFont="1"/>
    <xf numFmtId="0" fontId="46" fillId="0" borderId="0" xfId="0" applyNumberFormat="1" applyFont="1"/>
    <xf numFmtId="166" fontId="47" fillId="0" borderId="0" xfId="0" applyFont="1"/>
    <xf numFmtId="43" fontId="45" fillId="0" borderId="0" xfId="28" applyFont="1" applyBorder="1" applyAlignment="1">
      <alignment horizontal="right"/>
    </xf>
    <xf numFmtId="43" fontId="45" fillId="0" borderId="0" xfId="28" applyFont="1" applyBorder="1"/>
    <xf numFmtId="43" fontId="45" fillId="0" borderId="0" xfId="28" applyFont="1"/>
    <xf numFmtId="3" fontId="45" fillId="0" borderId="0" xfId="0" applyNumberFormat="1" applyFont="1"/>
    <xf numFmtId="165" fontId="0" fillId="0" borderId="0" xfId="28" applyNumberFormat="1" applyFont="1"/>
    <xf numFmtId="166" fontId="22" fillId="0" borderId="6" xfId="0" applyFont="1" applyBorder="1" applyAlignment="1">
      <alignment horizontal="center" vertical="center"/>
    </xf>
    <xf numFmtId="43" fontId="51" fillId="55" borderId="7" xfId="28" applyFont="1" applyFill="1" applyBorder="1" applyAlignment="1">
      <alignment horizontal="center"/>
    </xf>
    <xf numFmtId="165" fontId="21" fillId="54" borderId="0" xfId="28" applyNumberFormat="1" applyFont="1" applyFill="1" applyBorder="1" applyAlignment="1">
      <alignment horizontal="center"/>
    </xf>
    <xf numFmtId="165" fontId="48" fillId="55" borderId="0" xfId="28" applyNumberFormat="1" applyFont="1" applyFill="1" applyBorder="1" applyAlignment="1">
      <alignment horizontal="right"/>
    </xf>
    <xf numFmtId="165" fontId="50" fillId="55" borderId="0" xfId="28" applyNumberFormat="1" applyFont="1" applyFill="1" applyBorder="1"/>
    <xf numFmtId="165" fontId="49" fillId="55" borderId="0" xfId="28" applyNumberFormat="1" applyFont="1" applyFill="1" applyBorder="1" applyAlignment="1">
      <alignment horizontal="right"/>
    </xf>
    <xf numFmtId="165" fontId="51" fillId="55" borderId="0" xfId="28" applyNumberFormat="1" applyFont="1" applyFill="1" applyBorder="1" applyAlignment="1">
      <alignment horizontal="right"/>
    </xf>
    <xf numFmtId="165" fontId="52" fillId="55" borderId="0" xfId="28" applyNumberFormat="1" applyFont="1" applyFill="1" applyBorder="1" applyAlignment="1">
      <alignment horizontal="right"/>
    </xf>
    <xf numFmtId="165" fontId="51" fillId="55" borderId="7" xfId="28" applyNumberFormat="1" applyFont="1" applyFill="1" applyBorder="1" applyAlignment="1">
      <alignment horizontal="center"/>
    </xf>
    <xf numFmtId="166" fontId="18" fillId="0" borderId="0" xfId="0" applyFont="1"/>
    <xf numFmtId="166" fontId="21" fillId="0" borderId="0" xfId="0" applyFont="1" applyAlignment="1">
      <alignment horizontal="center"/>
    </xf>
    <xf numFmtId="166" fontId="54" fillId="0" borderId="0" xfId="0" applyFont="1"/>
    <xf numFmtId="166" fontId="55" fillId="0" borderId="0" xfId="0" applyFont="1" applyAlignment="1">
      <alignment horizontal="center"/>
    </xf>
    <xf numFmtId="0" fontId="56" fillId="0" borderId="0" xfId="0" applyNumberFormat="1" applyFont="1"/>
    <xf numFmtId="0" fontId="46" fillId="25" borderId="0" xfId="0" applyNumberFormat="1" applyFont="1" applyFill="1"/>
    <xf numFmtId="165" fontId="21" fillId="56" borderId="0" xfId="28" applyNumberFormat="1" applyFont="1" applyFill="1" applyBorder="1" applyAlignment="1">
      <alignment horizontal="center"/>
    </xf>
    <xf numFmtId="165" fontId="48" fillId="56" borderId="0" xfId="28" applyNumberFormat="1" applyFont="1" applyFill="1" applyBorder="1" applyAlignment="1">
      <alignment horizontal="right"/>
    </xf>
    <xf numFmtId="165" fontId="50" fillId="56" borderId="0" xfId="28" applyNumberFormat="1" applyFont="1" applyFill="1" applyBorder="1"/>
    <xf numFmtId="165" fontId="49" fillId="56" borderId="0" xfId="28" applyNumberFormat="1" applyFont="1" applyFill="1" applyBorder="1" applyAlignment="1">
      <alignment horizontal="right"/>
    </xf>
    <xf numFmtId="165" fontId="49" fillId="56" borderId="45" xfId="28" applyNumberFormat="1" applyFont="1" applyFill="1" applyBorder="1" applyAlignment="1">
      <alignment horizontal="right"/>
    </xf>
    <xf numFmtId="165" fontId="49" fillId="56" borderId="15" xfId="28" applyNumberFormat="1" applyFont="1" applyFill="1" applyBorder="1" applyAlignment="1">
      <alignment horizontal="right"/>
    </xf>
    <xf numFmtId="165" fontId="51" fillId="56" borderId="14" xfId="28" applyNumberFormat="1" applyFont="1" applyFill="1" applyBorder="1" applyAlignment="1">
      <alignment horizontal="right"/>
    </xf>
    <xf numFmtId="165" fontId="51" fillId="56" borderId="0" xfId="28" applyNumberFormat="1" applyFont="1" applyFill="1" applyBorder="1" applyAlignment="1">
      <alignment horizontal="right"/>
    </xf>
    <xf numFmtId="165" fontId="53" fillId="56" borderId="0" xfId="28" applyNumberFormat="1" applyFont="1" applyFill="1" applyBorder="1" applyAlignment="1">
      <alignment horizontal="right"/>
    </xf>
    <xf numFmtId="43" fontId="51" fillId="56" borderId="7" xfId="28" applyFont="1" applyFill="1" applyBorder="1" applyAlignment="1">
      <alignment horizontal="center"/>
    </xf>
    <xf numFmtId="165" fontId="51" fillId="56" borderId="7" xfId="28" applyNumberFormat="1" applyFont="1" applyFill="1" applyBorder="1" applyAlignment="1">
      <alignment horizontal="center"/>
    </xf>
    <xf numFmtId="165" fontId="51" fillId="55" borderId="15" xfId="28" applyNumberFormat="1" applyFont="1" applyFill="1" applyBorder="1" applyAlignment="1">
      <alignment horizontal="right"/>
    </xf>
    <xf numFmtId="165" fontId="52" fillId="55" borderId="0" xfId="28" applyNumberFormat="1" applyFont="1" applyFill="1" applyBorder="1"/>
    <xf numFmtId="166" fontId="0" fillId="0" borderId="0" xfId="0" applyAlignment="1">
      <alignment horizontal="center"/>
    </xf>
    <xf numFmtId="0" fontId="59" fillId="57" borderId="6" xfId="91" applyNumberFormat="1" applyFont="1" applyFill="1" applyBorder="1" applyAlignment="1">
      <alignment horizontal="center"/>
    </xf>
    <xf numFmtId="171" fontId="58" fillId="56" borderId="6" xfId="91" applyNumberFormat="1" applyFont="1" applyFill="1" applyBorder="1" applyAlignment="1">
      <alignment horizontal="center"/>
    </xf>
    <xf numFmtId="14" fontId="58" fillId="56" borderId="6" xfId="91" applyNumberFormat="1" applyFont="1" applyFill="1" applyBorder="1" applyAlignment="1"/>
    <xf numFmtId="0" fontId="58" fillId="56" borderId="6" xfId="91" applyNumberFormat="1" applyFont="1" applyFill="1" applyBorder="1" applyAlignment="1"/>
    <xf numFmtId="172" fontId="58" fillId="56" borderId="6" xfId="91" applyNumberFormat="1" applyFont="1" applyFill="1" applyBorder="1" applyAlignment="1"/>
    <xf numFmtId="171" fontId="58" fillId="56" borderId="56" xfId="91" applyNumberFormat="1" applyFont="1" applyFill="1" applyBorder="1" applyAlignment="1">
      <alignment horizontal="center"/>
    </xf>
    <xf numFmtId="14" fontId="58" fillId="56" borderId="56" xfId="91" applyNumberFormat="1" applyFont="1" applyFill="1" applyBorder="1" applyAlignment="1"/>
    <xf numFmtId="0" fontId="58" fillId="56" borderId="56" xfId="91" applyNumberFormat="1" applyFont="1" applyFill="1" applyBorder="1" applyAlignment="1"/>
    <xf numFmtId="172" fontId="58" fillId="56" borderId="56" xfId="91" applyNumberFormat="1" applyFont="1" applyFill="1" applyBorder="1" applyAlignment="1"/>
    <xf numFmtId="171" fontId="58" fillId="58" borderId="47" xfId="91" applyNumberFormat="1" applyFont="1" applyFill="1" applyBorder="1" applyAlignment="1">
      <alignment horizontal="center"/>
    </xf>
    <xf numFmtId="14" fontId="58" fillId="58" borderId="47" xfId="91" applyNumberFormat="1" applyFont="1" applyFill="1" applyBorder="1" applyAlignment="1"/>
    <xf numFmtId="0" fontId="58" fillId="58" borderId="47" xfId="91" applyNumberFormat="1" applyFont="1" applyFill="1" applyBorder="1" applyAlignment="1"/>
    <xf numFmtId="172" fontId="58" fillId="58" borderId="47" xfId="91" applyNumberFormat="1" applyFont="1" applyFill="1" applyBorder="1" applyAlignment="1"/>
    <xf numFmtId="171" fontId="58" fillId="58" borderId="6" xfId="91" applyNumberFormat="1" applyFont="1" applyFill="1" applyBorder="1" applyAlignment="1">
      <alignment horizontal="center"/>
    </xf>
    <xf numFmtId="14" fontId="58" fillId="58" borderId="6" xfId="91" applyNumberFormat="1" applyFont="1" applyFill="1" applyBorder="1" applyAlignment="1"/>
    <xf numFmtId="0" fontId="58" fillId="58" borderId="6" xfId="91" applyNumberFormat="1" applyFont="1" applyFill="1" applyBorder="1" applyAlignment="1"/>
    <xf numFmtId="172" fontId="58" fillId="58" borderId="6" xfId="91" applyNumberFormat="1" applyFont="1" applyFill="1" applyBorder="1" applyAlignment="1"/>
    <xf numFmtId="171" fontId="58" fillId="58" borderId="56" xfId="91" applyNumberFormat="1" applyFont="1" applyFill="1" applyBorder="1" applyAlignment="1">
      <alignment horizontal="center"/>
    </xf>
    <xf numFmtId="14" fontId="58" fillId="58" borderId="56" xfId="91" applyNumberFormat="1" applyFont="1" applyFill="1" applyBorder="1" applyAlignment="1"/>
    <xf numFmtId="0" fontId="58" fillId="58" borderId="56" xfId="91" applyNumberFormat="1" applyFont="1" applyFill="1" applyBorder="1" applyAlignment="1"/>
    <xf numFmtId="172" fontId="58" fillId="58" borderId="56" xfId="91" applyNumberFormat="1" applyFont="1" applyFill="1" applyBorder="1" applyAlignment="1"/>
    <xf numFmtId="171" fontId="58" fillId="56" borderId="47" xfId="91" applyNumberFormat="1" applyFont="1" applyFill="1" applyBorder="1" applyAlignment="1">
      <alignment horizontal="center"/>
    </xf>
    <xf numFmtId="14" fontId="58" fillId="56" borderId="47" xfId="91" applyNumberFormat="1" applyFont="1" applyFill="1" applyBorder="1" applyAlignment="1"/>
    <xf numFmtId="0" fontId="58" fillId="56" borderId="47" xfId="91" applyNumberFormat="1" applyFont="1" applyFill="1" applyBorder="1" applyAlignment="1"/>
    <xf numFmtId="172" fontId="58" fillId="56" borderId="47" xfId="91" applyNumberFormat="1" applyFont="1" applyFill="1" applyBorder="1" applyAlignment="1"/>
    <xf numFmtId="0" fontId="8" fillId="0" borderId="0" xfId="97"/>
    <xf numFmtId="10" fontId="0" fillId="0" borderId="0" xfId="92" applyNumberFormat="1" applyFont="1"/>
    <xf numFmtId="165" fontId="0" fillId="0" borderId="0" xfId="94" applyNumberFormat="1" applyFont="1"/>
    <xf numFmtId="165" fontId="8" fillId="0" borderId="0" xfId="97" applyNumberFormat="1"/>
    <xf numFmtId="43" fontId="8" fillId="0" borderId="0" xfId="97" applyNumberFormat="1"/>
    <xf numFmtId="169" fontId="8" fillId="0" borderId="0" xfId="97" applyNumberFormat="1"/>
    <xf numFmtId="168" fontId="8" fillId="0" borderId="0" xfId="97" applyNumberFormat="1"/>
    <xf numFmtId="0" fontId="57" fillId="0" borderId="0" xfId="0" applyNumberFormat="1" applyFont="1"/>
    <xf numFmtId="0" fontId="57" fillId="0" borderId="12" xfId="90" applyFont="1" applyBorder="1"/>
    <xf numFmtId="43" fontId="57" fillId="0" borderId="51" xfId="28" applyFont="1" applyFill="1" applyBorder="1"/>
    <xf numFmtId="43" fontId="57" fillId="0" borderId="52" xfId="28" applyFont="1" applyFill="1" applyBorder="1"/>
    <xf numFmtId="43" fontId="61" fillId="0" borderId="51" xfId="28" applyFont="1" applyFill="1" applyBorder="1"/>
    <xf numFmtId="43" fontId="57" fillId="25" borderId="51" xfId="28" applyFont="1" applyFill="1" applyBorder="1"/>
    <xf numFmtId="43" fontId="57" fillId="25" borderId="52" xfId="28" applyFont="1" applyFill="1" applyBorder="1"/>
    <xf numFmtId="43" fontId="61" fillId="25" borderId="51" xfId="28" applyFont="1" applyFill="1" applyBorder="1"/>
    <xf numFmtId="43" fontId="61" fillId="0" borderId="52" xfId="28" applyFont="1" applyFill="1" applyBorder="1"/>
    <xf numFmtId="165" fontId="57" fillId="0" borderId="12" xfId="28" applyNumberFormat="1" applyFont="1" applyBorder="1" applyAlignment="1">
      <alignment horizontal="left"/>
    </xf>
    <xf numFmtId="43" fontId="57" fillId="0" borderId="59" xfId="28" applyFont="1" applyFill="1" applyBorder="1"/>
    <xf numFmtId="43" fontId="60" fillId="0" borderId="49" xfId="28" applyFont="1" applyFill="1" applyBorder="1"/>
    <xf numFmtId="169" fontId="57" fillId="0" borderId="0" xfId="28" applyNumberFormat="1" applyFont="1"/>
    <xf numFmtId="165" fontId="57" fillId="25" borderId="12" xfId="28" applyNumberFormat="1" applyFont="1" applyFill="1" applyBorder="1" applyAlignment="1">
      <alignment horizontal="left"/>
    </xf>
    <xf numFmtId="0" fontId="57" fillId="25" borderId="12" xfId="90" applyFont="1" applyFill="1" applyBorder="1"/>
    <xf numFmtId="0" fontId="56" fillId="25" borderId="0" xfId="0" applyNumberFormat="1" applyFont="1" applyFill="1"/>
    <xf numFmtId="43" fontId="57" fillId="60" borderId="54" xfId="28" applyFont="1" applyFill="1" applyBorder="1"/>
    <xf numFmtId="43" fontId="57" fillId="60" borderId="55" xfId="28" applyFont="1" applyFill="1" applyBorder="1"/>
    <xf numFmtId="0" fontId="57" fillId="60" borderId="6" xfId="0" applyNumberFormat="1" applyFont="1" applyFill="1" applyBorder="1"/>
    <xf numFmtId="0" fontId="60" fillId="60" borderId="12" xfId="90" applyFont="1" applyFill="1" applyBorder="1"/>
    <xf numFmtId="0" fontId="57" fillId="60" borderId="6" xfId="0" applyNumberFormat="1" applyFont="1" applyFill="1" applyBorder="1" applyAlignment="1">
      <alignment horizontal="center"/>
    </xf>
    <xf numFmtId="0" fontId="60" fillId="60" borderId="6" xfId="90" applyFont="1" applyFill="1" applyBorder="1" applyAlignment="1">
      <alignment horizontal="center"/>
    </xf>
    <xf numFmtId="43" fontId="57" fillId="60" borderId="6" xfId="28" applyFont="1" applyFill="1" applyBorder="1" applyAlignment="1">
      <alignment horizontal="center"/>
    </xf>
    <xf numFmtId="166" fontId="22" fillId="61" borderId="6" xfId="0" applyFont="1" applyFill="1" applyBorder="1" applyAlignment="1">
      <alignment horizontal="centerContinuous"/>
    </xf>
    <xf numFmtId="38" fontId="21" fillId="61" borderId="6" xfId="0" applyNumberFormat="1" applyFont="1" applyFill="1" applyBorder="1" applyAlignment="1">
      <alignment horizontal="center" vertical="center"/>
    </xf>
    <xf numFmtId="166" fontId="22" fillId="61" borderId="6" xfId="0" applyFont="1" applyFill="1" applyBorder="1" applyAlignment="1">
      <alignment horizontal="center"/>
    </xf>
    <xf numFmtId="166" fontId="21" fillId="61" borderId="6" xfId="0" applyFont="1" applyFill="1" applyBorder="1" applyAlignment="1">
      <alignment horizontal="center"/>
    </xf>
    <xf numFmtId="167" fontId="23" fillId="61" borderId="6" xfId="0" applyNumberFormat="1" applyFont="1" applyFill="1" applyBorder="1" applyAlignment="1">
      <alignment horizontal="center"/>
    </xf>
    <xf numFmtId="0" fontId="60" fillId="27" borderId="0" xfId="0" applyNumberFormat="1" applyFont="1" applyFill="1" applyAlignment="1">
      <alignment horizontal="center"/>
    </xf>
    <xf numFmtId="0" fontId="60" fillId="0" borderId="0" xfId="0" applyNumberFormat="1" applyFont="1"/>
    <xf numFmtId="169" fontId="57" fillId="0" borderId="51" xfId="28" applyNumberFormat="1" applyFont="1" applyFill="1" applyBorder="1"/>
    <xf numFmtId="169" fontId="57" fillId="0" borderId="52" xfId="28" applyNumberFormat="1" applyFont="1" applyFill="1" applyBorder="1"/>
    <xf numFmtId="169" fontId="57" fillId="25" borderId="52" xfId="28" applyNumberFormat="1" applyFont="1" applyFill="1" applyBorder="1"/>
    <xf numFmtId="43" fontId="57" fillId="0" borderId="55" xfId="28" applyFont="1" applyFill="1" applyBorder="1"/>
    <xf numFmtId="14" fontId="57" fillId="60" borderId="6" xfId="0" applyNumberFormat="1" applyFont="1" applyFill="1" applyBorder="1" applyAlignment="1">
      <alignment horizontal="center"/>
    </xf>
    <xf numFmtId="169" fontId="0" fillId="0" borderId="0" xfId="28" applyNumberFormat="1" applyFont="1"/>
    <xf numFmtId="43" fontId="0" fillId="0" borderId="0" xfId="28" applyFont="1"/>
    <xf numFmtId="43" fontId="57" fillId="0" borderId="54" xfId="28" applyFont="1" applyFill="1" applyBorder="1"/>
    <xf numFmtId="165" fontId="57" fillId="0" borderId="0" xfId="28" applyNumberFormat="1" applyFont="1"/>
    <xf numFmtId="165" fontId="45" fillId="0" borderId="0" xfId="28" applyNumberFormat="1" applyFont="1" applyBorder="1" applyAlignment="1">
      <alignment horizontal="right"/>
    </xf>
    <xf numFmtId="9" fontId="0" fillId="0" borderId="0" xfId="92" applyFont="1"/>
    <xf numFmtId="166" fontId="18" fillId="0" borderId="0" xfId="0" applyFont="1" applyAlignment="1">
      <alignment horizontal="center"/>
    </xf>
    <xf numFmtId="169" fontId="57" fillId="0" borderId="55" xfId="28" applyNumberFormat="1" applyFont="1" applyFill="1" applyBorder="1"/>
    <xf numFmtId="43" fontId="0" fillId="0" borderId="0" xfId="28" applyFont="1" applyBorder="1"/>
    <xf numFmtId="169" fontId="0" fillId="0" borderId="49" xfId="28" applyNumberFormat="1" applyFont="1" applyBorder="1"/>
    <xf numFmtId="166" fontId="18" fillId="0" borderId="64" xfId="0" applyFont="1" applyBorder="1" applyAlignment="1">
      <alignment horizontal="center"/>
    </xf>
    <xf numFmtId="166" fontId="18" fillId="0" borderId="65" xfId="0" applyFont="1" applyBorder="1" applyAlignment="1">
      <alignment horizontal="center"/>
    </xf>
    <xf numFmtId="169" fontId="0" fillId="0" borderId="64" xfId="28" applyNumberFormat="1" applyFont="1" applyBorder="1"/>
    <xf numFmtId="169" fontId="0" fillId="0" borderId="0" xfId="28" applyNumberFormat="1" applyFont="1" applyBorder="1"/>
    <xf numFmtId="169" fontId="0" fillId="0" borderId="65" xfId="28" applyNumberFormat="1" applyFont="1" applyBorder="1"/>
    <xf numFmtId="169" fontId="18" fillId="0" borderId="59" xfId="28" applyNumberFormat="1" applyFont="1" applyBorder="1"/>
    <xf numFmtId="169" fontId="18" fillId="0" borderId="56" xfId="28" applyNumberFormat="1" applyFont="1" applyBorder="1"/>
    <xf numFmtId="169" fontId="18" fillId="0" borderId="66" xfId="28" applyNumberFormat="1" applyFont="1" applyBorder="1"/>
    <xf numFmtId="169" fontId="18" fillId="0" borderId="56" xfId="28" applyNumberFormat="1" applyFont="1" applyFill="1" applyBorder="1"/>
    <xf numFmtId="166" fontId="18" fillId="0" borderId="67" xfId="0" quotePrefix="1" applyFont="1" applyBorder="1" applyAlignment="1">
      <alignment horizontal="center"/>
    </xf>
    <xf numFmtId="166" fontId="18" fillId="0" borderId="50" xfId="0" quotePrefix="1" applyFont="1" applyBorder="1" applyAlignment="1">
      <alignment horizontal="center"/>
    </xf>
    <xf numFmtId="169" fontId="18" fillId="0" borderId="68" xfId="28" applyNumberFormat="1" applyFont="1" applyFill="1" applyBorder="1"/>
    <xf numFmtId="169" fontId="18" fillId="0" borderId="49" xfId="28" applyNumberFormat="1" applyFont="1" applyFill="1" applyBorder="1"/>
    <xf numFmtId="174" fontId="18" fillId="0" borderId="69" xfId="0" applyNumberFormat="1" applyFont="1" applyBorder="1" applyAlignment="1">
      <alignment horizontal="center"/>
    </xf>
    <xf numFmtId="174" fontId="18" fillId="0" borderId="70" xfId="0" applyNumberFormat="1" applyFont="1" applyBorder="1" applyAlignment="1">
      <alignment horizontal="center"/>
    </xf>
    <xf numFmtId="174" fontId="18" fillId="0" borderId="71" xfId="0" applyNumberFormat="1" applyFont="1" applyBorder="1" applyAlignment="1">
      <alignment horizontal="center"/>
    </xf>
    <xf numFmtId="174" fontId="18" fillId="0" borderId="0" xfId="0" applyNumberFormat="1" applyFont="1" applyAlignment="1">
      <alignment horizontal="center"/>
    </xf>
    <xf numFmtId="166" fontId="0" fillId="0" borderId="69" xfId="0" applyBorder="1"/>
    <xf numFmtId="169" fontId="0" fillId="0" borderId="53" xfId="28" applyNumberFormat="1" applyFont="1" applyBorder="1"/>
    <xf numFmtId="166" fontId="18" fillId="0" borderId="73" xfId="0" applyFont="1" applyBorder="1" applyAlignment="1">
      <alignment horizontal="center"/>
    </xf>
    <xf numFmtId="169" fontId="0" fillId="0" borderId="73" xfId="28" applyNumberFormat="1" applyFont="1" applyBorder="1"/>
    <xf numFmtId="166" fontId="63" fillId="0" borderId="0" xfId="0" applyFont="1" applyAlignment="1">
      <alignment horizontal="center"/>
    </xf>
    <xf numFmtId="166" fontId="18" fillId="0" borderId="72" xfId="0" applyFont="1" applyBorder="1"/>
    <xf numFmtId="165" fontId="0" fillId="0" borderId="0" xfId="28" applyNumberFormat="1" applyFont="1" applyBorder="1"/>
    <xf numFmtId="165" fontId="18" fillId="0" borderId="0" xfId="28" applyNumberFormat="1" applyFont="1" applyBorder="1"/>
    <xf numFmtId="2" fontId="0" fillId="0" borderId="0" xfId="0" applyNumberFormat="1"/>
    <xf numFmtId="165" fontId="18" fillId="0" borderId="0" xfId="28" applyNumberFormat="1" applyFont="1" applyBorder="1" applyAlignment="1">
      <alignment horizontal="center"/>
    </xf>
    <xf numFmtId="169" fontId="18" fillId="57" borderId="49" xfId="28" applyNumberFormat="1" applyFont="1" applyFill="1" applyBorder="1"/>
    <xf numFmtId="169" fontId="0" fillId="57" borderId="73" xfId="28" applyNumberFormat="1" applyFont="1" applyFill="1" applyBorder="1"/>
    <xf numFmtId="0" fontId="61" fillId="0" borderId="12" xfId="0" applyNumberFormat="1" applyFont="1" applyBorder="1"/>
    <xf numFmtId="43" fontId="0" fillId="57" borderId="7" xfId="28" applyFont="1" applyFill="1" applyBorder="1"/>
    <xf numFmtId="169" fontId="66" fillId="63" borderId="69" xfId="94" applyNumberFormat="1" applyFont="1" applyFill="1" applyBorder="1"/>
    <xf numFmtId="169" fontId="67" fillId="63" borderId="70" xfId="94" applyNumberFormat="1" applyFont="1" applyFill="1" applyBorder="1" applyAlignment="1">
      <alignment horizontal="center"/>
    </xf>
    <xf numFmtId="169" fontId="67" fillId="63" borderId="71" xfId="94" applyNumberFormat="1" applyFont="1" applyFill="1" applyBorder="1" applyAlignment="1">
      <alignment horizontal="center"/>
    </xf>
    <xf numFmtId="0" fontId="8" fillId="0" borderId="0" xfId="96"/>
    <xf numFmtId="169" fontId="66" fillId="63" borderId="64" xfId="94" applyNumberFormat="1" applyFont="1" applyFill="1" applyBorder="1"/>
    <xf numFmtId="169" fontId="66" fillId="63" borderId="0" xfId="94" applyNumberFormat="1" applyFont="1" applyFill="1" applyBorder="1"/>
    <xf numFmtId="169" fontId="66" fillId="63" borderId="65" xfId="94" applyNumberFormat="1" applyFont="1" applyFill="1" applyBorder="1"/>
    <xf numFmtId="165" fontId="66" fillId="63" borderId="64" xfId="94" applyNumberFormat="1" applyFont="1" applyFill="1" applyBorder="1" applyAlignment="1">
      <alignment horizontal="center"/>
    </xf>
    <xf numFmtId="169" fontId="68" fillId="63" borderId="0" xfId="94" applyNumberFormat="1" applyFont="1" applyFill="1" applyBorder="1"/>
    <xf numFmtId="169" fontId="69" fillId="63" borderId="0" xfId="94" applyNumberFormat="1" applyFont="1" applyFill="1" applyBorder="1"/>
    <xf numFmtId="165" fontId="66" fillId="63" borderId="53" xfId="94" applyNumberFormat="1" applyFont="1" applyFill="1" applyBorder="1" applyAlignment="1">
      <alignment horizontal="center"/>
    </xf>
    <xf numFmtId="169" fontId="66" fillId="63" borderId="61" xfId="94" applyNumberFormat="1" applyFont="1" applyFill="1" applyBorder="1"/>
    <xf numFmtId="169" fontId="66" fillId="63" borderId="74" xfId="94" applyNumberFormat="1" applyFont="1" applyFill="1" applyBorder="1"/>
    <xf numFmtId="165" fontId="66" fillId="57" borderId="64" xfId="94" applyNumberFormat="1" applyFont="1" applyFill="1" applyBorder="1" applyAlignment="1">
      <alignment horizontal="center"/>
    </xf>
    <xf numFmtId="169" fontId="69" fillId="57" borderId="0" xfId="94" applyNumberFormat="1" applyFont="1" applyFill="1" applyBorder="1"/>
    <xf numFmtId="169" fontId="66" fillId="57" borderId="0" xfId="94" applyNumberFormat="1" applyFont="1" applyFill="1" applyBorder="1"/>
    <xf numFmtId="169" fontId="66" fillId="57" borderId="65" xfId="94" applyNumberFormat="1" applyFont="1" applyFill="1" applyBorder="1"/>
    <xf numFmtId="17" fontId="8" fillId="0" borderId="0" xfId="96" applyNumberFormat="1"/>
    <xf numFmtId="15" fontId="23" fillId="61" borderId="6" xfId="0" applyNumberFormat="1" applyFont="1" applyFill="1" applyBorder="1" applyAlignment="1">
      <alignment horizontal="center"/>
    </xf>
    <xf numFmtId="43" fontId="57" fillId="0" borderId="52" xfId="28" applyFont="1" applyBorder="1"/>
    <xf numFmtId="43" fontId="57" fillId="0" borderId="55" xfId="28" applyFont="1" applyBorder="1"/>
    <xf numFmtId="169" fontId="57" fillId="0" borderId="52" xfId="28" applyNumberFormat="1" applyFont="1" applyBorder="1"/>
    <xf numFmtId="43" fontId="57" fillId="60" borderId="55" xfId="28" applyFont="1" applyFill="1" applyBorder="1" applyAlignment="1">
      <alignment horizontal="center"/>
    </xf>
    <xf numFmtId="43" fontId="57" fillId="25" borderId="55" xfId="28" applyFont="1" applyFill="1" applyBorder="1"/>
    <xf numFmtId="176" fontId="57" fillId="0" borderId="0" xfId="28" applyNumberFormat="1" applyFont="1"/>
    <xf numFmtId="167" fontId="70" fillId="0" borderId="0" xfId="0" applyNumberFormat="1" applyFont="1" applyAlignment="1">
      <alignment horizontal="center"/>
    </xf>
    <xf numFmtId="43" fontId="57" fillId="60" borderId="54" xfId="28" applyFont="1" applyFill="1" applyBorder="1" applyAlignment="1">
      <alignment horizontal="center"/>
    </xf>
    <xf numFmtId="43" fontId="57" fillId="0" borderId="51" xfId="28" applyFont="1" applyBorder="1"/>
    <xf numFmtId="169" fontId="57" fillId="0" borderId="54" xfId="28" applyNumberFormat="1" applyFont="1" applyBorder="1"/>
    <xf numFmtId="169" fontId="57" fillId="25" borderId="54" xfId="28" applyNumberFormat="1" applyFont="1" applyFill="1" applyBorder="1"/>
    <xf numFmtId="169" fontId="57" fillId="0" borderId="51" xfId="28" applyNumberFormat="1" applyFont="1" applyBorder="1"/>
    <xf numFmtId="43" fontId="57" fillId="0" borderId="54" xfId="28" applyFont="1" applyBorder="1"/>
    <xf numFmtId="169" fontId="57" fillId="0" borderId="54" xfId="28" applyNumberFormat="1" applyFont="1" applyFill="1" applyBorder="1"/>
    <xf numFmtId="43" fontId="57" fillId="0" borderId="59" xfId="28" applyFont="1" applyBorder="1"/>
    <xf numFmtId="43" fontId="57" fillId="0" borderId="66" xfId="28" applyFont="1" applyBorder="1"/>
    <xf numFmtId="43" fontId="57" fillId="60" borderId="51" xfId="28" applyFont="1" applyFill="1" applyBorder="1" applyAlignment="1">
      <alignment horizontal="center"/>
    </xf>
    <xf numFmtId="169" fontId="57" fillId="55" borderId="52" xfId="28" applyNumberFormat="1" applyFont="1" applyFill="1" applyBorder="1"/>
    <xf numFmtId="165" fontId="57" fillId="25" borderId="52" xfId="28" applyNumberFormat="1" applyFont="1" applyFill="1" applyBorder="1"/>
    <xf numFmtId="43" fontId="57" fillId="25" borderId="54" xfId="28" applyFont="1" applyFill="1" applyBorder="1"/>
    <xf numFmtId="43" fontId="57" fillId="60" borderId="75" xfId="28" applyFont="1" applyFill="1" applyBorder="1"/>
    <xf numFmtId="169" fontId="61" fillId="25" borderId="52" xfId="28" applyNumberFormat="1" applyFont="1" applyFill="1" applyBorder="1"/>
    <xf numFmtId="43" fontId="60" fillId="25" borderId="51" xfId="28" applyFont="1" applyFill="1" applyBorder="1"/>
    <xf numFmtId="169" fontId="57" fillId="0" borderId="76" xfId="28" applyNumberFormat="1" applyFont="1" applyFill="1" applyBorder="1"/>
    <xf numFmtId="43" fontId="57" fillId="0" borderId="66" xfId="0" applyNumberFormat="1" applyFont="1" applyBorder="1"/>
    <xf numFmtId="43" fontId="57" fillId="0" borderId="66" xfId="28" applyFont="1" applyFill="1" applyBorder="1"/>
    <xf numFmtId="169" fontId="57" fillId="55" borderId="59" xfId="28" applyNumberFormat="1" applyFont="1" applyFill="1" applyBorder="1"/>
    <xf numFmtId="169" fontId="57" fillId="0" borderId="13" xfId="28" applyNumberFormat="1" applyFont="1" applyFill="1" applyBorder="1"/>
    <xf numFmtId="43" fontId="57" fillId="25" borderId="77" xfId="28" applyFont="1" applyFill="1" applyBorder="1"/>
    <xf numFmtId="169" fontId="61" fillId="0" borderId="52" xfId="28" applyNumberFormat="1" applyFont="1" applyFill="1" applyBorder="1"/>
    <xf numFmtId="43" fontId="57" fillId="55" borderId="52" xfId="28" applyFont="1" applyFill="1" applyBorder="1"/>
    <xf numFmtId="43" fontId="57" fillId="55" borderId="76" xfId="28" applyFont="1" applyFill="1" applyBorder="1"/>
    <xf numFmtId="169" fontId="57" fillId="55" borderId="51" xfId="28" applyNumberFormat="1" applyFont="1" applyFill="1" applyBorder="1"/>
    <xf numFmtId="169" fontId="57" fillId="55" borderId="75" xfId="28" applyNumberFormat="1" applyFont="1" applyFill="1" applyBorder="1"/>
    <xf numFmtId="43" fontId="57" fillId="55" borderId="51" xfId="28" applyFont="1" applyFill="1" applyBorder="1"/>
    <xf numFmtId="43" fontId="57" fillId="60" borderId="52" xfId="28" applyFont="1" applyFill="1" applyBorder="1"/>
    <xf numFmtId="0" fontId="24" fillId="0" borderId="0" xfId="0" applyNumberFormat="1" applyFont="1"/>
    <xf numFmtId="0" fontId="24" fillId="59" borderId="0" xfId="0" applyNumberFormat="1" applyFont="1" applyFill="1"/>
    <xf numFmtId="0" fontId="71" fillId="0" borderId="24" xfId="0" applyNumberFormat="1" applyFont="1" applyBorder="1"/>
    <xf numFmtId="43" fontId="24" fillId="0" borderId="0" xfId="0" applyNumberFormat="1" applyFont="1"/>
    <xf numFmtId="0" fontId="74" fillId="0" borderId="0" xfId="0" applyNumberFormat="1" applyFont="1" applyAlignment="1">
      <alignment horizontal="center"/>
    </xf>
    <xf numFmtId="169" fontId="57" fillId="59" borderId="0" xfId="28" applyNumberFormat="1" applyFont="1" applyFill="1"/>
    <xf numFmtId="43" fontId="57" fillId="0" borderId="0" xfId="0" applyNumberFormat="1" applyFont="1"/>
    <xf numFmtId="169" fontId="57" fillId="0" borderId="0" xfId="0" applyNumberFormat="1" applyFont="1"/>
    <xf numFmtId="0" fontId="57" fillId="0" borderId="0" xfId="0" applyNumberFormat="1" applyFont="1" applyAlignment="1">
      <alignment horizontal="center"/>
    </xf>
    <xf numFmtId="14" fontId="57" fillId="0" borderId="0" xfId="0" applyNumberFormat="1" applyFont="1"/>
    <xf numFmtId="176" fontId="24" fillId="0" borderId="0" xfId="0" applyNumberFormat="1" applyFont="1"/>
    <xf numFmtId="3" fontId="74" fillId="64" borderId="49" xfId="0" applyNumberFormat="1" applyFont="1" applyFill="1" applyBorder="1"/>
    <xf numFmtId="169" fontId="24" fillId="0" borderId="0" xfId="0" applyNumberFormat="1" applyFont="1"/>
    <xf numFmtId="175" fontId="24" fillId="0" borderId="0" xfId="0" applyNumberFormat="1" applyFont="1"/>
    <xf numFmtId="169" fontId="74" fillId="0" borderId="0" xfId="0" applyNumberFormat="1" applyFont="1" applyAlignment="1">
      <alignment horizontal="center"/>
    </xf>
    <xf numFmtId="43" fontId="74" fillId="0" borderId="0" xfId="0" applyNumberFormat="1" applyFont="1"/>
    <xf numFmtId="4" fontId="24" fillId="0" borderId="0" xfId="0" applyNumberFormat="1" applyFont="1"/>
    <xf numFmtId="0" fontId="75" fillId="0" borderId="0" xfId="0" applyNumberFormat="1" applyFont="1"/>
    <xf numFmtId="0" fontId="24" fillId="0" borderId="0" xfId="0" applyNumberFormat="1" applyFont="1" applyAlignment="1">
      <alignment horizontal="center"/>
    </xf>
    <xf numFmtId="169" fontId="24" fillId="0" borderId="0" xfId="28" applyNumberFormat="1" applyFont="1"/>
    <xf numFmtId="165" fontId="74" fillId="64" borderId="49" xfId="0" applyNumberFormat="1" applyFont="1" applyFill="1" applyBorder="1"/>
    <xf numFmtId="169" fontId="76" fillId="0" borderId="0" xfId="28" applyNumberFormat="1" applyFont="1" applyBorder="1"/>
    <xf numFmtId="165" fontId="24" fillId="0" borderId="0" xfId="28" applyNumberFormat="1" applyFont="1"/>
    <xf numFmtId="43" fontId="24" fillId="0" borderId="0" xfId="0" applyNumberFormat="1" applyFont="1" applyAlignment="1">
      <alignment horizontal="center"/>
    </xf>
    <xf numFmtId="169" fontId="24" fillId="0" borderId="0" xfId="28" applyNumberFormat="1" applyFont="1" applyFill="1"/>
    <xf numFmtId="169" fontId="24" fillId="0" borderId="0" xfId="0" applyNumberFormat="1" applyFont="1" applyAlignment="1">
      <alignment horizontal="center"/>
    </xf>
    <xf numFmtId="9" fontId="24" fillId="0" borderId="0" xfId="0" applyNumberFormat="1" applyFont="1"/>
    <xf numFmtId="176" fontId="24" fillId="0" borderId="0" xfId="28" applyNumberFormat="1" applyFont="1"/>
    <xf numFmtId="165" fontId="24" fillId="0" borderId="0" xfId="28" applyNumberFormat="1" applyFont="1" applyFill="1"/>
    <xf numFmtId="176" fontId="24" fillId="0" borderId="0" xfId="28" applyNumberFormat="1" applyFont="1" applyFill="1"/>
    <xf numFmtId="0" fontId="74" fillId="0" borderId="0" xfId="0" applyNumberFormat="1" applyFont="1"/>
    <xf numFmtId="165" fontId="74" fillId="0" borderId="0" xfId="28" applyNumberFormat="1" applyFont="1" applyFill="1" applyBorder="1"/>
    <xf numFmtId="177" fontId="24" fillId="0" borderId="0" xfId="0" applyNumberFormat="1" applyFont="1"/>
    <xf numFmtId="43" fontId="24" fillId="0" borderId="0" xfId="28" applyFont="1"/>
    <xf numFmtId="165" fontId="24" fillId="0" borderId="0" xfId="0" applyNumberFormat="1" applyFont="1"/>
    <xf numFmtId="43" fontId="24" fillId="0" borderId="0" xfId="28" applyFont="1" applyFill="1"/>
    <xf numFmtId="165" fontId="74" fillId="0" borderId="0" xfId="0" applyNumberFormat="1" applyFont="1"/>
    <xf numFmtId="169" fontId="60" fillId="0" borderId="0" xfId="28" applyNumberFormat="1" applyFont="1"/>
    <xf numFmtId="166" fontId="77" fillId="61" borderId="49" xfId="0" applyFont="1" applyFill="1" applyBorder="1" applyAlignment="1">
      <alignment horizontal="center"/>
    </xf>
    <xf numFmtId="166" fontId="78" fillId="0" borderId="0" xfId="0" applyFont="1" applyAlignment="1">
      <alignment horizontal="center"/>
    </xf>
    <xf numFmtId="165" fontId="79" fillId="56" borderId="6" xfId="28" applyNumberFormat="1" applyFont="1" applyFill="1" applyBorder="1"/>
    <xf numFmtId="169" fontId="79" fillId="56" borderId="6" xfId="28" applyNumberFormat="1" applyFont="1" applyFill="1" applyBorder="1"/>
    <xf numFmtId="0" fontId="77" fillId="27" borderId="0" xfId="0" applyNumberFormat="1" applyFont="1" applyFill="1" applyAlignment="1">
      <alignment horizontal="center"/>
    </xf>
    <xf numFmtId="0" fontId="80" fillId="0" borderId="0" xfId="0" applyNumberFormat="1" applyFont="1" applyAlignment="1">
      <alignment horizontal="center"/>
    </xf>
    <xf numFmtId="166" fontId="78" fillId="0" borderId="0" xfId="0" applyFont="1"/>
    <xf numFmtId="166" fontId="81" fillId="0" borderId="0" xfId="0" applyFont="1"/>
    <xf numFmtId="165" fontId="20" fillId="56" borderId="6" xfId="28" applyNumberFormat="1" applyFont="1" applyFill="1" applyBorder="1"/>
    <xf numFmtId="169" fontId="20" fillId="56" borderId="6" xfId="28" applyNumberFormat="1" applyFont="1" applyFill="1" applyBorder="1"/>
    <xf numFmtId="169" fontId="78" fillId="0" borderId="0" xfId="28" applyNumberFormat="1" applyFont="1"/>
    <xf numFmtId="165" fontId="78" fillId="0" borderId="0" xfId="28" applyNumberFormat="1" applyFont="1"/>
    <xf numFmtId="165" fontId="82" fillId="56" borderId="6" xfId="28" applyNumberFormat="1" applyFont="1" applyFill="1" applyBorder="1"/>
    <xf numFmtId="169" fontId="82" fillId="56" borderId="6" xfId="28" applyNumberFormat="1" applyFont="1" applyFill="1" applyBorder="1"/>
    <xf numFmtId="165" fontId="83" fillId="56" borderId="6" xfId="28" applyNumberFormat="1" applyFont="1" applyFill="1" applyBorder="1"/>
    <xf numFmtId="169" fontId="83" fillId="56" borderId="6" xfId="28" applyNumberFormat="1" applyFont="1" applyFill="1" applyBorder="1"/>
    <xf numFmtId="169" fontId="84" fillId="56" borderId="6" xfId="28" applyNumberFormat="1" applyFont="1" applyFill="1" applyBorder="1" applyAlignment="1">
      <alignment vertical="center"/>
    </xf>
    <xf numFmtId="165" fontId="78" fillId="0" borderId="0" xfId="28" applyNumberFormat="1" applyFont="1" applyAlignment="1">
      <alignment vertical="center"/>
    </xf>
    <xf numFmtId="43" fontId="78" fillId="0" borderId="0" xfId="28" applyFont="1"/>
    <xf numFmtId="43" fontId="81" fillId="0" borderId="0" xfId="28" applyFont="1"/>
    <xf numFmtId="43" fontId="77" fillId="0" borderId="0" xfId="28" applyFont="1"/>
    <xf numFmtId="169" fontId="81" fillId="0" borderId="0" xfId="28" applyNumberFormat="1" applyFont="1"/>
    <xf numFmtId="165" fontId="81" fillId="0" borderId="0" xfId="28" applyNumberFormat="1" applyFont="1"/>
    <xf numFmtId="166" fontId="20" fillId="0" borderId="0" xfId="0" applyFont="1" applyAlignment="1">
      <alignment horizontal="center"/>
    </xf>
    <xf numFmtId="38" fontId="20" fillId="25" borderId="0" xfId="0" applyNumberFormat="1" applyFont="1" applyFill="1"/>
    <xf numFmtId="38" fontId="21" fillId="61" borderId="49" xfId="0" applyNumberFormat="1" applyFont="1" applyFill="1" applyBorder="1" applyAlignment="1">
      <alignment horizontal="center"/>
    </xf>
    <xf numFmtId="165" fontId="21" fillId="61" borderId="6" xfId="28" applyNumberFormat="1" applyFont="1" applyFill="1" applyBorder="1" applyAlignment="1">
      <alignment horizontal="center"/>
    </xf>
    <xf numFmtId="173" fontId="21" fillId="61" borderId="6" xfId="0" applyNumberFormat="1" applyFont="1" applyFill="1" applyBorder="1" applyAlignment="1">
      <alignment horizontal="center"/>
    </xf>
    <xf numFmtId="166" fontId="77" fillId="0" borderId="0" xfId="0" applyFont="1" applyAlignment="1">
      <alignment horizontal="center"/>
    </xf>
    <xf numFmtId="165" fontId="20" fillId="56" borderId="6" xfId="28" applyNumberFormat="1" applyFont="1" applyFill="1" applyBorder="1" applyAlignment="1">
      <alignment horizontal="center"/>
    </xf>
    <xf numFmtId="165" fontId="81" fillId="0" borderId="6" xfId="28" applyNumberFormat="1" applyFont="1" applyBorder="1" applyAlignment="1">
      <alignment horizontal="center"/>
    </xf>
    <xf numFmtId="165" fontId="81" fillId="0" borderId="0" xfId="28" applyNumberFormat="1" applyFont="1" applyBorder="1"/>
    <xf numFmtId="165" fontId="85" fillId="0" borderId="6" xfId="28" applyNumberFormat="1" applyFont="1" applyBorder="1" applyAlignment="1">
      <alignment horizontal="center"/>
    </xf>
    <xf numFmtId="166" fontId="20" fillId="0" borderId="12" xfId="0" applyFont="1" applyBorder="1"/>
    <xf numFmtId="166" fontId="20" fillId="0" borderId="13" xfId="0" applyFont="1" applyBorder="1" applyAlignment="1">
      <alignment horizontal="center"/>
    </xf>
    <xf numFmtId="165" fontId="20" fillId="56" borderId="46" xfId="28" applyNumberFormat="1" applyFont="1" applyFill="1" applyBorder="1" applyAlignment="1">
      <alignment horizontal="center"/>
    </xf>
    <xf numFmtId="165" fontId="86" fillId="56" borderId="56" xfId="28" applyNumberFormat="1" applyFont="1" applyFill="1" applyBorder="1" applyAlignment="1">
      <alignment horizontal="center"/>
    </xf>
    <xf numFmtId="165" fontId="87" fillId="0" borderId="6" xfId="28" applyNumberFormat="1" applyFont="1" applyBorder="1" applyAlignment="1">
      <alignment horizontal="center"/>
    </xf>
    <xf numFmtId="165" fontId="77" fillId="0" borderId="0" xfId="28" applyNumberFormat="1" applyFont="1" applyBorder="1"/>
    <xf numFmtId="165" fontId="20" fillId="56" borderId="47" xfId="28" applyNumberFormat="1" applyFont="1" applyFill="1" applyBorder="1" applyAlignment="1">
      <alignment horizontal="center"/>
    </xf>
    <xf numFmtId="165" fontId="81" fillId="0" borderId="6" xfId="28" applyNumberFormat="1" applyFont="1" applyBorder="1"/>
    <xf numFmtId="166" fontId="20" fillId="0" borderId="62" xfId="0" applyFont="1" applyBorder="1" applyAlignment="1">
      <alignment horizontal="center"/>
    </xf>
    <xf numFmtId="165" fontId="20" fillId="56" borderId="63" xfId="28" applyNumberFormat="1" applyFont="1" applyFill="1" applyBorder="1" applyAlignment="1">
      <alignment horizontal="center"/>
    </xf>
    <xf numFmtId="165" fontId="81" fillId="0" borderId="63" xfId="28" applyNumberFormat="1" applyFont="1" applyBorder="1" applyAlignment="1">
      <alignment horizontal="center"/>
    </xf>
    <xf numFmtId="165" fontId="81" fillId="0" borderId="48" xfId="28" applyNumberFormat="1" applyFont="1" applyBorder="1" applyAlignment="1">
      <alignment horizontal="center"/>
    </xf>
    <xf numFmtId="166" fontId="21" fillId="0" borderId="47" xfId="0" applyFont="1" applyBorder="1" applyAlignment="1">
      <alignment horizontal="center"/>
    </xf>
    <xf numFmtId="166" fontId="20" fillId="0" borderId="47" xfId="0" applyFont="1" applyBorder="1" applyAlignment="1">
      <alignment horizontal="center"/>
    </xf>
    <xf numFmtId="165" fontId="20" fillId="56" borderId="47" xfId="28" applyNumberFormat="1" applyFont="1" applyFill="1" applyBorder="1"/>
    <xf numFmtId="165" fontId="81" fillId="0" borderId="47" xfId="28" applyNumberFormat="1" applyFont="1" applyBorder="1"/>
    <xf numFmtId="165" fontId="22" fillId="56" borderId="6" xfId="28" applyNumberFormat="1" applyFont="1" applyFill="1" applyBorder="1" applyAlignment="1"/>
    <xf numFmtId="165" fontId="20" fillId="56" borderId="6" xfId="28" applyNumberFormat="1" applyFont="1" applyFill="1" applyBorder="1" applyAlignment="1">
      <alignment horizontal="right"/>
    </xf>
    <xf numFmtId="165" fontId="81" fillId="0" borderId="6" xfId="28" applyNumberFormat="1" applyFont="1" applyBorder="1" applyAlignment="1">
      <alignment horizontal="right"/>
    </xf>
    <xf numFmtId="165" fontId="85" fillId="0" borderId="6" xfId="28" applyNumberFormat="1" applyFont="1" applyBorder="1"/>
    <xf numFmtId="165" fontId="88" fillId="56" borderId="6" xfId="28" applyNumberFormat="1" applyFont="1" applyFill="1" applyBorder="1"/>
    <xf numFmtId="165" fontId="89" fillId="0" borderId="6" xfId="28" applyNumberFormat="1" applyFont="1" applyBorder="1"/>
    <xf numFmtId="165" fontId="90" fillId="0" borderId="0" xfId="28" applyNumberFormat="1" applyFont="1" applyBorder="1"/>
    <xf numFmtId="165" fontId="21" fillId="56" borderId="6" xfId="28" applyNumberFormat="1" applyFont="1" applyFill="1" applyBorder="1"/>
    <xf numFmtId="165" fontId="85" fillId="56" borderId="6" xfId="28" applyNumberFormat="1" applyFont="1" applyFill="1" applyBorder="1"/>
    <xf numFmtId="166" fontId="20" fillId="0" borderId="46" xfId="0" applyFont="1" applyBorder="1"/>
    <xf numFmtId="166" fontId="20" fillId="0" borderId="46" xfId="0" applyFont="1" applyBorder="1" applyAlignment="1">
      <alignment horizontal="center"/>
    </xf>
    <xf numFmtId="165" fontId="20" fillId="56" borderId="46" xfId="28" applyNumberFormat="1" applyFont="1" applyFill="1" applyBorder="1"/>
    <xf numFmtId="165" fontId="81" fillId="0" borderId="46" xfId="28" applyNumberFormat="1" applyFont="1" applyBorder="1"/>
    <xf numFmtId="165" fontId="21" fillId="56" borderId="46" xfId="28" applyNumberFormat="1" applyFont="1" applyFill="1" applyBorder="1"/>
    <xf numFmtId="165" fontId="81" fillId="0" borderId="48" xfId="28" applyNumberFormat="1" applyFont="1" applyBorder="1"/>
    <xf numFmtId="166" fontId="81" fillId="0" borderId="6" xfId="0" applyFont="1" applyBorder="1" applyAlignment="1">
      <alignment horizontal="center"/>
    </xf>
    <xf numFmtId="166" fontId="81" fillId="0" borderId="0" xfId="0" applyFont="1" applyAlignment="1">
      <alignment horizontal="center"/>
    </xf>
    <xf numFmtId="166" fontId="77" fillId="26" borderId="6" xfId="0" applyFont="1" applyFill="1" applyBorder="1"/>
    <xf numFmtId="165" fontId="21" fillId="62" borderId="48" xfId="28" applyNumberFormat="1" applyFont="1" applyFill="1" applyBorder="1" applyAlignment="1">
      <alignment horizontal="center"/>
    </xf>
    <xf numFmtId="166" fontId="81" fillId="0" borderId="6" xfId="0" applyFont="1" applyBorder="1"/>
    <xf numFmtId="166" fontId="77" fillId="0" borderId="0" xfId="0" applyFont="1" applyAlignment="1">
      <alignment horizontal="right"/>
    </xf>
    <xf numFmtId="165" fontId="81" fillId="0" borderId="0" xfId="28" applyNumberFormat="1" applyFont="1" applyAlignment="1">
      <alignment horizontal="center"/>
    </xf>
    <xf numFmtId="170" fontId="81" fillId="0" borderId="0" xfId="28" applyNumberFormat="1" applyFont="1"/>
    <xf numFmtId="165" fontId="77" fillId="0" borderId="0" xfId="28" applyNumberFormat="1" applyFont="1" applyBorder="1" applyAlignment="1">
      <alignment horizontal="right"/>
    </xf>
    <xf numFmtId="4" fontId="81" fillId="0" borderId="0" xfId="0" applyNumberFormat="1" applyFont="1" applyAlignment="1">
      <alignment horizontal="center"/>
    </xf>
    <xf numFmtId="166" fontId="20" fillId="0" borderId="6" xfId="0" applyFont="1" applyBorder="1" applyAlignment="1">
      <alignment horizontal="center" vertical="center"/>
    </xf>
    <xf numFmtId="166" fontId="21" fillId="0" borderId="6" xfId="0" applyFont="1" applyBorder="1" applyAlignment="1">
      <alignment horizontal="center"/>
    </xf>
    <xf numFmtId="165" fontId="21" fillId="0" borderId="0" xfId="28" applyNumberFormat="1" applyFont="1" applyFill="1" applyBorder="1"/>
    <xf numFmtId="165" fontId="21" fillId="62" borderId="48" xfId="28" applyNumberFormat="1" applyFont="1" applyFill="1" applyBorder="1"/>
    <xf numFmtId="14" fontId="73" fillId="60" borderId="69" xfId="0" applyNumberFormat="1" applyFont="1" applyFill="1" applyBorder="1" applyAlignment="1">
      <alignment horizontal="center"/>
    </xf>
    <xf numFmtId="14" fontId="73" fillId="60" borderId="50" xfId="0" applyNumberFormat="1" applyFont="1" applyFill="1" applyBorder="1" applyAlignment="1">
      <alignment horizontal="center"/>
    </xf>
    <xf numFmtId="14" fontId="73" fillId="60" borderId="60" xfId="0" applyNumberFormat="1" applyFont="1" applyFill="1" applyBorder="1" applyAlignment="1">
      <alignment horizontal="center"/>
    </xf>
    <xf numFmtId="0" fontId="73" fillId="60" borderId="50" xfId="0" applyNumberFormat="1" applyFont="1" applyFill="1" applyBorder="1" applyAlignment="1">
      <alignment horizontal="center"/>
    </xf>
    <xf numFmtId="17" fontId="72" fillId="60" borderId="60" xfId="0" applyNumberFormat="1" applyFont="1" applyFill="1" applyBorder="1" applyAlignment="1">
      <alignment horizontal="center"/>
    </xf>
    <xf numFmtId="17" fontId="72" fillId="60" borderId="67" xfId="0" applyNumberFormat="1" applyFont="1" applyFill="1" applyBorder="1" applyAlignment="1">
      <alignment horizontal="center"/>
    </xf>
    <xf numFmtId="17" fontId="72" fillId="60" borderId="50" xfId="0" applyNumberFormat="1" applyFont="1" applyFill="1" applyBorder="1" applyAlignment="1">
      <alignment horizontal="center"/>
    </xf>
    <xf numFmtId="0" fontId="62" fillId="0" borderId="0" xfId="0" applyNumberFormat="1" applyFont="1" applyAlignment="1">
      <alignment horizontal="center"/>
    </xf>
    <xf numFmtId="0" fontId="80" fillId="0" borderId="0" xfId="0" applyNumberFormat="1" applyFont="1" applyAlignment="1">
      <alignment horizontal="center"/>
    </xf>
    <xf numFmtId="166" fontId="22" fillId="0" borderId="12" xfId="0" applyFont="1" applyBorder="1" applyAlignment="1">
      <alignment horizontal="center"/>
    </xf>
    <xf numFmtId="166" fontId="22" fillId="0" borderId="13" xfId="0" applyFont="1" applyBorder="1" applyAlignment="1">
      <alignment horizontal="center"/>
    </xf>
    <xf numFmtId="166" fontId="21" fillId="62" borderId="57" xfId="0" applyFont="1" applyFill="1" applyBorder="1" applyAlignment="1">
      <alignment horizontal="center"/>
    </xf>
    <xf numFmtId="166" fontId="21" fillId="62" borderId="58" xfId="0" applyFont="1" applyFill="1" applyBorder="1" applyAlignment="1">
      <alignment horizontal="center"/>
    </xf>
    <xf numFmtId="166" fontId="22" fillId="61" borderId="12" xfId="0" applyFont="1" applyFill="1" applyBorder="1" applyAlignment="1">
      <alignment horizontal="center"/>
    </xf>
    <xf numFmtId="166" fontId="22" fillId="61" borderId="13" xfId="0" applyFont="1" applyFill="1" applyBorder="1" applyAlignment="1">
      <alignment horizontal="center"/>
    </xf>
    <xf numFmtId="166" fontId="22" fillId="62" borderId="57" xfId="0" applyFont="1" applyFill="1" applyBorder="1" applyAlignment="1">
      <alignment horizontal="center"/>
    </xf>
    <xf numFmtId="166" fontId="22" fillId="62" borderId="58" xfId="0" applyFont="1" applyFill="1" applyBorder="1" applyAlignment="1">
      <alignment horizontal="center"/>
    </xf>
    <xf numFmtId="166" fontId="18" fillId="0" borderId="60" xfId="0" quotePrefix="1" applyFont="1" applyBorder="1" applyAlignment="1">
      <alignment horizontal="center"/>
    </xf>
    <xf numFmtId="166" fontId="18" fillId="0" borderId="67" xfId="0" quotePrefix="1" applyFont="1" applyBorder="1" applyAlignment="1">
      <alignment horizontal="center"/>
    </xf>
    <xf numFmtId="166" fontId="18" fillId="0" borderId="50" xfId="0" quotePrefix="1" applyFont="1" applyBorder="1" applyAlignment="1">
      <alignment horizontal="center"/>
    </xf>
    <xf numFmtId="166" fontId="24" fillId="0" borderId="0" xfId="45" applyFont="1" applyAlignment="1">
      <alignment horizontal="left"/>
    </xf>
    <xf numFmtId="166" fontId="24" fillId="0" borderId="25" xfId="45" applyFont="1" applyBorder="1" applyAlignment="1">
      <alignment horizontal="left"/>
    </xf>
  </cellXfs>
  <cellStyles count="98">
    <cellStyle name="20% - Accent1" xfId="1" builtinId="30" customBuiltin="1"/>
    <cellStyle name="20% - Accent1 2" xfId="66" xr:uid="{00000000-0005-0000-0000-000001000000}"/>
    <cellStyle name="20% - Accent2" xfId="2" builtinId="34" customBuiltin="1"/>
    <cellStyle name="20% - Accent2 2" xfId="70" xr:uid="{00000000-0005-0000-0000-000003000000}"/>
    <cellStyle name="20% - Accent3" xfId="3" builtinId="38" customBuiltin="1"/>
    <cellStyle name="20% - Accent3 2" xfId="74" xr:uid="{00000000-0005-0000-0000-000005000000}"/>
    <cellStyle name="20% - Accent4" xfId="4" builtinId="42" customBuiltin="1"/>
    <cellStyle name="20% - Accent4 2" xfId="78" xr:uid="{00000000-0005-0000-0000-000007000000}"/>
    <cellStyle name="20% - Accent5" xfId="5" builtinId="46" customBuiltin="1"/>
    <cellStyle name="20% - Accent5 2" xfId="82" xr:uid="{00000000-0005-0000-0000-000009000000}"/>
    <cellStyle name="20% - Accent6" xfId="6" builtinId="50" customBuiltin="1"/>
    <cellStyle name="20% - Accent6 2" xfId="86" xr:uid="{00000000-0005-0000-0000-00000B000000}"/>
    <cellStyle name="40% - Accent1" xfId="7" builtinId="31" customBuiltin="1"/>
    <cellStyle name="40% - Accent1 2" xfId="67" xr:uid="{00000000-0005-0000-0000-00000D000000}"/>
    <cellStyle name="40% - Accent2" xfId="8" builtinId="35" customBuiltin="1"/>
    <cellStyle name="40% - Accent2 2" xfId="71" xr:uid="{00000000-0005-0000-0000-00000F000000}"/>
    <cellStyle name="40% - Accent3" xfId="9" builtinId="39" customBuiltin="1"/>
    <cellStyle name="40% - Accent3 2" xfId="75" xr:uid="{00000000-0005-0000-0000-000011000000}"/>
    <cellStyle name="40% - Accent4" xfId="10" builtinId="43" customBuiltin="1"/>
    <cellStyle name="40% - Accent4 2" xfId="79" xr:uid="{00000000-0005-0000-0000-000013000000}"/>
    <cellStyle name="40% - Accent5" xfId="11" builtinId="47" customBuiltin="1"/>
    <cellStyle name="40% - Accent5 2" xfId="83" xr:uid="{00000000-0005-0000-0000-000015000000}"/>
    <cellStyle name="40% - Accent6" xfId="12" builtinId="51" customBuiltin="1"/>
    <cellStyle name="40% - Accent6 2" xfId="87" xr:uid="{00000000-0005-0000-0000-000017000000}"/>
    <cellStyle name="60% - Accent1" xfId="13" builtinId="32" customBuiltin="1"/>
    <cellStyle name="60% - Accent1 2" xfId="68" xr:uid="{00000000-0005-0000-0000-000019000000}"/>
    <cellStyle name="60% - Accent2" xfId="14" builtinId="36" customBuiltin="1"/>
    <cellStyle name="60% - Accent2 2" xfId="72" xr:uid="{00000000-0005-0000-0000-00001B000000}"/>
    <cellStyle name="60% - Accent3" xfId="15" builtinId="40" customBuiltin="1"/>
    <cellStyle name="60% - Accent3 2" xfId="76" xr:uid="{00000000-0005-0000-0000-00001D000000}"/>
    <cellStyle name="60% - Accent4" xfId="16" builtinId="44" customBuiltin="1"/>
    <cellStyle name="60% - Accent4 2" xfId="80" xr:uid="{00000000-0005-0000-0000-00001F000000}"/>
    <cellStyle name="60% - Accent5" xfId="17" builtinId="48" customBuiltin="1"/>
    <cellStyle name="60% - Accent5 2" xfId="84" xr:uid="{00000000-0005-0000-0000-000021000000}"/>
    <cellStyle name="60% - Accent6" xfId="18" builtinId="52" customBuiltin="1"/>
    <cellStyle name="60% - Accent6 2" xfId="88" xr:uid="{00000000-0005-0000-0000-000023000000}"/>
    <cellStyle name="Accent1" xfId="19" builtinId="29" customBuiltin="1"/>
    <cellStyle name="Accent1 2" xfId="65" xr:uid="{00000000-0005-0000-0000-000025000000}"/>
    <cellStyle name="Accent2" xfId="20" builtinId="33" customBuiltin="1"/>
    <cellStyle name="Accent2 2" xfId="69" xr:uid="{00000000-0005-0000-0000-000027000000}"/>
    <cellStyle name="Accent3" xfId="21" builtinId="37" customBuiltin="1"/>
    <cellStyle name="Accent3 2" xfId="73" xr:uid="{00000000-0005-0000-0000-000029000000}"/>
    <cellStyle name="Accent4" xfId="22" builtinId="41" customBuiltin="1"/>
    <cellStyle name="Accent4 2" xfId="77" xr:uid="{00000000-0005-0000-0000-00002B000000}"/>
    <cellStyle name="Accent5" xfId="23" builtinId="45" customBuiltin="1"/>
    <cellStyle name="Accent5 2" xfId="81" xr:uid="{00000000-0005-0000-0000-00002D000000}"/>
    <cellStyle name="Accent6" xfId="24" builtinId="49" customBuiltin="1"/>
    <cellStyle name="Accent6 2" xfId="85" xr:uid="{00000000-0005-0000-0000-00002F000000}"/>
    <cellStyle name="Bad" xfId="25" builtinId="27" customBuiltin="1"/>
    <cellStyle name="Bad 2" xfId="54" xr:uid="{00000000-0005-0000-0000-000031000000}"/>
    <cellStyle name="Calculation" xfId="26" builtinId="22" customBuiltin="1"/>
    <cellStyle name="Calculation 2" xfId="58" xr:uid="{00000000-0005-0000-0000-000033000000}"/>
    <cellStyle name="Check Cell" xfId="27" builtinId="23" customBuiltin="1"/>
    <cellStyle name="Check Cell 2" xfId="60" xr:uid="{00000000-0005-0000-0000-000035000000}"/>
    <cellStyle name="Comma" xfId="28" builtinId="3"/>
    <cellStyle name="Comma 2" xfId="29" xr:uid="{00000000-0005-0000-0000-000037000000}"/>
    <cellStyle name="Comma 3" xfId="46" xr:uid="{00000000-0005-0000-0000-000038000000}"/>
    <cellStyle name="Comma 4" xfId="94" xr:uid="{00000000-0005-0000-0000-000039000000}"/>
    <cellStyle name="Explanatory Text" xfId="30" builtinId="53" customBuiltin="1"/>
    <cellStyle name="Explanatory Text 2" xfId="63" xr:uid="{00000000-0005-0000-0000-00003B000000}"/>
    <cellStyle name="Good" xfId="31" builtinId="26" customBuiltin="1"/>
    <cellStyle name="Good 2" xfId="53" xr:uid="{00000000-0005-0000-0000-00003D000000}"/>
    <cellStyle name="Heading 1" xfId="32" builtinId="16" customBuiltin="1"/>
    <cellStyle name="Heading 1 2" xfId="49" xr:uid="{00000000-0005-0000-0000-00003F000000}"/>
    <cellStyle name="Heading 2" xfId="33" builtinId="17" customBuiltin="1"/>
    <cellStyle name="Heading 2 2" xfId="50" xr:uid="{00000000-0005-0000-0000-000041000000}"/>
    <cellStyle name="Heading 3" xfId="34" builtinId="18" customBuiltin="1"/>
    <cellStyle name="Heading 3 2" xfId="51" xr:uid="{00000000-0005-0000-0000-000043000000}"/>
    <cellStyle name="Heading 4" xfId="35" builtinId="19" customBuiltin="1"/>
    <cellStyle name="Heading 4 2" xfId="52" xr:uid="{00000000-0005-0000-0000-000045000000}"/>
    <cellStyle name="Input" xfId="36" builtinId="20" customBuiltin="1"/>
    <cellStyle name="Input 2" xfId="56" xr:uid="{00000000-0005-0000-0000-000047000000}"/>
    <cellStyle name="Linked Cell" xfId="37" builtinId="24" customBuiltin="1"/>
    <cellStyle name="Linked Cell 2" xfId="59" xr:uid="{00000000-0005-0000-0000-000049000000}"/>
    <cellStyle name="Neutral" xfId="38" builtinId="28" customBuiltin="1"/>
    <cellStyle name="Neutral 2" xfId="55" xr:uid="{00000000-0005-0000-0000-00004B000000}"/>
    <cellStyle name="Normal" xfId="0" builtinId="0"/>
    <cellStyle name="Normal 10" xfId="96" xr:uid="{00000000-0005-0000-0000-00004D000000}"/>
    <cellStyle name="Normal 11" xfId="97" xr:uid="{00000000-0005-0000-0000-00004E000000}"/>
    <cellStyle name="Normal 2" xfId="39" xr:uid="{00000000-0005-0000-0000-00004F000000}"/>
    <cellStyle name="Normal 3" xfId="45" xr:uid="{00000000-0005-0000-0000-000050000000}"/>
    <cellStyle name="Normal 4" xfId="47" xr:uid="{00000000-0005-0000-0000-000051000000}"/>
    <cellStyle name="Normal 5" xfId="89" xr:uid="{00000000-0005-0000-0000-000052000000}"/>
    <cellStyle name="Normal 6" xfId="90" xr:uid="{00000000-0005-0000-0000-000053000000}"/>
    <cellStyle name="Normal 7" xfId="91" xr:uid="{00000000-0005-0000-0000-000054000000}"/>
    <cellStyle name="Normal 8" xfId="93" xr:uid="{00000000-0005-0000-0000-000055000000}"/>
    <cellStyle name="Normal 9" xfId="95" xr:uid="{00000000-0005-0000-0000-000056000000}"/>
    <cellStyle name="Note" xfId="40" builtinId="10" customBuiltin="1"/>
    <cellStyle name="Note 2" xfId="62" xr:uid="{00000000-0005-0000-0000-000058000000}"/>
    <cellStyle name="Output" xfId="41" builtinId="21" customBuiltin="1"/>
    <cellStyle name="Output 2" xfId="57" xr:uid="{00000000-0005-0000-0000-00005A000000}"/>
    <cellStyle name="Percent" xfId="92" builtinId="5"/>
    <cellStyle name="Title" xfId="42" builtinId="15" customBuiltin="1"/>
    <cellStyle name="Title 2" xfId="48" xr:uid="{00000000-0005-0000-0000-00005D000000}"/>
    <cellStyle name="Total" xfId="43" builtinId="25" customBuiltin="1"/>
    <cellStyle name="Total 2" xfId="64" xr:uid="{00000000-0005-0000-0000-00005F000000}"/>
    <cellStyle name="Warning Text" xfId="44" builtinId="11" customBuiltin="1"/>
    <cellStyle name="Warning Text 2" xfId="61" xr:uid="{00000000-0005-0000-0000-00006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BA81B"/>
      <color rgb="FFEDDD13"/>
      <color rgb="FFEBDC15"/>
      <color rgb="FFA89718"/>
      <color rgb="FFB8AC10"/>
      <color rgb="FFF4F456"/>
      <color rgb="FFDBC51F"/>
      <color rgb="FFFCF6AE"/>
      <color rgb="FFA69B0E"/>
      <color rgb="FFF9E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User\My%20Documents\Amakem%20Co\balance%20sheet\2012\Amaken_Feb.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.Balance"/>
      <sheetName val="SCHEDULES"/>
      <sheetName val="P &amp; L"/>
      <sheetName val="Balance Sheet "/>
      <sheetName val="Bank Rec."/>
      <sheetName val="Bank Reconceliation"/>
    </sheetNames>
    <sheetDataSet>
      <sheetData sheetId="0" refreshError="1"/>
      <sheetData sheetId="1" refreshError="1"/>
      <sheetData sheetId="2">
        <row r="10">
          <cell r="C10">
            <v>172.911</v>
          </cell>
        </row>
        <row r="19">
          <cell r="A19" t="str">
            <v xml:space="preserve">Directors Fees </v>
          </cell>
        </row>
        <row r="20">
          <cell r="A20" t="str">
            <v>Zakat Expenses</v>
          </cell>
        </row>
        <row r="21">
          <cell r="A21" t="str">
            <v>Contribution To KFAS</v>
          </cell>
        </row>
      </sheetData>
      <sheetData sheetId="3">
        <row r="9">
          <cell r="C9">
            <v>171786.01500000001</v>
          </cell>
        </row>
      </sheetData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se Thomas" id="{7709D970-03B6-4AD4-AF2A-55DE16AC9EBF}" userId="S::Jose.Thomas@kipco.com::4e361134-7b93-42b9-95db-aa37d6be8a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V10" dT="2022-01-20T12:31:44.77" personId="{7709D970-03B6-4AD4-AF2A-55DE16AC9EBF}" id="{F898492B-F0E7-4B1B-9909-397E64035897}">
    <text>Property sold on 12 Dec 2021 - so fully written off in 201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07"/>
  <sheetViews>
    <sheetView tabSelected="1" topLeftCell="A80" zoomScale="70" zoomScaleNormal="70" workbookViewId="0">
      <selection activeCell="A2" sqref="A2"/>
    </sheetView>
  </sheetViews>
  <sheetFormatPr defaultColWidth="9.140625" defaultRowHeight="14.25" x14ac:dyDescent="0.2"/>
  <cols>
    <col min="1" max="1" width="56.140625" style="279" customWidth="1"/>
    <col min="2" max="2" width="21" style="279" bestFit="1" customWidth="1"/>
    <col min="3" max="3" width="25.5703125" style="279" customWidth="1"/>
    <col min="4" max="4" width="21.28515625" style="279" customWidth="1"/>
    <col min="5" max="5" width="21.42578125" style="279" bestFit="1" customWidth="1"/>
    <col min="6" max="6" width="21.140625" style="279" bestFit="1" customWidth="1"/>
    <col min="7" max="7" width="22.28515625" style="279" bestFit="1" customWidth="1"/>
    <col min="8" max="8" width="2.42578125" style="280" hidden="1" customWidth="1"/>
    <col min="9" max="9" width="0" style="279" hidden="1" customWidth="1"/>
    <col min="10" max="10" width="14.28515625" style="279" bestFit="1" customWidth="1"/>
    <col min="11" max="11" width="18.7109375" style="279" bestFit="1" customWidth="1"/>
    <col min="12" max="12" width="37.28515625" style="279" bestFit="1" customWidth="1"/>
    <col min="13" max="13" width="25" style="279" customWidth="1"/>
    <col min="14" max="14" width="14.85546875" style="279" bestFit="1" customWidth="1"/>
    <col min="15" max="15" width="38" style="279" bestFit="1" customWidth="1"/>
    <col min="16" max="16" width="28.28515625" style="279" bestFit="1" customWidth="1"/>
    <col min="17" max="17" width="15.7109375" style="279" bestFit="1" customWidth="1"/>
    <col min="18" max="16384" width="9.140625" style="279"/>
  </cols>
  <sheetData>
    <row r="1" spans="1:16" ht="15" thickBot="1" x14ac:dyDescent="0.25"/>
    <row r="2" spans="1:16" ht="23.25" thickBot="1" x14ac:dyDescent="0.35">
      <c r="A2" s="176" t="s">
        <v>532</v>
      </c>
      <c r="B2" s="281"/>
      <c r="C2" s="399">
        <v>44926</v>
      </c>
      <c r="D2" s="400"/>
      <c r="E2" s="400"/>
      <c r="F2" s="400"/>
      <c r="G2" s="401"/>
      <c r="H2" s="280" t="s">
        <v>417</v>
      </c>
    </row>
    <row r="3" spans="1:16" ht="21" thickBot="1" x14ac:dyDescent="0.35">
      <c r="A3" s="177" t="s">
        <v>404</v>
      </c>
      <c r="B3" s="397">
        <v>44895</v>
      </c>
      <c r="C3" s="398"/>
      <c r="D3" s="395" t="s">
        <v>521</v>
      </c>
      <c r="E3" s="396"/>
      <c r="F3" s="397">
        <v>44926</v>
      </c>
      <c r="G3" s="398"/>
    </row>
    <row r="4" spans="1:16" ht="19.5" customHeight="1" x14ac:dyDescent="0.25">
      <c r="A4" s="167" t="s">
        <v>81</v>
      </c>
      <c r="B4" s="250" t="s">
        <v>507</v>
      </c>
      <c r="C4" s="246" t="s">
        <v>508</v>
      </c>
      <c r="D4" s="259" t="s">
        <v>507</v>
      </c>
      <c r="E4" s="246" t="s">
        <v>508</v>
      </c>
      <c r="F4" s="250" t="s">
        <v>507</v>
      </c>
      <c r="G4" s="246" t="s">
        <v>508</v>
      </c>
      <c r="I4" s="148" t="s">
        <v>93</v>
      </c>
      <c r="K4" s="282"/>
      <c r="M4" s="283"/>
      <c r="N4" s="283"/>
      <c r="O4" s="283"/>
      <c r="P4" s="283"/>
    </row>
    <row r="5" spans="1:16" s="148" customFormat="1" ht="19.5" customHeight="1" x14ac:dyDescent="0.25">
      <c r="A5" s="149" t="s">
        <v>79</v>
      </c>
      <c r="B5" s="178">
        <v>911.74400000002606</v>
      </c>
      <c r="C5" s="179"/>
      <c r="D5" s="178"/>
      <c r="E5" s="179"/>
      <c r="F5" s="178">
        <f>B5-C5+D5-E5</f>
        <v>911.74400000002606</v>
      </c>
      <c r="G5" s="180"/>
      <c r="H5" s="284"/>
      <c r="I5" s="148" t="s">
        <v>33</v>
      </c>
      <c r="K5" s="285"/>
      <c r="L5" s="286"/>
      <c r="M5" s="287"/>
      <c r="N5" s="288"/>
    </row>
    <row r="6" spans="1:16" ht="19.5" customHeight="1" thickBot="1" x14ac:dyDescent="0.3">
      <c r="A6" s="149" t="s">
        <v>83</v>
      </c>
      <c r="B6" s="251"/>
      <c r="C6" s="243"/>
      <c r="D6" s="153"/>
      <c r="E6" s="271"/>
      <c r="F6" s="150"/>
      <c r="G6" s="151"/>
      <c r="K6" s="289"/>
    </row>
    <row r="7" spans="1:16" ht="19.5" customHeight="1" thickBot="1" x14ac:dyDescent="0.3">
      <c r="A7" s="149" t="s">
        <v>522</v>
      </c>
      <c r="B7" s="252">
        <v>4778.1369999999879</v>
      </c>
      <c r="C7" s="244"/>
      <c r="D7" s="274">
        <v>147194.14600000001</v>
      </c>
      <c r="E7" s="151"/>
      <c r="F7" s="270">
        <f>B7-C7+D7-E7</f>
        <v>151972.283</v>
      </c>
      <c r="G7" s="181"/>
      <c r="K7" s="290">
        <f>F7+F13-G46</f>
        <v>323678.36699999997</v>
      </c>
      <c r="L7" s="291">
        <f>347950.367-24272</f>
        <v>323678.36700000003</v>
      </c>
      <c r="M7" s="292">
        <f>K7-L7</f>
        <v>0</v>
      </c>
    </row>
    <row r="8" spans="1:16" ht="19.5" customHeight="1" x14ac:dyDescent="0.25">
      <c r="A8" s="167" t="s">
        <v>405</v>
      </c>
      <c r="B8" s="164"/>
      <c r="C8" s="165"/>
      <c r="D8" s="164"/>
      <c r="E8" s="165"/>
      <c r="F8" s="164"/>
      <c r="G8" s="165"/>
      <c r="M8" s="291"/>
    </row>
    <row r="9" spans="1:16" ht="19.5" customHeight="1" x14ac:dyDescent="0.25">
      <c r="A9" s="162" t="s">
        <v>414</v>
      </c>
      <c r="B9" s="153">
        <v>0</v>
      </c>
      <c r="C9" s="154"/>
      <c r="D9" s="153"/>
      <c r="E9" s="154"/>
      <c r="F9" s="153">
        <f>D9+B9-E9</f>
        <v>0</v>
      </c>
      <c r="G9" s="154"/>
      <c r="L9" s="282"/>
      <c r="M9" s="291"/>
    </row>
    <row r="10" spans="1:16" ht="19.5" customHeight="1" x14ac:dyDescent="0.25">
      <c r="A10" s="167" t="s">
        <v>406</v>
      </c>
      <c r="B10" s="164"/>
      <c r="C10" s="165"/>
      <c r="D10" s="164"/>
      <c r="E10" s="165"/>
      <c r="F10" s="164"/>
      <c r="G10" s="165"/>
      <c r="L10" s="293"/>
      <c r="M10" s="294"/>
      <c r="N10" s="282"/>
    </row>
    <row r="11" spans="1:16" ht="19.5" customHeight="1" x14ac:dyDescent="0.25">
      <c r="A11" s="162" t="s">
        <v>407</v>
      </c>
      <c r="B11" s="153"/>
      <c r="C11" s="154"/>
      <c r="D11" s="153"/>
      <c r="E11" s="154"/>
      <c r="F11" s="153"/>
      <c r="G11" s="154"/>
      <c r="K11" s="282"/>
    </row>
    <row r="12" spans="1:16" ht="19.5" customHeight="1" x14ac:dyDescent="0.25">
      <c r="A12" s="167" t="s">
        <v>418</v>
      </c>
      <c r="B12" s="164"/>
      <c r="C12" s="165"/>
      <c r="D12" s="164"/>
      <c r="E12" s="165"/>
      <c r="F12" s="164"/>
      <c r="G12" s="165"/>
      <c r="K12" s="282"/>
    </row>
    <row r="13" spans="1:16" ht="19.5" customHeight="1" x14ac:dyDescent="0.25">
      <c r="A13" s="162" t="s">
        <v>509</v>
      </c>
      <c r="B13" s="253">
        <v>332444.39799999999</v>
      </c>
      <c r="C13" s="247"/>
      <c r="D13" s="256"/>
      <c r="E13" s="276">
        <f>160107.17</f>
        <v>160107.17000000001</v>
      </c>
      <c r="F13" s="178">
        <f>D13+B13-E13</f>
        <v>172337.22799999997</v>
      </c>
      <c r="G13" s="247"/>
      <c r="K13" s="282"/>
      <c r="L13" s="282"/>
      <c r="M13" s="291"/>
    </row>
    <row r="14" spans="1:16" ht="17.100000000000001" customHeight="1" x14ac:dyDescent="0.25">
      <c r="A14" s="167" t="s">
        <v>418</v>
      </c>
      <c r="B14" s="164"/>
      <c r="C14" s="165"/>
      <c r="D14" s="164"/>
      <c r="E14" s="165"/>
      <c r="F14" s="164"/>
      <c r="G14" s="165"/>
      <c r="K14" s="295"/>
    </row>
    <row r="15" spans="1:16" ht="17.100000000000001" customHeight="1" x14ac:dyDescent="0.25">
      <c r="A15" s="149" t="s">
        <v>419</v>
      </c>
      <c r="B15" s="254">
        <v>0</v>
      </c>
      <c r="C15" s="243"/>
      <c r="D15" s="153"/>
      <c r="E15" s="261"/>
      <c r="F15" s="178">
        <f>D15+B15-E15</f>
        <v>0</v>
      </c>
      <c r="G15" s="154"/>
      <c r="M15" s="292"/>
    </row>
    <row r="16" spans="1:16" ht="17.100000000000001" customHeight="1" x14ac:dyDescent="0.25">
      <c r="A16" s="167" t="s">
        <v>431</v>
      </c>
      <c r="B16" s="164"/>
      <c r="C16" s="165"/>
      <c r="D16" s="164"/>
      <c r="E16" s="165"/>
      <c r="F16" s="164"/>
      <c r="G16" s="165"/>
    </row>
    <row r="17" spans="1:17" ht="17.100000000000001" customHeight="1" x14ac:dyDescent="0.25">
      <c r="A17" s="149" t="s">
        <v>432</v>
      </c>
      <c r="B17" s="255">
        <v>0</v>
      </c>
      <c r="C17" s="244"/>
      <c r="D17" s="262"/>
      <c r="E17" s="247"/>
      <c r="F17" s="185">
        <f>+D17+B17-E17</f>
        <v>0</v>
      </c>
      <c r="G17" s="181"/>
    </row>
    <row r="18" spans="1:17" ht="17.100000000000001" customHeight="1" x14ac:dyDescent="0.25">
      <c r="A18" s="149" t="s">
        <v>455</v>
      </c>
      <c r="B18" s="255">
        <v>0</v>
      </c>
      <c r="C18" s="244"/>
      <c r="D18" s="262"/>
      <c r="E18" s="247"/>
      <c r="F18" s="185">
        <f>+D18+B18-E18</f>
        <v>0</v>
      </c>
      <c r="G18" s="181"/>
    </row>
    <row r="19" spans="1:17" ht="17.100000000000001" customHeight="1" x14ac:dyDescent="0.25">
      <c r="A19" s="149" t="s">
        <v>433</v>
      </c>
      <c r="B19" s="255">
        <v>0</v>
      </c>
      <c r="C19" s="244"/>
      <c r="D19" s="262"/>
      <c r="E19" s="247"/>
      <c r="F19" s="185">
        <f>+D19+B19-E19</f>
        <v>0</v>
      </c>
      <c r="G19" s="181"/>
    </row>
    <row r="20" spans="1:17" ht="17.100000000000001" customHeight="1" x14ac:dyDescent="0.25">
      <c r="A20" s="149" t="s">
        <v>451</v>
      </c>
      <c r="B20" s="255">
        <v>0</v>
      </c>
      <c r="C20" s="244"/>
      <c r="D20" s="262"/>
      <c r="E20" s="247"/>
      <c r="F20" s="185">
        <f>+D20+B20-E20</f>
        <v>0</v>
      </c>
      <c r="G20" s="181"/>
      <c r="N20" s="296"/>
      <c r="O20" s="148"/>
      <c r="P20" s="148"/>
      <c r="Q20" s="148"/>
    </row>
    <row r="21" spans="1:17" ht="17.100000000000001" customHeight="1" x14ac:dyDescent="0.25">
      <c r="A21" s="149" t="s">
        <v>461</v>
      </c>
      <c r="B21" s="255">
        <v>0</v>
      </c>
      <c r="C21" s="244"/>
      <c r="D21" s="262"/>
      <c r="E21" s="247"/>
      <c r="F21" s="185">
        <f>+D21+B21-E21</f>
        <v>0</v>
      </c>
      <c r="G21" s="181"/>
      <c r="N21" s="296"/>
      <c r="O21" s="148"/>
      <c r="P21" s="148"/>
      <c r="Q21" s="148"/>
    </row>
    <row r="22" spans="1:17" ht="17.100000000000001" customHeight="1" x14ac:dyDescent="0.25">
      <c r="A22" s="149" t="s">
        <v>448</v>
      </c>
      <c r="B22" s="185"/>
      <c r="C22" s="190">
        <v>0</v>
      </c>
      <c r="D22" s="256"/>
      <c r="E22" s="190"/>
      <c r="F22" s="185"/>
      <c r="G22" s="190">
        <f>+C22+E22-D22</f>
        <v>0</v>
      </c>
      <c r="K22" s="282">
        <f>SUM(F17:F21)</f>
        <v>0</v>
      </c>
      <c r="L22" s="282"/>
      <c r="M22" s="282"/>
    </row>
    <row r="23" spans="1:17" ht="19.5" customHeight="1" x14ac:dyDescent="0.25">
      <c r="A23" s="167" t="s">
        <v>60</v>
      </c>
      <c r="B23" s="164"/>
      <c r="C23" s="165"/>
      <c r="D23" s="164"/>
      <c r="E23" s="165"/>
      <c r="F23" s="164"/>
      <c r="G23" s="165"/>
      <c r="H23" s="166"/>
      <c r="I23" s="279" t="s">
        <v>31</v>
      </c>
      <c r="L23" s="282"/>
      <c r="M23" s="291"/>
      <c r="N23" s="297"/>
      <c r="P23" s="298"/>
      <c r="Q23" s="298"/>
    </row>
    <row r="24" spans="1:17" ht="19.5" customHeight="1" x14ac:dyDescent="0.25">
      <c r="A24" s="149" t="s">
        <v>458</v>
      </c>
      <c r="B24" s="150">
        <v>0</v>
      </c>
      <c r="C24" s="151"/>
      <c r="D24" s="150"/>
      <c r="E24" s="151"/>
      <c r="F24" s="150">
        <f>B24-C24+D24-E24</f>
        <v>0</v>
      </c>
      <c r="G24" s="151"/>
      <c r="H24" s="279"/>
      <c r="N24" s="297"/>
      <c r="P24" s="298"/>
      <c r="Q24" s="298"/>
    </row>
    <row r="25" spans="1:17" ht="19.5" customHeight="1" thickBot="1" x14ac:dyDescent="0.3">
      <c r="A25" s="149" t="s">
        <v>452</v>
      </c>
      <c r="B25" s="150"/>
      <c r="C25" s="151">
        <v>0</v>
      </c>
      <c r="D25" s="150"/>
      <c r="E25" s="151"/>
      <c r="F25" s="150"/>
      <c r="G25" s="151">
        <f>E25+C25-D25</f>
        <v>0</v>
      </c>
      <c r="H25" s="279"/>
      <c r="K25" s="297" t="s">
        <v>526</v>
      </c>
      <c r="N25" s="297"/>
      <c r="P25" s="298"/>
      <c r="Q25" s="298"/>
    </row>
    <row r="26" spans="1:17" ht="19.5" customHeight="1" thickBot="1" x14ac:dyDescent="0.3">
      <c r="A26" s="149" t="s">
        <v>423</v>
      </c>
      <c r="B26" s="178">
        <v>2182409.9249999998</v>
      </c>
      <c r="C26" s="179"/>
      <c r="D26" s="178"/>
      <c r="E26" s="272"/>
      <c r="F26" s="178">
        <f>B26+D26-E26</f>
        <v>2182409.9249999998</v>
      </c>
      <c r="G26" s="179"/>
      <c r="H26" s="279"/>
      <c r="J26" s="292"/>
      <c r="K26" s="299">
        <f>+F26-G52</f>
        <v>2177018.1468356163</v>
      </c>
      <c r="L26" s="282"/>
      <c r="M26" s="282"/>
      <c r="N26" s="297"/>
      <c r="P26" s="298"/>
      <c r="Q26" s="298"/>
    </row>
    <row r="27" spans="1:17" ht="19.5" customHeight="1" x14ac:dyDescent="0.25">
      <c r="A27" s="162" t="s">
        <v>429</v>
      </c>
      <c r="B27" s="153"/>
      <c r="C27" s="154">
        <v>0</v>
      </c>
      <c r="D27" s="150"/>
      <c r="E27" s="151"/>
      <c r="F27" s="153"/>
      <c r="G27" s="151">
        <f>+C27-D27</f>
        <v>0</v>
      </c>
      <c r="L27" s="300"/>
      <c r="N27" s="297"/>
      <c r="P27" s="298"/>
      <c r="Q27" s="298"/>
    </row>
    <row r="28" spans="1:17" ht="19.5" customHeight="1" x14ac:dyDescent="0.25">
      <c r="A28" s="167" t="s">
        <v>82</v>
      </c>
      <c r="B28" s="164"/>
      <c r="C28" s="165"/>
      <c r="D28" s="164"/>
      <c r="E28" s="165"/>
      <c r="F28" s="164"/>
      <c r="G28" s="165"/>
      <c r="K28" s="291"/>
      <c r="L28" s="301"/>
      <c r="N28" s="297"/>
      <c r="P28" s="298"/>
      <c r="Q28" s="298"/>
    </row>
    <row r="29" spans="1:17" ht="19.5" customHeight="1" x14ac:dyDescent="0.25">
      <c r="A29" s="149" t="s">
        <v>510</v>
      </c>
      <c r="B29" s="251">
        <v>0</v>
      </c>
      <c r="C29" s="243"/>
      <c r="D29" s="150"/>
      <c r="E29" s="151"/>
      <c r="F29" s="150">
        <f>B29-C29+D29-E29</f>
        <v>0</v>
      </c>
      <c r="G29" s="151"/>
      <c r="K29" s="291"/>
      <c r="L29" s="282"/>
      <c r="N29" s="297"/>
      <c r="P29" s="298"/>
      <c r="Q29" s="298"/>
    </row>
    <row r="30" spans="1:17" ht="19.5" customHeight="1" x14ac:dyDescent="0.25">
      <c r="A30" s="149" t="s">
        <v>61</v>
      </c>
      <c r="B30" s="251"/>
      <c r="C30" s="243">
        <v>0</v>
      </c>
      <c r="D30" s="153"/>
      <c r="E30" s="154"/>
      <c r="F30" s="150"/>
      <c r="G30" s="151">
        <f>B30-C30+D30-E30</f>
        <v>0</v>
      </c>
      <c r="N30" s="297"/>
      <c r="P30" s="298"/>
      <c r="Q30" s="298"/>
    </row>
    <row r="31" spans="1:17" ht="19.5" customHeight="1" x14ac:dyDescent="0.25">
      <c r="A31" s="149" t="s">
        <v>470</v>
      </c>
      <c r="B31" s="251">
        <v>0</v>
      </c>
      <c r="C31" s="243"/>
      <c r="D31" s="153"/>
      <c r="E31" s="154"/>
      <c r="F31" s="150">
        <f>B31-C31+D31-E31</f>
        <v>0</v>
      </c>
      <c r="G31" s="151"/>
      <c r="L31" s="292"/>
      <c r="N31" s="302"/>
      <c r="P31" s="298"/>
      <c r="Q31" s="298"/>
    </row>
    <row r="32" spans="1:17" ht="19.5" customHeight="1" x14ac:dyDescent="0.25">
      <c r="A32" s="149" t="s">
        <v>458</v>
      </c>
      <c r="B32" s="251">
        <v>0</v>
      </c>
      <c r="C32" s="243"/>
      <c r="D32" s="153"/>
      <c r="E32" s="154"/>
      <c r="F32" s="150">
        <f>B32-C32+D32-E32</f>
        <v>0</v>
      </c>
      <c r="G32" s="151"/>
      <c r="L32" s="298"/>
      <c r="N32" s="302"/>
      <c r="P32" s="298"/>
      <c r="Q32" s="298"/>
    </row>
    <row r="33" spans="1:17" ht="19.5" customHeight="1" x14ac:dyDescent="0.25">
      <c r="A33" s="149" t="s">
        <v>98</v>
      </c>
      <c r="B33" s="251"/>
      <c r="C33" s="243"/>
      <c r="D33" s="153"/>
      <c r="E33" s="154"/>
      <c r="F33" s="152"/>
      <c r="G33" s="151"/>
      <c r="L33" s="298"/>
      <c r="N33" s="297"/>
      <c r="P33" s="298"/>
      <c r="Q33" s="298"/>
    </row>
    <row r="34" spans="1:17" ht="19.5" customHeight="1" x14ac:dyDescent="0.25">
      <c r="A34" s="167" t="s">
        <v>62</v>
      </c>
      <c r="B34" s="164"/>
      <c r="C34" s="165"/>
      <c r="D34" s="164"/>
      <c r="E34" s="165"/>
      <c r="F34" s="164"/>
      <c r="G34" s="165"/>
      <c r="K34" s="282"/>
      <c r="L34" s="298"/>
      <c r="N34" s="297"/>
      <c r="P34" s="298"/>
      <c r="Q34" s="298"/>
    </row>
    <row r="35" spans="1:17" ht="19.5" customHeight="1" x14ac:dyDescent="0.25">
      <c r="A35" s="149" t="s">
        <v>416</v>
      </c>
      <c r="B35" s="251"/>
      <c r="C35" s="243">
        <v>0</v>
      </c>
      <c r="D35" s="153"/>
      <c r="E35" s="154"/>
      <c r="F35" s="153"/>
      <c r="G35" s="151">
        <f>E35+C35</f>
        <v>0</v>
      </c>
      <c r="N35" s="297"/>
      <c r="P35" s="298"/>
      <c r="Q35" s="298"/>
    </row>
    <row r="36" spans="1:17" ht="19.5" customHeight="1" x14ac:dyDescent="0.25">
      <c r="A36" s="167" t="s">
        <v>63</v>
      </c>
      <c r="B36" s="164"/>
      <c r="C36" s="165"/>
      <c r="D36" s="164"/>
      <c r="E36" s="165"/>
      <c r="F36" s="164"/>
      <c r="G36" s="165"/>
      <c r="N36" s="297"/>
      <c r="P36" s="298"/>
      <c r="Q36" s="298"/>
    </row>
    <row r="37" spans="1:17" ht="19.5" customHeight="1" x14ac:dyDescent="0.25">
      <c r="A37" s="149" t="s">
        <v>60</v>
      </c>
      <c r="B37" s="251"/>
      <c r="C37" s="243">
        <v>0</v>
      </c>
      <c r="D37" s="153"/>
      <c r="E37" s="154"/>
      <c r="F37" s="153"/>
      <c r="G37" s="151">
        <f>E37+C37-D37</f>
        <v>0</v>
      </c>
      <c r="N37" s="297"/>
      <c r="P37" s="298"/>
      <c r="Q37" s="298"/>
    </row>
    <row r="38" spans="1:17" ht="19.5" customHeight="1" x14ac:dyDescent="0.25">
      <c r="A38" s="149" t="s">
        <v>64</v>
      </c>
      <c r="B38" s="251"/>
      <c r="C38" s="243">
        <v>0</v>
      </c>
      <c r="D38" s="150"/>
      <c r="E38" s="273">
        <v>750</v>
      </c>
      <c r="F38" s="150"/>
      <c r="G38" s="151">
        <f>+E38+C38-D38</f>
        <v>750</v>
      </c>
      <c r="N38" s="297"/>
      <c r="P38" s="298"/>
      <c r="Q38" s="298"/>
    </row>
    <row r="39" spans="1:17" ht="19.5" customHeight="1" x14ac:dyDescent="0.25">
      <c r="A39" s="149" t="s">
        <v>65</v>
      </c>
      <c r="B39" s="251"/>
      <c r="C39" s="243">
        <v>0</v>
      </c>
      <c r="D39" s="150"/>
      <c r="E39" s="154"/>
      <c r="F39" s="153"/>
      <c r="G39" s="151">
        <f>E39+C39-D39</f>
        <v>0</v>
      </c>
      <c r="N39" s="297"/>
      <c r="P39" s="303"/>
      <c r="Q39" s="303"/>
    </row>
    <row r="40" spans="1:17" ht="19.5" customHeight="1" x14ac:dyDescent="0.25">
      <c r="A40" s="149" t="s">
        <v>491</v>
      </c>
      <c r="B40" s="251"/>
      <c r="C40" s="243">
        <v>0</v>
      </c>
      <c r="D40" s="153"/>
      <c r="E40" s="154"/>
      <c r="F40" s="153"/>
      <c r="G40" s="151">
        <f>E40+C40-D40</f>
        <v>0</v>
      </c>
      <c r="N40" s="297"/>
      <c r="P40" s="303"/>
      <c r="Q40" s="303"/>
    </row>
    <row r="41" spans="1:17" ht="19.5" customHeight="1" x14ac:dyDescent="0.25">
      <c r="A41" s="149" t="s">
        <v>77</v>
      </c>
      <c r="B41" s="251"/>
      <c r="C41" s="243"/>
      <c r="D41" s="153"/>
      <c r="E41" s="154"/>
      <c r="F41" s="150"/>
      <c r="G41" s="151"/>
      <c r="N41" s="297"/>
      <c r="P41" s="303"/>
      <c r="Q41" s="303"/>
    </row>
    <row r="42" spans="1:17" ht="19.5" customHeight="1" x14ac:dyDescent="0.25">
      <c r="A42" s="149" t="s">
        <v>84</v>
      </c>
      <c r="B42" s="251"/>
      <c r="C42" s="243"/>
      <c r="D42" s="153"/>
      <c r="E42" s="154"/>
      <c r="F42" s="150"/>
      <c r="G42" s="151"/>
      <c r="N42" s="297"/>
      <c r="P42" s="303"/>
      <c r="Q42" s="303"/>
    </row>
    <row r="43" spans="1:17" ht="19.5" customHeight="1" x14ac:dyDescent="0.25">
      <c r="A43" s="149" t="s">
        <v>85</v>
      </c>
      <c r="B43" s="251"/>
      <c r="C43" s="243"/>
      <c r="D43" s="153"/>
      <c r="E43" s="154"/>
      <c r="F43" s="150"/>
      <c r="G43" s="151"/>
      <c r="N43" s="297"/>
      <c r="P43" s="298"/>
      <c r="Q43" s="298"/>
    </row>
    <row r="44" spans="1:17" ht="19.5" customHeight="1" x14ac:dyDescent="0.25">
      <c r="A44" s="149" t="s">
        <v>66</v>
      </c>
      <c r="B44" s="251"/>
      <c r="C44" s="243">
        <v>0</v>
      </c>
      <c r="D44" s="153"/>
      <c r="E44" s="154"/>
      <c r="F44" s="153"/>
      <c r="G44" s="151">
        <f>E44+C44-D44</f>
        <v>0</v>
      </c>
      <c r="N44" s="297"/>
      <c r="P44" s="298"/>
      <c r="Q44" s="298"/>
    </row>
    <row r="45" spans="1:17" ht="19.5" customHeight="1" x14ac:dyDescent="0.25">
      <c r="A45" s="149" t="s">
        <v>86</v>
      </c>
      <c r="B45" s="251"/>
      <c r="C45" s="243"/>
      <c r="D45" s="153"/>
      <c r="E45" s="154"/>
      <c r="F45" s="150"/>
      <c r="G45" s="151"/>
      <c r="N45" s="297"/>
      <c r="P45" s="298"/>
      <c r="Q45" s="298"/>
    </row>
    <row r="46" spans="1:17" ht="19.5" customHeight="1" x14ac:dyDescent="0.25">
      <c r="A46" s="149" t="s">
        <v>512</v>
      </c>
      <c r="B46" s="251"/>
      <c r="C46" s="245">
        <v>1158.058</v>
      </c>
      <c r="D46" s="275">
        <v>526.91399999999999</v>
      </c>
      <c r="E46" s="179"/>
      <c r="F46" s="150"/>
      <c r="G46" s="179">
        <f>+E46+C46-D46</f>
        <v>631.14400000000001</v>
      </c>
      <c r="K46" s="291"/>
      <c r="L46" s="298"/>
      <c r="N46" s="297"/>
      <c r="P46" s="298"/>
      <c r="Q46" s="298"/>
    </row>
    <row r="47" spans="1:17" ht="19.5" customHeight="1" x14ac:dyDescent="0.25">
      <c r="A47" s="149" t="s">
        <v>28</v>
      </c>
      <c r="B47" s="251"/>
      <c r="C47" s="243"/>
      <c r="D47" s="153"/>
      <c r="E47" s="154"/>
      <c r="F47" s="150"/>
      <c r="G47" s="151"/>
      <c r="K47" s="289"/>
      <c r="L47" s="298"/>
      <c r="N47" s="297"/>
      <c r="P47" s="298"/>
      <c r="Q47" s="298"/>
    </row>
    <row r="48" spans="1:17" ht="19.5" customHeight="1" x14ac:dyDescent="0.25">
      <c r="A48" s="149" t="s">
        <v>67</v>
      </c>
      <c r="B48" s="251"/>
      <c r="C48" s="243">
        <v>0</v>
      </c>
      <c r="D48" s="153"/>
      <c r="E48" s="151"/>
      <c r="F48" s="153"/>
      <c r="G48" s="151">
        <f>+E48+C48-D48</f>
        <v>0</v>
      </c>
      <c r="L48" s="298"/>
      <c r="N48" s="304"/>
      <c r="P48" s="298"/>
      <c r="Q48" s="298"/>
    </row>
    <row r="49" spans="1:17" ht="19.5" customHeight="1" x14ac:dyDescent="0.25">
      <c r="A49" s="149" t="s">
        <v>460</v>
      </c>
      <c r="B49" s="251"/>
      <c r="C49" s="243">
        <v>2820</v>
      </c>
      <c r="D49" s="150"/>
      <c r="E49" s="151"/>
      <c r="F49" s="153"/>
      <c r="G49" s="151">
        <f>+E49+C49-D49</f>
        <v>2820</v>
      </c>
      <c r="K49" s="282"/>
      <c r="N49" s="297"/>
      <c r="P49" s="298"/>
      <c r="Q49" s="298"/>
    </row>
    <row r="50" spans="1:17" ht="19.5" customHeight="1" x14ac:dyDescent="0.25">
      <c r="A50" s="149" t="s">
        <v>492</v>
      </c>
      <c r="B50" s="251"/>
      <c r="C50" s="243">
        <v>0</v>
      </c>
      <c r="D50" s="150"/>
      <c r="E50" s="151"/>
      <c r="F50" s="153"/>
      <c r="G50" s="151">
        <f>+E50+C50-D50</f>
        <v>0</v>
      </c>
      <c r="K50" s="282"/>
      <c r="N50" s="297"/>
      <c r="P50" s="298"/>
      <c r="Q50" s="298"/>
    </row>
    <row r="51" spans="1:17" ht="19.5" customHeight="1" x14ac:dyDescent="0.25">
      <c r="A51" s="149" t="s">
        <v>80</v>
      </c>
      <c r="B51" s="251"/>
      <c r="C51" s="243">
        <v>0</v>
      </c>
      <c r="D51" s="153"/>
      <c r="E51" s="154"/>
      <c r="F51" s="150"/>
      <c r="G51" s="151">
        <f t="shared" ref="G51" si="0">E51+C51</f>
        <v>0</v>
      </c>
      <c r="K51" s="282"/>
      <c r="L51" s="298"/>
      <c r="N51" s="297"/>
      <c r="P51" s="298"/>
      <c r="Q51" s="298"/>
    </row>
    <row r="52" spans="1:17" ht="19.5" customHeight="1" x14ac:dyDescent="0.25">
      <c r="A52" s="149" t="s">
        <v>421</v>
      </c>
      <c r="B52" s="185"/>
      <c r="C52" s="190">
        <v>5391.7781643835624</v>
      </c>
      <c r="D52" s="256"/>
      <c r="E52" s="181"/>
      <c r="F52" s="185"/>
      <c r="G52" s="179">
        <f>E52+C52-D52</f>
        <v>5391.7781643835624</v>
      </c>
      <c r="H52" s="279"/>
      <c r="J52" s="282"/>
      <c r="K52" s="291"/>
      <c r="L52" s="298"/>
      <c r="M52" s="305"/>
      <c r="N52" s="297"/>
      <c r="P52" s="298"/>
      <c r="Q52" s="298"/>
    </row>
    <row r="53" spans="1:17" ht="19.5" customHeight="1" x14ac:dyDescent="0.25">
      <c r="A53" s="167" t="s">
        <v>68</v>
      </c>
      <c r="B53" s="164"/>
      <c r="C53" s="165"/>
      <c r="D53" s="164"/>
      <c r="E53" s="165"/>
      <c r="F53" s="164"/>
      <c r="G53" s="165"/>
      <c r="L53" s="303"/>
      <c r="N53" s="297"/>
      <c r="P53" s="298"/>
      <c r="Q53" s="298"/>
    </row>
    <row r="54" spans="1:17" ht="19.5" customHeight="1" x14ac:dyDescent="0.25">
      <c r="A54" s="149" t="s">
        <v>29</v>
      </c>
      <c r="B54" s="251"/>
      <c r="C54" s="245">
        <v>0</v>
      </c>
      <c r="D54" s="178"/>
      <c r="E54" s="151"/>
      <c r="F54" s="150"/>
      <c r="G54" s="179">
        <f>C54+E54-D54</f>
        <v>0</v>
      </c>
      <c r="K54" s="291"/>
      <c r="L54" s="298"/>
      <c r="M54" s="282"/>
      <c r="N54" s="297"/>
      <c r="P54" s="298"/>
      <c r="Q54" s="298"/>
    </row>
    <row r="55" spans="1:17" ht="19.5" customHeight="1" x14ac:dyDescent="0.25">
      <c r="A55" s="149" t="s">
        <v>30</v>
      </c>
      <c r="B55" s="251"/>
      <c r="C55" s="245">
        <v>0</v>
      </c>
      <c r="D55" s="178"/>
      <c r="E55" s="151"/>
      <c r="F55" s="150"/>
      <c r="G55" s="179">
        <f>C55+E55-D55</f>
        <v>0</v>
      </c>
      <c r="K55" s="291"/>
      <c r="L55" s="291"/>
      <c r="M55" s="282"/>
    </row>
    <row r="56" spans="1:17" ht="19.5" customHeight="1" x14ac:dyDescent="0.25">
      <c r="A56" s="167" t="s">
        <v>70</v>
      </c>
      <c r="B56" s="164"/>
      <c r="C56" s="165"/>
      <c r="D56" s="164"/>
      <c r="E56" s="263"/>
      <c r="F56" s="164"/>
      <c r="G56" s="165"/>
      <c r="L56" s="306"/>
    </row>
    <row r="57" spans="1:17" ht="19.5" customHeight="1" x14ac:dyDescent="0.25">
      <c r="A57" s="149" t="s">
        <v>69</v>
      </c>
      <c r="B57" s="150"/>
      <c r="C57" s="151">
        <v>3000000</v>
      </c>
      <c r="D57" s="150"/>
      <c r="E57" s="151"/>
      <c r="F57" s="150"/>
      <c r="G57" s="151">
        <f>E57+C57-D57</f>
        <v>3000000</v>
      </c>
      <c r="H57" s="279"/>
      <c r="K57" s="307"/>
      <c r="L57" s="308"/>
    </row>
    <row r="58" spans="1:17" ht="19.5" customHeight="1" x14ac:dyDescent="0.25">
      <c r="A58" s="149" t="s">
        <v>71</v>
      </c>
      <c r="B58" s="251"/>
      <c r="C58" s="243">
        <v>0</v>
      </c>
      <c r="D58" s="153"/>
      <c r="E58" s="154"/>
      <c r="F58" s="150"/>
      <c r="G58" s="151">
        <v>0</v>
      </c>
      <c r="L58" s="306"/>
    </row>
    <row r="59" spans="1:17" ht="19.5" customHeight="1" x14ac:dyDescent="0.25">
      <c r="A59" s="149" t="s">
        <v>72</v>
      </c>
      <c r="B59" s="251"/>
      <c r="C59" s="243">
        <v>7182</v>
      </c>
      <c r="D59" s="153"/>
      <c r="E59" s="154"/>
      <c r="F59" s="153"/>
      <c r="G59" s="151">
        <f>E59+C59</f>
        <v>7182</v>
      </c>
      <c r="L59" s="306"/>
    </row>
    <row r="60" spans="1:17" ht="19.5" customHeight="1" x14ac:dyDescent="0.25">
      <c r="A60" s="149" t="s">
        <v>73</v>
      </c>
      <c r="B60" s="251"/>
      <c r="C60" s="243">
        <v>7182</v>
      </c>
      <c r="D60" s="153"/>
      <c r="E60" s="154"/>
      <c r="F60" s="153"/>
      <c r="G60" s="151">
        <f>E60+C60</f>
        <v>7182</v>
      </c>
    </row>
    <row r="61" spans="1:17" ht="19.5" customHeight="1" x14ac:dyDescent="0.25">
      <c r="A61" s="149" t="s">
        <v>74</v>
      </c>
      <c r="B61" s="251"/>
      <c r="C61" s="243">
        <v>-477051.93353150692</v>
      </c>
      <c r="D61" s="153"/>
      <c r="E61" s="154"/>
      <c r="F61" s="153"/>
      <c r="G61" s="151">
        <f>E61+C61-D61</f>
        <v>-477051.93353150692</v>
      </c>
      <c r="L61" s="298"/>
    </row>
    <row r="62" spans="1:17" ht="19.5" customHeight="1" x14ac:dyDescent="0.25">
      <c r="A62" s="162" t="s">
        <v>408</v>
      </c>
      <c r="B62" s="153"/>
      <c r="C62" s="154"/>
      <c r="D62" s="153"/>
      <c r="E62" s="180"/>
      <c r="F62" s="153"/>
      <c r="G62" s="154"/>
      <c r="L62" s="298"/>
    </row>
    <row r="63" spans="1:17" ht="19.5" customHeight="1" x14ac:dyDescent="0.25">
      <c r="A63" s="167" t="s">
        <v>78</v>
      </c>
      <c r="B63" s="164"/>
      <c r="C63" s="165"/>
      <c r="D63" s="164"/>
      <c r="E63" s="165"/>
      <c r="F63" s="164"/>
      <c r="G63" s="165"/>
      <c r="L63" s="298"/>
    </row>
    <row r="64" spans="1:17" ht="19.5" customHeight="1" x14ac:dyDescent="0.25">
      <c r="A64" s="149" t="s">
        <v>513</v>
      </c>
      <c r="B64" s="254">
        <f>12793.096</f>
        <v>12793.096</v>
      </c>
      <c r="C64" s="245"/>
      <c r="D64" s="275">
        <f>11825.014</f>
        <v>11825.013999999999</v>
      </c>
      <c r="E64" s="179"/>
      <c r="F64" s="178">
        <f>B64+D64-E64</f>
        <v>24618.11</v>
      </c>
      <c r="G64" s="179"/>
      <c r="J64" s="309"/>
      <c r="K64" s="310"/>
      <c r="L64" s="298"/>
      <c r="M64" s="291"/>
    </row>
    <row r="65" spans="1:13" ht="19.5" customHeight="1" x14ac:dyDescent="0.25">
      <c r="A65" s="162" t="s">
        <v>428</v>
      </c>
      <c r="B65" s="153">
        <v>0</v>
      </c>
      <c r="C65" s="154"/>
      <c r="D65" s="153"/>
      <c r="E65" s="154"/>
      <c r="F65" s="153"/>
      <c r="G65" s="154"/>
      <c r="K65" s="310"/>
      <c r="L65" s="298"/>
    </row>
    <row r="66" spans="1:13" ht="19.5" customHeight="1" x14ac:dyDescent="0.25">
      <c r="A66" s="149" t="s">
        <v>26</v>
      </c>
      <c r="B66" s="251"/>
      <c r="C66" s="243"/>
      <c r="D66" s="153"/>
      <c r="E66" s="264"/>
      <c r="F66" s="155"/>
      <c r="G66" s="156"/>
      <c r="K66" s="291"/>
      <c r="L66" s="311"/>
    </row>
    <row r="67" spans="1:13" ht="19.5" customHeight="1" x14ac:dyDescent="0.25">
      <c r="A67" s="149" t="s">
        <v>420</v>
      </c>
      <c r="B67" s="251"/>
      <c r="C67" s="154"/>
      <c r="D67" s="265"/>
      <c r="E67" s="154"/>
      <c r="F67" s="150"/>
      <c r="G67" s="151"/>
    </row>
    <row r="68" spans="1:13" ht="19.5" customHeight="1" x14ac:dyDescent="0.25">
      <c r="A68" s="149" t="s">
        <v>3</v>
      </c>
      <c r="B68" s="251"/>
      <c r="C68" s="243"/>
      <c r="D68" s="153"/>
      <c r="E68" s="154"/>
      <c r="F68" s="150"/>
      <c r="G68" s="151"/>
    </row>
    <row r="69" spans="1:13" ht="19.5" customHeight="1" thickBot="1" x14ac:dyDescent="0.3">
      <c r="A69" s="149" t="s">
        <v>403</v>
      </c>
      <c r="B69" s="251"/>
      <c r="C69" s="243"/>
      <c r="D69" s="153"/>
      <c r="E69" s="154"/>
      <c r="F69" s="150"/>
      <c r="G69" s="151"/>
    </row>
    <row r="70" spans="1:13" ht="19.5" customHeight="1" thickBot="1" x14ac:dyDescent="0.3">
      <c r="A70" s="149" t="s">
        <v>511</v>
      </c>
      <c r="B70" s="251"/>
      <c r="C70" s="243">
        <v>1940</v>
      </c>
      <c r="D70" s="150"/>
      <c r="E70" s="151"/>
      <c r="F70" s="150"/>
      <c r="G70" s="151">
        <f>+E70+C70</f>
        <v>1940</v>
      </c>
      <c r="K70" s="299">
        <f>F13+F7-G46</f>
        <v>323678.36699999997</v>
      </c>
      <c r="L70" s="301"/>
      <c r="M70" s="291"/>
    </row>
    <row r="71" spans="1:13" ht="19.5" customHeight="1" x14ac:dyDescent="0.25">
      <c r="A71" s="149" t="s">
        <v>480</v>
      </c>
      <c r="B71" s="251"/>
      <c r="C71" s="243">
        <v>33.646368809272062</v>
      </c>
      <c r="D71" s="153"/>
      <c r="E71" s="260">
        <v>50.424999999999997</v>
      </c>
      <c r="F71" s="150"/>
      <c r="G71" s="151">
        <f>+E71+C71</f>
        <v>84.071368809272059</v>
      </c>
    </row>
    <row r="72" spans="1:13" ht="19.5" customHeight="1" x14ac:dyDescent="0.25">
      <c r="A72" s="149" t="s">
        <v>506</v>
      </c>
      <c r="B72" s="251"/>
      <c r="C72" s="243">
        <v>0</v>
      </c>
      <c r="D72" s="153"/>
      <c r="E72" s="154"/>
      <c r="F72" s="150"/>
      <c r="G72" s="151">
        <f>+E72+C72</f>
        <v>0</v>
      </c>
    </row>
    <row r="73" spans="1:13" ht="19.5" customHeight="1" x14ac:dyDescent="0.25">
      <c r="A73" s="149" t="s">
        <v>525</v>
      </c>
      <c r="B73" s="251">
        <v>0</v>
      </c>
      <c r="C73" s="243"/>
      <c r="D73" s="150"/>
      <c r="E73" s="151"/>
      <c r="F73" s="178"/>
      <c r="G73" s="151">
        <f>C73+E73-D73</f>
        <v>0</v>
      </c>
    </row>
    <row r="74" spans="1:13" ht="19.5" customHeight="1" x14ac:dyDescent="0.25">
      <c r="A74" s="167" t="s">
        <v>75</v>
      </c>
      <c r="B74" s="164"/>
      <c r="C74" s="165"/>
      <c r="D74" s="164"/>
      <c r="E74" s="278"/>
      <c r="F74" s="164"/>
      <c r="G74" s="165"/>
      <c r="L74" s="282"/>
    </row>
    <row r="75" spans="1:13" ht="19.5" customHeight="1" x14ac:dyDescent="0.25">
      <c r="A75" s="149" t="s">
        <v>415</v>
      </c>
      <c r="B75" s="251">
        <v>0</v>
      </c>
      <c r="C75" s="243"/>
      <c r="D75" s="153"/>
      <c r="F75" s="150">
        <f>D75+B75-E74</f>
        <v>0</v>
      </c>
      <c r="G75" s="154"/>
      <c r="L75" s="282"/>
    </row>
    <row r="76" spans="1:13" ht="19.5" customHeight="1" x14ac:dyDescent="0.25">
      <c r="A76" s="149" t="s">
        <v>472</v>
      </c>
      <c r="B76" s="150">
        <f>1020+170</f>
        <v>1190</v>
      </c>
      <c r="C76" s="151"/>
      <c r="D76" s="150"/>
      <c r="E76" s="151"/>
      <c r="F76" s="150">
        <f>D76+B76-E76</f>
        <v>1190</v>
      </c>
      <c r="G76" s="151"/>
      <c r="J76" s="282"/>
      <c r="K76" s="282"/>
      <c r="L76" s="282"/>
    </row>
    <row r="77" spans="1:13" ht="19.5" customHeight="1" x14ac:dyDescent="0.25">
      <c r="A77" s="149" t="s">
        <v>456</v>
      </c>
      <c r="B77" s="150">
        <v>350</v>
      </c>
      <c r="C77" s="151"/>
      <c r="D77" s="150"/>
      <c r="E77" s="151"/>
      <c r="F77" s="150">
        <f t="shared" ref="F77" si="1">D77+B77-E77</f>
        <v>350</v>
      </c>
      <c r="G77" s="151"/>
      <c r="K77" s="282"/>
      <c r="L77" s="282"/>
    </row>
    <row r="78" spans="1:13" ht="19.5" customHeight="1" x14ac:dyDescent="0.25">
      <c r="A78" s="149" t="s">
        <v>474</v>
      </c>
      <c r="B78" s="150">
        <v>71.116293993677374</v>
      </c>
      <c r="C78" s="151"/>
      <c r="D78" s="178"/>
      <c r="E78" s="151"/>
      <c r="F78" s="150">
        <f>D78+B78-E78</f>
        <v>71.116293993677374</v>
      </c>
      <c r="G78" s="151"/>
    </row>
    <row r="79" spans="1:13" ht="18" customHeight="1" x14ac:dyDescent="0.25">
      <c r="A79" s="222" t="s">
        <v>95</v>
      </c>
      <c r="B79" s="150">
        <v>97.270293993677384</v>
      </c>
      <c r="C79" s="151"/>
      <c r="D79" s="178"/>
      <c r="E79" s="151"/>
      <c r="F79" s="150">
        <f t="shared" ref="F79:F82" si="2">D79+B79</f>
        <v>97.270293993677384</v>
      </c>
      <c r="G79" s="151"/>
      <c r="L79" s="282"/>
    </row>
    <row r="80" spans="1:13" ht="18" customHeight="1" x14ac:dyDescent="0.25">
      <c r="A80" s="222" t="s">
        <v>490</v>
      </c>
      <c r="B80" s="178">
        <v>0</v>
      </c>
      <c r="C80" s="151"/>
      <c r="D80" s="150"/>
      <c r="E80" s="151"/>
      <c r="F80" s="178">
        <f t="shared" si="2"/>
        <v>0</v>
      </c>
      <c r="G80" s="151"/>
      <c r="L80" s="282"/>
    </row>
    <row r="81" spans="1:13" ht="18" customHeight="1" x14ac:dyDescent="0.25">
      <c r="A81" s="222" t="s">
        <v>94</v>
      </c>
      <c r="B81" s="150">
        <v>0</v>
      </c>
      <c r="C81" s="151"/>
      <c r="D81" s="150"/>
      <c r="E81" s="151"/>
      <c r="F81" s="150">
        <f t="shared" si="2"/>
        <v>0</v>
      </c>
      <c r="G81" s="151"/>
      <c r="K81" s="282"/>
    </row>
    <row r="82" spans="1:13" ht="18" customHeight="1" x14ac:dyDescent="0.25">
      <c r="A82" s="222" t="s">
        <v>476</v>
      </c>
      <c r="B82" s="150">
        <v>0</v>
      </c>
      <c r="C82" s="151"/>
      <c r="D82" s="150"/>
      <c r="E82" s="151"/>
      <c r="F82" s="150">
        <f t="shared" si="2"/>
        <v>0</v>
      </c>
      <c r="G82" s="151"/>
    </row>
    <row r="83" spans="1:13" ht="18" customHeight="1" x14ac:dyDescent="0.25">
      <c r="A83" s="222" t="s">
        <v>447</v>
      </c>
      <c r="B83" s="178">
        <v>0</v>
      </c>
      <c r="C83" s="151"/>
      <c r="D83" s="266"/>
      <c r="E83" s="151"/>
      <c r="F83" s="178">
        <f>D83+B83</f>
        <v>0</v>
      </c>
      <c r="G83" s="151"/>
      <c r="M83" s="312"/>
    </row>
    <row r="84" spans="1:13" ht="18" customHeight="1" x14ac:dyDescent="0.25">
      <c r="A84" s="222" t="s">
        <v>489</v>
      </c>
      <c r="B84" s="256">
        <v>0</v>
      </c>
      <c r="C84" s="181"/>
      <c r="D84" s="266"/>
      <c r="E84" s="181"/>
      <c r="F84" s="178">
        <f>D84+B84</f>
        <v>0</v>
      </c>
      <c r="G84" s="181"/>
      <c r="M84" s="312"/>
    </row>
    <row r="85" spans="1:13" ht="18" customHeight="1" x14ac:dyDescent="0.25">
      <c r="A85" s="222" t="s">
        <v>478</v>
      </c>
      <c r="B85" s="256">
        <v>0</v>
      </c>
      <c r="C85" s="181"/>
      <c r="D85" s="266"/>
      <c r="E85" s="181"/>
      <c r="F85" s="178">
        <f>D85+B85</f>
        <v>0</v>
      </c>
      <c r="G85" s="181"/>
      <c r="K85" s="282"/>
      <c r="M85" s="312"/>
    </row>
    <row r="86" spans="1:13" ht="18" customHeight="1" x14ac:dyDescent="0.25">
      <c r="A86" s="222" t="s">
        <v>424</v>
      </c>
      <c r="B86" s="185">
        <v>8275.08</v>
      </c>
      <c r="C86" s="181"/>
      <c r="D86" s="256"/>
      <c r="E86" s="181"/>
      <c r="F86" s="150">
        <f>B86-C86+D86-E86</f>
        <v>8275.08</v>
      </c>
      <c r="G86" s="181"/>
      <c r="K86" s="301"/>
      <c r="L86" s="313"/>
      <c r="M86" s="312"/>
    </row>
    <row r="87" spans="1:13" ht="18" customHeight="1" x14ac:dyDescent="0.25">
      <c r="A87" s="167" t="s">
        <v>76</v>
      </c>
      <c r="B87" s="164">
        <v>0</v>
      </c>
      <c r="C87" s="165"/>
      <c r="D87" s="164"/>
      <c r="E87" s="165"/>
      <c r="F87" s="164">
        <f>B87+D87</f>
        <v>0</v>
      </c>
      <c r="G87" s="165"/>
      <c r="K87" s="301"/>
      <c r="L87" s="313"/>
      <c r="M87" s="312"/>
    </row>
    <row r="88" spans="1:13" ht="18" customHeight="1" x14ac:dyDescent="0.25">
      <c r="A88" s="161" t="s">
        <v>519</v>
      </c>
      <c r="B88" s="153"/>
      <c r="C88" s="154"/>
      <c r="D88" s="153"/>
      <c r="E88" s="154"/>
      <c r="F88" s="153"/>
      <c r="G88" s="154"/>
      <c r="M88" s="312"/>
    </row>
    <row r="89" spans="1:13" ht="18" customHeight="1" x14ac:dyDescent="0.25">
      <c r="A89" s="161" t="s">
        <v>96</v>
      </c>
      <c r="B89" s="153">
        <v>0</v>
      </c>
      <c r="C89" s="154"/>
      <c r="D89" s="153"/>
      <c r="E89" s="154"/>
      <c r="F89" s="153">
        <f>D89+B89</f>
        <v>0</v>
      </c>
      <c r="G89" s="154"/>
      <c r="M89" s="312"/>
    </row>
    <row r="90" spans="1:13" ht="18" customHeight="1" x14ac:dyDescent="0.25">
      <c r="A90" s="161" t="s">
        <v>477</v>
      </c>
      <c r="B90" s="153">
        <v>1660</v>
      </c>
      <c r="C90" s="154"/>
      <c r="D90" s="153"/>
      <c r="E90" s="154"/>
      <c r="F90" s="150">
        <f>D90+B90</f>
        <v>1660</v>
      </c>
      <c r="G90" s="154"/>
      <c r="M90" s="312"/>
    </row>
    <row r="91" spans="1:13" ht="18" customHeight="1" x14ac:dyDescent="0.25">
      <c r="A91" s="157" t="s">
        <v>520</v>
      </c>
      <c r="B91" s="251">
        <v>500</v>
      </c>
      <c r="C91" s="243"/>
      <c r="D91" s="277">
        <v>750</v>
      </c>
      <c r="E91" s="154"/>
      <c r="F91" s="150">
        <f>+D91+B91</f>
        <v>1250</v>
      </c>
      <c r="G91" s="151"/>
      <c r="M91" s="312"/>
    </row>
    <row r="92" spans="1:13" ht="18" customHeight="1" x14ac:dyDescent="0.25">
      <c r="A92" s="167" t="s">
        <v>87</v>
      </c>
      <c r="B92" s="164"/>
      <c r="C92" s="165"/>
      <c r="D92" s="164"/>
      <c r="E92" s="165"/>
      <c r="F92" s="164"/>
      <c r="G92" s="165"/>
      <c r="M92" s="312"/>
    </row>
    <row r="93" spans="1:13" ht="18" customHeight="1" x14ac:dyDescent="0.25">
      <c r="A93" s="149" t="s">
        <v>27</v>
      </c>
      <c r="B93" s="251">
        <v>59.509843251755228</v>
      </c>
      <c r="C93" s="243"/>
      <c r="D93" s="178"/>
      <c r="E93" s="154"/>
      <c r="F93" s="150">
        <f>+B93+D93-E93</f>
        <v>59.509843251755228</v>
      </c>
      <c r="G93" s="154"/>
      <c r="M93" s="312"/>
    </row>
    <row r="94" spans="1:13" ht="18" customHeight="1" x14ac:dyDescent="0.25">
      <c r="A94" s="149" t="s">
        <v>422</v>
      </c>
      <c r="B94" s="185"/>
      <c r="C94" s="181"/>
      <c r="D94" s="185"/>
      <c r="E94" s="181"/>
      <c r="F94" s="150"/>
      <c r="G94" s="181"/>
      <c r="H94" s="279"/>
      <c r="M94" s="314"/>
    </row>
    <row r="95" spans="1:13" ht="18" customHeight="1" x14ac:dyDescent="0.25">
      <c r="A95" s="167" t="s">
        <v>88</v>
      </c>
      <c r="B95" s="164"/>
      <c r="C95" s="165"/>
      <c r="D95" s="164"/>
      <c r="E95" s="165"/>
      <c r="F95" s="164"/>
      <c r="G95" s="165"/>
    </row>
    <row r="96" spans="1:13" ht="18" customHeight="1" thickBot="1" x14ac:dyDescent="0.3">
      <c r="A96" s="149" t="s">
        <v>517</v>
      </c>
      <c r="B96" s="257">
        <v>3115.5369999999994</v>
      </c>
      <c r="C96" s="258"/>
      <c r="D96" s="269">
        <v>611.52099999999996</v>
      </c>
      <c r="E96" s="267"/>
      <c r="F96" s="158">
        <f>B96+D96-E96</f>
        <v>3727.0579999999991</v>
      </c>
      <c r="G96" s="268"/>
      <c r="K96" s="282"/>
      <c r="M96" s="315"/>
    </row>
    <row r="97" spans="1:13" ht="18" customHeight="1" thickBot="1" x14ac:dyDescent="0.3">
      <c r="A97" s="148" t="s">
        <v>31</v>
      </c>
      <c r="B97" s="159">
        <f t="shared" ref="B97:G97" si="3">SUM(B5:B96)</f>
        <v>2548655.8134312392</v>
      </c>
      <c r="C97" s="159">
        <f t="shared" si="3"/>
        <v>2548655.5490016858</v>
      </c>
      <c r="D97" s="159">
        <f t="shared" si="3"/>
        <v>160907.595</v>
      </c>
      <c r="E97" s="159">
        <f t="shared" si="3"/>
        <v>160907.595</v>
      </c>
      <c r="F97" s="159">
        <f t="shared" si="3"/>
        <v>2548929.3244312392</v>
      </c>
      <c r="G97" s="159">
        <f t="shared" si="3"/>
        <v>2548929.0600016857</v>
      </c>
    </row>
    <row r="98" spans="1:13" ht="19.5" customHeight="1" x14ac:dyDescent="0.25">
      <c r="A98" s="148"/>
      <c r="B98" s="160"/>
      <c r="C98" s="186">
        <f>+B97-C97</f>
        <v>0.264429553411901</v>
      </c>
      <c r="D98" s="160"/>
      <c r="E98" s="248">
        <f>E97-D97</f>
        <v>0</v>
      </c>
      <c r="F98" s="186"/>
      <c r="G98" s="186">
        <f>+F97-G97</f>
        <v>0.264429553411901</v>
      </c>
      <c r="K98" s="313"/>
      <c r="L98" s="301"/>
      <c r="M98" s="313"/>
    </row>
    <row r="99" spans="1:13" ht="18" x14ac:dyDescent="0.25">
      <c r="A99" s="148"/>
      <c r="B99" s="160"/>
      <c r="C99" s="186"/>
      <c r="D99" s="186"/>
      <c r="E99" s="186"/>
      <c r="F99" s="186"/>
      <c r="G99" s="186"/>
      <c r="L99" s="282"/>
    </row>
    <row r="100" spans="1:13" ht="18" x14ac:dyDescent="0.25">
      <c r="A100" s="148"/>
      <c r="B100" s="186"/>
      <c r="C100" s="186"/>
      <c r="D100" s="186"/>
      <c r="E100" s="186"/>
      <c r="F100" s="160">
        <f>SUM(F63:F96)</f>
        <v>41298.14443123911</v>
      </c>
      <c r="G100" s="160">
        <f>SUM(G63:G96)</f>
        <v>2024.0713688092721</v>
      </c>
    </row>
    <row r="101" spans="1:13" ht="18" x14ac:dyDescent="0.25">
      <c r="B101" s="301"/>
      <c r="C101" s="298"/>
      <c r="D101" s="306"/>
      <c r="E101" s="301"/>
      <c r="F101" s="301"/>
      <c r="G101" s="316">
        <f>+G100-F100</f>
        <v>-39274.073062429838</v>
      </c>
    </row>
    <row r="102" spans="1:13" x14ac:dyDescent="0.2">
      <c r="C102" s="313"/>
    </row>
    <row r="103" spans="1:13" x14ac:dyDescent="0.2">
      <c r="C103" s="313"/>
    </row>
    <row r="104" spans="1:13" x14ac:dyDescent="0.2">
      <c r="D104" s="282"/>
      <c r="E104" s="282"/>
      <c r="F104" s="282">
        <f>+SUM(F63:F96)</f>
        <v>41298.14443123911</v>
      </c>
      <c r="G104" s="282">
        <f>+SUM(G63:G96)</f>
        <v>2024.0713688092721</v>
      </c>
    </row>
    <row r="105" spans="1:13" x14ac:dyDescent="0.2">
      <c r="C105" s="313"/>
      <c r="E105" s="282"/>
      <c r="G105" s="282">
        <f>+G104-F104</f>
        <v>-39274.073062429838</v>
      </c>
    </row>
    <row r="106" spans="1:13" x14ac:dyDescent="0.2">
      <c r="C106" s="313"/>
    </row>
    <row r="107" spans="1:13" x14ac:dyDescent="0.2">
      <c r="C107" s="313"/>
      <c r="G107" s="282">
        <f>+G105-'P &amp; L'!C29</f>
        <v>0</v>
      </c>
    </row>
  </sheetData>
  <mergeCells count="4">
    <mergeCell ref="D3:E3"/>
    <mergeCell ref="B3:C3"/>
    <mergeCell ref="F3:G3"/>
    <mergeCell ref="C2:G2"/>
  </mergeCells>
  <printOptions horizontalCentered="1" verticalCentered="1"/>
  <pageMargins left="0" right="0" top="0.35" bottom="0.33" header="0.3" footer="0.3"/>
  <pageSetup paperSize="9" scale="75" orientation="landscape" horizontalDpi="4294967292" r:id="rId1"/>
  <headerFooter alignWithMargins="0"/>
  <ignoredErrors>
    <ignoredError sqref="G38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3:H43"/>
  <sheetViews>
    <sheetView topLeftCell="A19" workbookViewId="0">
      <selection activeCell="J29" sqref="J29"/>
    </sheetView>
  </sheetViews>
  <sheetFormatPr defaultRowHeight="15" x14ac:dyDescent="0.25"/>
  <cols>
    <col min="2" max="2" width="12.5703125" bestFit="1" customWidth="1"/>
  </cols>
  <sheetData>
    <row r="3" spans="1:8" x14ac:dyDescent="0.25">
      <c r="H3" s="141" t="s">
        <v>376</v>
      </c>
    </row>
    <row r="4" spans="1:8" x14ac:dyDescent="0.25">
      <c r="A4" s="141"/>
      <c r="B4" s="143">
        <v>35000000</v>
      </c>
      <c r="C4" s="141"/>
      <c r="D4" s="141"/>
      <c r="E4" s="141"/>
      <c r="F4" s="141"/>
      <c r="G4" s="141"/>
      <c r="H4" s="141" t="s">
        <v>377</v>
      </c>
    </row>
    <row r="5" spans="1:8" x14ac:dyDescent="0.25">
      <c r="A5" s="141"/>
      <c r="B5" s="143">
        <v>8458800</v>
      </c>
      <c r="C5" s="141"/>
      <c r="D5" s="141"/>
      <c r="E5" s="141"/>
      <c r="F5" s="141"/>
      <c r="G5" s="141"/>
      <c r="H5" s="141" t="s">
        <v>378</v>
      </c>
    </row>
    <row r="6" spans="1:8" x14ac:dyDescent="0.25">
      <c r="A6" s="141"/>
      <c r="B6" s="142">
        <v>0.24168000000000001</v>
      </c>
      <c r="C6" s="141"/>
      <c r="D6" s="141"/>
      <c r="E6" s="141"/>
      <c r="F6" s="141"/>
      <c r="G6" s="141"/>
      <c r="H6" s="141" t="s">
        <v>379</v>
      </c>
    </row>
    <row r="7" spans="1:8" x14ac:dyDescent="0.25">
      <c r="A7" s="141"/>
      <c r="B7" s="147">
        <v>0.39363548571428569</v>
      </c>
      <c r="C7" s="141"/>
      <c r="D7" s="141"/>
      <c r="E7" s="141"/>
      <c r="F7" s="141"/>
      <c r="G7" s="141"/>
      <c r="H7" s="141" t="s">
        <v>380</v>
      </c>
    </row>
    <row r="8" spans="1:8" x14ac:dyDescent="0.25">
      <c r="A8" s="141"/>
      <c r="B8" s="145">
        <v>3329683.84656</v>
      </c>
      <c r="C8" s="141"/>
      <c r="D8" s="141"/>
      <c r="E8" s="141"/>
      <c r="F8" s="141"/>
      <c r="G8" s="141"/>
      <c r="H8" s="141" t="s">
        <v>381</v>
      </c>
    </row>
    <row r="9" spans="1:8" x14ac:dyDescent="0.25">
      <c r="A9" s="141"/>
      <c r="B9" s="146">
        <v>0.34506405714285715</v>
      </c>
      <c r="C9" s="141"/>
      <c r="D9" s="141"/>
      <c r="E9" s="141"/>
      <c r="F9" s="141"/>
      <c r="G9" s="141"/>
      <c r="H9" s="141" t="s">
        <v>382</v>
      </c>
    </row>
    <row r="10" spans="1:8" x14ac:dyDescent="0.25">
      <c r="A10" s="141"/>
      <c r="B10" s="143">
        <v>2918827.84656</v>
      </c>
      <c r="C10" s="141"/>
      <c r="D10" s="141"/>
      <c r="E10" s="141"/>
      <c r="F10" s="141"/>
      <c r="G10" s="141"/>
      <c r="H10" s="141" t="s">
        <v>383</v>
      </c>
    </row>
    <row r="12" spans="1:8" x14ac:dyDescent="0.25">
      <c r="A12" s="141"/>
      <c r="B12" s="143">
        <v>2645540</v>
      </c>
      <c r="C12" s="141"/>
      <c r="D12" s="141"/>
      <c r="E12" s="141"/>
      <c r="F12" s="141"/>
      <c r="G12" s="141"/>
      <c r="H12" s="141" t="s">
        <v>384</v>
      </c>
    </row>
    <row r="15" spans="1:8" x14ac:dyDescent="0.25">
      <c r="A15" s="141"/>
      <c r="B15" s="141"/>
      <c r="C15" s="141"/>
      <c r="D15" s="141"/>
      <c r="E15" s="141"/>
      <c r="F15" s="141"/>
      <c r="G15" s="141"/>
      <c r="H15" s="141" t="s">
        <v>385</v>
      </c>
    </row>
    <row r="16" spans="1:8" x14ac:dyDescent="0.25">
      <c r="A16" s="141"/>
      <c r="B16" s="143">
        <v>298122120</v>
      </c>
      <c r="C16" s="141"/>
      <c r="D16" s="141"/>
      <c r="E16" s="141"/>
      <c r="F16" s="141"/>
      <c r="G16" s="141"/>
      <c r="H16" s="141" t="s">
        <v>386</v>
      </c>
    </row>
    <row r="17" spans="1:8" x14ac:dyDescent="0.25">
      <c r="A17" s="141"/>
      <c r="B17" s="143">
        <v>84647797</v>
      </c>
      <c r="C17" s="141"/>
      <c r="D17" s="141"/>
      <c r="E17" s="141"/>
      <c r="F17" s="141"/>
      <c r="G17" s="141"/>
      <c r="H17" s="141" t="s">
        <v>387</v>
      </c>
    </row>
    <row r="18" spans="1:8" x14ac:dyDescent="0.25">
      <c r="A18" s="141"/>
      <c r="B18" s="147">
        <v>0.28393665320775258</v>
      </c>
      <c r="C18" s="141"/>
      <c r="D18" s="141"/>
      <c r="E18" s="141"/>
      <c r="F18" s="141"/>
      <c r="G18" s="141"/>
      <c r="H18" s="141" t="s">
        <v>388</v>
      </c>
    </row>
    <row r="19" spans="1:8" x14ac:dyDescent="0.25">
      <c r="A19" s="141" t="s">
        <v>389</v>
      </c>
      <c r="B19" s="141">
        <v>33</v>
      </c>
      <c r="C19" s="141"/>
      <c r="D19" s="141"/>
      <c r="E19" s="141"/>
      <c r="F19" s="141"/>
      <c r="G19" s="141"/>
      <c r="H19" s="141" t="s">
        <v>390</v>
      </c>
    </row>
    <row r="20" spans="1:8" x14ac:dyDescent="0.25">
      <c r="A20" s="141"/>
      <c r="B20" s="143">
        <v>2793377.301</v>
      </c>
      <c r="C20" s="141"/>
      <c r="D20" s="141"/>
      <c r="E20" s="141"/>
      <c r="F20" s="141"/>
      <c r="G20" s="141"/>
      <c r="H20" s="141" t="s">
        <v>391</v>
      </c>
    </row>
    <row r="21" spans="1:8" x14ac:dyDescent="0.25">
      <c r="A21" s="141" t="s">
        <v>389</v>
      </c>
      <c r="B21" s="141">
        <v>60</v>
      </c>
      <c r="C21" s="141"/>
      <c r="D21" s="141"/>
      <c r="E21" s="141"/>
      <c r="F21" s="141"/>
      <c r="G21" s="141"/>
      <c r="H21" s="141" t="s">
        <v>392</v>
      </c>
    </row>
    <row r="22" spans="1:8" x14ac:dyDescent="0.25">
      <c r="A22" s="141"/>
      <c r="B22" s="143">
        <v>5078867.82</v>
      </c>
      <c r="C22" s="141"/>
      <c r="D22" s="141"/>
      <c r="E22" s="141"/>
      <c r="F22" s="141"/>
      <c r="G22" s="141"/>
      <c r="H22" s="141" t="s">
        <v>393</v>
      </c>
    </row>
    <row r="23" spans="1:8" x14ac:dyDescent="0.25">
      <c r="A23" s="141"/>
      <c r="B23" s="144">
        <v>2285490.5190000003</v>
      </c>
      <c r="C23" s="141"/>
      <c r="D23" s="141"/>
      <c r="E23" s="141"/>
      <c r="F23" s="141"/>
      <c r="G23" s="141"/>
      <c r="H23" s="141" t="s">
        <v>394</v>
      </c>
    </row>
    <row r="26" spans="1:8" x14ac:dyDescent="0.25">
      <c r="A26" s="141"/>
      <c r="B26" s="141"/>
      <c r="C26" s="141"/>
      <c r="D26" s="141"/>
      <c r="E26" s="141"/>
      <c r="F26" s="141"/>
      <c r="G26" s="141"/>
      <c r="H26" s="141" t="s">
        <v>395</v>
      </c>
    </row>
    <row r="27" spans="1:8" x14ac:dyDescent="0.25">
      <c r="A27" s="141"/>
      <c r="B27" s="141">
        <v>60</v>
      </c>
      <c r="C27" s="141"/>
      <c r="D27" s="141"/>
      <c r="E27" s="141"/>
      <c r="F27" s="141"/>
      <c r="G27" s="141"/>
      <c r="H27" s="141" t="s">
        <v>396</v>
      </c>
    </row>
    <row r="28" spans="1:8" x14ac:dyDescent="0.25">
      <c r="A28" s="141"/>
      <c r="B28" s="144">
        <v>48647130.776000001</v>
      </c>
      <c r="C28" s="141"/>
      <c r="D28" s="141"/>
      <c r="E28" s="141"/>
      <c r="F28" s="141"/>
      <c r="G28" s="141"/>
      <c r="H28" s="141" t="s">
        <v>397</v>
      </c>
    </row>
    <row r="29" spans="1:8" x14ac:dyDescent="0.25">
      <c r="A29" s="141"/>
      <c r="B29" s="144">
        <v>2918827.84656</v>
      </c>
      <c r="C29" s="141"/>
      <c r="D29" s="141"/>
      <c r="E29" s="141"/>
      <c r="F29" s="141"/>
      <c r="G29" s="141"/>
      <c r="H29" s="141" t="s">
        <v>398</v>
      </c>
    </row>
    <row r="30" spans="1:8" x14ac:dyDescent="0.25">
      <c r="A30" s="141"/>
      <c r="B30" s="142">
        <v>0.16317853494400214</v>
      </c>
      <c r="C30" s="141"/>
      <c r="D30" s="141"/>
      <c r="E30" s="141"/>
      <c r="F30" s="141"/>
      <c r="G30" s="141"/>
      <c r="H30" s="141" t="s">
        <v>399</v>
      </c>
    </row>
    <row r="32" spans="1:8" x14ac:dyDescent="0.25">
      <c r="A32" s="141"/>
      <c r="B32" s="143">
        <v>1313472.5309519998</v>
      </c>
      <c r="C32" s="141"/>
      <c r="D32" s="141"/>
      <c r="E32" s="141"/>
      <c r="F32" s="141"/>
      <c r="G32" s="141"/>
      <c r="H32" s="141" t="s">
        <v>400</v>
      </c>
    </row>
    <row r="34" spans="1:8" x14ac:dyDescent="0.25">
      <c r="A34" s="141"/>
      <c r="B34" s="141"/>
      <c r="C34" s="141"/>
      <c r="D34" s="141"/>
      <c r="E34" s="141"/>
      <c r="F34" s="141"/>
      <c r="G34" s="141"/>
      <c r="H34" s="141" t="s">
        <v>401</v>
      </c>
    </row>
    <row r="35" spans="1:8" x14ac:dyDescent="0.25">
      <c r="A35" s="141"/>
      <c r="B35" s="141">
        <v>70</v>
      </c>
      <c r="C35" s="141"/>
      <c r="D35" s="141"/>
      <c r="E35" s="141"/>
      <c r="F35" s="141"/>
      <c r="G35" s="141"/>
      <c r="H35" s="141" t="s">
        <v>396</v>
      </c>
    </row>
    <row r="36" spans="1:8" x14ac:dyDescent="0.25">
      <c r="B36" s="144">
        <v>48647130.776000001</v>
      </c>
      <c r="C36" s="141"/>
      <c r="D36" s="141"/>
      <c r="E36" s="141"/>
      <c r="F36" s="141"/>
      <c r="G36" s="141"/>
      <c r="H36" s="141" t="s">
        <v>397</v>
      </c>
    </row>
    <row r="37" spans="1:8" x14ac:dyDescent="0.25">
      <c r="B37" s="144">
        <v>3405299.1543200002</v>
      </c>
      <c r="C37" s="141"/>
      <c r="D37" s="141"/>
      <c r="E37" s="141"/>
      <c r="F37" s="141"/>
      <c r="G37" s="141"/>
      <c r="H37" s="141" t="s">
        <v>398</v>
      </c>
    </row>
    <row r="38" spans="1:8" x14ac:dyDescent="0.25">
      <c r="B38" s="142">
        <v>0.16317853494400214</v>
      </c>
      <c r="C38" s="141"/>
      <c r="D38" s="141"/>
      <c r="E38" s="141"/>
      <c r="F38" s="141"/>
      <c r="G38" s="141"/>
      <c r="H38" s="141" t="s">
        <v>399</v>
      </c>
    </row>
    <row r="40" spans="1:8" x14ac:dyDescent="0.25">
      <c r="B40" s="143">
        <v>1799943.8387120001</v>
      </c>
      <c r="C40" s="141"/>
      <c r="D40" s="141"/>
      <c r="E40" s="141"/>
      <c r="F40" s="141"/>
      <c r="G40" s="141"/>
      <c r="H40" s="141" t="s">
        <v>400</v>
      </c>
    </row>
    <row r="43" spans="1:8" x14ac:dyDescent="0.25">
      <c r="B43" s="144">
        <v>486471.30776000023</v>
      </c>
      <c r="C43" s="141"/>
      <c r="D43" s="141"/>
      <c r="E43" s="141"/>
      <c r="F43" s="141"/>
      <c r="G43" s="141"/>
      <c r="H43" s="141" t="s">
        <v>402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74"/>
  <sheetViews>
    <sheetView zoomScale="93" zoomScaleNormal="93" workbookViewId="0">
      <selection activeCell="D10" sqref="D10"/>
    </sheetView>
  </sheetViews>
  <sheetFormatPr defaultRowHeight="15" x14ac:dyDescent="0.25"/>
  <cols>
    <col min="1" max="1" width="9" style="96" customWidth="1"/>
    <col min="2" max="2" width="52.28515625" bestFit="1" customWidth="1"/>
    <col min="3" max="3" width="16.5703125" bestFit="1" customWidth="1"/>
    <col min="4" max="4" width="14.7109375" bestFit="1" customWidth="1"/>
    <col min="5" max="5" width="9.140625" customWidth="1"/>
    <col min="7" max="7" width="12.7109375" bestFit="1" customWidth="1"/>
  </cols>
  <sheetData>
    <row r="1" spans="1:7" ht="18.75" x14ac:dyDescent="0.3">
      <c r="B1" s="176" t="s">
        <v>410</v>
      </c>
      <c r="C1" s="402"/>
      <c r="D1" s="402"/>
      <c r="E1" s="402"/>
    </row>
    <row r="2" spans="1:7" ht="18" x14ac:dyDescent="0.25">
      <c r="B2" s="177" t="s">
        <v>404</v>
      </c>
      <c r="C2" s="182">
        <v>44712</v>
      </c>
      <c r="D2" s="10"/>
    </row>
    <row r="4" spans="1:7" ht="15" customHeight="1" x14ac:dyDescent="0.25">
      <c r="A4" s="168"/>
      <c r="B4" s="169" t="s">
        <v>24</v>
      </c>
      <c r="C4" s="170" t="s">
        <v>25</v>
      </c>
      <c r="D4" s="170" t="s">
        <v>36</v>
      </c>
    </row>
    <row r="5" spans="1:7" ht="15" customHeight="1" x14ac:dyDescent="0.25">
      <c r="A5" s="97" t="s">
        <v>2</v>
      </c>
      <c r="B5" s="9" t="s">
        <v>1</v>
      </c>
      <c r="C5" s="89" t="s">
        <v>33</v>
      </c>
      <c r="D5" s="102" t="s">
        <v>93</v>
      </c>
    </row>
    <row r="6" spans="1:7" ht="15" customHeight="1" x14ac:dyDescent="0.25">
      <c r="A6" s="97"/>
      <c r="B6" s="8" t="s">
        <v>26</v>
      </c>
      <c r="C6" s="90"/>
      <c r="D6" s="103"/>
    </row>
    <row r="7" spans="1:7" ht="15" customHeight="1" x14ac:dyDescent="0.25">
      <c r="A7" s="97"/>
      <c r="B7" s="8"/>
      <c r="C7" s="93"/>
      <c r="D7" s="104"/>
    </row>
    <row r="8" spans="1:7" ht="15" customHeight="1" x14ac:dyDescent="0.25">
      <c r="A8" s="97"/>
      <c r="B8" s="8" t="str">
        <f>+T.Balance!A65</f>
        <v>Change in Fair Value of IP</v>
      </c>
      <c r="C8" s="93"/>
      <c r="D8" s="104"/>
    </row>
    <row r="9" spans="1:7" ht="15" customHeight="1" x14ac:dyDescent="0.25">
      <c r="A9" s="97"/>
      <c r="B9" s="8" t="s">
        <v>420</v>
      </c>
      <c r="C9" s="93"/>
      <c r="D9" s="104"/>
    </row>
    <row r="10" spans="1:7" ht="15" customHeight="1" x14ac:dyDescent="0.25">
      <c r="A10" s="97"/>
      <c r="B10" s="8" t="s">
        <v>523</v>
      </c>
      <c r="C10" s="91"/>
      <c r="D10" s="104">
        <f>T.Balance!G73</f>
        <v>0</v>
      </c>
    </row>
    <row r="11" spans="1:7" ht="19.5" customHeight="1" x14ac:dyDescent="0.3">
      <c r="A11" s="97"/>
      <c r="B11" s="80" t="str">
        <f>T.Balance!A75</f>
        <v>General and Administration expenses</v>
      </c>
      <c r="C11" s="90"/>
      <c r="D11" s="103">
        <f>T.Balance!F75+T.Balance!F86+T.Balance!F91+T.Balance!F77+T.Balance!F78+T.Balance!F96-T.Balance!G78+T.Balance!F90</f>
        <v>15333.254293993676</v>
      </c>
    </row>
    <row r="12" spans="1:7" ht="19.5" customHeight="1" x14ac:dyDescent="0.3">
      <c r="A12" s="97"/>
      <c r="B12" s="80" t="s">
        <v>450</v>
      </c>
      <c r="C12" s="90"/>
      <c r="D12" s="103">
        <f>+T.Balance!F83</f>
        <v>0</v>
      </c>
    </row>
    <row r="13" spans="1:7" ht="15" customHeight="1" thickBot="1" x14ac:dyDescent="0.35">
      <c r="A13" s="97"/>
      <c r="B13" s="163" t="s">
        <v>97</v>
      </c>
      <c r="C13" s="90"/>
      <c r="D13" s="106">
        <f>SUM(D10:D12)</f>
        <v>15333.254293993676</v>
      </c>
      <c r="G13" s="191"/>
    </row>
    <row r="14" spans="1:7" ht="15" customHeight="1" x14ac:dyDescent="0.3">
      <c r="A14" s="97"/>
      <c r="B14" s="101"/>
      <c r="C14" s="90"/>
      <c r="D14" s="103"/>
    </row>
    <row r="15" spans="1:7" ht="15" customHeight="1" x14ac:dyDescent="0.3">
      <c r="A15" s="97"/>
      <c r="B15" s="101" t="str">
        <f>T.Balance!A88</f>
        <v>KFAS</v>
      </c>
      <c r="C15" s="90"/>
      <c r="D15" s="103">
        <f>T.Balance!F88</f>
        <v>0</v>
      </c>
    </row>
    <row r="16" spans="1:7" ht="15" customHeight="1" x14ac:dyDescent="0.3">
      <c r="A16" s="97"/>
      <c r="B16" s="101" t="str">
        <f>T.Balance!A89</f>
        <v>ZAKAT</v>
      </c>
      <c r="C16" s="90"/>
      <c r="D16" s="103">
        <f>T.Balance!F89</f>
        <v>0</v>
      </c>
    </row>
    <row r="17" spans="1:4" ht="15" customHeight="1" x14ac:dyDescent="0.3">
      <c r="A17" s="97"/>
      <c r="B17" s="101"/>
      <c r="C17" s="90"/>
      <c r="D17" s="103"/>
    </row>
    <row r="18" spans="1:4" ht="15" customHeight="1" x14ac:dyDescent="0.3">
      <c r="A18" s="97"/>
      <c r="B18" s="80"/>
      <c r="C18" s="90"/>
      <c r="D18" s="105"/>
    </row>
    <row r="19" spans="1:4" ht="15" customHeight="1" x14ac:dyDescent="0.3">
      <c r="A19" s="97"/>
      <c r="B19" s="100" t="str">
        <f>T.Balance!A93</f>
        <v>Other Bank Charges</v>
      </c>
      <c r="C19" s="92"/>
      <c r="D19" s="107">
        <f>T.Balance!F93</f>
        <v>59.509843251755228</v>
      </c>
    </row>
    <row r="20" spans="1:4" ht="15" customHeight="1" x14ac:dyDescent="0.3">
      <c r="A20" s="97"/>
      <c r="B20" s="100" t="str">
        <f>+T.Balance!A94</f>
        <v>Interest on Amaken loan</v>
      </c>
      <c r="C20" s="92"/>
      <c r="D20" s="105">
        <f>+T.Balance!F94</f>
        <v>0</v>
      </c>
    </row>
    <row r="21" spans="1:4" ht="15" customHeight="1" x14ac:dyDescent="0.3">
      <c r="A21" s="97" t="s">
        <v>89</v>
      </c>
      <c r="B21" s="80"/>
      <c r="C21" s="90"/>
      <c r="D21" s="103"/>
    </row>
    <row r="22" spans="1:4" ht="15" customHeight="1" x14ac:dyDescent="0.3">
      <c r="A22" s="97"/>
      <c r="B22" s="80" t="str">
        <f>T.Balance!A5</f>
        <v>Burgan Bank - C/A</v>
      </c>
      <c r="C22" s="90"/>
      <c r="D22" s="103">
        <f>T.Balance!F5</f>
        <v>911.74400000002606</v>
      </c>
    </row>
    <row r="23" spans="1:4" ht="15" customHeight="1" x14ac:dyDescent="0.25">
      <c r="A23" s="97"/>
      <c r="B23" t="str">
        <f>T.Balance!A6</f>
        <v>Burgan Bank - F/D</v>
      </c>
      <c r="C23" s="91"/>
      <c r="D23" s="103">
        <f>T.Balance!B6</f>
        <v>0</v>
      </c>
    </row>
    <row r="24" spans="1:4" ht="15" customHeight="1" x14ac:dyDescent="0.25">
      <c r="A24" s="97"/>
      <c r="B24" s="2" t="s">
        <v>457</v>
      </c>
      <c r="C24" s="91"/>
      <c r="D24" s="103">
        <f>T.Balance!F7</f>
        <v>151972.283</v>
      </c>
    </row>
    <row r="25" spans="1:4" ht="15" customHeight="1" x14ac:dyDescent="0.25">
      <c r="A25" s="97"/>
      <c r="B25" s="9"/>
      <c r="C25" s="90"/>
      <c r="D25" s="108">
        <f>SUM(D22:D24)</f>
        <v>152884.02700000003</v>
      </c>
    </row>
    <row r="26" spans="1:4" ht="15" customHeight="1" x14ac:dyDescent="0.25">
      <c r="A26"/>
      <c r="B26" s="9"/>
      <c r="C26" s="90"/>
      <c r="D26" s="109"/>
    </row>
    <row r="27" spans="1:4" ht="15" customHeight="1" x14ac:dyDescent="0.25">
      <c r="A27" s="97" t="s">
        <v>409</v>
      </c>
      <c r="B27" s="9" t="s">
        <v>514</v>
      </c>
      <c r="C27" s="90"/>
      <c r="D27" s="109"/>
    </row>
    <row r="28" spans="1:4" ht="15" customHeight="1" x14ac:dyDescent="0.25">
      <c r="A28" s="97"/>
      <c r="B28" s="8" t="s">
        <v>515</v>
      </c>
      <c r="C28" s="90"/>
      <c r="D28" s="109">
        <f>T.Balance!F13</f>
        <v>172337.22799999997</v>
      </c>
    </row>
    <row r="29" spans="1:4" ht="15" customHeight="1" x14ac:dyDescent="0.25">
      <c r="A29" s="97"/>
      <c r="B29" s="8"/>
      <c r="C29" s="90"/>
      <c r="D29" s="109"/>
    </row>
    <row r="30" spans="1:4" ht="15" customHeight="1" x14ac:dyDescent="0.25">
      <c r="A30" s="97"/>
      <c r="B30" s="8"/>
      <c r="C30" s="90"/>
      <c r="D30" s="109"/>
    </row>
    <row r="31" spans="1:4" ht="15" customHeight="1" x14ac:dyDescent="0.25">
      <c r="A31" s="97"/>
      <c r="B31" s="8"/>
      <c r="C31" s="90"/>
      <c r="D31" s="109"/>
    </row>
    <row r="32" spans="1:4" ht="15" customHeight="1" x14ac:dyDescent="0.25">
      <c r="A32" s="97" t="s">
        <v>425</v>
      </c>
      <c r="B32" s="9" t="s">
        <v>426</v>
      </c>
      <c r="C32" s="90"/>
      <c r="D32" s="109"/>
    </row>
    <row r="33" spans="1:6" ht="15" customHeight="1" x14ac:dyDescent="0.25">
      <c r="A33" s="97"/>
      <c r="B33" s="8" t="str">
        <f>T.Balance!A15</f>
        <v>Sabhan Plot</v>
      </c>
      <c r="C33" s="90"/>
      <c r="D33" s="109">
        <f>T.Balance!F15</f>
        <v>0</v>
      </c>
    </row>
    <row r="35" spans="1:6" ht="15" customHeight="1" x14ac:dyDescent="0.25">
      <c r="A35" s="97"/>
      <c r="B35" s="9"/>
      <c r="C35" s="90"/>
      <c r="D35" s="109"/>
    </row>
    <row r="36" spans="1:6" ht="15" customHeight="1" x14ac:dyDescent="0.25">
      <c r="A36" s="97"/>
      <c r="B36" s="8"/>
      <c r="C36" s="90"/>
      <c r="D36" s="109"/>
    </row>
    <row r="37" spans="1:6" ht="15" customHeight="1" x14ac:dyDescent="0.25">
      <c r="A37" s="97" t="s">
        <v>10</v>
      </c>
      <c r="B37" s="9" t="s">
        <v>434</v>
      </c>
      <c r="C37" s="90"/>
      <c r="D37" s="109">
        <f>T.Balance!F17+T.Balance!F19+T.Balance!F22+T.Balance!F20-T.Balance!G22+T.Balance!F18</f>
        <v>0</v>
      </c>
    </row>
    <row r="38" spans="1:6" ht="15" customHeight="1" x14ac:dyDescent="0.25">
      <c r="A38" s="97"/>
      <c r="B38" s="8"/>
      <c r="C38" s="90"/>
      <c r="D38" s="109"/>
    </row>
    <row r="39" spans="1:6" ht="15" customHeight="1" x14ac:dyDescent="0.25">
      <c r="A39" s="97" t="s">
        <v>11</v>
      </c>
      <c r="B39" s="9" t="s">
        <v>9</v>
      </c>
      <c r="C39" s="90"/>
      <c r="D39" s="103"/>
    </row>
    <row r="40" spans="1:6" ht="15" customHeight="1" x14ac:dyDescent="0.25">
      <c r="A40" s="97"/>
      <c r="B40" s="8" t="str">
        <f>T.Balance!A24</f>
        <v>Other receivables</v>
      </c>
      <c r="C40" s="90">
        <f>T.Balance!G24</f>
        <v>0</v>
      </c>
      <c r="D40" s="103"/>
    </row>
    <row r="41" spans="1:6" ht="15" customHeight="1" x14ac:dyDescent="0.25">
      <c r="A41" s="97"/>
      <c r="B41" s="8" t="str">
        <f>T.Balance!A25</f>
        <v>Alternative energy</v>
      </c>
      <c r="C41" s="90">
        <f>T.Balance!G25</f>
        <v>0</v>
      </c>
      <c r="D41" s="103"/>
    </row>
    <row r="42" spans="1:6" ht="15" customHeight="1" x14ac:dyDescent="0.25">
      <c r="A42" s="97"/>
      <c r="B42" s="8" t="str">
        <f>T.Balance!A26</f>
        <v>Amaken United Real Estate -inter co</v>
      </c>
      <c r="C42" s="90"/>
      <c r="D42" s="103">
        <f>+T.Balance!F26</f>
        <v>2182409.9249999998</v>
      </c>
    </row>
    <row r="43" spans="1:6" ht="15" customHeight="1" x14ac:dyDescent="0.25">
      <c r="A43" s="97"/>
      <c r="B43" s="9" t="s">
        <v>82</v>
      </c>
      <c r="C43" s="90">
        <f>-T.Balance!F24</f>
        <v>0</v>
      </c>
      <c r="D43" s="103"/>
    </row>
    <row r="44" spans="1:6" ht="15" customHeight="1" x14ac:dyDescent="0.25">
      <c r="A44" s="97"/>
      <c r="B44" s="9" t="s">
        <v>430</v>
      </c>
      <c r="C44" s="90">
        <f>+T.Balance!G27</f>
        <v>0</v>
      </c>
      <c r="D44" s="103"/>
    </row>
    <row r="45" spans="1:6" ht="15" customHeight="1" x14ac:dyDescent="0.25">
      <c r="A45" s="97"/>
      <c r="B45" s="8" t="str">
        <f>T.Balance!A48</f>
        <v>Other Accruals</v>
      </c>
      <c r="C45" s="114">
        <f>T.Balance!G48+T.Balance!G38</f>
        <v>750</v>
      </c>
      <c r="D45" s="105"/>
    </row>
    <row r="46" spans="1:6" ht="15" customHeight="1" x14ac:dyDescent="0.25">
      <c r="A46" s="97"/>
      <c r="B46" s="8" t="str">
        <f>T.Balance!A35</f>
        <v>Investment - in Subsidiary</v>
      </c>
      <c r="C46" s="114">
        <f>T.Balance!G35</f>
        <v>0</v>
      </c>
      <c r="D46" s="105"/>
      <c r="F46" t="s">
        <v>31</v>
      </c>
    </row>
    <row r="47" spans="1:6" ht="15" customHeight="1" x14ac:dyDescent="0.25">
      <c r="A47" s="98"/>
      <c r="B47" s="8" t="str">
        <f>T.Balance!A37</f>
        <v>Related Party Receivables</v>
      </c>
      <c r="C47" s="90">
        <v>0</v>
      </c>
      <c r="D47" s="103"/>
    </row>
    <row r="48" spans="1:6" ht="15" customHeight="1" x14ac:dyDescent="0.25">
      <c r="A48" s="98"/>
      <c r="B48" s="8" t="str">
        <f>T.Balance!A39</f>
        <v>Zakat Exp. Payable</v>
      </c>
      <c r="C48" s="90">
        <f>T.Balance!G39</f>
        <v>0</v>
      </c>
      <c r="D48" s="103"/>
    </row>
    <row r="49" spans="1:4" ht="15" customHeight="1" x14ac:dyDescent="0.25">
      <c r="A49" s="98"/>
      <c r="B49" s="8" t="str">
        <f>T.Balance!A44</f>
        <v>Due to KFAS</v>
      </c>
      <c r="C49" s="90">
        <f>T.Balance!G44</f>
        <v>0</v>
      </c>
      <c r="D49" s="103"/>
    </row>
    <row r="50" spans="1:4" ht="15" customHeight="1" x14ac:dyDescent="0.25">
      <c r="A50" s="98"/>
      <c r="B50" s="8" t="str">
        <f>T.Balance!A47</f>
        <v>Insurance Charge Payable</v>
      </c>
      <c r="C50" s="90">
        <f>T.Balance!G47</f>
        <v>0</v>
      </c>
      <c r="D50" s="103"/>
    </row>
    <row r="51" spans="1:4" ht="15" customHeight="1" x14ac:dyDescent="0.25">
      <c r="A51" s="98"/>
      <c r="B51" s="8" t="str">
        <f>+T.Balance!A49</f>
        <v>Other Payable</v>
      </c>
      <c r="C51" s="90">
        <f>+T.Balance!G49+T.Balance!G72</f>
        <v>2820</v>
      </c>
      <c r="D51" s="103"/>
    </row>
    <row r="52" spans="1:4" ht="15" customHeight="1" x14ac:dyDescent="0.25">
      <c r="A52" s="98"/>
      <c r="B52" s="8" t="str">
        <f>+T.Balance!A52</f>
        <v>Accrued interest payable -Amaken</v>
      </c>
      <c r="C52" s="90">
        <f>+T.Balance!G52</f>
        <v>5391.7781643835624</v>
      </c>
      <c r="D52" s="103"/>
    </row>
    <row r="53" spans="1:4" ht="15" customHeight="1" x14ac:dyDescent="0.25">
      <c r="A53" s="97"/>
      <c r="B53" s="9"/>
      <c r="C53" s="113">
        <f>SUM(C40:C52)</f>
        <v>8961.7781643835624</v>
      </c>
      <c r="D53" s="104"/>
    </row>
    <row r="54" spans="1:4" ht="15" customHeight="1" x14ac:dyDescent="0.25">
      <c r="A54" s="97"/>
      <c r="B54" s="9"/>
      <c r="C54" s="93"/>
      <c r="D54" s="104"/>
    </row>
    <row r="55" spans="1:4" ht="15" customHeight="1" x14ac:dyDescent="0.25">
      <c r="A55" s="97"/>
      <c r="B55" s="8"/>
      <c r="C55" s="93"/>
      <c r="D55" s="104"/>
    </row>
    <row r="56" spans="1:4" ht="15" customHeight="1" x14ac:dyDescent="0.25">
      <c r="A56" s="97" t="s">
        <v>15</v>
      </c>
      <c r="B56" s="9" t="s">
        <v>30</v>
      </c>
      <c r="C56" s="90">
        <f>T.Balance!G55</f>
        <v>0</v>
      </c>
      <c r="D56" s="105"/>
    </row>
    <row r="57" spans="1:4" ht="15" customHeight="1" x14ac:dyDescent="0.25">
      <c r="A57" s="98"/>
      <c r="B57" s="8"/>
      <c r="C57" s="113">
        <f>C56</f>
        <v>0</v>
      </c>
      <c r="D57" s="104"/>
    </row>
    <row r="58" spans="1:4" ht="15" customHeight="1" x14ac:dyDescent="0.25">
      <c r="A58" s="99" t="s">
        <v>32</v>
      </c>
      <c r="B58" s="9" t="str">
        <f>'Balance Sheet '!A32</f>
        <v>Shareholders' equity</v>
      </c>
      <c r="C58" s="94"/>
      <c r="D58" s="110"/>
    </row>
    <row r="59" spans="1:4" ht="15" customHeight="1" x14ac:dyDescent="0.25">
      <c r="A59" s="98"/>
      <c r="B59" s="8" t="str">
        <f>'Balance Sheet '!A33</f>
        <v>Share capital</v>
      </c>
      <c r="C59" s="90">
        <f>T.Balance!G57</f>
        <v>3000000</v>
      </c>
      <c r="D59" s="110"/>
    </row>
    <row r="60" spans="1:4" ht="15" customHeight="1" x14ac:dyDescent="0.25">
      <c r="A60" s="98"/>
      <c r="B60" s="8" t="str">
        <f>'Balance Sheet '!A34</f>
        <v>Share premium</v>
      </c>
      <c r="C60" s="90">
        <f>T.Balance!G58</f>
        <v>0</v>
      </c>
      <c r="D60" s="110"/>
    </row>
    <row r="61" spans="1:4" ht="15" customHeight="1" x14ac:dyDescent="0.25">
      <c r="A61" s="98"/>
      <c r="B61" s="8" t="str">
        <f>'Balance Sheet '!A35</f>
        <v>Statutory reserve</v>
      </c>
      <c r="C61" s="90">
        <f>T.Balance!G59</f>
        <v>7182</v>
      </c>
      <c r="D61" s="110"/>
    </row>
    <row r="62" spans="1:4" ht="15" customHeight="1" x14ac:dyDescent="0.25">
      <c r="A62" s="98"/>
      <c r="B62" s="8" t="str">
        <f>'Balance Sheet '!A36</f>
        <v>Voluntary reserve</v>
      </c>
      <c r="C62" s="90">
        <f>T.Balance!G60</f>
        <v>7182</v>
      </c>
      <c r="D62" s="110"/>
    </row>
    <row r="63" spans="1:4" ht="15" customHeight="1" x14ac:dyDescent="0.25">
      <c r="A63" s="98"/>
      <c r="B63" s="8" t="str">
        <f>'Balance Sheet '!A37</f>
        <v>Retained earnings</v>
      </c>
      <c r="C63" s="90">
        <f>T.Balance!G61</f>
        <v>-477051.93353150692</v>
      </c>
      <c r="D63" s="110"/>
    </row>
    <row r="64" spans="1:4" ht="15" customHeight="1" x14ac:dyDescent="0.25">
      <c r="A64" s="98"/>
      <c r="B64" s="8" t="s">
        <v>411</v>
      </c>
      <c r="C64" s="90">
        <f>+T.Balance!G62</f>
        <v>0</v>
      </c>
      <c r="D64" s="110"/>
    </row>
    <row r="65" spans="1:6" ht="15" customHeight="1" x14ac:dyDescent="0.25">
      <c r="A65" s="98"/>
      <c r="B65" s="81"/>
      <c r="C65" s="113">
        <f>SUM(C59:C64)</f>
        <v>2537312.0664684931</v>
      </c>
      <c r="D65" s="104"/>
    </row>
    <row r="66" spans="1:6" ht="15" customHeight="1" thickBot="1" x14ac:dyDescent="0.3">
      <c r="A66" s="98"/>
      <c r="B66" s="79"/>
      <c r="C66" s="88" t="s">
        <v>33</v>
      </c>
      <c r="D66" s="95">
        <f>C65+C53+C8+C9</f>
        <v>2546273.8446328766</v>
      </c>
      <c r="F66" t="s">
        <v>31</v>
      </c>
    </row>
    <row r="67" spans="1:6" ht="15" customHeight="1" thickTop="1" thickBot="1" x14ac:dyDescent="0.3">
      <c r="A67" s="98"/>
      <c r="B67" s="79"/>
      <c r="C67" s="111" t="s">
        <v>37</v>
      </c>
      <c r="D67" s="112">
        <f>D33+D25+D19+D13+D28+D20+D37+D42</f>
        <v>2523023.9441372454</v>
      </c>
    </row>
    <row r="68" spans="1:6" ht="20.100000000000001" customHeight="1" thickTop="1" x14ac:dyDescent="0.25">
      <c r="A68" s="98"/>
      <c r="B68" s="79"/>
      <c r="C68" s="82"/>
      <c r="D68" s="187">
        <f>D67-D66</f>
        <v>-23249.900495631155</v>
      </c>
    </row>
    <row r="69" spans="1:6" x14ac:dyDescent="0.25">
      <c r="A69" s="98"/>
      <c r="B69" s="79"/>
      <c r="C69" s="83"/>
      <c r="D69" s="83"/>
    </row>
    <row r="70" spans="1:6" x14ac:dyDescent="0.25">
      <c r="A70" s="98"/>
      <c r="B70" s="79"/>
      <c r="C70" s="84"/>
      <c r="D70" s="84"/>
    </row>
    <row r="71" spans="1:6" x14ac:dyDescent="0.25">
      <c r="A71" s="98"/>
      <c r="B71" s="79"/>
      <c r="C71" s="85"/>
      <c r="D71" s="85"/>
    </row>
    <row r="72" spans="1:6" x14ac:dyDescent="0.25">
      <c r="A72" s="98"/>
      <c r="B72" s="79"/>
      <c r="C72" s="85"/>
      <c r="D72" s="85"/>
    </row>
    <row r="73" spans="1:6" x14ac:dyDescent="0.25">
      <c r="C73" s="1"/>
      <c r="D73" s="1"/>
    </row>
    <row r="74" spans="1:6" x14ac:dyDescent="0.25">
      <c r="C74" s="1"/>
      <c r="D74" s="1"/>
    </row>
  </sheetData>
  <mergeCells count="1">
    <mergeCell ref="C1:E1"/>
  </mergeCells>
  <printOptions horizontalCentered="1"/>
  <pageMargins left="0" right="0" top="0.75" bottom="0.75" header="0.3" footer="0.3"/>
  <pageSetup paperSize="9" scale="80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K48"/>
  <sheetViews>
    <sheetView view="pageBreakPreview" zoomScale="85" zoomScaleNormal="100" zoomScaleSheetLayoutView="85" workbookViewId="0"/>
  </sheetViews>
  <sheetFormatPr defaultRowHeight="15.75" x14ac:dyDescent="0.25"/>
  <cols>
    <col min="1" max="1" width="44.140625" style="324" customWidth="1"/>
    <col min="2" max="2" width="11.85546875" style="324" bestFit="1" customWidth="1"/>
    <col min="3" max="3" width="27.28515625" style="324" customWidth="1"/>
    <col min="4" max="4" width="12.42578125" style="324" hidden="1" customWidth="1"/>
    <col min="5" max="5" width="3.140625" style="324" customWidth="1"/>
    <col min="6" max="6" width="10" style="324" bestFit="1" customWidth="1"/>
    <col min="7" max="7" width="10.5703125" style="324" bestFit="1" customWidth="1"/>
    <col min="8" max="8" width="13.42578125" style="324" bestFit="1" customWidth="1"/>
    <col min="9" max="9" width="9.140625" style="324"/>
    <col min="10" max="10" width="10" style="324" bestFit="1" customWidth="1"/>
    <col min="11" max="16384" width="9.140625" style="324"/>
  </cols>
  <sheetData>
    <row r="1" spans="1:8" x14ac:dyDescent="0.25">
      <c r="A1" s="321" t="s">
        <v>410</v>
      </c>
      <c r="B1" s="403"/>
      <c r="C1" s="403"/>
      <c r="D1" s="403"/>
    </row>
    <row r="2" spans="1:8" ht="18" x14ac:dyDescent="0.25">
      <c r="A2" s="177" t="s">
        <v>530</v>
      </c>
      <c r="B2" s="340"/>
      <c r="C2" s="341"/>
    </row>
    <row r="3" spans="1:8" ht="16.5" thickBot="1" x14ac:dyDescent="0.3">
      <c r="A3" s="8"/>
      <c r="B3" s="340"/>
      <c r="C3" s="242">
        <v>44926</v>
      </c>
    </row>
    <row r="4" spans="1:8" ht="16.5" thickBot="1" x14ac:dyDescent="0.3">
      <c r="A4" s="8"/>
      <c r="B4" s="340"/>
      <c r="C4" s="342" t="s">
        <v>92</v>
      </c>
    </row>
    <row r="5" spans="1:8" x14ac:dyDescent="0.25">
      <c r="A5" s="8"/>
      <c r="B5" s="340"/>
      <c r="C5" s="341"/>
      <c r="G5" s="324" t="s">
        <v>31</v>
      </c>
    </row>
    <row r="6" spans="1:8" x14ac:dyDescent="0.25">
      <c r="A6" s="408" t="s">
        <v>427</v>
      </c>
      <c r="B6" s="409"/>
      <c r="C6" s="343" t="s">
        <v>90</v>
      </c>
      <c r="D6" s="381"/>
      <c r="E6" s="382"/>
    </row>
    <row r="7" spans="1:8" x14ac:dyDescent="0.25">
      <c r="A7" s="171" t="s">
        <v>5</v>
      </c>
      <c r="B7" s="174" t="s">
        <v>0</v>
      </c>
      <c r="C7" s="344">
        <f>+C3</f>
        <v>44926</v>
      </c>
      <c r="D7" s="383"/>
      <c r="E7" s="345" t="s">
        <v>31</v>
      </c>
      <c r="F7" s="324" t="s">
        <v>31</v>
      </c>
    </row>
    <row r="8" spans="1:8" x14ac:dyDescent="0.25">
      <c r="A8" s="3" t="s">
        <v>6</v>
      </c>
      <c r="B8" s="4" t="str">
        <f>SCHEDULES!A21</f>
        <v>C</v>
      </c>
      <c r="C8" s="346">
        <f>SCHEDULES!D25</f>
        <v>152884.02700000003</v>
      </c>
      <c r="D8" s="347" t="e">
        <f>#REF!-C8</f>
        <v>#REF!</v>
      </c>
      <c r="E8" s="348"/>
      <c r="F8" s="336"/>
    </row>
    <row r="9" spans="1:8" hidden="1" x14ac:dyDescent="0.25">
      <c r="A9" s="3" t="s">
        <v>426</v>
      </c>
      <c r="B9" s="4"/>
      <c r="C9" s="346">
        <f>SCHEDULES!D33</f>
        <v>0</v>
      </c>
      <c r="D9" s="349"/>
      <c r="E9" s="348"/>
    </row>
    <row r="10" spans="1:8" x14ac:dyDescent="0.25">
      <c r="A10" s="350" t="s">
        <v>528</v>
      </c>
      <c r="B10" s="351"/>
      <c r="C10" s="352">
        <f>SCHEDULES!D28</f>
        <v>172337.22799999997</v>
      </c>
      <c r="D10" s="349"/>
      <c r="E10" s="348"/>
    </row>
    <row r="11" spans="1:8" x14ac:dyDescent="0.25">
      <c r="A11" s="350"/>
      <c r="B11" s="351"/>
      <c r="C11" s="352"/>
      <c r="D11" s="349"/>
      <c r="E11" s="348"/>
    </row>
    <row r="12" spans="1:8" ht="18.75" thickBot="1" x14ac:dyDescent="0.45">
      <c r="A12" s="404" t="s">
        <v>516</v>
      </c>
      <c r="B12" s="405"/>
      <c r="C12" s="353">
        <f>SUM(C8:C10)</f>
        <v>325221.255</v>
      </c>
      <c r="D12" s="354"/>
      <c r="E12" s="355"/>
    </row>
    <row r="13" spans="1:8" x14ac:dyDescent="0.25">
      <c r="A13" s="3"/>
      <c r="B13" s="4"/>
      <c r="C13" s="356"/>
      <c r="D13" s="347"/>
      <c r="E13" s="348"/>
    </row>
    <row r="14" spans="1:8" hidden="1" x14ac:dyDescent="0.25">
      <c r="A14" s="3" t="s">
        <v>479</v>
      </c>
      <c r="B14" s="4"/>
      <c r="C14" s="356">
        <f>+T.Balance!F31</f>
        <v>0</v>
      </c>
      <c r="D14" s="347"/>
      <c r="E14" s="348"/>
    </row>
    <row r="15" spans="1:8" ht="16.5" thickBot="1" x14ac:dyDescent="0.3">
      <c r="A15" s="3" t="s">
        <v>518</v>
      </c>
      <c r="B15" s="4"/>
      <c r="C15" s="356">
        <f>T.Balance!F26-T.Balance!G52</f>
        <v>2177018.1468356163</v>
      </c>
      <c r="D15" s="347"/>
      <c r="H15" s="357">
        <f>+C15-C24</f>
        <v>2174198.1468356163</v>
      </c>
    </row>
    <row r="16" spans="1:8" ht="16.5" hidden="1" thickBot="1" x14ac:dyDescent="0.3">
      <c r="A16" s="3" t="s">
        <v>484</v>
      </c>
      <c r="B16" s="4"/>
      <c r="C16" s="356">
        <f>+T.Balance!F32</f>
        <v>0</v>
      </c>
      <c r="D16" s="347"/>
      <c r="E16" s="348"/>
    </row>
    <row r="17" spans="1:5" ht="16.5" hidden="1" thickBot="1" x14ac:dyDescent="0.3">
      <c r="A17" s="3" t="s">
        <v>412</v>
      </c>
      <c r="B17" s="4"/>
      <c r="C17" s="356"/>
      <c r="D17" s="347"/>
      <c r="E17" s="348"/>
    </row>
    <row r="18" spans="1:5" ht="16.5" hidden="1" thickBot="1" x14ac:dyDescent="0.3">
      <c r="A18" s="8" t="str">
        <f>+SCHEDULES!B37</f>
        <v>Fixed Assets</v>
      </c>
      <c r="B18" s="358"/>
      <c r="C18" s="359">
        <f>+SCHEDULES!D37+T.Balance!F21</f>
        <v>0</v>
      </c>
      <c r="D18" s="360"/>
      <c r="E18" s="348"/>
    </row>
    <row r="19" spans="1:5" ht="17.25" thickTop="1" thickBot="1" x14ac:dyDescent="0.3">
      <c r="A19" s="410" t="s">
        <v>7</v>
      </c>
      <c r="B19" s="411"/>
      <c r="C19" s="384">
        <f>SUM(C12:C18)</f>
        <v>2502239.4018356162</v>
      </c>
      <c r="D19" s="361"/>
      <c r="E19" s="355"/>
    </row>
    <row r="20" spans="1:5" ht="16.5" thickTop="1" x14ac:dyDescent="0.25">
      <c r="A20" s="362"/>
      <c r="B20" s="363"/>
      <c r="C20" s="364"/>
      <c r="D20" s="365"/>
      <c r="E20" s="348"/>
    </row>
    <row r="21" spans="1:5" x14ac:dyDescent="0.25">
      <c r="A21" s="404" t="s">
        <v>8</v>
      </c>
      <c r="B21" s="405"/>
      <c r="C21" s="366"/>
      <c r="D21" s="357"/>
      <c r="E21" s="348"/>
    </row>
    <row r="22" spans="1:5" hidden="1" x14ac:dyDescent="0.25">
      <c r="A22" s="5"/>
      <c r="B22" s="5"/>
      <c r="C22" s="366"/>
      <c r="D22" s="357"/>
      <c r="E22" s="348"/>
    </row>
    <row r="23" spans="1:5" x14ac:dyDescent="0.25">
      <c r="A23" s="385"/>
      <c r="B23" s="385"/>
      <c r="C23" s="367"/>
      <c r="D23" s="368" t="e">
        <f>C23-#REF!</f>
        <v>#REF!</v>
      </c>
      <c r="E23" s="348"/>
    </row>
    <row r="24" spans="1:5" x14ac:dyDescent="0.25">
      <c r="A24" s="3" t="s">
        <v>9</v>
      </c>
      <c r="B24" s="4" t="str">
        <f>SCHEDULES!A39</f>
        <v>K</v>
      </c>
      <c r="C24" s="325">
        <f>+T.Balance!G25+T.Balance!G27+T.Balance!G48+T.Balance!G49</f>
        <v>2820</v>
      </c>
      <c r="D24" s="369" t="e">
        <f>C24-#REF!</f>
        <v>#REF!</v>
      </c>
      <c r="E24" s="348"/>
    </row>
    <row r="25" spans="1:5" ht="18" x14ac:dyDescent="0.4">
      <c r="A25" s="404" t="s">
        <v>12</v>
      </c>
      <c r="B25" s="405"/>
      <c r="C25" s="370">
        <f>C24</f>
        <v>2820</v>
      </c>
      <c r="D25" s="371"/>
      <c r="E25" s="372"/>
    </row>
    <row r="26" spans="1:5" x14ac:dyDescent="0.25">
      <c r="A26" s="5"/>
      <c r="B26" s="5"/>
      <c r="C26" s="373"/>
      <c r="D26" s="357"/>
      <c r="E26" s="348"/>
    </row>
    <row r="27" spans="1:5" x14ac:dyDescent="0.25">
      <c r="A27" s="404" t="s">
        <v>13</v>
      </c>
      <c r="B27" s="405"/>
      <c r="C27" s="373"/>
      <c r="D27" s="357"/>
      <c r="E27" s="348"/>
    </row>
    <row r="28" spans="1:5" hidden="1" x14ac:dyDescent="0.25">
      <c r="A28" s="3" t="s">
        <v>14</v>
      </c>
      <c r="B28" s="4" t="str">
        <f>SCHEDULES!A56</f>
        <v>M</v>
      </c>
      <c r="C28" s="373">
        <f>SCHEDULES!C57</f>
        <v>0</v>
      </c>
      <c r="D28" s="357" t="e">
        <f>C28-#REF!</f>
        <v>#REF!</v>
      </c>
      <c r="E28" s="348"/>
    </row>
    <row r="29" spans="1:5" x14ac:dyDescent="0.25">
      <c r="A29" s="3" t="s">
        <v>475</v>
      </c>
      <c r="B29" s="4"/>
      <c r="C29" s="367">
        <f>+T.Balance!G54+T.Balance!G38+SCHEDULES!C48+T.Balance!F80+T.Balance!G50+T.Balance!G51+T.Balance!G46</f>
        <v>1381.144</v>
      </c>
      <c r="D29" s="368" t="e">
        <f>C29-#REF!</f>
        <v>#REF!</v>
      </c>
      <c r="E29" s="348"/>
    </row>
    <row r="30" spans="1:5" ht="18" x14ac:dyDescent="0.4">
      <c r="A30" s="404" t="s">
        <v>16</v>
      </c>
      <c r="B30" s="405"/>
      <c r="C30" s="370">
        <f>SUM(C28:C29)</f>
        <v>1381.144</v>
      </c>
      <c r="D30" s="371"/>
      <c r="E30" s="372"/>
    </row>
    <row r="31" spans="1:5" x14ac:dyDescent="0.25">
      <c r="A31" s="3"/>
      <c r="B31" s="4"/>
      <c r="C31" s="325"/>
      <c r="D31" s="357"/>
      <c r="E31" s="348"/>
    </row>
    <row r="32" spans="1:5" x14ac:dyDescent="0.25">
      <c r="A32" s="3" t="s">
        <v>17</v>
      </c>
      <c r="B32" s="4"/>
      <c r="C32" s="325"/>
      <c r="D32" s="357"/>
      <c r="E32" s="348"/>
    </row>
    <row r="33" spans="1:11" x14ac:dyDescent="0.25">
      <c r="A33" s="3" t="s">
        <v>18</v>
      </c>
      <c r="B33" s="4" t="str">
        <f>SCHEDULES!A58</f>
        <v>N</v>
      </c>
      <c r="C33" s="325">
        <f>SCHEDULES!C59</f>
        <v>3000000</v>
      </c>
      <c r="D33" s="357" t="e">
        <f>C33-#REF!</f>
        <v>#REF!</v>
      </c>
      <c r="E33" s="348"/>
    </row>
    <row r="34" spans="1:11" hidden="1" x14ac:dyDescent="0.25">
      <c r="A34" s="3" t="s">
        <v>19</v>
      </c>
      <c r="B34" s="4"/>
      <c r="C34" s="325">
        <v>0</v>
      </c>
      <c r="D34" s="357" t="e">
        <f>C34-#REF!</f>
        <v>#REF!</v>
      </c>
      <c r="E34" s="348"/>
    </row>
    <row r="35" spans="1:11" x14ac:dyDescent="0.25">
      <c r="A35" s="3" t="s">
        <v>20</v>
      </c>
      <c r="B35" s="4"/>
      <c r="C35" s="325">
        <f>T.Balance!G60</f>
        <v>7182</v>
      </c>
      <c r="D35" s="357" t="e">
        <f>C35-#REF!</f>
        <v>#REF!</v>
      </c>
      <c r="E35" s="348"/>
    </row>
    <row r="36" spans="1:11" x14ac:dyDescent="0.25">
      <c r="A36" s="3" t="s">
        <v>21</v>
      </c>
      <c r="B36" s="4"/>
      <c r="C36" s="325">
        <f>T.Balance!G60</f>
        <v>7182</v>
      </c>
      <c r="D36" s="357" t="e">
        <f>C36-#REF!</f>
        <v>#REF!</v>
      </c>
      <c r="E36" s="348"/>
      <c r="K36" s="324" t="s">
        <v>31</v>
      </c>
    </row>
    <row r="37" spans="1:11" x14ac:dyDescent="0.25">
      <c r="A37" s="3" t="s">
        <v>22</v>
      </c>
      <c r="B37" s="4"/>
      <c r="C37" s="374">
        <f>T.Balance!G61+'P &amp; L'!C29</f>
        <v>-516326.00659393676</v>
      </c>
      <c r="D37" s="357" t="e">
        <f>C37-#REF!</f>
        <v>#REF!</v>
      </c>
      <c r="E37" s="348"/>
      <c r="F37" s="339"/>
      <c r="G37" s="348"/>
    </row>
    <row r="38" spans="1:11" hidden="1" x14ac:dyDescent="0.25">
      <c r="A38" s="375" t="s">
        <v>413</v>
      </c>
      <c r="B38" s="376"/>
      <c r="C38" s="377">
        <f>+SCHEDULES!C64</f>
        <v>0</v>
      </c>
      <c r="D38" s="378"/>
      <c r="E38" s="348"/>
      <c r="F38" s="339"/>
    </row>
    <row r="39" spans="1:11" ht="16.5" thickBot="1" x14ac:dyDescent="0.3">
      <c r="A39" s="375"/>
      <c r="B39" s="376"/>
      <c r="C39" s="379">
        <f>SUM(C33:C38)</f>
        <v>2498037.9934060634</v>
      </c>
      <c r="D39" s="378"/>
      <c r="E39" s="355"/>
      <c r="G39" s="386"/>
      <c r="H39" s="348"/>
      <c r="I39" s="348"/>
    </row>
    <row r="40" spans="1:11" ht="17.25" thickTop="1" thickBot="1" x14ac:dyDescent="0.3">
      <c r="A40" s="406" t="s">
        <v>23</v>
      </c>
      <c r="B40" s="407"/>
      <c r="C40" s="394">
        <f>C39+C30+C25</f>
        <v>2502239.1374060633</v>
      </c>
      <c r="D40" s="380"/>
      <c r="E40" s="355"/>
      <c r="G40" s="386"/>
      <c r="H40" s="348"/>
      <c r="I40" s="348"/>
      <c r="J40" s="348"/>
    </row>
    <row r="41" spans="1:11" ht="16.5" thickTop="1" x14ac:dyDescent="0.25">
      <c r="A41" s="97"/>
      <c r="B41" s="97"/>
      <c r="C41" s="393"/>
      <c r="D41" s="348"/>
      <c r="E41" s="355"/>
      <c r="G41" s="386"/>
      <c r="H41" s="348"/>
      <c r="I41" s="348"/>
      <c r="J41" s="348"/>
    </row>
    <row r="42" spans="1:11" x14ac:dyDescent="0.25">
      <c r="C42" s="387">
        <f>C40-C19</f>
        <v>-0.26442955294623971</v>
      </c>
      <c r="D42" s="388"/>
      <c r="E42" s="339"/>
      <c r="G42" s="389"/>
      <c r="H42" s="348"/>
      <c r="I42" s="348"/>
    </row>
    <row r="43" spans="1:11" x14ac:dyDescent="0.25">
      <c r="C43" s="390"/>
      <c r="G43" s="386"/>
      <c r="H43" s="348"/>
      <c r="I43" s="348"/>
    </row>
    <row r="44" spans="1:11" x14ac:dyDescent="0.25">
      <c r="C44" s="390"/>
      <c r="G44" s="386"/>
      <c r="H44" s="348"/>
      <c r="I44" s="348"/>
    </row>
    <row r="45" spans="1:11" x14ac:dyDescent="0.25">
      <c r="G45" s="386"/>
      <c r="H45" s="348"/>
      <c r="I45" s="348"/>
    </row>
    <row r="46" spans="1:11" x14ac:dyDescent="0.25">
      <c r="G46" s="386"/>
      <c r="H46" s="348"/>
      <c r="I46" s="348"/>
    </row>
    <row r="47" spans="1:11" x14ac:dyDescent="0.25">
      <c r="G47" s="386"/>
      <c r="H47" s="348"/>
      <c r="I47" s="348"/>
    </row>
    <row r="48" spans="1:11" x14ac:dyDescent="0.25">
      <c r="G48" s="386"/>
      <c r="H48" s="348"/>
      <c r="I48" s="348"/>
    </row>
  </sheetData>
  <mergeCells count="9">
    <mergeCell ref="B1:D1"/>
    <mergeCell ref="A30:B30"/>
    <mergeCell ref="A27:B27"/>
    <mergeCell ref="A40:B40"/>
    <mergeCell ref="A6:B6"/>
    <mergeCell ref="A19:B19"/>
    <mergeCell ref="A12:B12"/>
    <mergeCell ref="A21:B21"/>
    <mergeCell ref="A25:B25"/>
  </mergeCells>
  <printOptions horizontalCentered="1" verticalCentered="1"/>
  <pageMargins left="0" right="0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J37"/>
  <sheetViews>
    <sheetView view="pageBreakPreview" zoomScale="85" zoomScaleNormal="100" zoomScaleSheetLayoutView="85" workbookViewId="0"/>
  </sheetViews>
  <sheetFormatPr defaultRowHeight="15.75" x14ac:dyDescent="0.25"/>
  <cols>
    <col min="1" max="1" width="48.5703125" style="324" bestFit="1" customWidth="1"/>
    <col min="2" max="2" width="13.42578125" style="324" customWidth="1"/>
    <col min="3" max="3" width="18.42578125" style="324" bestFit="1" customWidth="1"/>
    <col min="4" max="7" width="9.140625" style="324"/>
    <col min="8" max="8" width="18" style="323" hidden="1" customWidth="1"/>
    <col min="9" max="9" width="13.7109375" style="323" hidden="1" customWidth="1"/>
    <col min="10" max="16384" width="9.140625" style="324"/>
  </cols>
  <sheetData>
    <row r="1" spans="1:9" x14ac:dyDescent="0.25">
      <c r="A1" s="321" t="s">
        <v>410</v>
      </c>
      <c r="B1" s="403"/>
      <c r="C1" s="403"/>
      <c r="D1" s="403"/>
      <c r="E1" s="322"/>
      <c r="F1" s="322"/>
      <c r="G1" s="322"/>
    </row>
    <row r="2" spans="1:9" ht="18" x14ac:dyDescent="0.25">
      <c r="A2" s="177" t="s">
        <v>529</v>
      </c>
    </row>
    <row r="3" spans="1:9" ht="16.5" thickBot="1" x14ac:dyDescent="0.3">
      <c r="C3" s="175">
        <f>+'Balance Sheet '!C3</f>
        <v>44926</v>
      </c>
      <c r="H3" s="249">
        <v>44804</v>
      </c>
    </row>
    <row r="4" spans="1:9" ht="16.5" thickBot="1" x14ac:dyDescent="0.3">
      <c r="C4" s="317" t="s">
        <v>91</v>
      </c>
      <c r="H4" s="318" t="s">
        <v>91</v>
      </c>
    </row>
    <row r="5" spans="1:9" ht="12.75" customHeight="1" x14ac:dyDescent="0.25"/>
    <row r="6" spans="1:9" x14ac:dyDescent="0.25">
      <c r="A6" s="171"/>
      <c r="B6" s="171"/>
      <c r="C6" s="172" t="s">
        <v>90</v>
      </c>
      <c r="H6" s="172" t="s">
        <v>90</v>
      </c>
    </row>
    <row r="7" spans="1:9" x14ac:dyDescent="0.25">
      <c r="A7" s="173" t="s">
        <v>488</v>
      </c>
      <c r="B7" s="174" t="s">
        <v>0</v>
      </c>
      <c r="C7" s="173">
        <f>+C3</f>
        <v>44926</v>
      </c>
      <c r="H7" s="173">
        <v>44804</v>
      </c>
    </row>
    <row r="8" spans="1:9" x14ac:dyDescent="0.25">
      <c r="A8" s="3" t="s">
        <v>1</v>
      </c>
      <c r="B8" s="4"/>
      <c r="C8" s="325">
        <f>+T.Balance!G71</f>
        <v>84.071368809272059</v>
      </c>
      <c r="H8" s="326">
        <v>0</v>
      </c>
    </row>
    <row r="9" spans="1:9" hidden="1" x14ac:dyDescent="0.25">
      <c r="A9" s="3" t="s">
        <v>420</v>
      </c>
      <c r="B9" s="4"/>
      <c r="C9" s="325">
        <f>+T.Balance!G67</f>
        <v>0</v>
      </c>
      <c r="H9" s="326">
        <v>0</v>
      </c>
    </row>
    <row r="10" spans="1:9" hidden="1" x14ac:dyDescent="0.25">
      <c r="A10" s="3" t="s">
        <v>482</v>
      </c>
      <c r="B10" s="4"/>
      <c r="C10" s="325">
        <f>+T.Balance!G72</f>
        <v>0</v>
      </c>
      <c r="H10" s="326">
        <v>0</v>
      </c>
    </row>
    <row r="11" spans="1:9" hidden="1" x14ac:dyDescent="0.25">
      <c r="A11" s="3" t="str">
        <f>+SCHEDULES!B8</f>
        <v>Change in Fair Value of IP</v>
      </c>
      <c r="B11" s="4"/>
      <c r="C11" s="325">
        <f>+-SCHEDULES!C8</f>
        <v>0</v>
      </c>
      <c r="H11" s="326">
        <v>0</v>
      </c>
    </row>
    <row r="12" spans="1:9" hidden="1" x14ac:dyDescent="0.25">
      <c r="A12" s="3" t="s">
        <v>524</v>
      </c>
      <c r="B12" s="4"/>
      <c r="C12" s="325">
        <f>SCHEDULES!D10</f>
        <v>0</v>
      </c>
      <c r="H12" s="326"/>
    </row>
    <row r="13" spans="1:9" hidden="1" x14ac:dyDescent="0.25">
      <c r="A13" s="3" t="s">
        <v>480</v>
      </c>
      <c r="B13" s="4"/>
      <c r="C13" s="325">
        <v>0</v>
      </c>
      <c r="H13" s="326">
        <v>0</v>
      </c>
      <c r="I13" s="327"/>
    </row>
    <row r="14" spans="1:9" x14ac:dyDescent="0.25">
      <c r="A14" s="3" t="s">
        <v>527</v>
      </c>
      <c r="B14" s="4"/>
      <c r="C14" s="325">
        <f>-T.Balance!F64+T.Balance!G70</f>
        <v>-22678.11</v>
      </c>
      <c r="H14" s="326">
        <v>-9075.9039999999986</v>
      </c>
      <c r="I14" s="328">
        <f>C14-H14</f>
        <v>-13602.206000000002</v>
      </c>
    </row>
    <row r="15" spans="1:9" x14ac:dyDescent="0.25">
      <c r="A15" s="3"/>
      <c r="B15" s="4"/>
      <c r="C15" s="325"/>
      <c r="H15" s="326"/>
      <c r="I15" s="328"/>
    </row>
    <row r="16" spans="1:9" ht="18" x14ac:dyDescent="0.4">
      <c r="A16" s="392" t="s">
        <v>4</v>
      </c>
      <c r="B16" s="4"/>
      <c r="C16" s="319">
        <f>SUM(C8:C14)</f>
        <v>-22594.038631190728</v>
      </c>
      <c r="H16" s="320">
        <f>SUM(H8:H14)</f>
        <v>-9075.9039999999986</v>
      </c>
      <c r="I16" s="328">
        <f>C16-H16</f>
        <v>-13518.134631190729</v>
      </c>
    </row>
    <row r="17" spans="1:10" hidden="1" x14ac:dyDescent="0.25">
      <c r="A17" s="3" t="s">
        <v>35</v>
      </c>
      <c r="B17" s="4"/>
      <c r="C17" s="325">
        <v>0</v>
      </c>
      <c r="H17" s="326">
        <v>0</v>
      </c>
      <c r="I17" s="328">
        <f>C17-H17</f>
        <v>0</v>
      </c>
    </row>
    <row r="18" spans="1:10" x14ac:dyDescent="0.25">
      <c r="A18" s="3"/>
      <c r="B18" s="4"/>
      <c r="C18" s="325"/>
      <c r="H18" s="326"/>
      <c r="I18" s="328"/>
    </row>
    <row r="19" spans="1:10" x14ac:dyDescent="0.25">
      <c r="A19" s="3" t="s">
        <v>34</v>
      </c>
      <c r="B19" s="4" t="s">
        <v>531</v>
      </c>
      <c r="C19" s="329">
        <f>-SCHEDULES!D11-SCHEDULES!D19+T.Balance!F78-T.Balance!F85-T.Balance!F82</f>
        <v>-15321.647843251754</v>
      </c>
      <c r="D19" s="324" t="s">
        <v>31</v>
      </c>
      <c r="H19" s="330">
        <v>-12279.586843251755</v>
      </c>
      <c r="I19" s="328">
        <f>C19-H19</f>
        <v>-3042.0609999999997</v>
      </c>
    </row>
    <row r="20" spans="1:10" x14ac:dyDescent="0.25">
      <c r="A20" s="3" t="s">
        <v>473</v>
      </c>
      <c r="B20" s="4"/>
      <c r="C20" s="329">
        <f>-T.Balance!F76-T.Balance!F78-T.Balance!F79</f>
        <v>-1358.3865879873547</v>
      </c>
      <c r="H20" s="330">
        <v>-1188.3865879873547</v>
      </c>
      <c r="I20" s="328">
        <f>C20-H20</f>
        <v>-170</v>
      </c>
    </row>
    <row r="21" spans="1:10" hidden="1" x14ac:dyDescent="0.25">
      <c r="A21" s="3" t="s">
        <v>449</v>
      </c>
      <c r="B21" s="4"/>
      <c r="C21" s="329">
        <f>-SCHEDULES!D12</f>
        <v>0</v>
      </c>
      <c r="H21" s="330"/>
      <c r="I21" s="328"/>
      <c r="J21" s="324" t="s">
        <v>31</v>
      </c>
    </row>
    <row r="22" spans="1:10" hidden="1" x14ac:dyDescent="0.25">
      <c r="A22" s="3" t="s">
        <v>489</v>
      </c>
      <c r="B22" s="4"/>
      <c r="C22" s="329">
        <f>-T.Balance!F84</f>
        <v>0</v>
      </c>
      <c r="H22" s="330"/>
      <c r="I22" s="328"/>
    </row>
    <row r="23" spans="1:10" x14ac:dyDescent="0.25">
      <c r="A23" s="3"/>
      <c r="B23" s="4"/>
      <c r="C23" s="329"/>
      <c r="H23" s="330"/>
      <c r="I23" s="328"/>
    </row>
    <row r="24" spans="1:10" x14ac:dyDescent="0.25">
      <c r="A24" s="7" t="s">
        <v>58</v>
      </c>
      <c r="B24" s="7"/>
      <c r="C24" s="331">
        <f>SUM(C16:C22)</f>
        <v>-39274.073062429838</v>
      </c>
      <c r="H24" s="332">
        <f>SUM(H16:H22)</f>
        <v>-22543.877431239111</v>
      </c>
      <c r="I24" s="328">
        <f>C24-H24</f>
        <v>-16730.195631190727</v>
      </c>
    </row>
    <row r="25" spans="1:10" x14ac:dyDescent="0.25">
      <c r="A25" s="5"/>
      <c r="B25" s="7"/>
      <c r="C25" s="331"/>
      <c r="H25" s="332"/>
      <c r="I25" s="328"/>
    </row>
    <row r="26" spans="1:10" x14ac:dyDescent="0.25">
      <c r="A26" s="6" t="str">
        <f>'[1]P &amp; L'!$A$19</f>
        <v xml:space="preserve">Directors Fees </v>
      </c>
      <c r="B26" s="7"/>
      <c r="C26" s="329">
        <f>-T.Balance!D80</f>
        <v>0</v>
      </c>
      <c r="H26" s="330">
        <v>0</v>
      </c>
      <c r="I26" s="328">
        <f>C26-H26</f>
        <v>0</v>
      </c>
    </row>
    <row r="27" spans="1:10" x14ac:dyDescent="0.25">
      <c r="A27" s="6" t="str">
        <f>'[1]P &amp; L'!$A$20</f>
        <v>Zakat Expenses</v>
      </c>
      <c r="B27" s="7"/>
      <c r="C27" s="329">
        <f>-'Tax working'!B9</f>
        <v>0</v>
      </c>
      <c r="H27" s="330">
        <v>0</v>
      </c>
      <c r="I27" s="328">
        <f>C27-H27</f>
        <v>0</v>
      </c>
    </row>
    <row r="28" spans="1:10" x14ac:dyDescent="0.25">
      <c r="A28" s="6" t="str">
        <f>'[1]P &amp; L'!$A$21</f>
        <v>Contribution To KFAS</v>
      </c>
      <c r="B28" s="7"/>
      <c r="C28" s="374">
        <f>SCHEDULES!D15*-1</f>
        <v>0</v>
      </c>
      <c r="H28" s="332">
        <v>0</v>
      </c>
      <c r="I28" s="328">
        <f>C28-H28</f>
        <v>0</v>
      </c>
    </row>
    <row r="29" spans="1:10" ht="26.25" customHeight="1" x14ac:dyDescent="0.25">
      <c r="A29" s="87" t="s">
        <v>59</v>
      </c>
      <c r="B29" s="391"/>
      <c r="C29" s="333">
        <f>C24+C27+C26</f>
        <v>-39274.073062429838</v>
      </c>
      <c r="H29" s="333">
        <f>H24+H27+H26</f>
        <v>-22543.877431239111</v>
      </c>
      <c r="I29" s="334">
        <f>C29-H29</f>
        <v>-16730.195631190727</v>
      </c>
    </row>
    <row r="30" spans="1:10" x14ac:dyDescent="0.25">
      <c r="H30" s="335"/>
    </row>
    <row r="31" spans="1:10" x14ac:dyDescent="0.25">
      <c r="C31" s="336"/>
    </row>
    <row r="32" spans="1:10" x14ac:dyDescent="0.25">
      <c r="C32" s="337">
        <f>+C29-T.Balance!G101</f>
        <v>0</v>
      </c>
    </row>
    <row r="33" spans="3:3" x14ac:dyDescent="0.25">
      <c r="C33" s="338"/>
    </row>
    <row r="34" spans="3:3" x14ac:dyDescent="0.25">
      <c r="C34" s="339"/>
    </row>
    <row r="35" spans="3:3" x14ac:dyDescent="0.25">
      <c r="C35" s="339"/>
    </row>
    <row r="36" spans="3:3" x14ac:dyDescent="0.25">
      <c r="C36" s="339"/>
    </row>
    <row r="37" spans="3:3" x14ac:dyDescent="0.25">
      <c r="C37" s="339"/>
    </row>
  </sheetData>
  <mergeCells count="1">
    <mergeCell ref="B1:D1"/>
  </mergeCells>
  <pageMargins left="0.7" right="0.7" top="0.75" bottom="0.75" header="0.3" footer="0.3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W21"/>
  <sheetViews>
    <sheetView topLeftCell="B1" workbookViewId="0">
      <selection activeCell="BV7" sqref="BV7:BV9"/>
    </sheetView>
  </sheetViews>
  <sheetFormatPr defaultRowHeight="15" x14ac:dyDescent="0.25"/>
  <cols>
    <col min="2" max="2" width="44" customWidth="1"/>
    <col min="3" max="3" width="16" customWidth="1"/>
    <col min="4" max="4" width="11.5703125" customWidth="1"/>
    <col min="5" max="5" width="10.5703125" customWidth="1"/>
    <col min="6" max="6" width="12.140625" customWidth="1"/>
    <col min="7" max="7" width="10.42578125" hidden="1" customWidth="1"/>
    <col min="8" max="9" width="9.42578125" hidden="1" customWidth="1"/>
    <col min="10" max="10" width="11.5703125" hidden="1" customWidth="1"/>
    <col min="11" max="21" width="9.42578125" hidden="1" customWidth="1"/>
    <col min="22" max="22" width="0.42578125" hidden="1" customWidth="1"/>
    <col min="23" max="27" width="9.42578125" hidden="1" customWidth="1"/>
    <col min="28" max="28" width="13.28515625" hidden="1" customWidth="1"/>
    <col min="29" max="34" width="9.42578125" hidden="1" customWidth="1"/>
    <col min="35" max="60" width="11.5703125" hidden="1" customWidth="1"/>
    <col min="61" max="71" width="11.5703125" customWidth="1"/>
    <col min="72" max="72" width="11.5703125" hidden="1" customWidth="1"/>
    <col min="73" max="73" width="11.5703125" customWidth="1"/>
    <col min="74" max="74" width="11.5703125" bestFit="1" customWidth="1"/>
  </cols>
  <sheetData>
    <row r="1" spans="2:75" ht="15.75" thickBot="1" x14ac:dyDescent="0.3"/>
    <row r="2" spans="2:75" ht="15.75" thickBot="1" x14ac:dyDescent="0.3">
      <c r="F2" s="189" t="s">
        <v>441</v>
      </c>
      <c r="G2" s="412" t="s">
        <v>446</v>
      </c>
      <c r="H2" s="413"/>
      <c r="I2" s="413"/>
      <c r="J2" s="414"/>
      <c r="K2" s="412" t="s">
        <v>453</v>
      </c>
      <c r="L2" s="413"/>
      <c r="M2" s="413"/>
      <c r="N2" s="413"/>
      <c r="O2" s="413"/>
      <c r="P2" s="413"/>
      <c r="Q2" s="413"/>
      <c r="R2" s="413"/>
      <c r="S2" s="413"/>
      <c r="T2" s="413"/>
      <c r="U2" s="202"/>
      <c r="V2" s="203"/>
      <c r="W2" s="412" t="s">
        <v>459</v>
      </c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5">
        <v>44561</v>
      </c>
    </row>
    <row r="3" spans="2:75" x14ac:dyDescent="0.25">
      <c r="B3" s="189" t="s">
        <v>467</v>
      </c>
      <c r="C3" s="189" t="s">
        <v>435</v>
      </c>
      <c r="D3" s="189" t="s">
        <v>25</v>
      </c>
      <c r="E3" s="189" t="s">
        <v>436</v>
      </c>
      <c r="F3" s="189" t="s">
        <v>437</v>
      </c>
      <c r="G3" s="193" t="s">
        <v>442</v>
      </c>
      <c r="H3" s="189" t="s">
        <v>443</v>
      </c>
      <c r="I3" s="189" t="s">
        <v>444</v>
      </c>
      <c r="J3" s="194" t="s">
        <v>445</v>
      </c>
      <c r="K3" s="206">
        <v>42766</v>
      </c>
      <c r="L3" s="207">
        <v>42767</v>
      </c>
      <c r="M3" s="207">
        <v>42795</v>
      </c>
      <c r="N3" s="207">
        <v>42826</v>
      </c>
      <c r="O3" s="207">
        <v>42856</v>
      </c>
      <c r="P3" s="207">
        <v>42887</v>
      </c>
      <c r="Q3" s="207">
        <v>42917</v>
      </c>
      <c r="R3" s="207">
        <v>42948</v>
      </c>
      <c r="S3" s="207">
        <v>42979</v>
      </c>
      <c r="T3" s="207">
        <v>43009</v>
      </c>
      <c r="U3" s="207">
        <v>43040</v>
      </c>
      <c r="V3" s="208">
        <v>43070</v>
      </c>
      <c r="W3" s="209">
        <v>43101</v>
      </c>
      <c r="X3" s="209">
        <v>43132</v>
      </c>
      <c r="Y3" s="209">
        <v>43160</v>
      </c>
      <c r="Z3" s="209">
        <v>43191</v>
      </c>
      <c r="AA3" s="209">
        <v>43221</v>
      </c>
      <c r="AB3" s="209">
        <v>43252</v>
      </c>
      <c r="AC3" s="209">
        <v>43282</v>
      </c>
      <c r="AD3" s="209">
        <v>43313</v>
      </c>
      <c r="AE3" s="209">
        <v>43344</v>
      </c>
      <c r="AF3" s="209">
        <v>43374</v>
      </c>
      <c r="AG3" s="209">
        <v>43405</v>
      </c>
      <c r="AH3" s="209">
        <v>43435</v>
      </c>
      <c r="AI3" s="193" t="s">
        <v>36</v>
      </c>
      <c r="AJ3" s="193">
        <v>43496</v>
      </c>
      <c r="AK3" s="193">
        <v>43524</v>
      </c>
      <c r="AL3" s="193">
        <v>43555</v>
      </c>
      <c r="AM3" s="193">
        <v>43585</v>
      </c>
      <c r="AN3" s="193">
        <v>43616</v>
      </c>
      <c r="AO3" s="193">
        <v>43646</v>
      </c>
      <c r="AP3" s="193">
        <v>43677</v>
      </c>
      <c r="AQ3" s="193">
        <v>43708</v>
      </c>
      <c r="AR3" s="193">
        <v>43738</v>
      </c>
      <c r="AS3" s="193">
        <v>43769</v>
      </c>
      <c r="AT3" s="193">
        <v>43799</v>
      </c>
      <c r="AU3" s="193">
        <v>43830</v>
      </c>
      <c r="AV3" s="193" t="s">
        <v>36</v>
      </c>
      <c r="AW3" s="193">
        <v>43861</v>
      </c>
      <c r="AX3" s="193">
        <v>43890</v>
      </c>
      <c r="AY3" s="193">
        <v>43921</v>
      </c>
      <c r="AZ3" s="193">
        <v>43951</v>
      </c>
      <c r="BA3" s="193">
        <v>43982</v>
      </c>
      <c r="BB3" s="193">
        <v>44012</v>
      </c>
      <c r="BC3" s="193">
        <v>44043</v>
      </c>
      <c r="BD3" s="193">
        <v>44074</v>
      </c>
      <c r="BE3" s="193">
        <v>44104</v>
      </c>
      <c r="BF3" s="193">
        <v>44135</v>
      </c>
      <c r="BG3" s="193">
        <v>44165</v>
      </c>
      <c r="BH3" s="193">
        <v>44196</v>
      </c>
      <c r="BI3" s="193">
        <v>44227</v>
      </c>
      <c r="BJ3" s="193">
        <v>44255</v>
      </c>
      <c r="BK3" s="193">
        <v>44286</v>
      </c>
      <c r="BL3" s="193">
        <v>44316</v>
      </c>
      <c r="BM3" s="193">
        <v>44347</v>
      </c>
      <c r="BN3" s="193">
        <v>44377</v>
      </c>
      <c r="BO3" s="193">
        <v>44408</v>
      </c>
      <c r="BP3" s="193">
        <v>44439</v>
      </c>
      <c r="BQ3" s="193">
        <v>44469</v>
      </c>
      <c r="BR3" s="193">
        <v>44500</v>
      </c>
      <c r="BS3" s="193">
        <v>44530</v>
      </c>
      <c r="BT3" s="193">
        <v>44561</v>
      </c>
      <c r="BU3" s="193" t="s">
        <v>36</v>
      </c>
      <c r="BV3" s="212" t="s">
        <v>438</v>
      </c>
    </row>
    <row r="4" spans="2:75" x14ac:dyDescent="0.25">
      <c r="B4" t="s">
        <v>439</v>
      </c>
      <c r="C4" s="115">
        <v>42613</v>
      </c>
      <c r="D4" s="183">
        <v>4725</v>
      </c>
      <c r="E4" s="188">
        <f>100/5/100</f>
        <v>0.2</v>
      </c>
      <c r="F4" s="183">
        <f t="shared" ref="F4:F9" si="0">D4*E4</f>
        <v>945</v>
      </c>
      <c r="G4" s="195">
        <f>+$F$4/365*30</f>
        <v>77.671232876712338</v>
      </c>
      <c r="H4" s="196">
        <f>+$F$4/365*31</f>
        <v>80.260273972602747</v>
      </c>
      <c r="I4" s="196">
        <f t="shared" ref="I4" si="1">+$F$4/365*30</f>
        <v>77.671232876712338</v>
      </c>
      <c r="J4" s="197">
        <f>+$F$4/365*31</f>
        <v>80.260273972602747</v>
      </c>
      <c r="K4" s="195">
        <f>+$F$4/365*31</f>
        <v>80.260273972602747</v>
      </c>
      <c r="L4" s="196">
        <f>+$F$4/365*28</f>
        <v>72.493150684931507</v>
      </c>
      <c r="M4" s="196">
        <f>+$F$4/365*31</f>
        <v>80.260273972602747</v>
      </c>
      <c r="N4" s="196">
        <f>+$F$4/365*30</f>
        <v>77.671232876712338</v>
      </c>
      <c r="O4" s="196">
        <f>+$F$4/365*31</f>
        <v>80.260273972602747</v>
      </c>
      <c r="P4" s="196">
        <f>+$F$4/365*30</f>
        <v>77.671232876712338</v>
      </c>
      <c r="Q4" s="196">
        <f>+$F$4/365*31</f>
        <v>80.260273972602747</v>
      </c>
      <c r="R4" s="196">
        <f>+$F$4/365*31</f>
        <v>80.260273972602747</v>
      </c>
      <c r="S4" s="196">
        <f>+$F$4/365*30</f>
        <v>77.671232876712338</v>
      </c>
      <c r="T4" s="196">
        <f>+$F$4/365*31</f>
        <v>80.260273972602747</v>
      </c>
      <c r="U4" s="196">
        <f>+$F$4/365*30</f>
        <v>77.671232876712338</v>
      </c>
      <c r="V4" s="197">
        <f>+$F$4/365*31</f>
        <v>80.260273972602747</v>
      </c>
      <c r="W4" s="195">
        <f>+$F$4/365*31</f>
        <v>80.260273972602747</v>
      </c>
      <c r="X4" s="196">
        <f>+$F$4/365*28</f>
        <v>72.493150684931507</v>
      </c>
      <c r="Y4" s="196">
        <f>+$F$4/365*31</f>
        <v>80.260273972602747</v>
      </c>
      <c r="Z4" s="196">
        <f>+$F$4/365*30</f>
        <v>77.671232876712338</v>
      </c>
      <c r="AA4" s="196">
        <f>+$F$4/365*31</f>
        <v>80.260273972602747</v>
      </c>
      <c r="AB4" s="196">
        <f>+$F$4/365*30</f>
        <v>77.671232876712338</v>
      </c>
      <c r="AC4" s="196">
        <f>+$F$4/365*31</f>
        <v>80.260273972602747</v>
      </c>
      <c r="AD4" s="196">
        <f>+$F$4/365*31</f>
        <v>80.260273972602747</v>
      </c>
      <c r="AE4" s="196">
        <f>+$F$4/365*30</f>
        <v>77.671232876712338</v>
      </c>
      <c r="AF4" s="196">
        <f>+$F$4/365*31</f>
        <v>80.260273972602747</v>
      </c>
      <c r="AG4" s="196">
        <f>+$F$4/365*30</f>
        <v>77.671232876712338</v>
      </c>
      <c r="AH4" s="196">
        <f>+$F$4/365*31</f>
        <v>80.260273972602747</v>
      </c>
      <c r="AI4" s="195">
        <f>SUM(G4:AH4)</f>
        <v>2205.8630136986308</v>
      </c>
      <c r="AJ4" s="195">
        <f>+$F$4/365*31</f>
        <v>80.260273972602747</v>
      </c>
      <c r="AK4" s="195">
        <f>+$F$4/365*28</f>
        <v>72.493150684931507</v>
      </c>
      <c r="AL4" s="195">
        <f>+$F$4/365*31</f>
        <v>80.260273972602747</v>
      </c>
      <c r="AM4" s="195">
        <f>+$F$4/365*30</f>
        <v>77.671232876712338</v>
      </c>
      <c r="AN4" s="195">
        <f>+$F$4/365*31</f>
        <v>80.260273972602747</v>
      </c>
      <c r="AO4" s="195">
        <f>+$F$4/365*30</f>
        <v>77.671232876712338</v>
      </c>
      <c r="AP4" s="195">
        <f>+$F$4/365*31</f>
        <v>80.260273972602747</v>
      </c>
      <c r="AQ4" s="195">
        <f>+$F$4/365*31</f>
        <v>80.260273972602747</v>
      </c>
      <c r="AR4" s="195">
        <f>+$F$4/365*30</f>
        <v>77.671232876712338</v>
      </c>
      <c r="AS4" s="195">
        <f>+$F$4/365*31</f>
        <v>80.260273972602747</v>
      </c>
      <c r="AT4" s="195">
        <f>+$F$4/365*30</f>
        <v>77.671232876712338</v>
      </c>
      <c r="AU4" s="195">
        <f>+$F$4/365*31</f>
        <v>80.260273972602747</v>
      </c>
      <c r="AV4" s="195">
        <f t="shared" ref="AV4:AV9" si="2">SUM(AJ4:AU4)</f>
        <v>945</v>
      </c>
      <c r="AW4" s="195">
        <f>+$F$4/366*31</f>
        <v>80.040983606557376</v>
      </c>
      <c r="AX4" s="195">
        <f>+$F$4/366*29</f>
        <v>74.877049180327859</v>
      </c>
      <c r="AY4" s="195">
        <f>+$F$4/366*31</f>
        <v>80.040983606557376</v>
      </c>
      <c r="AZ4" s="195">
        <f>+$F$4/366*30</f>
        <v>77.459016393442624</v>
      </c>
      <c r="BA4" s="195">
        <f>+$F$4/366*31</f>
        <v>80.040983606557376</v>
      </c>
      <c r="BB4" s="195">
        <f>+$F$4/366*30</f>
        <v>77.459016393442624</v>
      </c>
      <c r="BC4" s="195">
        <f>+$F$4/366*31</f>
        <v>80.040983606557376</v>
      </c>
      <c r="BD4" s="195">
        <f>+$F$4/366*31</f>
        <v>80.040983606557376</v>
      </c>
      <c r="BE4" s="195">
        <f>+$F$4/366*30</f>
        <v>77.459016393442624</v>
      </c>
      <c r="BF4" s="195">
        <f>+$F$4/366*31</f>
        <v>80.040983606557376</v>
      </c>
      <c r="BG4" s="195">
        <f>+$F$4/366*30</f>
        <v>77.459016393442624</v>
      </c>
      <c r="BH4" s="195">
        <f>+$F$4/366*31</f>
        <v>80.040983606557376</v>
      </c>
      <c r="BI4" s="195">
        <f>+F4/365*31</f>
        <v>80.260273972602747</v>
      </c>
      <c r="BJ4" s="195">
        <f>+F4/365*28</f>
        <v>72.493150684931507</v>
      </c>
      <c r="BK4" s="195">
        <f>+F4/365*31</f>
        <v>80.260273972602747</v>
      </c>
      <c r="BL4" s="195">
        <f t="shared" ref="BL4:BL9" si="3">+F4/365*30</f>
        <v>77.671232876712338</v>
      </c>
      <c r="BM4" s="195">
        <f t="shared" ref="BM4:BM9" si="4">+F4/365*31</f>
        <v>80.260273972602747</v>
      </c>
      <c r="BN4" s="195">
        <f t="shared" ref="BN4:BN9" si="5">+F4/365*30</f>
        <v>77.671232876712338</v>
      </c>
      <c r="BO4" s="195">
        <f>+$F$4/365*31</f>
        <v>80.260273972602747</v>
      </c>
      <c r="BP4" s="195">
        <f>+$F$4/365*31</f>
        <v>80.260273972602747</v>
      </c>
      <c r="BQ4" s="195">
        <v>0</v>
      </c>
      <c r="BR4" s="195">
        <v>0</v>
      </c>
      <c r="BS4" s="195">
        <v>0</v>
      </c>
      <c r="BT4" s="195">
        <v>0</v>
      </c>
      <c r="BU4" s="195">
        <f>SUM(AW4:BT4)</f>
        <v>1574.1369863013704</v>
      </c>
      <c r="BV4" s="221">
        <f t="shared" ref="BV4:BV9" si="6">D4-AI4-AV4-BU4</f>
        <v>0</v>
      </c>
    </row>
    <row r="5" spans="2:75" x14ac:dyDescent="0.25">
      <c r="B5" t="s">
        <v>440</v>
      </c>
      <c r="C5" s="115">
        <f>+C4</f>
        <v>42613</v>
      </c>
      <c r="D5" s="183">
        <f>3100</f>
        <v>3100</v>
      </c>
      <c r="E5" s="188">
        <f>+E4</f>
        <v>0.2</v>
      </c>
      <c r="F5" s="183">
        <f t="shared" si="0"/>
        <v>620</v>
      </c>
      <c r="G5" s="195">
        <f>+$F$5/365*30</f>
        <v>50.958904109589035</v>
      </c>
      <c r="H5" s="196">
        <f>+$F$5/365*31</f>
        <v>52.657534246575338</v>
      </c>
      <c r="I5" s="196">
        <f t="shared" ref="I5" si="7">+$F$5/365*30</f>
        <v>50.958904109589035</v>
      </c>
      <c r="J5" s="197">
        <f>+$F$5/365*31</f>
        <v>52.657534246575338</v>
      </c>
      <c r="K5" s="195">
        <f>+$F$5/365*31</f>
        <v>52.657534246575338</v>
      </c>
      <c r="L5" s="196">
        <f>+$F$5/365*28</f>
        <v>47.561643835616437</v>
      </c>
      <c r="M5" s="196">
        <f>+$F$5/365*31</f>
        <v>52.657534246575338</v>
      </c>
      <c r="N5" s="196">
        <f>+$F$5/365*30</f>
        <v>50.958904109589035</v>
      </c>
      <c r="O5" s="196">
        <f>+$F$5/365*31</f>
        <v>52.657534246575338</v>
      </c>
      <c r="P5" s="196">
        <f>+$F$5/365*30</f>
        <v>50.958904109589035</v>
      </c>
      <c r="Q5" s="196">
        <f>+$F$5/365*31</f>
        <v>52.657534246575338</v>
      </c>
      <c r="R5" s="196">
        <f>+$F$5/365*31</f>
        <v>52.657534246575338</v>
      </c>
      <c r="S5" s="196">
        <f>+$F$5/365*30</f>
        <v>50.958904109589035</v>
      </c>
      <c r="T5" s="196">
        <f>+$F$5/365*31</f>
        <v>52.657534246575338</v>
      </c>
      <c r="U5" s="196">
        <f>+$F$5/365*30</f>
        <v>50.958904109589035</v>
      </c>
      <c r="V5" s="197">
        <f>+$F$5/365*31</f>
        <v>52.657534246575338</v>
      </c>
      <c r="W5" s="195">
        <f>+$F$5/365*31</f>
        <v>52.657534246575338</v>
      </c>
      <c r="X5" s="196">
        <f>+$F$5/365*28</f>
        <v>47.561643835616437</v>
      </c>
      <c r="Y5" s="196">
        <f>+$F$5/365*31</f>
        <v>52.657534246575338</v>
      </c>
      <c r="Z5" s="196">
        <f>+$F$5/365*30</f>
        <v>50.958904109589035</v>
      </c>
      <c r="AA5" s="196">
        <f>+$F$5/365*31</f>
        <v>52.657534246575338</v>
      </c>
      <c r="AB5" s="196">
        <f>+$F$5/365*30</f>
        <v>50.958904109589035</v>
      </c>
      <c r="AC5" s="196">
        <f>+$F$5/365*31</f>
        <v>52.657534246575338</v>
      </c>
      <c r="AD5" s="196">
        <f>+$F$5/365*31</f>
        <v>52.657534246575338</v>
      </c>
      <c r="AE5" s="196">
        <f>+$F$5/365*30</f>
        <v>50.958904109589035</v>
      </c>
      <c r="AF5" s="196">
        <f>+$F$5/365*31</f>
        <v>52.657534246575338</v>
      </c>
      <c r="AG5" s="196">
        <f>+$F$5/365*30</f>
        <v>50.958904109589035</v>
      </c>
      <c r="AH5" s="196">
        <f>+$F$5/365*31</f>
        <v>52.657534246575338</v>
      </c>
      <c r="AI5" s="195">
        <f>SUM(G5:AH5)</f>
        <v>1447.2328767123283</v>
      </c>
      <c r="AJ5" s="195">
        <f>+$F$5/365*31</f>
        <v>52.657534246575338</v>
      </c>
      <c r="AK5" s="195">
        <f>+$F$5/365*28</f>
        <v>47.561643835616437</v>
      </c>
      <c r="AL5" s="195">
        <f>+$F$5/365*31</f>
        <v>52.657534246575338</v>
      </c>
      <c r="AM5" s="195">
        <f>+$F$5/365*30</f>
        <v>50.958904109589035</v>
      </c>
      <c r="AN5" s="195">
        <f>+$F$5/365*31</f>
        <v>52.657534246575338</v>
      </c>
      <c r="AO5" s="195">
        <f>+$F$5/365*30</f>
        <v>50.958904109589035</v>
      </c>
      <c r="AP5" s="195">
        <f>+$F$5/365*31</f>
        <v>52.657534246575338</v>
      </c>
      <c r="AQ5" s="195">
        <f>+$F$5/365*31</f>
        <v>52.657534246575338</v>
      </c>
      <c r="AR5" s="195">
        <f>+$F$5/365*30</f>
        <v>50.958904109589035</v>
      </c>
      <c r="AS5" s="195">
        <f>+$F$5/365*31</f>
        <v>52.657534246575338</v>
      </c>
      <c r="AT5" s="195">
        <f>+$F$5/365*30</f>
        <v>50.958904109589035</v>
      </c>
      <c r="AU5" s="195">
        <f>+$F$5/365*31</f>
        <v>52.657534246575338</v>
      </c>
      <c r="AV5" s="195">
        <f t="shared" si="2"/>
        <v>619.99999999999989</v>
      </c>
      <c r="AW5" s="195">
        <f>+$F$5/366*31</f>
        <v>52.513661202185794</v>
      </c>
      <c r="AX5" s="195">
        <f>+$F$5/366*29</f>
        <v>49.125683060109296</v>
      </c>
      <c r="AY5" s="195">
        <f>+$F$5/366*31</f>
        <v>52.513661202185794</v>
      </c>
      <c r="AZ5" s="195">
        <f>+$F$5/366*30</f>
        <v>50.819672131147541</v>
      </c>
      <c r="BA5" s="195">
        <f>+$F$5/366*31</f>
        <v>52.513661202185794</v>
      </c>
      <c r="BB5" s="195">
        <f>+$F$5/366*30</f>
        <v>50.819672131147541</v>
      </c>
      <c r="BC5" s="195">
        <f>+$F$5/366*31</f>
        <v>52.513661202185794</v>
      </c>
      <c r="BD5" s="195">
        <f>+$F$5/366*31</f>
        <v>52.513661202185794</v>
      </c>
      <c r="BE5" s="195">
        <f>+$F$5/366*30</f>
        <v>50.819672131147541</v>
      </c>
      <c r="BF5" s="195">
        <f>+$F$5/366*31</f>
        <v>52.513661202185794</v>
      </c>
      <c r="BG5" s="195">
        <f>+$F$5/366*30</f>
        <v>50.819672131147541</v>
      </c>
      <c r="BH5" s="195">
        <f>+$F$5/366*31</f>
        <v>52.513661202185794</v>
      </c>
      <c r="BI5" s="195">
        <f t="shared" ref="BI5:BI9" si="8">+F5/365*31</f>
        <v>52.657534246575338</v>
      </c>
      <c r="BJ5" s="195">
        <f t="shared" ref="BJ5:BJ9" si="9">+F5/365*28</f>
        <v>47.561643835616437</v>
      </c>
      <c r="BK5" s="195">
        <f t="shared" ref="BK5:BK9" si="10">+F5/365*31</f>
        <v>52.657534246575338</v>
      </c>
      <c r="BL5" s="195">
        <f t="shared" si="3"/>
        <v>50.958904109589035</v>
      </c>
      <c r="BM5" s="195">
        <f t="shared" si="4"/>
        <v>52.657534246575338</v>
      </c>
      <c r="BN5" s="195">
        <f t="shared" si="5"/>
        <v>50.958904109589035</v>
      </c>
      <c r="BO5" s="195">
        <f>+$F$5/365*31</f>
        <v>52.657534246575338</v>
      </c>
      <c r="BP5" s="195">
        <f>+$F$5/365*31</f>
        <v>52.657534246575338</v>
      </c>
      <c r="BQ5" s="195">
        <v>0</v>
      </c>
      <c r="BR5" s="195">
        <v>0</v>
      </c>
      <c r="BS5" s="195">
        <v>0</v>
      </c>
      <c r="BT5" s="195">
        <v>0</v>
      </c>
      <c r="BU5" s="195">
        <f t="shared" ref="BU5:BU9" si="11">SUM(AW5:BT5)</f>
        <v>1032.7671232876712</v>
      </c>
      <c r="BV5" s="221">
        <f t="shared" si="6"/>
        <v>0</v>
      </c>
    </row>
    <row r="6" spans="2:75" x14ac:dyDescent="0.25">
      <c r="B6" t="s">
        <v>451</v>
      </c>
      <c r="C6" s="115">
        <f>+C5</f>
        <v>42613</v>
      </c>
      <c r="D6" s="183">
        <v>8280</v>
      </c>
      <c r="E6" s="188">
        <f>+E5</f>
        <v>0.2</v>
      </c>
      <c r="F6" s="183">
        <f t="shared" si="0"/>
        <v>1656</v>
      </c>
      <c r="G6" s="195">
        <f>+$F$6/365*30</f>
        <v>136.10958904109589</v>
      </c>
      <c r="H6" s="196">
        <f>+$F$6/365*31</f>
        <v>140.64657534246575</v>
      </c>
      <c r="I6" s="196">
        <f>+$F$6/365*30</f>
        <v>136.10958904109589</v>
      </c>
      <c r="J6" s="197">
        <f>+$F$6/365*31</f>
        <v>140.64657534246575</v>
      </c>
      <c r="K6" s="195">
        <f>+$F$6/365*31</f>
        <v>140.64657534246575</v>
      </c>
      <c r="L6" s="196">
        <f>+$F$6/365*28</f>
        <v>127.03561643835616</v>
      </c>
      <c r="M6" s="196">
        <f>+$F$6/365*31</f>
        <v>140.64657534246575</v>
      </c>
      <c r="N6" s="196">
        <f>+$F$6/365*30</f>
        <v>136.10958904109589</v>
      </c>
      <c r="O6" s="196">
        <f>+$F$6/365*31</f>
        <v>140.64657534246575</v>
      </c>
      <c r="P6" s="196">
        <f>+$F$6/365*30</f>
        <v>136.10958904109589</v>
      </c>
      <c r="Q6" s="196">
        <f>+$F$6/365*31</f>
        <v>140.64657534246575</v>
      </c>
      <c r="R6" s="196">
        <f>+$F$6/365*31</f>
        <v>140.64657534246575</v>
      </c>
      <c r="S6" s="196">
        <f>+$F$6/365*30</f>
        <v>136.10958904109589</v>
      </c>
      <c r="T6" s="196">
        <f>+$F$6/365*31</f>
        <v>140.64657534246575</v>
      </c>
      <c r="U6" s="196">
        <f>+$F$6/365*30</f>
        <v>136.10958904109589</v>
      </c>
      <c r="V6" s="197">
        <f>+$F$6/365*31</f>
        <v>140.64657534246575</v>
      </c>
      <c r="W6" s="195">
        <f>+$F$6/365*31</f>
        <v>140.64657534246575</v>
      </c>
      <c r="X6" s="196">
        <f>+$F$6/365*28</f>
        <v>127.03561643835616</v>
      </c>
      <c r="Y6" s="196">
        <f>+$F$6/365*31</f>
        <v>140.64657534246575</v>
      </c>
      <c r="Z6" s="196">
        <f>+$F$6/365*30</f>
        <v>136.10958904109589</v>
      </c>
      <c r="AA6" s="196">
        <f>+$F$6/365*31</f>
        <v>140.64657534246575</v>
      </c>
      <c r="AB6" s="196">
        <f>+$F$6/365*30</f>
        <v>136.10958904109589</v>
      </c>
      <c r="AC6" s="196">
        <f>+$F$6/365*31</f>
        <v>140.64657534246575</v>
      </c>
      <c r="AD6" s="196">
        <f>+$F$6/365*31</f>
        <v>140.64657534246575</v>
      </c>
      <c r="AE6" s="196">
        <f>+$F$6/365*30</f>
        <v>136.10958904109589</v>
      </c>
      <c r="AF6" s="196">
        <f>+$F$6/365*31</f>
        <v>140.64657534246575</v>
      </c>
      <c r="AG6" s="196">
        <f>+$F$6/365*30</f>
        <v>136.10958904109589</v>
      </c>
      <c r="AH6" s="196">
        <f>+$F$6/365*31</f>
        <v>140.64657534246575</v>
      </c>
      <c r="AI6" s="195">
        <f>SUM(G6:AH6)</f>
        <v>3865.5123287671245</v>
      </c>
      <c r="AJ6" s="195">
        <f>+$F$6/365*31</f>
        <v>140.64657534246575</v>
      </c>
      <c r="AK6" s="195">
        <f>+$F$6/365*28</f>
        <v>127.03561643835616</v>
      </c>
      <c r="AL6" s="195">
        <f>+$F$6/365*31</f>
        <v>140.64657534246575</v>
      </c>
      <c r="AM6" s="195">
        <f>+$F$6/365*30</f>
        <v>136.10958904109589</v>
      </c>
      <c r="AN6" s="195">
        <f>+$F$6/365*31</f>
        <v>140.64657534246575</v>
      </c>
      <c r="AO6" s="195">
        <f>+$F$6/365*30</f>
        <v>136.10958904109589</v>
      </c>
      <c r="AP6" s="195">
        <f>+$F$6/365*31</f>
        <v>140.64657534246575</v>
      </c>
      <c r="AQ6" s="195">
        <f>+$F$6/365*31</f>
        <v>140.64657534246575</v>
      </c>
      <c r="AR6" s="195">
        <f>+$F$6/365*30</f>
        <v>136.10958904109589</v>
      </c>
      <c r="AS6" s="195">
        <f>+$F$6/365*31</f>
        <v>140.64657534246575</v>
      </c>
      <c r="AT6" s="195">
        <f>+$F$6/365*30</f>
        <v>136.10958904109589</v>
      </c>
      <c r="AU6" s="195">
        <f>+$F$6/365*31</f>
        <v>140.64657534246575</v>
      </c>
      <c r="AV6" s="195">
        <f t="shared" si="2"/>
        <v>1655.9999999999998</v>
      </c>
      <c r="AW6" s="195">
        <f>+$F$6/366*31</f>
        <v>140.26229508196721</v>
      </c>
      <c r="AX6" s="195">
        <f>+$F$6/366*29</f>
        <v>131.21311475409834</v>
      </c>
      <c r="AY6" s="195">
        <f>+$F$6/366*31</f>
        <v>140.26229508196721</v>
      </c>
      <c r="AZ6" s="195">
        <f>+$F$6/366*30</f>
        <v>135.73770491803279</v>
      </c>
      <c r="BA6" s="195">
        <f>+$F$6/366*31</f>
        <v>140.26229508196721</v>
      </c>
      <c r="BB6" s="195">
        <f>+$F$6/366*30</f>
        <v>135.73770491803279</v>
      </c>
      <c r="BC6" s="195">
        <f>+$F$6/366*31</f>
        <v>140.26229508196721</v>
      </c>
      <c r="BD6" s="195">
        <f>+$F$6/366*31</f>
        <v>140.26229508196721</v>
      </c>
      <c r="BE6" s="195">
        <f>+$F$6/366*30</f>
        <v>135.73770491803279</v>
      </c>
      <c r="BF6" s="195">
        <f>+$F$6/366*31</f>
        <v>140.26229508196721</v>
      </c>
      <c r="BG6" s="195">
        <f>+$F$6/366*30</f>
        <v>135.73770491803279</v>
      </c>
      <c r="BH6" s="195">
        <f>+$F$6/366*31</f>
        <v>140.26229508196721</v>
      </c>
      <c r="BI6" s="195">
        <f t="shared" si="8"/>
        <v>140.64657534246575</v>
      </c>
      <c r="BJ6" s="195">
        <f t="shared" si="9"/>
        <v>127.03561643835616</v>
      </c>
      <c r="BK6" s="195">
        <f t="shared" si="10"/>
        <v>140.64657534246575</v>
      </c>
      <c r="BL6" s="195">
        <f t="shared" si="3"/>
        <v>136.10958904109589</v>
      </c>
      <c r="BM6" s="195">
        <f t="shared" si="4"/>
        <v>140.64657534246575</v>
      </c>
      <c r="BN6" s="195">
        <f t="shared" si="5"/>
        <v>136.10958904109589</v>
      </c>
      <c r="BO6" s="195">
        <f>+$F$6/365*31</f>
        <v>140.64657534246575</v>
      </c>
      <c r="BP6" s="195">
        <f>+$F$6/365*31</f>
        <v>140.64657534246575</v>
      </c>
      <c r="BQ6" s="195">
        <v>0</v>
      </c>
      <c r="BR6" s="195">
        <v>0</v>
      </c>
      <c r="BS6" s="195">
        <v>0</v>
      </c>
      <c r="BT6" s="195">
        <v>0</v>
      </c>
      <c r="BU6" s="195">
        <f t="shared" si="11"/>
        <v>2758.4876712328769</v>
      </c>
      <c r="BV6" s="221">
        <f t="shared" si="6"/>
        <v>0</v>
      </c>
    </row>
    <row r="7" spans="2:75" x14ac:dyDescent="0.25">
      <c r="B7" t="s">
        <v>454</v>
      </c>
      <c r="C7" s="115">
        <v>43070</v>
      </c>
      <c r="D7" s="183">
        <f>8800*100%</f>
        <v>8800</v>
      </c>
      <c r="E7" s="188">
        <f>+E6</f>
        <v>0.2</v>
      </c>
      <c r="F7" s="183">
        <f t="shared" si="0"/>
        <v>1760</v>
      </c>
      <c r="G7" s="195">
        <v>0</v>
      </c>
      <c r="H7" s="196">
        <v>0</v>
      </c>
      <c r="I7" s="196">
        <v>0</v>
      </c>
      <c r="J7" s="197">
        <v>0</v>
      </c>
      <c r="K7" s="195">
        <v>0</v>
      </c>
      <c r="L7" s="196">
        <v>0</v>
      </c>
      <c r="M7" s="196">
        <v>0</v>
      </c>
      <c r="N7" s="196">
        <v>0</v>
      </c>
      <c r="O7" s="196">
        <v>0</v>
      </c>
      <c r="P7" s="196">
        <v>0</v>
      </c>
      <c r="Q7" s="196">
        <v>0</v>
      </c>
      <c r="R7" s="196">
        <v>0</v>
      </c>
      <c r="S7" s="196">
        <v>0</v>
      </c>
      <c r="T7" s="196">
        <v>0</v>
      </c>
      <c r="U7" s="196">
        <v>0</v>
      </c>
      <c r="V7" s="197">
        <f>+$F$7/365*31</f>
        <v>149.47945205479451</v>
      </c>
      <c r="W7" s="195">
        <f>+$F$7/365*31</f>
        <v>149.47945205479451</v>
      </c>
      <c r="X7" s="196">
        <f>+$F$7/365*28</f>
        <v>135.01369863013699</v>
      </c>
      <c r="Y7" s="196">
        <f>+$F$7/365*31</f>
        <v>149.47945205479451</v>
      </c>
      <c r="Z7" s="196">
        <f>+$F$7/365*30</f>
        <v>144.65753424657532</v>
      </c>
      <c r="AA7" s="196">
        <f>+$F$7/365*31</f>
        <v>149.47945205479451</v>
      </c>
      <c r="AB7" s="196">
        <f>+$F$7/365*30</f>
        <v>144.65753424657532</v>
      </c>
      <c r="AC7" s="196">
        <f>+$F$7/365*31</f>
        <v>149.47945205479451</v>
      </c>
      <c r="AD7" s="196">
        <f>+$F$7/365*31</f>
        <v>149.47945205479451</v>
      </c>
      <c r="AE7" s="196">
        <f>+$F$7/365*30</f>
        <v>144.65753424657532</v>
      </c>
      <c r="AF7" s="196">
        <f>+$F$7/365*31</f>
        <v>149.47945205479451</v>
      </c>
      <c r="AG7" s="196">
        <f>+$F$7/365*30</f>
        <v>144.65753424657532</v>
      </c>
      <c r="AH7" s="196">
        <f>+$F$7/365*31</f>
        <v>149.47945205479451</v>
      </c>
      <c r="AI7" s="195">
        <f>SUM(G7:AH7)</f>
        <v>1909.4794520547946</v>
      </c>
      <c r="AJ7" s="195">
        <f>+$F$7/365*31</f>
        <v>149.47945205479451</v>
      </c>
      <c r="AK7" s="195">
        <f>+$F$7/365*28</f>
        <v>135.01369863013699</v>
      </c>
      <c r="AL7" s="195">
        <f>+$F$7/365*31</f>
        <v>149.47945205479451</v>
      </c>
      <c r="AM7" s="195">
        <f>+$F$7/365*30</f>
        <v>144.65753424657532</v>
      </c>
      <c r="AN7" s="195">
        <f>+$F$7/365*31</f>
        <v>149.47945205479451</v>
      </c>
      <c r="AO7" s="195">
        <f>+$F$7/365*30</f>
        <v>144.65753424657532</v>
      </c>
      <c r="AP7" s="195">
        <f>+$F$7/365*31</f>
        <v>149.47945205479451</v>
      </c>
      <c r="AQ7" s="195">
        <f>+$F$7/365*31</f>
        <v>149.47945205479451</v>
      </c>
      <c r="AR7" s="195">
        <f>+$F$7/365*30</f>
        <v>144.65753424657532</v>
      </c>
      <c r="AS7" s="195">
        <f>+$F$7/365*31</f>
        <v>149.47945205479451</v>
      </c>
      <c r="AT7" s="195">
        <f>+$F$7/365*30</f>
        <v>144.65753424657532</v>
      </c>
      <c r="AU7" s="195">
        <f>+$F$7/365*31</f>
        <v>149.47945205479451</v>
      </c>
      <c r="AV7" s="195">
        <f t="shared" si="2"/>
        <v>1760</v>
      </c>
      <c r="AW7" s="195">
        <f>+$F$7/366*31</f>
        <v>149.07103825136613</v>
      </c>
      <c r="AX7" s="195">
        <f>+$F$7/366*29</f>
        <v>139.45355191256832</v>
      </c>
      <c r="AY7" s="195">
        <f>+$F$7/366*31</f>
        <v>149.07103825136613</v>
      </c>
      <c r="AZ7" s="195">
        <f>+$F$7/366*30</f>
        <v>144.26229508196721</v>
      </c>
      <c r="BA7" s="195">
        <f>+$F$7/366*31</f>
        <v>149.07103825136613</v>
      </c>
      <c r="BB7" s="195">
        <f>+$F$7/366*30</f>
        <v>144.26229508196721</v>
      </c>
      <c r="BC7" s="195">
        <f>+$F$7/366*31</f>
        <v>149.07103825136613</v>
      </c>
      <c r="BD7" s="195">
        <f>+$F$7/366*31</f>
        <v>149.07103825136613</v>
      </c>
      <c r="BE7" s="195">
        <f>+$F$7/366*30</f>
        <v>144.26229508196721</v>
      </c>
      <c r="BF7" s="195">
        <f>+$F$7/366*31</f>
        <v>149.07103825136613</v>
      </c>
      <c r="BG7" s="195">
        <f>+$F$7/366*30</f>
        <v>144.26229508196721</v>
      </c>
      <c r="BH7" s="195">
        <f>+$F$7/366*31</f>
        <v>149.07103825136613</v>
      </c>
      <c r="BI7" s="195">
        <f t="shared" si="8"/>
        <v>149.47945205479451</v>
      </c>
      <c r="BJ7" s="195">
        <f t="shared" si="9"/>
        <v>135.01369863013699</v>
      </c>
      <c r="BK7" s="195">
        <f t="shared" si="10"/>
        <v>149.47945205479451</v>
      </c>
      <c r="BL7" s="195">
        <f t="shared" si="3"/>
        <v>144.65753424657532</v>
      </c>
      <c r="BM7" s="195">
        <f t="shared" si="4"/>
        <v>149.47945205479451</v>
      </c>
      <c r="BN7" s="195">
        <f t="shared" si="5"/>
        <v>144.65753424657532</v>
      </c>
      <c r="BO7" s="195">
        <f>+$F$7/365*31</f>
        <v>149.47945205479451</v>
      </c>
      <c r="BP7" s="195">
        <f>+$F$7/365*31</f>
        <v>149.47945205479451</v>
      </c>
      <c r="BQ7" s="195">
        <f>+$F$7/365*30</f>
        <v>144.65753424657532</v>
      </c>
      <c r="BR7" s="195">
        <f>+$F$7/365*31</f>
        <v>149.47945205479451</v>
      </c>
      <c r="BS7" s="195">
        <f>+$F$7/365*30</f>
        <v>144.65753424657532</v>
      </c>
      <c r="BT7" s="195"/>
      <c r="BU7" s="195">
        <f t="shared" si="11"/>
        <v>3370.5205479452052</v>
      </c>
      <c r="BV7" s="213">
        <f t="shared" si="6"/>
        <v>1760</v>
      </c>
    </row>
    <row r="8" spans="2:75" ht="15.75" thickBot="1" x14ac:dyDescent="0.3">
      <c r="B8" t="s">
        <v>462</v>
      </c>
      <c r="C8" s="115">
        <v>43311</v>
      </c>
      <c r="D8" s="183">
        <v>13500</v>
      </c>
      <c r="E8" s="188">
        <f>+E7</f>
        <v>0.2</v>
      </c>
      <c r="F8" s="183">
        <f t="shared" si="0"/>
        <v>2700</v>
      </c>
      <c r="G8" s="195"/>
      <c r="H8" s="196"/>
      <c r="I8" s="196"/>
      <c r="J8" s="197"/>
      <c r="K8" s="195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7"/>
      <c r="W8" s="211">
        <v>0</v>
      </c>
      <c r="X8" s="196">
        <v>0</v>
      </c>
      <c r="Y8" s="196">
        <v>0</v>
      </c>
      <c r="Z8" s="196">
        <v>0</v>
      </c>
      <c r="AA8" s="196">
        <v>0</v>
      </c>
      <c r="AB8" s="196">
        <v>0</v>
      </c>
      <c r="AC8" s="196">
        <v>0</v>
      </c>
      <c r="AD8" s="196">
        <f>+$F$8/365*31</f>
        <v>229.3150684931507</v>
      </c>
      <c r="AE8" s="196">
        <f>+$F$8/365*30</f>
        <v>221.91780821917808</v>
      </c>
      <c r="AF8" s="196">
        <f>+$F$8/365*31</f>
        <v>229.3150684931507</v>
      </c>
      <c r="AG8" s="196">
        <f>+$F$8/365*30</f>
        <v>221.91780821917808</v>
      </c>
      <c r="AH8" s="196">
        <f>+$F$8/365*31</f>
        <v>229.3150684931507</v>
      </c>
      <c r="AI8" s="195">
        <f>SUM(G8:AH8)</f>
        <v>1131.7808219178082</v>
      </c>
      <c r="AJ8" s="195">
        <f>+$F$8/365*31</f>
        <v>229.3150684931507</v>
      </c>
      <c r="AK8" s="195">
        <f>+$F$8/365*28</f>
        <v>207.12328767123287</v>
      </c>
      <c r="AL8" s="195">
        <f>+$F$8/365*31</f>
        <v>229.3150684931507</v>
      </c>
      <c r="AM8" s="195">
        <f>+$F$8/365*30</f>
        <v>221.91780821917808</v>
      </c>
      <c r="AN8" s="195">
        <f>+$F$8/365*31</f>
        <v>229.3150684931507</v>
      </c>
      <c r="AO8" s="195">
        <f>+$F$8/365*30</f>
        <v>221.91780821917808</v>
      </c>
      <c r="AP8" s="195">
        <f>+$F$8/365*31</f>
        <v>229.3150684931507</v>
      </c>
      <c r="AQ8" s="195">
        <f>+$F$8/365*31</f>
        <v>229.3150684931507</v>
      </c>
      <c r="AR8" s="195">
        <f>+$F$8/365*30</f>
        <v>221.91780821917808</v>
      </c>
      <c r="AS8" s="195">
        <f>+$F$8/365*31</f>
        <v>229.3150684931507</v>
      </c>
      <c r="AT8" s="195">
        <f>+$F$8/365*30</f>
        <v>221.91780821917808</v>
      </c>
      <c r="AU8" s="195">
        <f>+$F$8/365*31</f>
        <v>229.3150684931507</v>
      </c>
      <c r="AV8" s="195">
        <f t="shared" si="2"/>
        <v>2700</v>
      </c>
      <c r="AW8" s="195">
        <f>+$F$8/366*31</f>
        <v>228.68852459016392</v>
      </c>
      <c r="AX8" s="195">
        <f>+$F$8/366*29</f>
        <v>213.93442622950818</v>
      </c>
      <c r="AY8" s="195">
        <f>+$F$8/366*31</f>
        <v>228.68852459016392</v>
      </c>
      <c r="AZ8" s="195">
        <f>+$F$8/366*30</f>
        <v>221.31147540983605</v>
      </c>
      <c r="BA8" s="195">
        <f>+$F$8/366*31</f>
        <v>228.68852459016392</v>
      </c>
      <c r="BB8" s="195">
        <f>+$F$8/366*30</f>
        <v>221.31147540983605</v>
      </c>
      <c r="BC8" s="195">
        <f>+$F$8/366*31</f>
        <v>228.68852459016392</v>
      </c>
      <c r="BD8" s="195">
        <f>+$F$8/366*31</f>
        <v>228.68852459016392</v>
      </c>
      <c r="BE8" s="195">
        <f>+$F$8/366*30</f>
        <v>221.31147540983605</v>
      </c>
      <c r="BF8" s="195">
        <f>+$F$8/366*31</f>
        <v>228.68852459016392</v>
      </c>
      <c r="BG8" s="195">
        <f>+$F$8/366*30</f>
        <v>221.31147540983605</v>
      </c>
      <c r="BH8" s="195">
        <f>+$F$8/366*31</f>
        <v>228.68852459016392</v>
      </c>
      <c r="BI8" s="195">
        <f t="shared" si="8"/>
        <v>229.3150684931507</v>
      </c>
      <c r="BJ8" s="195">
        <f t="shared" si="9"/>
        <v>207.12328767123287</v>
      </c>
      <c r="BK8" s="195">
        <f t="shared" si="10"/>
        <v>229.3150684931507</v>
      </c>
      <c r="BL8" s="195">
        <f t="shared" si="3"/>
        <v>221.91780821917808</v>
      </c>
      <c r="BM8" s="195">
        <f t="shared" si="4"/>
        <v>229.3150684931507</v>
      </c>
      <c r="BN8" s="195">
        <f t="shared" si="5"/>
        <v>221.91780821917808</v>
      </c>
      <c r="BO8" s="195">
        <f>+$F$8/365*31</f>
        <v>229.3150684931507</v>
      </c>
      <c r="BP8" s="195">
        <f>+$F$8/365*31</f>
        <v>229.3150684931507</v>
      </c>
      <c r="BQ8" s="195">
        <f>+$F$8/365*30</f>
        <v>221.91780821917808</v>
      </c>
      <c r="BR8" s="195">
        <f>+$F$8/365*31</f>
        <v>229.3150684931507</v>
      </c>
      <c r="BS8" s="195">
        <f>+$F$8/365*30</f>
        <v>221.91780821917808</v>
      </c>
      <c r="BT8" s="195"/>
      <c r="BU8" s="195">
        <f t="shared" si="11"/>
        <v>5170.6849315068494</v>
      </c>
      <c r="BV8" s="213">
        <f t="shared" si="6"/>
        <v>4497.5342465753429</v>
      </c>
    </row>
    <row r="9" spans="2:75" ht="15.75" thickBot="1" x14ac:dyDescent="0.3">
      <c r="B9" t="s">
        <v>471</v>
      </c>
      <c r="C9" s="115">
        <v>43642</v>
      </c>
      <c r="D9" s="183">
        <v>615</v>
      </c>
      <c r="E9" s="188">
        <f>+E8</f>
        <v>0.2</v>
      </c>
      <c r="F9" s="183">
        <f t="shared" si="0"/>
        <v>123</v>
      </c>
      <c r="G9" s="195"/>
      <c r="H9" s="196"/>
      <c r="I9" s="196"/>
      <c r="J9" s="197"/>
      <c r="K9" s="195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7"/>
      <c r="W9" s="211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5"/>
      <c r="AJ9" s="195"/>
      <c r="AK9" s="195"/>
      <c r="AL9" s="195"/>
      <c r="AM9" s="195"/>
      <c r="AN9" s="195"/>
      <c r="AO9" s="195"/>
      <c r="AP9" s="195">
        <f>+$F$9/365*31</f>
        <v>10.446575342465753</v>
      </c>
      <c r="AQ9" s="195">
        <f>+$F$9/365*31</f>
        <v>10.446575342465753</v>
      </c>
      <c r="AR9" s="195">
        <f>+$F$9/365*30</f>
        <v>10.109589041095891</v>
      </c>
      <c r="AS9" s="195">
        <f>+$F$9/365*31</f>
        <v>10.446575342465753</v>
      </c>
      <c r="AT9" s="195">
        <f>+$F$9/365*30</f>
        <v>10.109589041095891</v>
      </c>
      <c r="AU9" s="195">
        <f>+$F$9/365*31</f>
        <v>10.446575342465753</v>
      </c>
      <c r="AV9" s="195">
        <f t="shared" si="2"/>
        <v>62.005479452054786</v>
      </c>
      <c r="AW9" s="195">
        <f>+$F$9/366*31</f>
        <v>10.418032786885245</v>
      </c>
      <c r="AX9" s="195">
        <f>+$F$9/366*29</f>
        <v>9.745901639344261</v>
      </c>
      <c r="AY9" s="195">
        <f>+$F$9/366*31</f>
        <v>10.418032786885245</v>
      </c>
      <c r="AZ9" s="195">
        <f>+$F$9/366*30</f>
        <v>10.081967213114753</v>
      </c>
      <c r="BA9" s="195">
        <f>+$F$9/366*31</f>
        <v>10.418032786885245</v>
      </c>
      <c r="BB9" s="195">
        <f>+$F$9/366*30</f>
        <v>10.081967213114753</v>
      </c>
      <c r="BC9" s="195">
        <f>+$F$9/366*31</f>
        <v>10.418032786885245</v>
      </c>
      <c r="BD9" s="195">
        <f>+$F$9/366*31</f>
        <v>10.418032786885245</v>
      </c>
      <c r="BE9" s="195">
        <f>+$F$9/366*30</f>
        <v>10.081967213114753</v>
      </c>
      <c r="BF9" s="195">
        <f>+$F$9/366*31</f>
        <v>10.418032786885245</v>
      </c>
      <c r="BG9" s="195">
        <f>+$F$9/366*30</f>
        <v>10.081967213114753</v>
      </c>
      <c r="BH9" s="195">
        <f>+$F$9/366*31</f>
        <v>10.418032786885245</v>
      </c>
      <c r="BI9" s="195">
        <f t="shared" si="8"/>
        <v>10.446575342465753</v>
      </c>
      <c r="BJ9" s="195">
        <f t="shared" si="9"/>
        <v>9.4356164383561651</v>
      </c>
      <c r="BK9" s="195">
        <f t="shared" si="10"/>
        <v>10.446575342465753</v>
      </c>
      <c r="BL9" s="195">
        <f t="shared" si="3"/>
        <v>10.109589041095891</v>
      </c>
      <c r="BM9" s="195">
        <f t="shared" si="4"/>
        <v>10.446575342465753</v>
      </c>
      <c r="BN9" s="195">
        <f t="shared" si="5"/>
        <v>10.109589041095891</v>
      </c>
      <c r="BO9" s="195">
        <f>+$F$9/365*31</f>
        <v>10.446575342465753</v>
      </c>
      <c r="BP9" s="195">
        <f>+$F$9/365*31</f>
        <v>10.446575342465753</v>
      </c>
      <c r="BQ9" s="195">
        <f>+$F$9/365*30</f>
        <v>10.109589041095891</v>
      </c>
      <c r="BR9" s="195">
        <f>+$F$9/365*31</f>
        <v>10.446575342465753</v>
      </c>
      <c r="BS9" s="195">
        <f>+$F$9/365*30</f>
        <v>10.109589041095891</v>
      </c>
      <c r="BT9" s="195"/>
      <c r="BU9" s="195">
        <f t="shared" si="11"/>
        <v>235.55342465753429</v>
      </c>
      <c r="BV9" s="213">
        <f t="shared" si="6"/>
        <v>317.44109589041091</v>
      </c>
    </row>
    <row r="10" spans="2:75" ht="15.75" thickBot="1" x14ac:dyDescent="0.3">
      <c r="D10" s="192">
        <f>SUM(D4:D9)</f>
        <v>39020</v>
      </c>
      <c r="G10" s="198">
        <f>SUM(G4:G7)</f>
        <v>264.7397260273973</v>
      </c>
      <c r="H10" s="199">
        <f t="shared" ref="H10:V10" si="12">SUM(H4:H7)</f>
        <v>273.56438356164381</v>
      </c>
      <c r="I10" s="199">
        <f t="shared" si="12"/>
        <v>264.7397260273973</v>
      </c>
      <c r="J10" s="200">
        <f t="shared" si="12"/>
        <v>273.56438356164381</v>
      </c>
      <c r="K10" s="198">
        <f t="shared" si="12"/>
        <v>273.56438356164381</v>
      </c>
      <c r="L10" s="199">
        <f t="shared" si="12"/>
        <v>247.0904109589041</v>
      </c>
      <c r="M10" s="199">
        <f t="shared" si="12"/>
        <v>273.56438356164381</v>
      </c>
      <c r="N10" s="199">
        <f t="shared" si="12"/>
        <v>264.7397260273973</v>
      </c>
      <c r="O10" s="199">
        <f t="shared" si="12"/>
        <v>273.56438356164381</v>
      </c>
      <c r="P10" s="199">
        <f t="shared" si="12"/>
        <v>264.7397260273973</v>
      </c>
      <c r="Q10" s="199">
        <f t="shared" si="12"/>
        <v>273.56438356164381</v>
      </c>
      <c r="R10" s="201">
        <f t="shared" si="12"/>
        <v>273.56438356164381</v>
      </c>
      <c r="S10" s="201">
        <f t="shared" si="12"/>
        <v>264.7397260273973</v>
      </c>
      <c r="T10" s="204">
        <f t="shared" si="12"/>
        <v>273.56438356164381</v>
      </c>
      <c r="U10" s="204">
        <f t="shared" si="12"/>
        <v>264.7397260273973</v>
      </c>
      <c r="V10" s="205">
        <f t="shared" si="12"/>
        <v>423.04383561643829</v>
      </c>
      <c r="W10" s="205">
        <f>SUM(W4:W8)</f>
        <v>423.04383561643829</v>
      </c>
      <c r="X10" s="205">
        <f t="shared" ref="X10:AF10" si="13">SUM(X4:X8)</f>
        <v>382.10410958904106</v>
      </c>
      <c r="Y10" s="205">
        <f t="shared" si="13"/>
        <v>423.04383561643829</v>
      </c>
      <c r="Z10" s="205">
        <f t="shared" si="13"/>
        <v>409.39726027397262</v>
      </c>
      <c r="AA10" s="205">
        <f t="shared" si="13"/>
        <v>423.04383561643829</v>
      </c>
      <c r="AB10" s="205">
        <f t="shared" si="13"/>
        <v>409.39726027397262</v>
      </c>
      <c r="AC10" s="205">
        <f t="shared" si="13"/>
        <v>423.04383561643829</v>
      </c>
      <c r="AD10" s="205">
        <f>SUM(AD4:AD8)</f>
        <v>652.35890410958905</v>
      </c>
      <c r="AE10" s="205">
        <f t="shared" si="13"/>
        <v>631.31506849315065</v>
      </c>
      <c r="AF10" s="205">
        <f t="shared" si="13"/>
        <v>652.35890410958905</v>
      </c>
      <c r="AG10" s="205">
        <f t="shared" ref="AG10" si="14">SUM(AG4:AG8)</f>
        <v>631.31506849315065</v>
      </c>
      <c r="AH10" s="205">
        <f>SUM(AH4:AH8)</f>
        <v>652.35890410958905</v>
      </c>
      <c r="AI10" s="205">
        <f t="shared" ref="AI10:BV10" si="15">SUM(AI4:AI9)</f>
        <v>10559.868493150687</v>
      </c>
      <c r="AJ10" s="205">
        <f t="shared" si="15"/>
        <v>652.35890410958905</v>
      </c>
      <c r="AK10" s="205">
        <f t="shared" si="15"/>
        <v>589.22739726027396</v>
      </c>
      <c r="AL10" s="205">
        <f t="shared" si="15"/>
        <v>652.35890410958905</v>
      </c>
      <c r="AM10" s="205">
        <f t="shared" si="15"/>
        <v>631.31506849315065</v>
      </c>
      <c r="AN10" s="205">
        <f t="shared" si="15"/>
        <v>652.35890410958905</v>
      </c>
      <c r="AO10" s="205">
        <f t="shared" si="15"/>
        <v>631.31506849315065</v>
      </c>
      <c r="AP10" s="205">
        <f t="shared" si="15"/>
        <v>662.80547945205478</v>
      </c>
      <c r="AQ10" s="205">
        <f t="shared" si="15"/>
        <v>662.80547945205478</v>
      </c>
      <c r="AR10" s="205">
        <f t="shared" si="15"/>
        <v>641.42465753424653</v>
      </c>
      <c r="AS10" s="205">
        <f t="shared" ref="AS10:AT10" si="16">SUM(AS4:AS9)</f>
        <v>662.80547945205478</v>
      </c>
      <c r="AT10" s="205">
        <f t="shared" si="16"/>
        <v>641.42465753424653</v>
      </c>
      <c r="AU10" s="205">
        <f t="shared" ref="AU10:AW10" si="17">SUM(AU4:AU9)</f>
        <v>662.80547945205478</v>
      </c>
      <c r="AV10" s="205">
        <f t="shared" si="15"/>
        <v>7743.0054794520547</v>
      </c>
      <c r="AW10" s="205">
        <f t="shared" si="17"/>
        <v>660.99453551912563</v>
      </c>
      <c r="AX10" s="205">
        <f t="shared" ref="AX10:BU10" si="18">SUM(AX4:AX9)</f>
        <v>618.34972677595624</v>
      </c>
      <c r="AY10" s="205">
        <f t="shared" si="18"/>
        <v>660.99453551912563</v>
      </c>
      <c r="AZ10" s="205">
        <f t="shared" ref="AZ10:BE10" si="19">SUM(AZ4:AZ9)</f>
        <v>639.67213114754099</v>
      </c>
      <c r="BA10" s="205">
        <f t="shared" si="19"/>
        <v>660.99453551912563</v>
      </c>
      <c r="BB10" s="205">
        <f t="shared" si="19"/>
        <v>639.67213114754099</v>
      </c>
      <c r="BC10" s="205">
        <f t="shared" si="19"/>
        <v>660.99453551912563</v>
      </c>
      <c r="BD10" s="205">
        <f t="shared" si="19"/>
        <v>660.99453551912563</v>
      </c>
      <c r="BE10" s="205">
        <f t="shared" si="19"/>
        <v>639.67213114754099</v>
      </c>
      <c r="BF10" s="205">
        <f t="shared" ref="BF10:BG10" si="20">SUM(BF4:BF9)</f>
        <v>660.99453551912563</v>
      </c>
      <c r="BG10" s="205">
        <f t="shared" si="20"/>
        <v>639.67213114754099</v>
      </c>
      <c r="BH10" s="205">
        <f t="shared" ref="BH10:BI10" si="21">SUM(BH4:BH9)</f>
        <v>660.99453551912563</v>
      </c>
      <c r="BI10" s="205">
        <f t="shared" si="21"/>
        <v>662.80547945205478</v>
      </c>
      <c r="BJ10" s="205">
        <f t="shared" ref="BJ10" si="22">SUM(BJ4:BJ9)</f>
        <v>598.66301369863015</v>
      </c>
      <c r="BK10" s="205">
        <f t="shared" ref="BK10:BM10" si="23">SUM(BK4:BK9)</f>
        <v>662.80547945205478</v>
      </c>
      <c r="BL10" s="205">
        <f t="shared" si="23"/>
        <v>641.42465753424653</v>
      </c>
      <c r="BM10" s="205">
        <f t="shared" si="23"/>
        <v>662.80547945205478</v>
      </c>
      <c r="BN10" s="205">
        <f t="shared" ref="BN10:BO10" si="24">SUM(BN4:BN9)</f>
        <v>641.42465753424653</v>
      </c>
      <c r="BO10" s="205">
        <f t="shared" si="24"/>
        <v>662.80547945205478</v>
      </c>
      <c r="BP10" s="205">
        <f t="shared" ref="BP10:BQ10" si="25">SUM(BP4:BP9)</f>
        <v>662.80547945205478</v>
      </c>
      <c r="BQ10" s="205">
        <f t="shared" si="25"/>
        <v>376.6849315068493</v>
      </c>
      <c r="BR10" s="205">
        <f t="shared" ref="BR10:BT10" si="26">SUM(BR4:BR9)</f>
        <v>389.24109589041097</v>
      </c>
      <c r="BS10" s="205">
        <f t="shared" si="26"/>
        <v>376.6849315068493</v>
      </c>
      <c r="BT10" s="220">
        <f t="shared" si="26"/>
        <v>0</v>
      </c>
      <c r="BU10" s="205">
        <f t="shared" si="18"/>
        <v>14142.150684931508</v>
      </c>
      <c r="BV10" s="220">
        <f t="shared" si="15"/>
        <v>6574.9753424657538</v>
      </c>
    </row>
    <row r="12" spans="2:75" hidden="1" x14ac:dyDescent="0.25">
      <c r="J12" s="183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BV12" s="86">
        <f>+BV10-T.Balance!K22</f>
        <v>6574.9753424657538</v>
      </c>
    </row>
    <row r="13" spans="2:75" x14ac:dyDescent="0.25">
      <c r="B13" s="214" t="s">
        <v>469</v>
      </c>
      <c r="BV13" s="219">
        <f>+BV10-T.Balance!M22</f>
        <v>6574.9753424657538</v>
      </c>
      <c r="BW13" t="s">
        <v>483</v>
      </c>
    </row>
    <row r="14" spans="2:75" x14ac:dyDescent="0.25">
      <c r="B14" t="s">
        <v>463</v>
      </c>
      <c r="G14" s="86"/>
      <c r="H14" s="184"/>
      <c r="J14" s="86"/>
      <c r="AE14" s="86"/>
      <c r="BV14" s="216"/>
    </row>
    <row r="15" spans="2:75" x14ac:dyDescent="0.25">
      <c r="B15" t="s">
        <v>464</v>
      </c>
      <c r="J15" s="86"/>
      <c r="BV15" s="216"/>
    </row>
    <row r="16" spans="2:75" x14ac:dyDescent="0.25">
      <c r="B16" t="s">
        <v>465</v>
      </c>
      <c r="BV16" s="216"/>
    </row>
    <row r="17" spans="2:74" x14ac:dyDescent="0.25">
      <c r="B17" t="s">
        <v>468</v>
      </c>
      <c r="BV17" s="216"/>
    </row>
    <row r="18" spans="2:74" x14ac:dyDescent="0.25">
      <c r="B18" s="96" t="s">
        <v>466</v>
      </c>
      <c r="BU18" s="86">
        <v>315.8630136986302</v>
      </c>
      <c r="BV18" s="217"/>
    </row>
    <row r="19" spans="2:74" x14ac:dyDescent="0.25">
      <c r="AB19" s="86"/>
      <c r="AY19" s="218"/>
      <c r="BU19" s="86">
        <v>207.23287671232876</v>
      </c>
    </row>
    <row r="20" spans="2:74" x14ac:dyDescent="0.25">
      <c r="BU20" s="86">
        <v>553.51232876712334</v>
      </c>
    </row>
    <row r="21" spans="2:74" x14ac:dyDescent="0.25">
      <c r="BU21" s="86">
        <f>SUM(BU18:BU20)</f>
        <v>1076.6082191780824</v>
      </c>
    </row>
  </sheetData>
  <mergeCells count="3">
    <mergeCell ref="G2:J2"/>
    <mergeCell ref="K2:T2"/>
    <mergeCell ref="W2:AH2"/>
  </mergeCells>
  <pageMargins left="0.7" right="0.7" top="0.75" bottom="0.75" header="0.3" footer="0.3"/>
  <pageSetup paperSize="9" orientation="portrait" r:id="rId1"/>
  <ignoredErrors>
    <ignoredError sqref="H4:H5 I4:I5 D5 L4:L5 N4:N5 H6:N6 O4:O6 S4:S6 P5 P4 P6 X4:X7 Z4:Z7 AA4:AA7 AB4:AB7 AE4:AE8 AF4:AF8 AG4:AG8 AI4 AI5:AI8 AK4:AK8 AM4:AM8 AN4:AN8 AO4:AO8 AR4:AR9 AS4:AS9 AT4:AT9 AV4:AV9 AX4:AX9 AZ4:AZ9 BA4:BA9 BB4:BB9 BE4:BE9 BF4:BF9 BG4:BG9" formula="1"/>
    <ignoredError sqref="G2 K2 W2" numberStoredAsText="1"/>
    <ignoredError sqref="U10:V10 AE10:AF10 AH10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63F1-6FFC-4253-B05B-098AAE547A5E}">
  <dimension ref="A3:B10"/>
  <sheetViews>
    <sheetView workbookViewId="0">
      <selection activeCell="F27" sqref="F27"/>
    </sheetView>
  </sheetViews>
  <sheetFormatPr defaultRowHeight="15" x14ac:dyDescent="0.25"/>
  <cols>
    <col min="1" max="1" width="30.140625" bestFit="1" customWidth="1"/>
    <col min="2" max="2" width="21.140625" style="184" customWidth="1"/>
  </cols>
  <sheetData>
    <row r="3" spans="1:2" x14ac:dyDescent="0.25">
      <c r="A3" t="s">
        <v>59</v>
      </c>
      <c r="B3" s="184">
        <v>0</v>
      </c>
    </row>
    <row r="5" spans="1:2" x14ac:dyDescent="0.25">
      <c r="A5" t="s">
        <v>485</v>
      </c>
      <c r="B5" s="184">
        <v>0</v>
      </c>
    </row>
    <row r="7" spans="1:2" x14ac:dyDescent="0.25">
      <c r="A7" t="s">
        <v>486</v>
      </c>
      <c r="B7" s="184">
        <f>+B3+B5</f>
        <v>0</v>
      </c>
    </row>
    <row r="9" spans="1:2" ht="15.75" thickBot="1" x14ac:dyDescent="0.3">
      <c r="A9" t="s">
        <v>487</v>
      </c>
      <c r="B9" s="223">
        <f>+B7*1%</f>
        <v>0</v>
      </c>
    </row>
    <row r="10" spans="1: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052E-0B98-4440-924C-390172B73B96}">
  <dimension ref="A1:E34"/>
  <sheetViews>
    <sheetView workbookViewId="0">
      <selection activeCell="C4" sqref="C4"/>
    </sheetView>
  </sheetViews>
  <sheetFormatPr defaultRowHeight="15" x14ac:dyDescent="0.25"/>
  <cols>
    <col min="1" max="1" width="10.140625" style="227" bestFit="1" customWidth="1"/>
    <col min="2" max="2" width="63.85546875" style="227" customWidth="1"/>
    <col min="3" max="4" width="18.28515625" style="227" bestFit="1" customWidth="1"/>
    <col min="5" max="16384" width="9.140625" style="227"/>
  </cols>
  <sheetData>
    <row r="1" spans="1:4" ht="18.75" x14ac:dyDescent="0.3">
      <c r="A1" s="224"/>
      <c r="B1" s="225" t="s">
        <v>493</v>
      </c>
      <c r="C1" s="225" t="s">
        <v>494</v>
      </c>
      <c r="D1" s="226" t="s">
        <v>495</v>
      </c>
    </row>
    <row r="2" spans="1:4" ht="18.75" x14ac:dyDescent="0.3">
      <c r="A2" s="228"/>
      <c r="B2" s="229"/>
      <c r="C2" s="229"/>
      <c r="D2" s="230"/>
    </row>
    <row r="3" spans="1:4" ht="18.75" x14ac:dyDescent="0.3">
      <c r="A3" s="228"/>
      <c r="B3" s="229"/>
      <c r="C3" s="229"/>
      <c r="D3" s="230"/>
    </row>
    <row r="4" spans="1:4" ht="18.75" x14ac:dyDescent="0.3">
      <c r="A4" s="231">
        <v>1</v>
      </c>
      <c r="B4" s="232" t="s">
        <v>496</v>
      </c>
      <c r="C4" s="229">
        <v>16.122233930453035</v>
      </c>
      <c r="D4" s="230"/>
    </row>
    <row r="5" spans="1:4" ht="18.75" x14ac:dyDescent="0.3">
      <c r="A5" s="231"/>
      <c r="B5" s="232" t="s">
        <v>497</v>
      </c>
      <c r="C5" s="229"/>
      <c r="D5" s="230">
        <f>+C4</f>
        <v>16.122233930453035</v>
      </c>
    </row>
    <row r="6" spans="1:4" ht="18.75" x14ac:dyDescent="0.3">
      <c r="A6" s="231"/>
      <c r="B6" s="232" t="s">
        <v>498</v>
      </c>
      <c r="C6" s="229">
        <v>16.122233930453035</v>
      </c>
      <c r="D6" s="230"/>
    </row>
    <row r="7" spans="1:4" ht="18.75" x14ac:dyDescent="0.3">
      <c r="A7" s="231"/>
      <c r="B7" s="232" t="s">
        <v>499</v>
      </c>
      <c r="C7" s="229"/>
      <c r="D7" s="230">
        <f>+C6</f>
        <v>16.122233930453035</v>
      </c>
    </row>
    <row r="8" spans="1:4" ht="19.5" x14ac:dyDescent="0.35">
      <c r="A8" s="231"/>
      <c r="B8" s="233" t="s">
        <v>500</v>
      </c>
      <c r="C8" s="229"/>
      <c r="D8" s="230"/>
    </row>
    <row r="9" spans="1:4" ht="18.75" x14ac:dyDescent="0.3">
      <c r="A9" s="228"/>
      <c r="B9" s="229"/>
      <c r="C9" s="229"/>
      <c r="D9" s="230"/>
    </row>
    <row r="10" spans="1:4" ht="18.75" x14ac:dyDescent="0.3">
      <c r="A10" s="231">
        <v>2</v>
      </c>
      <c r="B10" s="229" t="s">
        <v>447</v>
      </c>
      <c r="C10" s="229">
        <v>0</v>
      </c>
      <c r="D10" s="230"/>
    </row>
    <row r="11" spans="1:4" ht="18.75" x14ac:dyDescent="0.3">
      <c r="A11" s="228"/>
      <c r="B11" s="229" t="s">
        <v>448</v>
      </c>
      <c r="C11" s="229"/>
      <c r="D11" s="230">
        <v>0</v>
      </c>
    </row>
    <row r="12" spans="1:4" ht="19.5" x14ac:dyDescent="0.35">
      <c r="A12" s="228"/>
      <c r="B12" s="233" t="s">
        <v>501</v>
      </c>
      <c r="C12" s="229"/>
      <c r="D12" s="230"/>
    </row>
    <row r="13" spans="1:4" ht="18.75" x14ac:dyDescent="0.3">
      <c r="A13" s="228"/>
      <c r="B13" s="229"/>
      <c r="C13" s="229"/>
      <c r="D13" s="230"/>
    </row>
    <row r="14" spans="1:4" ht="18.75" x14ac:dyDescent="0.3">
      <c r="A14" s="231">
        <v>3</v>
      </c>
      <c r="B14" s="229" t="s">
        <v>502</v>
      </c>
      <c r="C14" s="229">
        <v>0</v>
      </c>
      <c r="D14" s="230"/>
    </row>
    <row r="15" spans="1:4" ht="19.5" x14ac:dyDescent="0.35">
      <c r="A15" s="231"/>
      <c r="B15" s="233" t="s">
        <v>503</v>
      </c>
      <c r="C15" s="229"/>
      <c r="D15" s="230">
        <v>0</v>
      </c>
    </row>
    <row r="16" spans="1:4" ht="19.5" x14ac:dyDescent="0.35">
      <c r="A16" s="231"/>
      <c r="B16" s="233"/>
      <c r="C16" s="229"/>
      <c r="D16" s="230"/>
    </row>
    <row r="17" spans="1:5" ht="19.5" x14ac:dyDescent="0.35">
      <c r="A17" s="237">
        <v>4</v>
      </c>
      <c r="B17" s="238" t="s">
        <v>504</v>
      </c>
      <c r="C17" s="239">
        <v>750</v>
      </c>
      <c r="D17" s="240"/>
    </row>
    <row r="18" spans="1:5" ht="19.5" x14ac:dyDescent="0.35">
      <c r="A18" s="237"/>
      <c r="B18" s="238" t="s">
        <v>505</v>
      </c>
      <c r="C18" s="239"/>
      <c r="D18" s="240">
        <f>+C17</f>
        <v>750</v>
      </c>
    </row>
    <row r="19" spans="1:5" ht="19.5" x14ac:dyDescent="0.35">
      <c r="A19" s="237"/>
      <c r="B19" s="238"/>
      <c r="C19" s="239"/>
      <c r="D19" s="240"/>
    </row>
    <row r="20" spans="1:5" ht="19.5" x14ac:dyDescent="0.35">
      <c r="A20" s="237">
        <v>5</v>
      </c>
      <c r="B20" s="238" t="s">
        <v>79</v>
      </c>
      <c r="C20" s="239">
        <v>500000</v>
      </c>
      <c r="D20" s="240"/>
      <c r="E20" s="241">
        <v>44531</v>
      </c>
    </row>
    <row r="21" spans="1:5" ht="19.5" x14ac:dyDescent="0.35">
      <c r="A21" s="237"/>
      <c r="B21" s="238" t="s">
        <v>458</v>
      </c>
      <c r="C21" s="239">
        <v>2200000</v>
      </c>
      <c r="D21" s="240"/>
    </row>
    <row r="22" spans="1:5" ht="19.5" x14ac:dyDescent="0.35">
      <c r="A22" s="237"/>
      <c r="B22" s="238"/>
      <c r="C22" s="239"/>
      <c r="D22" s="240"/>
    </row>
    <row r="23" spans="1:5" ht="19.5" x14ac:dyDescent="0.35">
      <c r="A23" s="237"/>
      <c r="B23" s="238"/>
      <c r="C23" s="239"/>
      <c r="D23" s="240"/>
    </row>
    <row r="24" spans="1:5" ht="19.5" x14ac:dyDescent="0.35">
      <c r="A24" s="237"/>
      <c r="B24" s="238" t="s">
        <v>419</v>
      </c>
      <c r="C24" s="239"/>
      <c r="D24" s="240">
        <v>2450000</v>
      </c>
    </row>
    <row r="25" spans="1:5" ht="19.5" x14ac:dyDescent="0.35">
      <c r="A25" s="237"/>
      <c r="B25" s="238" t="s">
        <v>492</v>
      </c>
      <c r="C25" s="239"/>
      <c r="D25" s="240">
        <v>15000</v>
      </c>
    </row>
    <row r="26" spans="1:5" ht="19.5" x14ac:dyDescent="0.35">
      <c r="A26" s="237"/>
      <c r="B26" s="238" t="s">
        <v>481</v>
      </c>
      <c r="C26" s="239"/>
      <c r="D26" s="240">
        <f>+C20+C21-D24-C22-D25</f>
        <v>235000</v>
      </c>
    </row>
    <row r="27" spans="1:5" ht="19.5" x14ac:dyDescent="0.35">
      <c r="A27" s="231"/>
      <c r="B27" s="233"/>
      <c r="C27" s="229"/>
      <c r="D27" s="230"/>
    </row>
    <row r="28" spans="1:5" ht="19.5" x14ac:dyDescent="0.35">
      <c r="A28" s="231"/>
      <c r="B28" s="233"/>
      <c r="C28" s="229"/>
      <c r="D28" s="230"/>
    </row>
    <row r="29" spans="1:5" ht="18.75" x14ac:dyDescent="0.3">
      <c r="A29" s="231"/>
      <c r="B29" s="229"/>
      <c r="C29" s="229"/>
      <c r="D29" s="229"/>
    </row>
    <row r="30" spans="1:5" ht="18.75" x14ac:dyDescent="0.3">
      <c r="A30" s="231"/>
      <c r="B30" s="229"/>
      <c r="C30" s="229"/>
      <c r="D30" s="230"/>
    </row>
    <row r="31" spans="1:5" ht="19.5" x14ac:dyDescent="0.35">
      <c r="A31" s="231"/>
      <c r="B31" s="233"/>
      <c r="C31" s="229"/>
      <c r="D31" s="230"/>
    </row>
    <row r="32" spans="1:5" ht="19.5" x14ac:dyDescent="0.35">
      <c r="A32" s="231"/>
      <c r="B32" s="233"/>
      <c r="C32" s="229"/>
      <c r="D32" s="230"/>
    </row>
    <row r="33" spans="1:4" ht="18.75" x14ac:dyDescent="0.3">
      <c r="A33" s="231"/>
      <c r="B33" s="229"/>
      <c r="C33" s="229"/>
      <c r="D33" s="230"/>
    </row>
    <row r="34" spans="1:4" ht="19.5" thickBot="1" x14ac:dyDescent="0.35">
      <c r="A34" s="234"/>
      <c r="B34" s="235"/>
      <c r="C34" s="235"/>
      <c r="D34" s="2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L32"/>
  <sheetViews>
    <sheetView topLeftCell="B4" workbookViewId="0">
      <selection activeCell="H33" sqref="H33"/>
    </sheetView>
  </sheetViews>
  <sheetFormatPr defaultRowHeight="15" x14ac:dyDescent="0.25"/>
  <cols>
    <col min="1" max="1" width="39.28515625" bestFit="1" customWidth="1"/>
    <col min="2" max="2" width="2.7109375" bestFit="1" customWidth="1"/>
    <col min="3" max="3" width="23.5703125" bestFit="1" customWidth="1"/>
    <col min="5" max="5" width="12.140625" bestFit="1" customWidth="1"/>
    <col min="6" max="7" width="3.42578125" customWidth="1"/>
    <col min="8" max="8" width="38.42578125" customWidth="1"/>
    <col min="9" max="9" width="4.28515625" customWidth="1"/>
    <col min="10" max="10" width="16.140625" customWidth="1"/>
    <col min="11" max="11" width="11.5703125" customWidth="1"/>
    <col min="12" max="12" width="9.5703125" bestFit="1" customWidth="1"/>
  </cols>
  <sheetData>
    <row r="1" spans="1:12" ht="18.75" thickTop="1" x14ac:dyDescent="0.25">
      <c r="A1" s="11" t="s">
        <v>38</v>
      </c>
      <c r="B1" s="12"/>
      <c r="C1" s="12"/>
      <c r="D1" s="12"/>
      <c r="E1" s="13"/>
      <c r="F1" s="14"/>
      <c r="G1" s="15"/>
      <c r="H1" s="16" t="s">
        <v>38</v>
      </c>
      <c r="I1" s="17"/>
      <c r="J1" s="17"/>
      <c r="K1" s="17"/>
      <c r="L1" s="18"/>
    </row>
    <row r="2" spans="1:12" ht="15.75" x14ac:dyDescent="0.25">
      <c r="A2" s="19" t="s">
        <v>39</v>
      </c>
      <c r="B2" s="20"/>
      <c r="C2" s="20"/>
      <c r="D2" s="20"/>
      <c r="E2" s="21"/>
      <c r="F2" s="22"/>
      <c r="G2" s="23"/>
      <c r="H2" s="24" t="s">
        <v>39</v>
      </c>
      <c r="I2" s="20"/>
      <c r="J2" s="20"/>
      <c r="K2" s="20"/>
      <c r="L2" s="21"/>
    </row>
    <row r="3" spans="1:12" ht="15.75" x14ac:dyDescent="0.25">
      <c r="A3" s="25" t="s">
        <v>40</v>
      </c>
      <c r="B3" s="26" t="s">
        <v>41</v>
      </c>
      <c r="C3" s="27" t="s">
        <v>42</v>
      </c>
      <c r="D3" s="26"/>
      <c r="E3" s="28"/>
      <c r="F3" s="22"/>
      <c r="G3" s="23"/>
      <c r="H3" s="29" t="s">
        <v>40</v>
      </c>
      <c r="I3" s="26" t="s">
        <v>41</v>
      </c>
      <c r="J3" s="30" t="s">
        <v>43</v>
      </c>
      <c r="K3" s="26"/>
      <c r="L3" s="28"/>
    </row>
    <row r="4" spans="1:12" ht="15.75" x14ac:dyDescent="0.25">
      <c r="A4" s="25" t="s">
        <v>44</v>
      </c>
      <c r="B4" s="26" t="s">
        <v>41</v>
      </c>
      <c r="C4" s="31" t="s">
        <v>45</v>
      </c>
      <c r="D4" s="26"/>
      <c r="E4" s="28"/>
      <c r="F4" s="22"/>
      <c r="G4" s="23"/>
      <c r="H4" s="29" t="s">
        <v>44</v>
      </c>
      <c r="I4" s="26" t="s">
        <v>41</v>
      </c>
      <c r="J4" s="31" t="s">
        <v>46</v>
      </c>
      <c r="K4" s="26"/>
      <c r="L4" s="28"/>
    </row>
    <row r="5" spans="1:12" ht="15.75" x14ac:dyDescent="0.25">
      <c r="A5" s="25" t="s">
        <v>47</v>
      </c>
      <c r="B5" s="26" t="s">
        <v>41</v>
      </c>
      <c r="C5" s="32"/>
      <c r="D5" s="26"/>
      <c r="E5" s="28"/>
      <c r="F5" s="22"/>
      <c r="G5" s="23"/>
      <c r="H5" s="29" t="s">
        <v>47</v>
      </c>
      <c r="I5" s="26" t="s">
        <v>41</v>
      </c>
      <c r="J5" s="32"/>
      <c r="K5" s="26"/>
      <c r="L5" s="28"/>
    </row>
    <row r="6" spans="1:12" ht="15.75" x14ac:dyDescent="0.25">
      <c r="A6" s="25" t="s">
        <v>48</v>
      </c>
      <c r="B6" s="26" t="s">
        <v>41</v>
      </c>
      <c r="C6" s="33">
        <v>40664</v>
      </c>
      <c r="D6" s="26"/>
      <c r="E6" s="28"/>
      <c r="F6" s="22"/>
      <c r="G6" s="23"/>
      <c r="H6" s="29" t="s">
        <v>48</v>
      </c>
      <c r="I6" s="26" t="s">
        <v>41</v>
      </c>
      <c r="J6" s="33">
        <v>40664</v>
      </c>
      <c r="K6" s="26"/>
      <c r="L6" s="28"/>
    </row>
    <row r="7" spans="1:12" ht="15.75" x14ac:dyDescent="0.25">
      <c r="A7" s="34"/>
      <c r="B7" s="35"/>
      <c r="C7" s="35"/>
      <c r="D7" s="35"/>
      <c r="E7" s="28"/>
      <c r="F7" s="22"/>
      <c r="G7" s="23"/>
      <c r="H7" s="36"/>
      <c r="I7" s="35"/>
      <c r="J7" s="35"/>
      <c r="K7" s="35"/>
      <c r="L7" s="28"/>
    </row>
    <row r="8" spans="1:12" ht="15.75" x14ac:dyDescent="0.25">
      <c r="A8" s="34"/>
      <c r="B8" s="35"/>
      <c r="C8" s="35"/>
      <c r="D8" s="35"/>
      <c r="E8" s="28"/>
      <c r="F8" s="22"/>
      <c r="G8" s="23" t="s">
        <v>31</v>
      </c>
      <c r="H8" s="36"/>
      <c r="I8" s="35"/>
      <c r="J8" s="35"/>
      <c r="K8" s="35"/>
      <c r="L8" s="28"/>
    </row>
    <row r="9" spans="1:12" ht="15.75" x14ac:dyDescent="0.25">
      <c r="A9" s="34" t="s">
        <v>49</v>
      </c>
      <c r="B9" s="35"/>
      <c r="C9" s="35"/>
      <c r="D9" s="35"/>
      <c r="E9" s="37">
        <v>10856.186</v>
      </c>
      <c r="F9" s="22"/>
      <c r="G9" s="23"/>
      <c r="H9" s="36" t="s">
        <v>49</v>
      </c>
      <c r="I9" s="35"/>
      <c r="J9" s="35" t="s">
        <v>31</v>
      </c>
      <c r="K9" s="35"/>
      <c r="L9" s="38">
        <v>148.15100000000001</v>
      </c>
    </row>
    <row r="10" spans="1:12" ht="15.75" x14ac:dyDescent="0.25">
      <c r="A10" s="39" t="s">
        <v>45</v>
      </c>
      <c r="B10" s="35"/>
      <c r="C10" s="40"/>
      <c r="D10" s="35"/>
      <c r="E10" s="41"/>
      <c r="F10" s="22"/>
      <c r="G10" s="23"/>
      <c r="H10" s="42" t="s">
        <v>46</v>
      </c>
      <c r="I10" s="35"/>
      <c r="J10" s="40"/>
      <c r="K10" s="35"/>
      <c r="L10" s="41"/>
    </row>
    <row r="11" spans="1:12" ht="15.75" x14ac:dyDescent="0.25">
      <c r="A11" s="34"/>
      <c r="B11" s="35"/>
      <c r="C11" s="40"/>
      <c r="D11" s="35"/>
      <c r="E11" s="43"/>
      <c r="F11" s="22"/>
      <c r="G11" s="23"/>
      <c r="H11" s="36"/>
      <c r="I11" s="35"/>
      <c r="J11" s="40"/>
      <c r="K11" s="35"/>
      <c r="L11" s="43"/>
    </row>
    <row r="12" spans="1:12" ht="15.75" x14ac:dyDescent="0.25">
      <c r="A12" s="34"/>
      <c r="B12" s="35"/>
      <c r="C12" s="40"/>
      <c r="D12" s="35"/>
      <c r="E12" s="44"/>
      <c r="F12" s="22"/>
      <c r="G12" s="23"/>
      <c r="H12" s="36"/>
      <c r="I12" s="35"/>
      <c r="J12" s="40"/>
      <c r="K12" s="35"/>
      <c r="L12" s="44"/>
    </row>
    <row r="13" spans="1:12" ht="15.75" x14ac:dyDescent="0.25">
      <c r="A13" s="34" t="s">
        <v>50</v>
      </c>
      <c r="B13" s="35"/>
      <c r="C13" s="40"/>
      <c r="D13" s="35"/>
      <c r="E13" s="44">
        <v>26</v>
      </c>
      <c r="F13" s="22"/>
      <c r="G13" s="23"/>
      <c r="H13" s="36" t="s">
        <v>50</v>
      </c>
      <c r="I13" s="35"/>
      <c r="J13" s="40"/>
      <c r="K13" s="35"/>
      <c r="L13" s="44">
        <v>0</v>
      </c>
    </row>
    <row r="14" spans="1:12" ht="15.75" x14ac:dyDescent="0.25">
      <c r="A14" s="34" t="s">
        <v>51</v>
      </c>
      <c r="B14" s="35"/>
      <c r="C14" s="40"/>
      <c r="D14" s="35"/>
      <c r="E14" s="44"/>
      <c r="F14" s="22"/>
      <c r="G14" s="23"/>
      <c r="H14" s="36" t="s">
        <v>51</v>
      </c>
      <c r="I14" s="35"/>
      <c r="J14" s="40"/>
      <c r="K14" s="35"/>
      <c r="L14" s="44">
        <v>36.18</v>
      </c>
    </row>
    <row r="15" spans="1:12" ht="15.75" x14ac:dyDescent="0.25">
      <c r="A15" s="34"/>
      <c r="B15" s="35"/>
      <c r="C15" s="40"/>
      <c r="D15" s="35"/>
      <c r="E15" s="28"/>
      <c r="F15" s="22"/>
      <c r="G15" s="23"/>
      <c r="H15" s="36"/>
      <c r="I15" s="35"/>
      <c r="J15" s="40"/>
      <c r="K15" s="35"/>
      <c r="L15" s="28"/>
    </row>
    <row r="16" spans="1:12" ht="15.75" x14ac:dyDescent="0.25">
      <c r="A16" s="34"/>
      <c r="B16" s="35"/>
      <c r="C16" s="35"/>
      <c r="D16" s="35"/>
      <c r="E16" s="28"/>
      <c r="F16" s="22"/>
      <c r="G16" s="45"/>
      <c r="H16" s="36"/>
      <c r="I16" s="35"/>
      <c r="J16" s="35"/>
      <c r="K16" s="35"/>
      <c r="L16" s="28"/>
    </row>
    <row r="17" spans="1:12" ht="16.5" thickBot="1" x14ac:dyDescent="0.3">
      <c r="A17" s="34" t="s">
        <v>52</v>
      </c>
      <c r="B17" s="35"/>
      <c r="C17" s="35"/>
      <c r="D17" s="35"/>
      <c r="E17" s="46">
        <f>E9-E13+E14</f>
        <v>10830.186</v>
      </c>
      <c r="F17" s="22"/>
      <c r="G17" s="47"/>
      <c r="H17" s="36" t="s">
        <v>52</v>
      </c>
      <c r="I17" s="35"/>
      <c r="J17" s="35"/>
      <c r="K17" s="35"/>
      <c r="L17" s="46">
        <f>L9-L13+L14</f>
        <v>184.33100000000002</v>
      </c>
    </row>
    <row r="18" spans="1:12" ht="16.5" thickTop="1" x14ac:dyDescent="0.25">
      <c r="A18" s="34"/>
      <c r="B18" s="35"/>
      <c r="C18" s="35"/>
      <c r="D18" s="35"/>
      <c r="E18" s="28"/>
      <c r="F18" s="22"/>
      <c r="G18" s="47"/>
      <c r="H18" s="36"/>
      <c r="I18" s="35"/>
      <c r="J18" s="35"/>
      <c r="K18" s="35"/>
      <c r="L18" s="28"/>
    </row>
    <row r="19" spans="1:12" ht="15.75" x14ac:dyDescent="0.25">
      <c r="A19" s="48" t="s">
        <v>53</v>
      </c>
      <c r="B19" s="49"/>
      <c r="C19" s="50" t="s">
        <v>25</v>
      </c>
      <c r="D19" s="49"/>
      <c r="E19" s="51" t="s">
        <v>54</v>
      </c>
      <c r="F19" s="22"/>
      <c r="G19" s="52"/>
      <c r="H19" s="36"/>
      <c r="I19" s="35"/>
      <c r="J19" s="35"/>
      <c r="K19" s="35"/>
      <c r="L19" s="44"/>
    </row>
    <row r="20" spans="1:12" ht="15.75" x14ac:dyDescent="0.25">
      <c r="A20" s="53"/>
      <c r="B20" s="49"/>
      <c r="C20" s="54"/>
      <c r="D20" s="49"/>
      <c r="E20" s="55"/>
      <c r="F20" s="22"/>
      <c r="G20" s="52"/>
      <c r="H20" s="36"/>
      <c r="I20" s="35"/>
      <c r="J20" s="35"/>
      <c r="K20" s="35"/>
      <c r="L20" s="44"/>
    </row>
    <row r="21" spans="1:12" ht="15.75" x14ac:dyDescent="0.25">
      <c r="A21" s="56" t="s">
        <v>55</v>
      </c>
      <c r="B21" s="57"/>
      <c r="C21" s="54">
        <v>26</v>
      </c>
      <c r="D21" s="57"/>
      <c r="E21" s="58"/>
      <c r="F21" s="22"/>
      <c r="G21" s="52"/>
      <c r="H21" s="36"/>
      <c r="I21" s="35"/>
      <c r="J21" s="35"/>
      <c r="K21" s="35"/>
      <c r="L21" s="44"/>
    </row>
    <row r="22" spans="1:12" ht="15.75" x14ac:dyDescent="0.25">
      <c r="A22" s="56"/>
      <c r="B22" s="57"/>
      <c r="C22" s="54"/>
      <c r="D22" s="57"/>
      <c r="E22" s="58"/>
      <c r="F22" s="22"/>
      <c r="G22" s="52"/>
      <c r="H22" s="36"/>
      <c r="I22" s="35"/>
      <c r="J22" s="35"/>
      <c r="K22" s="35"/>
      <c r="L22" s="44"/>
    </row>
    <row r="23" spans="1:12" x14ac:dyDescent="0.25">
      <c r="A23" s="59"/>
      <c r="B23" s="57"/>
      <c r="C23" s="54"/>
      <c r="D23" s="57"/>
      <c r="E23" s="58"/>
      <c r="F23" s="22"/>
      <c r="G23" s="47"/>
      <c r="H23" s="60"/>
      <c r="I23" s="57"/>
      <c r="J23" s="57"/>
      <c r="K23" s="57"/>
      <c r="L23" s="61"/>
    </row>
    <row r="24" spans="1:12" x14ac:dyDescent="0.25">
      <c r="A24" s="62"/>
      <c r="B24" s="57"/>
      <c r="C24" s="54"/>
      <c r="D24" s="57"/>
      <c r="E24" s="58"/>
      <c r="F24" s="22"/>
      <c r="G24" s="23"/>
      <c r="H24" s="60"/>
      <c r="I24" s="57"/>
      <c r="J24" s="57"/>
      <c r="K24" s="57"/>
      <c r="L24" s="61"/>
    </row>
    <row r="25" spans="1:12" x14ac:dyDescent="0.25">
      <c r="A25" s="56"/>
      <c r="B25" s="57"/>
      <c r="C25" s="54"/>
      <c r="D25" s="57"/>
      <c r="E25" s="58"/>
      <c r="F25" s="22"/>
      <c r="G25" s="23"/>
      <c r="H25" s="63" t="s">
        <v>53</v>
      </c>
      <c r="I25" s="57"/>
      <c r="J25" s="57"/>
      <c r="K25" s="57"/>
      <c r="L25" s="61"/>
    </row>
    <row r="26" spans="1:12" x14ac:dyDescent="0.25">
      <c r="A26" s="62"/>
      <c r="B26" s="57"/>
      <c r="C26" s="54"/>
      <c r="D26" s="57"/>
      <c r="E26" s="58"/>
      <c r="F26" s="22"/>
      <c r="G26" s="23"/>
      <c r="H26" s="64">
        <v>0</v>
      </c>
      <c r="I26" s="415"/>
      <c r="J26" s="415"/>
      <c r="K26" s="57"/>
      <c r="L26" s="61"/>
    </row>
    <row r="27" spans="1:12" ht="16.5" x14ac:dyDescent="0.35">
      <c r="A27" s="59"/>
      <c r="B27" s="57"/>
      <c r="C27" s="65"/>
      <c r="D27" s="57"/>
      <c r="E27" s="58"/>
      <c r="F27" s="22"/>
      <c r="G27" s="23"/>
      <c r="H27" s="64"/>
      <c r="I27" s="57"/>
      <c r="J27" s="57"/>
      <c r="K27" s="57"/>
      <c r="L27" s="61"/>
    </row>
    <row r="28" spans="1:12" ht="18" thickBot="1" x14ac:dyDescent="0.45">
      <c r="A28" s="66"/>
      <c r="B28" s="67"/>
      <c r="C28" s="68"/>
      <c r="D28" s="67"/>
      <c r="E28" s="67"/>
      <c r="F28" s="22"/>
      <c r="G28" s="23"/>
      <c r="H28" s="69">
        <v>0</v>
      </c>
      <c r="I28" s="57"/>
      <c r="J28" s="57"/>
      <c r="K28" s="57"/>
      <c r="L28" s="41"/>
    </row>
    <row r="29" spans="1:12" ht="15.75" thickTop="1" x14ac:dyDescent="0.25">
      <c r="A29" s="70"/>
      <c r="B29" s="57"/>
      <c r="C29" s="57"/>
      <c r="D29" s="57"/>
      <c r="E29" s="41"/>
      <c r="F29" s="22"/>
      <c r="G29" s="23"/>
      <c r="H29" s="60"/>
      <c r="I29" s="57"/>
      <c r="J29" s="57"/>
      <c r="K29" s="57"/>
      <c r="L29" s="41"/>
    </row>
    <row r="30" spans="1:12" x14ac:dyDescent="0.25">
      <c r="A30" s="70" t="s">
        <v>56</v>
      </c>
      <c r="B30" s="57"/>
      <c r="C30" s="415" t="s">
        <v>57</v>
      </c>
      <c r="D30" s="415"/>
      <c r="E30" s="416"/>
      <c r="F30" s="22"/>
      <c r="G30" s="23"/>
      <c r="H30" s="60" t="s">
        <v>56</v>
      </c>
      <c r="I30" s="57"/>
      <c r="J30" s="415" t="s">
        <v>57</v>
      </c>
      <c r="K30" s="415"/>
      <c r="L30" s="416"/>
    </row>
    <row r="31" spans="1:12" ht="15.75" thickBot="1" x14ac:dyDescent="0.3">
      <c r="A31" s="71"/>
      <c r="B31" s="72"/>
      <c r="C31" s="72"/>
      <c r="D31" s="72"/>
      <c r="E31" s="73"/>
      <c r="F31" s="74"/>
      <c r="G31" s="75"/>
      <c r="H31" s="76"/>
      <c r="I31" s="77"/>
      <c r="J31" s="77"/>
      <c r="K31" s="77"/>
      <c r="L31" s="78"/>
    </row>
    <row r="32" spans="1:12" ht="15.75" thickTop="1" x14ac:dyDescent="0.25"/>
  </sheetData>
  <mergeCells count="3">
    <mergeCell ref="I26:J26"/>
    <mergeCell ref="C30:E30"/>
    <mergeCell ref="J30:L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K262"/>
  <sheetViews>
    <sheetView topLeftCell="A18" workbookViewId="0">
      <selection activeCell="J250" sqref="J250"/>
    </sheetView>
  </sheetViews>
  <sheetFormatPr defaultRowHeight="15" x14ac:dyDescent="0.25"/>
  <cols>
    <col min="1" max="1" width="4.42578125" style="115" customWidth="1"/>
    <col min="2" max="2" width="8.7109375" customWidth="1"/>
    <col min="3" max="3" width="10.28515625" customWidth="1"/>
    <col min="4" max="4" width="7.42578125" customWidth="1"/>
    <col min="5" max="5" width="8.28515625" customWidth="1"/>
    <col min="6" max="6" width="10.5703125" bestFit="1" customWidth="1"/>
    <col min="7" max="7" width="10.140625" bestFit="1" customWidth="1"/>
    <col min="8" max="8" width="9.5703125" bestFit="1" customWidth="1"/>
    <col min="9" max="9" width="10.140625" bestFit="1" customWidth="1"/>
  </cols>
  <sheetData>
    <row r="1" spans="1:11" x14ac:dyDescent="0.25">
      <c r="A1" s="116" t="s">
        <v>99</v>
      </c>
      <c r="B1" s="116" t="s">
        <v>100</v>
      </c>
      <c r="C1" s="116" t="s">
        <v>24</v>
      </c>
      <c r="D1" s="116" t="s">
        <v>101</v>
      </c>
      <c r="E1" s="116" t="s">
        <v>102</v>
      </c>
      <c r="F1" s="116" t="s">
        <v>93</v>
      </c>
      <c r="G1" s="116" t="s">
        <v>33</v>
      </c>
      <c r="H1" s="116" t="s">
        <v>103</v>
      </c>
      <c r="I1" s="116" t="s">
        <v>375</v>
      </c>
    </row>
    <row r="2" spans="1:11" x14ac:dyDescent="0.25">
      <c r="A2" s="117">
        <v>1</v>
      </c>
      <c r="B2" s="118">
        <v>41296</v>
      </c>
      <c r="C2" s="119" t="s">
        <v>104</v>
      </c>
      <c r="D2" s="119" t="s">
        <v>105</v>
      </c>
      <c r="E2" s="119" t="s">
        <v>31</v>
      </c>
      <c r="F2" s="120">
        <v>-270</v>
      </c>
      <c r="G2" s="119"/>
      <c r="H2" s="118">
        <v>41296</v>
      </c>
      <c r="I2" s="120">
        <v>13222.482</v>
      </c>
    </row>
    <row r="3" spans="1:11" x14ac:dyDescent="0.25">
      <c r="A3" s="117">
        <v>2</v>
      </c>
      <c r="B3" s="118">
        <v>41297</v>
      </c>
      <c r="C3" s="119" t="s">
        <v>106</v>
      </c>
      <c r="D3" s="119" t="s">
        <v>31</v>
      </c>
      <c r="E3" s="119" t="s">
        <v>107</v>
      </c>
      <c r="F3" s="120">
        <v>-1778</v>
      </c>
      <c r="G3" s="119"/>
      <c r="H3" s="118">
        <v>41297</v>
      </c>
      <c r="I3" s="120">
        <v>11444.482</v>
      </c>
    </row>
    <row r="4" spans="1:11" x14ac:dyDescent="0.25">
      <c r="A4" s="117">
        <v>3</v>
      </c>
      <c r="B4" s="118">
        <v>41297</v>
      </c>
      <c r="C4" s="119" t="s">
        <v>106</v>
      </c>
      <c r="D4" s="119" t="s">
        <v>31</v>
      </c>
      <c r="E4" s="119" t="s">
        <v>108</v>
      </c>
      <c r="F4" s="120">
        <v>-4</v>
      </c>
      <c r="G4" s="119"/>
      <c r="H4" s="118">
        <v>41297</v>
      </c>
      <c r="I4" s="120">
        <v>11440.482</v>
      </c>
    </row>
    <row r="5" spans="1:11" x14ac:dyDescent="0.25">
      <c r="A5" s="117">
        <v>4</v>
      </c>
      <c r="B5" s="118">
        <v>41297</v>
      </c>
      <c r="C5" s="119" t="s">
        <v>109</v>
      </c>
      <c r="D5" s="119" t="s">
        <v>110</v>
      </c>
      <c r="E5" s="119" t="s">
        <v>31</v>
      </c>
      <c r="F5" s="120">
        <v>-106.36</v>
      </c>
      <c r="G5" s="119"/>
      <c r="H5" s="118">
        <v>41297</v>
      </c>
      <c r="I5" s="120">
        <v>11334.121999999999</v>
      </c>
    </row>
    <row r="6" spans="1:11" x14ac:dyDescent="0.25">
      <c r="A6" s="117">
        <v>5</v>
      </c>
      <c r="B6" s="118">
        <v>41301</v>
      </c>
      <c r="C6" s="119" t="s">
        <v>109</v>
      </c>
      <c r="D6" s="119" t="s">
        <v>111</v>
      </c>
      <c r="E6" s="119" t="s">
        <v>31</v>
      </c>
      <c r="F6" s="120">
        <v>-120</v>
      </c>
      <c r="G6" s="119"/>
      <c r="H6" s="118">
        <v>41301</v>
      </c>
      <c r="I6" s="120">
        <v>11214.121999999999</v>
      </c>
    </row>
    <row r="7" spans="1:11" x14ac:dyDescent="0.25">
      <c r="A7" s="117">
        <v>6</v>
      </c>
      <c r="B7" s="118">
        <v>41301</v>
      </c>
      <c r="C7" s="119" t="s">
        <v>112</v>
      </c>
      <c r="D7" s="119" t="s">
        <v>31</v>
      </c>
      <c r="E7" s="119" t="s">
        <v>113</v>
      </c>
      <c r="F7" s="119"/>
      <c r="G7" s="120">
        <v>1981844.3840000001</v>
      </c>
      <c r="H7" s="118">
        <v>41301</v>
      </c>
      <c r="I7" s="120">
        <v>1993058.5060000001</v>
      </c>
    </row>
    <row r="8" spans="1:11" x14ac:dyDescent="0.25">
      <c r="A8" s="117">
        <v>7</v>
      </c>
      <c r="B8" s="118">
        <v>41302</v>
      </c>
      <c r="C8" s="119" t="s">
        <v>114</v>
      </c>
      <c r="D8" s="119" t="s">
        <v>115</v>
      </c>
      <c r="E8" s="119" t="s">
        <v>31</v>
      </c>
      <c r="F8" s="120">
        <v>-61.735999999999997</v>
      </c>
      <c r="G8" s="119"/>
      <c r="H8" s="118">
        <v>41302</v>
      </c>
      <c r="I8" s="120">
        <v>1992996.77</v>
      </c>
    </row>
    <row r="9" spans="1:11" x14ac:dyDescent="0.25">
      <c r="A9" s="117">
        <v>8</v>
      </c>
      <c r="B9" s="118">
        <v>41302</v>
      </c>
      <c r="C9" s="119" t="s">
        <v>114</v>
      </c>
      <c r="D9" s="119" t="s">
        <v>116</v>
      </c>
      <c r="E9" s="119" t="s">
        <v>117</v>
      </c>
      <c r="F9" s="120">
        <v>-67951</v>
      </c>
      <c r="G9" s="119"/>
      <c r="H9" s="118">
        <v>41302</v>
      </c>
      <c r="I9" s="120">
        <v>1925045.77</v>
      </c>
    </row>
    <row r="10" spans="1:11" x14ac:dyDescent="0.25">
      <c r="A10" s="117">
        <v>9</v>
      </c>
      <c r="B10" s="118">
        <v>41302</v>
      </c>
      <c r="C10" s="119" t="s">
        <v>104</v>
      </c>
      <c r="D10" s="119" t="s">
        <v>118</v>
      </c>
      <c r="E10" s="119" t="s">
        <v>31</v>
      </c>
      <c r="F10" s="120">
        <v>-873</v>
      </c>
      <c r="G10" s="119"/>
      <c r="H10" s="118">
        <v>41302</v>
      </c>
      <c r="I10" s="120">
        <v>1924172.77</v>
      </c>
      <c r="K10" t="s">
        <v>31</v>
      </c>
    </row>
    <row r="11" spans="1:11" x14ac:dyDescent="0.25">
      <c r="A11" s="117">
        <v>10</v>
      </c>
      <c r="B11" s="118">
        <v>41303</v>
      </c>
      <c r="C11" s="119" t="s">
        <v>119</v>
      </c>
      <c r="D11" s="119" t="s">
        <v>31</v>
      </c>
      <c r="E11" s="119" t="s">
        <v>120</v>
      </c>
      <c r="F11" s="120">
        <v>-140</v>
      </c>
      <c r="G11" s="119"/>
      <c r="H11" s="118">
        <v>41303</v>
      </c>
      <c r="I11" s="120">
        <v>1924032.77</v>
      </c>
    </row>
    <row r="12" spans="1:11" ht="15.75" thickBot="1" x14ac:dyDescent="0.3">
      <c r="A12" s="121">
        <v>11</v>
      </c>
      <c r="B12" s="122">
        <v>41303</v>
      </c>
      <c r="C12" s="123" t="s">
        <v>121</v>
      </c>
      <c r="D12" s="123" t="s">
        <v>31</v>
      </c>
      <c r="E12" s="123" t="s">
        <v>122</v>
      </c>
      <c r="F12" s="124">
        <v>-5</v>
      </c>
      <c r="G12" s="123"/>
      <c r="H12" s="122">
        <v>41303</v>
      </c>
      <c r="I12" s="124">
        <v>1924027.77</v>
      </c>
    </row>
    <row r="13" spans="1:11" x14ac:dyDescent="0.25">
      <c r="A13" s="125">
        <v>12</v>
      </c>
      <c r="B13" s="126">
        <v>41308</v>
      </c>
      <c r="C13" s="127" t="s">
        <v>104</v>
      </c>
      <c r="D13" s="127" t="s">
        <v>123</v>
      </c>
      <c r="E13" s="127" t="s">
        <v>31</v>
      </c>
      <c r="F13" s="128">
        <v>-360</v>
      </c>
      <c r="G13" s="127"/>
      <c r="H13" s="126">
        <v>41308</v>
      </c>
      <c r="I13" s="128">
        <v>1923667.77</v>
      </c>
    </row>
    <row r="14" spans="1:11" x14ac:dyDescent="0.25">
      <c r="A14" s="129">
        <v>13</v>
      </c>
      <c r="B14" s="130">
        <v>41308</v>
      </c>
      <c r="C14" s="131" t="s">
        <v>104</v>
      </c>
      <c r="D14" s="131" t="s">
        <v>124</v>
      </c>
      <c r="E14" s="131" t="s">
        <v>31</v>
      </c>
      <c r="F14" s="132">
        <v>-372</v>
      </c>
      <c r="G14" s="131"/>
      <c r="H14" s="130">
        <v>41308</v>
      </c>
      <c r="I14" s="132">
        <v>1923295.77</v>
      </c>
    </row>
    <row r="15" spans="1:11" x14ac:dyDescent="0.25">
      <c r="A15" s="129">
        <v>14</v>
      </c>
      <c r="B15" s="130">
        <v>41310</v>
      </c>
      <c r="C15" s="131" t="s">
        <v>125</v>
      </c>
      <c r="D15" s="131" t="s">
        <v>126</v>
      </c>
      <c r="E15" s="131" t="s">
        <v>31</v>
      </c>
      <c r="F15" s="132">
        <v>-1097.25</v>
      </c>
      <c r="G15" s="131"/>
      <c r="H15" s="130">
        <v>41310</v>
      </c>
      <c r="I15" s="132">
        <v>1922198.52</v>
      </c>
    </row>
    <row r="16" spans="1:11" x14ac:dyDescent="0.25">
      <c r="A16" s="129">
        <v>15</v>
      </c>
      <c r="B16" s="130">
        <v>41315</v>
      </c>
      <c r="C16" s="131" t="s">
        <v>127</v>
      </c>
      <c r="D16" s="131" t="s">
        <v>31</v>
      </c>
      <c r="E16" s="131" t="s">
        <v>128</v>
      </c>
      <c r="F16" s="132">
        <v>-1800000</v>
      </c>
      <c r="G16" s="131"/>
      <c r="H16" s="130">
        <v>41315</v>
      </c>
      <c r="I16" s="132">
        <v>122198.52</v>
      </c>
    </row>
    <row r="17" spans="1:9" x14ac:dyDescent="0.25">
      <c r="A17" s="129">
        <v>16</v>
      </c>
      <c r="B17" s="130">
        <v>41315</v>
      </c>
      <c r="C17" s="131" t="s">
        <v>106</v>
      </c>
      <c r="D17" s="131" t="s">
        <v>31</v>
      </c>
      <c r="E17" s="131" t="s">
        <v>129</v>
      </c>
      <c r="F17" s="132">
        <v>-4848</v>
      </c>
      <c r="G17" s="131"/>
      <c r="H17" s="130">
        <v>41315</v>
      </c>
      <c r="I17" s="132">
        <v>117350.52</v>
      </c>
    </row>
    <row r="18" spans="1:9" x14ac:dyDescent="0.25">
      <c r="A18" s="129">
        <v>17</v>
      </c>
      <c r="B18" s="130">
        <v>41315</v>
      </c>
      <c r="C18" s="131" t="s">
        <v>106</v>
      </c>
      <c r="D18" s="131" t="s">
        <v>31</v>
      </c>
      <c r="E18" s="131" t="s">
        <v>108</v>
      </c>
      <c r="F18" s="132">
        <v>-3</v>
      </c>
      <c r="G18" s="131"/>
      <c r="H18" s="130">
        <v>41315</v>
      </c>
      <c r="I18" s="132">
        <v>117347.52</v>
      </c>
    </row>
    <row r="19" spans="1:9" x14ac:dyDescent="0.25">
      <c r="A19" s="129">
        <v>18</v>
      </c>
      <c r="B19" s="130">
        <v>41315</v>
      </c>
      <c r="C19" s="131" t="s">
        <v>119</v>
      </c>
      <c r="D19" s="131" t="s">
        <v>31</v>
      </c>
      <c r="E19" s="131" t="s">
        <v>120</v>
      </c>
      <c r="F19" s="132">
        <v>-280</v>
      </c>
      <c r="G19" s="131"/>
      <c r="H19" s="130">
        <v>41315</v>
      </c>
      <c r="I19" s="132">
        <v>117067.52</v>
      </c>
    </row>
    <row r="20" spans="1:9" x14ac:dyDescent="0.25">
      <c r="A20" s="129">
        <v>19</v>
      </c>
      <c r="B20" s="130">
        <v>41315</v>
      </c>
      <c r="C20" s="131" t="s">
        <v>121</v>
      </c>
      <c r="D20" s="131" t="s">
        <v>31</v>
      </c>
      <c r="E20" s="131" t="s">
        <v>122</v>
      </c>
      <c r="F20" s="132">
        <v>-5</v>
      </c>
      <c r="G20" s="131"/>
      <c r="H20" s="130">
        <v>41315</v>
      </c>
      <c r="I20" s="132">
        <v>117062.52</v>
      </c>
    </row>
    <row r="21" spans="1:9" x14ac:dyDescent="0.25">
      <c r="A21" s="129">
        <v>20</v>
      </c>
      <c r="B21" s="130">
        <v>41318</v>
      </c>
      <c r="C21" s="131" t="s">
        <v>130</v>
      </c>
      <c r="D21" s="131" t="s">
        <v>131</v>
      </c>
      <c r="E21" s="131" t="s">
        <v>132</v>
      </c>
      <c r="F21" s="131"/>
      <c r="G21" s="132">
        <v>17.327999999999999</v>
      </c>
      <c r="H21" s="130">
        <v>41318</v>
      </c>
      <c r="I21" s="132">
        <v>117079.848</v>
      </c>
    </row>
    <row r="22" spans="1:9" x14ac:dyDescent="0.25">
      <c r="A22" s="129">
        <v>21</v>
      </c>
      <c r="B22" s="130">
        <v>41319</v>
      </c>
      <c r="C22" s="131" t="s">
        <v>133</v>
      </c>
      <c r="D22" s="131" t="s">
        <v>134</v>
      </c>
      <c r="E22" s="131" t="s">
        <v>135</v>
      </c>
      <c r="F22" s="132">
        <v>-5</v>
      </c>
      <c r="G22" s="131"/>
      <c r="H22" s="130">
        <v>41319</v>
      </c>
      <c r="I22" s="132">
        <v>117074.848</v>
      </c>
    </row>
    <row r="23" spans="1:9" x14ac:dyDescent="0.25">
      <c r="A23" s="129">
        <v>22</v>
      </c>
      <c r="B23" s="130">
        <v>41323</v>
      </c>
      <c r="C23" s="131" t="s">
        <v>112</v>
      </c>
      <c r="D23" s="131" t="s">
        <v>31</v>
      </c>
      <c r="E23" s="131" t="s">
        <v>136</v>
      </c>
      <c r="F23" s="131"/>
      <c r="G23" s="132">
        <v>5298727</v>
      </c>
      <c r="H23" s="130">
        <v>41323</v>
      </c>
      <c r="I23" s="132">
        <v>5415801.8480000002</v>
      </c>
    </row>
    <row r="24" spans="1:9" x14ac:dyDescent="0.25">
      <c r="A24" s="129">
        <v>23</v>
      </c>
      <c r="B24" s="130">
        <v>41324</v>
      </c>
      <c r="C24" s="131" t="s">
        <v>109</v>
      </c>
      <c r="D24" s="131" t="s">
        <v>137</v>
      </c>
      <c r="E24" s="131" t="s">
        <v>31</v>
      </c>
      <c r="F24" s="132">
        <v>-119</v>
      </c>
      <c r="G24" s="131"/>
      <c r="H24" s="130">
        <v>41324</v>
      </c>
      <c r="I24" s="132">
        <v>5415682.8480000002</v>
      </c>
    </row>
    <row r="25" spans="1:9" x14ac:dyDescent="0.25">
      <c r="A25" s="129">
        <v>24</v>
      </c>
      <c r="B25" s="130">
        <v>41324</v>
      </c>
      <c r="C25" s="131" t="s">
        <v>127</v>
      </c>
      <c r="D25" s="131" t="s">
        <v>31</v>
      </c>
      <c r="E25" s="131" t="s">
        <v>138</v>
      </c>
      <c r="F25" s="132">
        <v>-5298727</v>
      </c>
      <c r="G25" s="131"/>
      <c r="H25" s="130">
        <v>41324</v>
      </c>
      <c r="I25" s="132">
        <v>116955.848</v>
      </c>
    </row>
    <row r="26" spans="1:9" x14ac:dyDescent="0.25">
      <c r="A26" s="129">
        <v>25</v>
      </c>
      <c r="B26" s="130">
        <v>41324</v>
      </c>
      <c r="C26" s="131" t="s">
        <v>114</v>
      </c>
      <c r="D26" s="131" t="s">
        <v>139</v>
      </c>
      <c r="E26" s="131" t="s">
        <v>140</v>
      </c>
      <c r="F26" s="132">
        <v>-313.48</v>
      </c>
      <c r="G26" s="131"/>
      <c r="H26" s="130">
        <v>41324</v>
      </c>
      <c r="I26" s="132">
        <v>116642.368</v>
      </c>
    </row>
    <row r="27" spans="1:9" x14ac:dyDescent="0.25">
      <c r="A27" s="129">
        <v>26</v>
      </c>
      <c r="B27" s="130">
        <v>41327</v>
      </c>
      <c r="C27" s="131" t="s">
        <v>119</v>
      </c>
      <c r="D27" s="131" t="s">
        <v>141</v>
      </c>
      <c r="E27" s="131" t="s">
        <v>141</v>
      </c>
      <c r="F27" s="132">
        <v>-140</v>
      </c>
      <c r="G27" s="131"/>
      <c r="H27" s="130">
        <v>41327</v>
      </c>
      <c r="I27" s="132">
        <v>116502.368</v>
      </c>
    </row>
    <row r="28" spans="1:9" x14ac:dyDescent="0.25">
      <c r="A28" s="129">
        <v>27</v>
      </c>
      <c r="B28" s="130">
        <v>41327</v>
      </c>
      <c r="C28" s="131" t="s">
        <v>106</v>
      </c>
      <c r="D28" s="131" t="s">
        <v>31</v>
      </c>
      <c r="E28" s="131" t="s">
        <v>142</v>
      </c>
      <c r="F28" s="132">
        <v>-1757.4059999999999</v>
      </c>
      <c r="G28" s="131"/>
      <c r="H28" s="130">
        <v>41327</v>
      </c>
      <c r="I28" s="132">
        <v>114744.962</v>
      </c>
    </row>
    <row r="29" spans="1:9" x14ac:dyDescent="0.25">
      <c r="A29" s="129">
        <v>28</v>
      </c>
      <c r="B29" s="130">
        <v>41327</v>
      </c>
      <c r="C29" s="131" t="s">
        <v>106</v>
      </c>
      <c r="D29" s="131" t="s">
        <v>31</v>
      </c>
      <c r="E29" s="131" t="s">
        <v>143</v>
      </c>
      <c r="F29" s="132">
        <v>-3</v>
      </c>
      <c r="G29" s="131"/>
      <c r="H29" s="130">
        <v>41327</v>
      </c>
      <c r="I29" s="132">
        <v>114741.962</v>
      </c>
    </row>
    <row r="30" spans="1:9" ht="15.75" thickBot="1" x14ac:dyDescent="0.3">
      <c r="A30" s="133">
        <v>29</v>
      </c>
      <c r="B30" s="134">
        <v>41332</v>
      </c>
      <c r="C30" s="135" t="s">
        <v>104</v>
      </c>
      <c r="D30" s="135" t="s">
        <v>144</v>
      </c>
      <c r="E30" s="135" t="s">
        <v>31</v>
      </c>
      <c r="F30" s="136">
        <v>-170</v>
      </c>
      <c r="G30" s="135"/>
      <c r="H30" s="134">
        <v>41332</v>
      </c>
      <c r="I30" s="136">
        <v>114571.962</v>
      </c>
    </row>
    <row r="31" spans="1:9" x14ac:dyDescent="0.25">
      <c r="A31" s="137">
        <v>30</v>
      </c>
      <c r="B31" s="138">
        <v>41336</v>
      </c>
      <c r="C31" s="139" t="s">
        <v>125</v>
      </c>
      <c r="D31" s="139" t="s">
        <v>145</v>
      </c>
      <c r="E31" s="139" t="s">
        <v>31</v>
      </c>
      <c r="F31" s="140">
        <v>-127.52200000000001</v>
      </c>
      <c r="G31" s="139"/>
      <c r="H31" s="138">
        <v>41336</v>
      </c>
      <c r="I31" s="140">
        <v>114444.44</v>
      </c>
    </row>
    <row r="32" spans="1:9" x14ac:dyDescent="0.25">
      <c r="A32" s="117">
        <v>31</v>
      </c>
      <c r="B32" s="118">
        <v>41337</v>
      </c>
      <c r="C32" s="119" t="s">
        <v>119</v>
      </c>
      <c r="D32" s="119" t="s">
        <v>146</v>
      </c>
      <c r="E32" s="119" t="s">
        <v>146</v>
      </c>
      <c r="F32" s="120">
        <v>-120</v>
      </c>
      <c r="G32" s="119"/>
      <c r="H32" s="118">
        <v>41337</v>
      </c>
      <c r="I32" s="120">
        <v>114324.44</v>
      </c>
    </row>
    <row r="33" spans="1:9" x14ac:dyDescent="0.25">
      <c r="A33" s="117">
        <v>32</v>
      </c>
      <c r="B33" s="118">
        <v>41343</v>
      </c>
      <c r="C33" s="119" t="s">
        <v>147</v>
      </c>
      <c r="D33" s="119" t="s">
        <v>148</v>
      </c>
      <c r="E33" s="119" t="s">
        <v>149</v>
      </c>
      <c r="F33" s="120">
        <v>-231.77600000000001</v>
      </c>
      <c r="G33" s="119"/>
      <c r="H33" s="118">
        <v>41343</v>
      </c>
      <c r="I33" s="120">
        <v>114092.664</v>
      </c>
    </row>
    <row r="34" spans="1:9" x14ac:dyDescent="0.25">
      <c r="A34" s="117">
        <v>33</v>
      </c>
      <c r="B34" s="118">
        <v>41344</v>
      </c>
      <c r="C34" s="119" t="s">
        <v>104</v>
      </c>
      <c r="D34" s="119" t="s">
        <v>150</v>
      </c>
      <c r="E34" s="119" t="s">
        <v>31</v>
      </c>
      <c r="F34" s="120">
        <v>-900</v>
      </c>
      <c r="G34" s="119"/>
      <c r="H34" s="118">
        <v>41344</v>
      </c>
      <c r="I34" s="120">
        <v>113192.664</v>
      </c>
    </row>
    <row r="35" spans="1:9" x14ac:dyDescent="0.25">
      <c r="A35" s="117">
        <v>34</v>
      </c>
      <c r="B35" s="118">
        <v>41345</v>
      </c>
      <c r="C35" s="119" t="s">
        <v>104</v>
      </c>
      <c r="D35" s="119" t="s">
        <v>151</v>
      </c>
      <c r="E35" s="119" t="s">
        <v>31</v>
      </c>
      <c r="F35" s="120">
        <v>-612</v>
      </c>
      <c r="G35" s="119"/>
      <c r="H35" s="118">
        <v>41345</v>
      </c>
      <c r="I35" s="120">
        <v>112580.664</v>
      </c>
    </row>
    <row r="36" spans="1:9" x14ac:dyDescent="0.25">
      <c r="A36" s="117">
        <v>35</v>
      </c>
      <c r="B36" s="118">
        <v>41346</v>
      </c>
      <c r="C36" s="119" t="s">
        <v>125</v>
      </c>
      <c r="D36" s="119" t="s">
        <v>152</v>
      </c>
      <c r="E36" s="119" t="s">
        <v>31</v>
      </c>
      <c r="F36" s="120">
        <v>-79.5</v>
      </c>
      <c r="G36" s="119"/>
      <c r="H36" s="118">
        <v>41346</v>
      </c>
      <c r="I36" s="120">
        <v>112501.164</v>
      </c>
    </row>
    <row r="37" spans="1:9" x14ac:dyDescent="0.25">
      <c r="A37" s="117">
        <v>36</v>
      </c>
      <c r="B37" s="118">
        <v>41351</v>
      </c>
      <c r="C37" s="119" t="s">
        <v>109</v>
      </c>
      <c r="D37" s="119" t="s">
        <v>153</v>
      </c>
      <c r="E37" s="119" t="s">
        <v>31</v>
      </c>
      <c r="F37" s="120">
        <v>-240</v>
      </c>
      <c r="G37" s="119"/>
      <c r="H37" s="118">
        <v>41351</v>
      </c>
      <c r="I37" s="120">
        <v>112261.164</v>
      </c>
    </row>
    <row r="38" spans="1:9" x14ac:dyDescent="0.25">
      <c r="A38" s="117">
        <v>37</v>
      </c>
      <c r="B38" s="118">
        <v>41352</v>
      </c>
      <c r="C38" s="119" t="s">
        <v>114</v>
      </c>
      <c r="D38" s="119" t="s">
        <v>154</v>
      </c>
      <c r="E38" s="119" t="s">
        <v>31</v>
      </c>
      <c r="F38" s="120">
        <v>-450</v>
      </c>
      <c r="G38" s="119"/>
      <c r="H38" s="118">
        <v>41352</v>
      </c>
      <c r="I38" s="120">
        <v>111811.164</v>
      </c>
    </row>
    <row r="39" spans="1:9" x14ac:dyDescent="0.25">
      <c r="A39" s="117">
        <v>38</v>
      </c>
      <c r="B39" s="118">
        <v>41354</v>
      </c>
      <c r="C39" s="119" t="s">
        <v>112</v>
      </c>
      <c r="D39" s="119" t="s">
        <v>31</v>
      </c>
      <c r="E39" s="119" t="s">
        <v>113</v>
      </c>
      <c r="F39" s="119"/>
      <c r="G39" s="120">
        <v>5303517.63</v>
      </c>
      <c r="H39" s="118">
        <v>41354</v>
      </c>
      <c r="I39" s="120">
        <v>5415328.7939999998</v>
      </c>
    </row>
    <row r="40" spans="1:9" x14ac:dyDescent="0.25">
      <c r="A40" s="117">
        <v>39</v>
      </c>
      <c r="B40" s="118">
        <v>41354</v>
      </c>
      <c r="C40" s="119" t="s">
        <v>106</v>
      </c>
      <c r="D40" s="119" t="s">
        <v>31</v>
      </c>
      <c r="E40" s="119" t="s">
        <v>155</v>
      </c>
      <c r="F40" s="120">
        <v>-1849</v>
      </c>
      <c r="G40" s="119"/>
      <c r="H40" s="118">
        <v>41354</v>
      </c>
      <c r="I40" s="120">
        <v>5413479.7939999998</v>
      </c>
    </row>
    <row r="41" spans="1:9" x14ac:dyDescent="0.25">
      <c r="A41" s="117">
        <v>40</v>
      </c>
      <c r="B41" s="118">
        <v>41354</v>
      </c>
      <c r="C41" s="119" t="s">
        <v>106</v>
      </c>
      <c r="D41" s="119" t="s">
        <v>31</v>
      </c>
      <c r="E41" s="119" t="s">
        <v>31</v>
      </c>
      <c r="F41" s="120">
        <v>-3</v>
      </c>
      <c r="G41" s="119"/>
      <c r="H41" s="118">
        <v>41354</v>
      </c>
      <c r="I41" s="120">
        <v>5413476.7939999998</v>
      </c>
    </row>
    <row r="42" spans="1:9" x14ac:dyDescent="0.25">
      <c r="A42" s="117">
        <v>41</v>
      </c>
      <c r="B42" s="118">
        <v>41354</v>
      </c>
      <c r="C42" s="119" t="s">
        <v>119</v>
      </c>
      <c r="D42" s="119" t="s">
        <v>156</v>
      </c>
      <c r="E42" s="119" t="s">
        <v>156</v>
      </c>
      <c r="F42" s="120">
        <v>-260</v>
      </c>
      <c r="G42" s="119"/>
      <c r="H42" s="118">
        <v>41354</v>
      </c>
      <c r="I42" s="120">
        <v>5413216.7939999998</v>
      </c>
    </row>
    <row r="43" spans="1:9" x14ac:dyDescent="0.25">
      <c r="A43" s="117">
        <v>42</v>
      </c>
      <c r="B43" s="118">
        <v>41354</v>
      </c>
      <c r="C43" s="119" t="s">
        <v>121</v>
      </c>
      <c r="D43" s="119" t="s">
        <v>156</v>
      </c>
      <c r="E43" s="119" t="s">
        <v>156</v>
      </c>
      <c r="F43" s="120">
        <v>-5</v>
      </c>
      <c r="G43" s="119"/>
      <c r="H43" s="118">
        <v>41354</v>
      </c>
      <c r="I43" s="120">
        <v>5413211.7939999998</v>
      </c>
    </row>
    <row r="44" spans="1:9" x14ac:dyDescent="0.25">
      <c r="A44" s="117">
        <v>43</v>
      </c>
      <c r="B44" s="118">
        <v>41354</v>
      </c>
      <c r="C44" s="119" t="s">
        <v>114</v>
      </c>
      <c r="D44" s="119" t="s">
        <v>157</v>
      </c>
      <c r="E44" s="119" t="s">
        <v>158</v>
      </c>
      <c r="F44" s="120">
        <v>-4500</v>
      </c>
      <c r="G44" s="119"/>
      <c r="H44" s="118">
        <v>41354</v>
      </c>
      <c r="I44" s="120">
        <v>5408711.7939999998</v>
      </c>
    </row>
    <row r="45" spans="1:9" x14ac:dyDescent="0.25">
      <c r="A45" s="117">
        <v>44</v>
      </c>
      <c r="B45" s="118">
        <v>41358</v>
      </c>
      <c r="C45" s="119" t="s">
        <v>125</v>
      </c>
      <c r="D45" s="119" t="s">
        <v>159</v>
      </c>
      <c r="E45" s="119" t="s">
        <v>31</v>
      </c>
      <c r="F45" s="120">
        <v>-276.29199999999997</v>
      </c>
      <c r="G45" s="119"/>
      <c r="H45" s="118">
        <v>41358</v>
      </c>
      <c r="I45" s="120">
        <v>5408435.5020000003</v>
      </c>
    </row>
    <row r="46" spans="1:9" x14ac:dyDescent="0.25">
      <c r="A46" s="117">
        <v>45</v>
      </c>
      <c r="B46" s="118">
        <v>41358</v>
      </c>
      <c r="C46" s="119" t="s">
        <v>109</v>
      </c>
      <c r="D46" s="119" t="s">
        <v>160</v>
      </c>
      <c r="E46" s="119" t="s">
        <v>31</v>
      </c>
      <c r="F46" s="120">
        <v>-30</v>
      </c>
      <c r="G46" s="119"/>
      <c r="H46" s="118">
        <v>41358</v>
      </c>
      <c r="I46" s="120">
        <v>5408405.5020000003</v>
      </c>
    </row>
    <row r="47" spans="1:9" x14ac:dyDescent="0.25">
      <c r="A47" s="117">
        <v>46</v>
      </c>
      <c r="B47" s="118">
        <v>41358</v>
      </c>
      <c r="C47" s="119" t="s">
        <v>127</v>
      </c>
      <c r="D47" s="119" t="s">
        <v>31</v>
      </c>
      <c r="E47" s="119" t="s">
        <v>161</v>
      </c>
      <c r="F47" s="120">
        <v>-5300000</v>
      </c>
      <c r="G47" s="119"/>
      <c r="H47" s="118">
        <v>41358</v>
      </c>
      <c r="I47" s="120">
        <v>108405.50199999999</v>
      </c>
    </row>
    <row r="48" spans="1:9" x14ac:dyDescent="0.25">
      <c r="A48" s="117">
        <v>47</v>
      </c>
      <c r="B48" s="118">
        <v>41361</v>
      </c>
      <c r="C48" s="119" t="s">
        <v>104</v>
      </c>
      <c r="D48" s="119" t="s">
        <v>162</v>
      </c>
      <c r="E48" s="119" t="s">
        <v>31</v>
      </c>
      <c r="F48" s="120">
        <v>-50000</v>
      </c>
      <c r="G48" s="119"/>
      <c r="H48" s="118">
        <v>41361</v>
      </c>
      <c r="I48" s="120">
        <v>58405.502</v>
      </c>
    </row>
    <row r="49" spans="1:9" x14ac:dyDescent="0.25">
      <c r="A49" s="117">
        <v>48</v>
      </c>
      <c r="B49" s="118">
        <v>41361</v>
      </c>
      <c r="C49" s="119" t="s">
        <v>114</v>
      </c>
      <c r="D49" s="119" t="s">
        <v>163</v>
      </c>
      <c r="E49" s="119" t="s">
        <v>164</v>
      </c>
      <c r="F49" s="120">
        <v>-325</v>
      </c>
      <c r="G49" s="119"/>
      <c r="H49" s="118">
        <v>41361</v>
      </c>
      <c r="I49" s="120">
        <v>58080.502</v>
      </c>
    </row>
    <row r="50" spans="1:9" x14ac:dyDescent="0.25">
      <c r="A50" s="117">
        <v>49</v>
      </c>
      <c r="B50" s="118">
        <v>41361</v>
      </c>
      <c r="C50" s="119" t="s">
        <v>125</v>
      </c>
      <c r="D50" s="119" t="s">
        <v>165</v>
      </c>
      <c r="E50" s="119" t="s">
        <v>31</v>
      </c>
      <c r="F50" s="120">
        <v>-1097.25</v>
      </c>
      <c r="G50" s="119"/>
      <c r="H50" s="118">
        <v>41361</v>
      </c>
      <c r="I50" s="120">
        <v>56983.252</v>
      </c>
    </row>
    <row r="51" spans="1:9" x14ac:dyDescent="0.25">
      <c r="A51" s="117">
        <v>50</v>
      </c>
      <c r="B51" s="118">
        <v>41361</v>
      </c>
      <c r="C51" s="119" t="s">
        <v>125</v>
      </c>
      <c r="D51" s="119" t="s">
        <v>166</v>
      </c>
      <c r="E51" s="119" t="s">
        <v>31</v>
      </c>
      <c r="F51" s="120">
        <v>-1097.25</v>
      </c>
      <c r="G51" s="119"/>
      <c r="H51" s="118">
        <v>41361</v>
      </c>
      <c r="I51" s="120">
        <v>55886.002</v>
      </c>
    </row>
    <row r="52" spans="1:9" ht="15.75" thickBot="1" x14ac:dyDescent="0.3">
      <c r="A52" s="121">
        <v>51</v>
      </c>
      <c r="B52" s="122">
        <v>41364</v>
      </c>
      <c r="C52" s="123" t="s">
        <v>112</v>
      </c>
      <c r="D52" s="123" t="s">
        <v>31</v>
      </c>
      <c r="E52" s="123" t="s">
        <v>167</v>
      </c>
      <c r="F52" s="123"/>
      <c r="G52" s="124">
        <v>1800000</v>
      </c>
      <c r="H52" s="122">
        <v>41364</v>
      </c>
      <c r="I52" s="124">
        <v>1855886.0020000001</v>
      </c>
    </row>
    <row r="53" spans="1:9" x14ac:dyDescent="0.25">
      <c r="A53" s="125">
        <v>52</v>
      </c>
      <c r="B53" s="126">
        <v>41365</v>
      </c>
      <c r="C53" s="127" t="s">
        <v>104</v>
      </c>
      <c r="D53" s="127" t="s">
        <v>168</v>
      </c>
      <c r="E53" s="127" t="s">
        <v>31</v>
      </c>
      <c r="F53" s="128">
        <v>-245</v>
      </c>
      <c r="G53" s="127"/>
      <c r="H53" s="126">
        <v>41365</v>
      </c>
      <c r="I53" s="128">
        <v>1855641.0020000001</v>
      </c>
    </row>
    <row r="54" spans="1:9" x14ac:dyDescent="0.25">
      <c r="A54" s="129">
        <v>53</v>
      </c>
      <c r="B54" s="130">
        <v>41365</v>
      </c>
      <c r="C54" s="131" t="s">
        <v>114</v>
      </c>
      <c r="D54" s="131" t="s">
        <v>169</v>
      </c>
      <c r="E54" s="131" t="s">
        <v>170</v>
      </c>
      <c r="F54" s="132">
        <v>-2250</v>
      </c>
      <c r="G54" s="131"/>
      <c r="H54" s="130">
        <v>41365</v>
      </c>
      <c r="I54" s="132">
        <v>1853391.0020000001</v>
      </c>
    </row>
    <row r="55" spans="1:9" x14ac:dyDescent="0.25">
      <c r="A55" s="129">
        <v>54</v>
      </c>
      <c r="B55" s="130">
        <v>41367</v>
      </c>
      <c r="C55" s="131" t="s">
        <v>114</v>
      </c>
      <c r="D55" s="131" t="s">
        <v>171</v>
      </c>
      <c r="E55" s="131" t="s">
        <v>172</v>
      </c>
      <c r="F55" s="132">
        <v>-8000</v>
      </c>
      <c r="G55" s="131"/>
      <c r="H55" s="130">
        <v>41367</v>
      </c>
      <c r="I55" s="132">
        <v>1845391.0020000001</v>
      </c>
    </row>
    <row r="56" spans="1:9" x14ac:dyDescent="0.25">
      <c r="A56" s="129">
        <v>55</v>
      </c>
      <c r="B56" s="130">
        <v>41367</v>
      </c>
      <c r="C56" s="131" t="s">
        <v>114</v>
      </c>
      <c r="D56" s="131" t="s">
        <v>173</v>
      </c>
      <c r="E56" s="131" t="s">
        <v>174</v>
      </c>
      <c r="F56" s="132">
        <v>-2000</v>
      </c>
      <c r="G56" s="131"/>
      <c r="H56" s="130">
        <v>41367</v>
      </c>
      <c r="I56" s="132">
        <v>1843391.0020000001</v>
      </c>
    </row>
    <row r="57" spans="1:9" x14ac:dyDescent="0.25">
      <c r="A57" s="129">
        <v>56</v>
      </c>
      <c r="B57" s="130">
        <v>41367</v>
      </c>
      <c r="C57" s="131" t="s">
        <v>114</v>
      </c>
      <c r="D57" s="131" t="s">
        <v>175</v>
      </c>
      <c r="E57" s="131" t="s">
        <v>176</v>
      </c>
      <c r="F57" s="132">
        <v>-2000</v>
      </c>
      <c r="G57" s="131"/>
      <c r="H57" s="130">
        <v>41367</v>
      </c>
      <c r="I57" s="132">
        <v>1841391.0020000001</v>
      </c>
    </row>
    <row r="58" spans="1:9" x14ac:dyDescent="0.25">
      <c r="A58" s="129">
        <v>57</v>
      </c>
      <c r="B58" s="130">
        <v>41367</v>
      </c>
      <c r="C58" s="131" t="s">
        <v>127</v>
      </c>
      <c r="D58" s="131" t="s">
        <v>31</v>
      </c>
      <c r="E58" s="131" t="s">
        <v>177</v>
      </c>
      <c r="F58" s="132">
        <v>-1800000</v>
      </c>
      <c r="G58" s="131"/>
      <c r="H58" s="130">
        <v>41367</v>
      </c>
      <c r="I58" s="132">
        <v>41391.002</v>
      </c>
    </row>
    <row r="59" spans="1:9" x14ac:dyDescent="0.25">
      <c r="A59" s="129">
        <v>58</v>
      </c>
      <c r="B59" s="130">
        <v>41367</v>
      </c>
      <c r="C59" s="131" t="s">
        <v>178</v>
      </c>
      <c r="D59" s="131" t="s">
        <v>179</v>
      </c>
      <c r="E59" s="131" t="s">
        <v>31</v>
      </c>
      <c r="F59" s="132">
        <v>-3</v>
      </c>
      <c r="G59" s="131"/>
      <c r="H59" s="130">
        <v>41367</v>
      </c>
      <c r="I59" s="132">
        <v>41388.002</v>
      </c>
    </row>
    <row r="60" spans="1:9" x14ac:dyDescent="0.25">
      <c r="A60" s="129">
        <v>59</v>
      </c>
      <c r="B60" s="130">
        <v>41373</v>
      </c>
      <c r="C60" s="131" t="s">
        <v>130</v>
      </c>
      <c r="D60" s="131" t="s">
        <v>180</v>
      </c>
      <c r="E60" s="131" t="s">
        <v>181</v>
      </c>
      <c r="F60" s="131"/>
      <c r="G60" s="132">
        <v>200000</v>
      </c>
      <c r="H60" s="130">
        <v>41373</v>
      </c>
      <c r="I60" s="132">
        <v>241388.00200000001</v>
      </c>
    </row>
    <row r="61" spans="1:9" x14ac:dyDescent="0.25">
      <c r="A61" s="129">
        <v>60</v>
      </c>
      <c r="B61" s="130">
        <v>41373</v>
      </c>
      <c r="C61" s="131" t="s">
        <v>127</v>
      </c>
      <c r="D61" s="131" t="s">
        <v>31</v>
      </c>
      <c r="E61" s="131" t="s">
        <v>31</v>
      </c>
      <c r="F61" s="132">
        <v>-200000</v>
      </c>
      <c r="G61" s="131"/>
      <c r="H61" s="130">
        <v>41373</v>
      </c>
      <c r="I61" s="132">
        <v>41388.002</v>
      </c>
    </row>
    <row r="62" spans="1:9" x14ac:dyDescent="0.25">
      <c r="A62" s="129">
        <v>61</v>
      </c>
      <c r="B62" s="130">
        <v>41378</v>
      </c>
      <c r="C62" s="131" t="s">
        <v>125</v>
      </c>
      <c r="D62" s="131" t="s">
        <v>182</v>
      </c>
      <c r="E62" s="131" t="s">
        <v>31</v>
      </c>
      <c r="F62" s="132">
        <v>-140.19900000000001</v>
      </c>
      <c r="G62" s="131"/>
      <c r="H62" s="130">
        <v>41378</v>
      </c>
      <c r="I62" s="132">
        <v>41247.803</v>
      </c>
    </row>
    <row r="63" spans="1:9" x14ac:dyDescent="0.25">
      <c r="A63" s="129">
        <v>62</v>
      </c>
      <c r="B63" s="130">
        <v>41379</v>
      </c>
      <c r="C63" s="131" t="s">
        <v>104</v>
      </c>
      <c r="D63" s="131" t="s">
        <v>183</v>
      </c>
      <c r="E63" s="131" t="s">
        <v>31</v>
      </c>
      <c r="F63" s="132">
        <v>-150</v>
      </c>
      <c r="G63" s="131"/>
      <c r="H63" s="130">
        <v>41379</v>
      </c>
      <c r="I63" s="132">
        <v>41097.803</v>
      </c>
    </row>
    <row r="64" spans="1:9" x14ac:dyDescent="0.25">
      <c r="A64" s="129">
        <v>63</v>
      </c>
      <c r="B64" s="130">
        <v>41379</v>
      </c>
      <c r="C64" s="131" t="s">
        <v>109</v>
      </c>
      <c r="D64" s="131" t="s">
        <v>184</v>
      </c>
      <c r="E64" s="131" t="s">
        <v>31</v>
      </c>
      <c r="F64" s="132">
        <v>-179.4</v>
      </c>
      <c r="G64" s="131"/>
      <c r="H64" s="130">
        <v>41379</v>
      </c>
      <c r="I64" s="132">
        <v>40918.402999999998</v>
      </c>
    </row>
    <row r="65" spans="1:9" x14ac:dyDescent="0.25">
      <c r="A65" s="129">
        <v>64</v>
      </c>
      <c r="B65" s="130">
        <v>41380</v>
      </c>
      <c r="C65" s="131" t="s">
        <v>104</v>
      </c>
      <c r="D65" s="131" t="s">
        <v>185</v>
      </c>
      <c r="E65" s="131" t="s">
        <v>31</v>
      </c>
      <c r="F65" s="132">
        <v>-500</v>
      </c>
      <c r="G65" s="131"/>
      <c r="H65" s="130">
        <v>41380</v>
      </c>
      <c r="I65" s="132">
        <v>40418.402999999998</v>
      </c>
    </row>
    <row r="66" spans="1:9" x14ac:dyDescent="0.25">
      <c r="A66" s="129">
        <v>65</v>
      </c>
      <c r="B66" s="130">
        <v>41380</v>
      </c>
      <c r="C66" s="131" t="s">
        <v>114</v>
      </c>
      <c r="D66" s="131" t="s">
        <v>186</v>
      </c>
      <c r="E66" s="131" t="s">
        <v>187</v>
      </c>
      <c r="F66" s="132">
        <v>-70</v>
      </c>
      <c r="G66" s="131"/>
      <c r="H66" s="130">
        <v>41380</v>
      </c>
      <c r="I66" s="132">
        <v>40348.402999999998</v>
      </c>
    </row>
    <row r="67" spans="1:9" x14ac:dyDescent="0.25">
      <c r="A67" s="129">
        <v>66</v>
      </c>
      <c r="B67" s="130">
        <v>41380</v>
      </c>
      <c r="C67" s="131" t="s">
        <v>188</v>
      </c>
      <c r="D67" s="131" t="s">
        <v>189</v>
      </c>
      <c r="E67" s="131" t="s">
        <v>31</v>
      </c>
      <c r="F67" s="132">
        <v>-94.734999999999999</v>
      </c>
      <c r="G67" s="131"/>
      <c r="H67" s="130">
        <v>41380</v>
      </c>
      <c r="I67" s="132">
        <v>40253.667999999998</v>
      </c>
    </row>
    <row r="68" spans="1:9" x14ac:dyDescent="0.25">
      <c r="A68" s="129">
        <v>67</v>
      </c>
      <c r="B68" s="130">
        <v>41380</v>
      </c>
      <c r="C68" s="131" t="s">
        <v>188</v>
      </c>
      <c r="D68" s="131" t="s">
        <v>190</v>
      </c>
      <c r="E68" s="131" t="s">
        <v>31</v>
      </c>
      <c r="F68" s="132">
        <v>-75</v>
      </c>
      <c r="G68" s="131"/>
      <c r="H68" s="130">
        <v>41380</v>
      </c>
      <c r="I68" s="132">
        <v>40178.667999999998</v>
      </c>
    </row>
    <row r="69" spans="1:9" x14ac:dyDescent="0.25">
      <c r="A69" s="129">
        <v>68</v>
      </c>
      <c r="B69" s="130">
        <v>41382</v>
      </c>
      <c r="C69" s="131" t="s">
        <v>109</v>
      </c>
      <c r="D69" s="131" t="s">
        <v>191</v>
      </c>
      <c r="E69" s="131" t="s">
        <v>31</v>
      </c>
      <c r="F69" s="132">
        <v>-100</v>
      </c>
      <c r="G69" s="131"/>
      <c r="H69" s="130">
        <v>41382</v>
      </c>
      <c r="I69" s="132">
        <v>40078.667999999998</v>
      </c>
    </row>
    <row r="70" spans="1:9" x14ac:dyDescent="0.25">
      <c r="A70" s="129">
        <v>69</v>
      </c>
      <c r="B70" s="130">
        <v>41382</v>
      </c>
      <c r="C70" s="131" t="s">
        <v>114</v>
      </c>
      <c r="D70" s="131" t="s">
        <v>192</v>
      </c>
      <c r="E70" s="131" t="s">
        <v>193</v>
      </c>
      <c r="F70" s="132">
        <v>-422.7</v>
      </c>
      <c r="G70" s="131"/>
      <c r="H70" s="130">
        <v>41382</v>
      </c>
      <c r="I70" s="132">
        <v>39655.968000000001</v>
      </c>
    </row>
    <row r="71" spans="1:9" x14ac:dyDescent="0.25">
      <c r="A71" s="129">
        <v>70</v>
      </c>
      <c r="B71" s="130">
        <v>41385</v>
      </c>
      <c r="C71" s="131" t="s">
        <v>109</v>
      </c>
      <c r="D71" s="131" t="s">
        <v>194</v>
      </c>
      <c r="E71" s="131" t="s">
        <v>195</v>
      </c>
      <c r="F71" s="132">
        <v>-100</v>
      </c>
      <c r="G71" s="131"/>
      <c r="H71" s="130">
        <v>41385</v>
      </c>
      <c r="I71" s="132">
        <v>39555.968000000001</v>
      </c>
    </row>
    <row r="72" spans="1:9" x14ac:dyDescent="0.25">
      <c r="A72" s="129">
        <v>71</v>
      </c>
      <c r="B72" s="130">
        <v>41387</v>
      </c>
      <c r="C72" s="131" t="s">
        <v>106</v>
      </c>
      <c r="D72" s="131" t="s">
        <v>31</v>
      </c>
      <c r="E72" s="131" t="s">
        <v>196</v>
      </c>
      <c r="F72" s="132">
        <v>-1849</v>
      </c>
      <c r="G72" s="131"/>
      <c r="H72" s="130">
        <v>41387</v>
      </c>
      <c r="I72" s="132">
        <v>37706.968000000001</v>
      </c>
    </row>
    <row r="73" spans="1:9" x14ac:dyDescent="0.25">
      <c r="A73" s="129">
        <v>72</v>
      </c>
      <c r="B73" s="130">
        <v>41387</v>
      </c>
      <c r="C73" s="131" t="s">
        <v>106</v>
      </c>
      <c r="D73" s="131" t="s">
        <v>31</v>
      </c>
      <c r="E73" s="131" t="s">
        <v>108</v>
      </c>
      <c r="F73" s="132">
        <v>-3</v>
      </c>
      <c r="G73" s="131"/>
      <c r="H73" s="130">
        <v>41387</v>
      </c>
      <c r="I73" s="132">
        <v>37703.968000000001</v>
      </c>
    </row>
    <row r="74" spans="1:9" x14ac:dyDescent="0.25">
      <c r="A74" s="129">
        <v>73</v>
      </c>
      <c r="B74" s="130">
        <v>41387</v>
      </c>
      <c r="C74" s="131" t="s">
        <v>119</v>
      </c>
      <c r="D74" s="131" t="s">
        <v>197</v>
      </c>
      <c r="E74" s="131" t="s">
        <v>197</v>
      </c>
      <c r="F74" s="132">
        <v>-260</v>
      </c>
      <c r="G74" s="131"/>
      <c r="H74" s="130">
        <v>41387</v>
      </c>
      <c r="I74" s="132">
        <v>37443.968000000001</v>
      </c>
    </row>
    <row r="75" spans="1:9" x14ac:dyDescent="0.25">
      <c r="A75" s="129">
        <v>74</v>
      </c>
      <c r="B75" s="130">
        <v>41387</v>
      </c>
      <c r="C75" s="131" t="s">
        <v>121</v>
      </c>
      <c r="D75" s="131" t="s">
        <v>197</v>
      </c>
      <c r="E75" s="131" t="s">
        <v>197</v>
      </c>
      <c r="F75" s="132">
        <v>-5</v>
      </c>
      <c r="G75" s="131"/>
      <c r="H75" s="130">
        <v>41387</v>
      </c>
      <c r="I75" s="132">
        <v>37438.968000000001</v>
      </c>
    </row>
    <row r="76" spans="1:9" x14ac:dyDescent="0.25">
      <c r="A76" s="129">
        <v>75</v>
      </c>
      <c r="B76" s="130">
        <v>41389</v>
      </c>
      <c r="C76" s="131" t="s">
        <v>112</v>
      </c>
      <c r="D76" s="131" t="s">
        <v>31</v>
      </c>
      <c r="E76" s="131" t="s">
        <v>113</v>
      </c>
      <c r="F76" s="131"/>
      <c r="G76" s="132">
        <v>5304501.37</v>
      </c>
      <c r="H76" s="130">
        <v>41389</v>
      </c>
      <c r="I76" s="132">
        <v>5341940.3380000005</v>
      </c>
    </row>
    <row r="77" spans="1:9" x14ac:dyDescent="0.25">
      <c r="A77" s="129">
        <v>76</v>
      </c>
      <c r="B77" s="130">
        <v>41389</v>
      </c>
      <c r="C77" s="131" t="s">
        <v>127</v>
      </c>
      <c r="D77" s="131" t="s">
        <v>31</v>
      </c>
      <c r="E77" s="131" t="s">
        <v>198</v>
      </c>
      <c r="F77" s="132">
        <v>-1600000</v>
      </c>
      <c r="G77" s="131"/>
      <c r="H77" s="130">
        <v>41389</v>
      </c>
      <c r="I77" s="132">
        <v>3741940.338</v>
      </c>
    </row>
    <row r="78" spans="1:9" x14ac:dyDescent="0.25">
      <c r="A78" s="129">
        <v>77</v>
      </c>
      <c r="B78" s="130">
        <v>41389</v>
      </c>
      <c r="C78" s="131" t="s">
        <v>127</v>
      </c>
      <c r="D78" s="131" t="s">
        <v>31</v>
      </c>
      <c r="E78" s="131" t="s">
        <v>161</v>
      </c>
      <c r="F78" s="132">
        <v>-3700000</v>
      </c>
      <c r="G78" s="131"/>
      <c r="H78" s="130">
        <v>41389</v>
      </c>
      <c r="I78" s="132">
        <v>41940.338000000003</v>
      </c>
    </row>
    <row r="79" spans="1:9" x14ac:dyDescent="0.25">
      <c r="A79" s="129">
        <v>78</v>
      </c>
      <c r="B79" s="130">
        <v>41389</v>
      </c>
      <c r="C79" s="131" t="s">
        <v>130</v>
      </c>
      <c r="D79" s="131" t="s">
        <v>199</v>
      </c>
      <c r="E79" s="131" t="s">
        <v>200</v>
      </c>
      <c r="F79" s="131"/>
      <c r="G79" s="132">
        <v>557.52</v>
      </c>
      <c r="H79" s="130">
        <v>41389</v>
      </c>
      <c r="I79" s="132">
        <v>42497.858</v>
      </c>
    </row>
    <row r="80" spans="1:9" x14ac:dyDescent="0.25">
      <c r="A80" s="129">
        <v>79</v>
      </c>
      <c r="B80" s="130">
        <v>41393</v>
      </c>
      <c r="C80" s="131" t="s">
        <v>106</v>
      </c>
      <c r="D80" s="131" t="s">
        <v>31</v>
      </c>
      <c r="E80" s="131" t="s">
        <v>201</v>
      </c>
      <c r="F80" s="132">
        <v>-77.31</v>
      </c>
      <c r="G80" s="131"/>
      <c r="H80" s="130">
        <v>41393</v>
      </c>
      <c r="I80" s="132">
        <v>42420.548000000003</v>
      </c>
    </row>
    <row r="81" spans="1:9" x14ac:dyDescent="0.25">
      <c r="A81" s="129">
        <v>80</v>
      </c>
      <c r="B81" s="130">
        <v>41393</v>
      </c>
      <c r="C81" s="131" t="s">
        <v>106</v>
      </c>
      <c r="D81" s="131" t="s">
        <v>31</v>
      </c>
      <c r="E81" s="131" t="s">
        <v>108</v>
      </c>
      <c r="F81" s="132">
        <v>-1</v>
      </c>
      <c r="G81" s="131"/>
      <c r="H81" s="130">
        <v>41393</v>
      </c>
      <c r="I81" s="132">
        <v>42419.548000000003</v>
      </c>
    </row>
    <row r="82" spans="1:9" ht="15.75" thickBot="1" x14ac:dyDescent="0.3">
      <c r="A82" s="133">
        <v>81</v>
      </c>
      <c r="B82" s="134">
        <v>41393</v>
      </c>
      <c r="C82" s="135" t="s">
        <v>109</v>
      </c>
      <c r="D82" s="135" t="s">
        <v>202</v>
      </c>
      <c r="E82" s="135" t="s">
        <v>31</v>
      </c>
      <c r="F82" s="136">
        <v>-50</v>
      </c>
      <c r="G82" s="135"/>
      <c r="H82" s="134">
        <v>41393</v>
      </c>
      <c r="I82" s="136">
        <v>42369.548000000003</v>
      </c>
    </row>
    <row r="83" spans="1:9" x14ac:dyDescent="0.25">
      <c r="A83" s="137">
        <v>82</v>
      </c>
      <c r="B83" s="138">
        <v>41395</v>
      </c>
      <c r="C83" s="139" t="s">
        <v>104</v>
      </c>
      <c r="D83" s="139" t="s">
        <v>203</v>
      </c>
      <c r="E83" s="139" t="s">
        <v>31</v>
      </c>
      <c r="F83" s="140">
        <v>-750</v>
      </c>
      <c r="G83" s="139"/>
      <c r="H83" s="138">
        <v>41395</v>
      </c>
      <c r="I83" s="140">
        <v>41619.548000000003</v>
      </c>
    </row>
    <row r="84" spans="1:9" x14ac:dyDescent="0.25">
      <c r="A84" s="117">
        <v>83</v>
      </c>
      <c r="B84" s="118">
        <v>41396</v>
      </c>
      <c r="C84" s="119" t="s">
        <v>109</v>
      </c>
      <c r="D84" s="119" t="s">
        <v>204</v>
      </c>
      <c r="E84" s="119" t="s">
        <v>31</v>
      </c>
      <c r="F84" s="120">
        <v>-210.17500000000001</v>
      </c>
      <c r="G84" s="119"/>
      <c r="H84" s="118">
        <v>41396</v>
      </c>
      <c r="I84" s="120">
        <v>41409.373</v>
      </c>
    </row>
    <row r="85" spans="1:9" x14ac:dyDescent="0.25">
      <c r="A85" s="117">
        <v>84</v>
      </c>
      <c r="B85" s="118">
        <v>41396</v>
      </c>
      <c r="C85" s="119" t="s">
        <v>109</v>
      </c>
      <c r="D85" s="119" t="s">
        <v>205</v>
      </c>
      <c r="E85" s="119" t="s">
        <v>31</v>
      </c>
      <c r="F85" s="120">
        <v>-200</v>
      </c>
      <c r="G85" s="119"/>
      <c r="H85" s="118">
        <v>41396</v>
      </c>
      <c r="I85" s="120">
        <v>41209.373</v>
      </c>
    </row>
    <row r="86" spans="1:9" x14ac:dyDescent="0.25">
      <c r="A86" s="117">
        <v>85</v>
      </c>
      <c r="B86" s="118">
        <v>41399</v>
      </c>
      <c r="C86" s="119" t="s">
        <v>109</v>
      </c>
      <c r="D86" s="119" t="s">
        <v>206</v>
      </c>
      <c r="E86" s="119" t="s">
        <v>31</v>
      </c>
      <c r="F86" s="120">
        <v>-240</v>
      </c>
      <c r="G86" s="119"/>
      <c r="H86" s="118">
        <v>41399</v>
      </c>
      <c r="I86" s="120">
        <v>40969.373</v>
      </c>
    </row>
    <row r="87" spans="1:9" x14ac:dyDescent="0.25">
      <c r="A87" s="117">
        <v>86</v>
      </c>
      <c r="B87" s="118">
        <v>41401</v>
      </c>
      <c r="C87" s="119" t="s">
        <v>109</v>
      </c>
      <c r="D87" s="119" t="s">
        <v>207</v>
      </c>
      <c r="E87" s="119" t="s">
        <v>31</v>
      </c>
      <c r="F87" s="120">
        <v>-130</v>
      </c>
      <c r="G87" s="119"/>
      <c r="H87" s="118">
        <v>41401</v>
      </c>
      <c r="I87" s="120">
        <v>40839.373</v>
      </c>
    </row>
    <row r="88" spans="1:9" x14ac:dyDescent="0.25">
      <c r="A88" s="117">
        <v>87</v>
      </c>
      <c r="B88" s="118">
        <v>41401</v>
      </c>
      <c r="C88" s="119" t="s">
        <v>109</v>
      </c>
      <c r="D88" s="119" t="s">
        <v>208</v>
      </c>
      <c r="E88" s="119" t="s">
        <v>31</v>
      </c>
      <c r="F88" s="120">
        <v>-130</v>
      </c>
      <c r="G88" s="119"/>
      <c r="H88" s="118">
        <v>41401</v>
      </c>
      <c r="I88" s="120">
        <v>40709.373</v>
      </c>
    </row>
    <row r="89" spans="1:9" x14ac:dyDescent="0.25">
      <c r="A89" s="117">
        <v>88</v>
      </c>
      <c r="B89" s="118">
        <v>41401</v>
      </c>
      <c r="C89" s="119" t="s">
        <v>109</v>
      </c>
      <c r="D89" s="119" t="s">
        <v>209</v>
      </c>
      <c r="E89" s="119" t="s">
        <v>31</v>
      </c>
      <c r="F89" s="120">
        <v>-130</v>
      </c>
      <c r="G89" s="119"/>
      <c r="H89" s="118">
        <v>41401</v>
      </c>
      <c r="I89" s="120">
        <v>40579.373</v>
      </c>
    </row>
    <row r="90" spans="1:9" x14ac:dyDescent="0.25">
      <c r="A90" s="117">
        <v>89</v>
      </c>
      <c r="B90" s="118">
        <v>41401</v>
      </c>
      <c r="C90" s="119" t="s">
        <v>109</v>
      </c>
      <c r="D90" s="119" t="s">
        <v>210</v>
      </c>
      <c r="E90" s="119" t="s">
        <v>31</v>
      </c>
      <c r="F90" s="120">
        <v>-130</v>
      </c>
      <c r="G90" s="119"/>
      <c r="H90" s="118">
        <v>41401</v>
      </c>
      <c r="I90" s="120">
        <v>40449.373</v>
      </c>
    </row>
    <row r="91" spans="1:9" x14ac:dyDescent="0.25">
      <c r="A91" s="117">
        <v>90</v>
      </c>
      <c r="B91" s="118">
        <v>41401</v>
      </c>
      <c r="C91" s="119" t="s">
        <v>114</v>
      </c>
      <c r="D91" s="119" t="s">
        <v>211</v>
      </c>
      <c r="E91" s="119" t="s">
        <v>212</v>
      </c>
      <c r="F91" s="120">
        <v>-1097.25</v>
      </c>
      <c r="G91" s="119"/>
      <c r="H91" s="118">
        <v>41401</v>
      </c>
      <c r="I91" s="120">
        <v>39352.123</v>
      </c>
    </row>
    <row r="92" spans="1:9" x14ac:dyDescent="0.25">
      <c r="A92" s="117">
        <v>91</v>
      </c>
      <c r="B92" s="118">
        <v>41403</v>
      </c>
      <c r="C92" s="119" t="s">
        <v>188</v>
      </c>
      <c r="D92" s="119" t="s">
        <v>213</v>
      </c>
      <c r="E92" s="119" t="s">
        <v>31</v>
      </c>
      <c r="F92" s="120">
        <v>-1214.4880000000001</v>
      </c>
      <c r="G92" s="119"/>
      <c r="H92" s="118">
        <v>41403</v>
      </c>
      <c r="I92" s="120">
        <v>38137.635000000002</v>
      </c>
    </row>
    <row r="93" spans="1:9" x14ac:dyDescent="0.25">
      <c r="A93" s="117">
        <v>92</v>
      </c>
      <c r="B93" s="118">
        <v>41406</v>
      </c>
      <c r="C93" s="119" t="s">
        <v>104</v>
      </c>
      <c r="D93" s="119" t="s">
        <v>214</v>
      </c>
      <c r="E93" s="119" t="s">
        <v>31</v>
      </c>
      <c r="F93" s="120">
        <v>-150</v>
      </c>
      <c r="G93" s="119"/>
      <c r="H93" s="118">
        <v>41406</v>
      </c>
      <c r="I93" s="120">
        <v>37987.635000000002</v>
      </c>
    </row>
    <row r="94" spans="1:9" x14ac:dyDescent="0.25">
      <c r="A94" s="117">
        <v>93</v>
      </c>
      <c r="B94" s="118">
        <v>41408</v>
      </c>
      <c r="C94" s="119" t="s">
        <v>109</v>
      </c>
      <c r="D94" s="119" t="s">
        <v>215</v>
      </c>
      <c r="E94" s="119" t="s">
        <v>31</v>
      </c>
      <c r="F94" s="120">
        <v>-150</v>
      </c>
      <c r="G94" s="119"/>
      <c r="H94" s="118">
        <v>41408</v>
      </c>
      <c r="I94" s="120">
        <v>37837.635000000002</v>
      </c>
    </row>
    <row r="95" spans="1:9" x14ac:dyDescent="0.25">
      <c r="A95" s="117">
        <v>94</v>
      </c>
      <c r="B95" s="118">
        <v>41409</v>
      </c>
      <c r="C95" s="119" t="s">
        <v>216</v>
      </c>
      <c r="D95" s="119" t="s">
        <v>31</v>
      </c>
      <c r="E95" s="119" t="s">
        <v>31</v>
      </c>
      <c r="F95" s="120">
        <v>-4.5</v>
      </c>
      <c r="G95" s="119"/>
      <c r="H95" s="118">
        <v>41409</v>
      </c>
      <c r="I95" s="120">
        <v>37833.135000000002</v>
      </c>
    </row>
    <row r="96" spans="1:9" x14ac:dyDescent="0.25">
      <c r="A96" s="117">
        <v>95</v>
      </c>
      <c r="B96" s="118">
        <v>41410</v>
      </c>
      <c r="C96" s="119" t="s">
        <v>114</v>
      </c>
      <c r="D96" s="119" t="s">
        <v>217</v>
      </c>
      <c r="E96" s="119" t="s">
        <v>31</v>
      </c>
      <c r="F96" s="120">
        <v>-119.899</v>
      </c>
      <c r="G96" s="119"/>
      <c r="H96" s="118">
        <v>41410</v>
      </c>
      <c r="I96" s="120">
        <v>37713.235999999997</v>
      </c>
    </row>
    <row r="97" spans="1:9" x14ac:dyDescent="0.25">
      <c r="A97" s="117">
        <v>96</v>
      </c>
      <c r="B97" s="118">
        <v>41414</v>
      </c>
      <c r="C97" s="119" t="s">
        <v>104</v>
      </c>
      <c r="D97" s="119" t="s">
        <v>218</v>
      </c>
      <c r="E97" s="119" t="s">
        <v>31</v>
      </c>
      <c r="F97" s="120">
        <v>-115</v>
      </c>
      <c r="G97" s="119"/>
      <c r="H97" s="118">
        <v>41414</v>
      </c>
      <c r="I97" s="120">
        <v>37598.235999999997</v>
      </c>
    </row>
    <row r="98" spans="1:9" x14ac:dyDescent="0.25">
      <c r="A98" s="117">
        <v>97</v>
      </c>
      <c r="B98" s="118">
        <v>41414</v>
      </c>
      <c r="C98" s="119" t="s">
        <v>109</v>
      </c>
      <c r="D98" s="119" t="s">
        <v>219</v>
      </c>
      <c r="E98" s="119" t="s">
        <v>220</v>
      </c>
      <c r="F98" s="120">
        <v>-60</v>
      </c>
      <c r="G98" s="119"/>
      <c r="H98" s="118">
        <v>41414</v>
      </c>
      <c r="I98" s="120">
        <v>37538.235999999997</v>
      </c>
    </row>
    <row r="99" spans="1:9" x14ac:dyDescent="0.25">
      <c r="A99" s="117">
        <v>98</v>
      </c>
      <c r="B99" s="118">
        <v>41414</v>
      </c>
      <c r="C99" s="119" t="s">
        <v>125</v>
      </c>
      <c r="D99" s="119" t="s">
        <v>221</v>
      </c>
      <c r="E99" s="119" t="s">
        <v>31</v>
      </c>
      <c r="F99" s="120">
        <v>-1800</v>
      </c>
      <c r="G99" s="119"/>
      <c r="H99" s="118">
        <v>41414</v>
      </c>
      <c r="I99" s="120">
        <v>35738.235999999997</v>
      </c>
    </row>
    <row r="100" spans="1:9" x14ac:dyDescent="0.25">
      <c r="A100" s="117">
        <v>99</v>
      </c>
      <c r="B100" s="118">
        <v>41417</v>
      </c>
      <c r="C100" s="119" t="s">
        <v>119</v>
      </c>
      <c r="D100" s="119" t="s">
        <v>222</v>
      </c>
      <c r="E100" s="119" t="s">
        <v>222</v>
      </c>
      <c r="F100" s="120">
        <v>-260</v>
      </c>
      <c r="G100" s="119"/>
      <c r="H100" s="118">
        <v>41417</v>
      </c>
      <c r="I100" s="120">
        <v>35478.235999999997</v>
      </c>
    </row>
    <row r="101" spans="1:9" x14ac:dyDescent="0.25">
      <c r="A101" s="117">
        <v>100</v>
      </c>
      <c r="B101" s="118">
        <v>41417</v>
      </c>
      <c r="C101" s="119" t="s">
        <v>121</v>
      </c>
      <c r="D101" s="119" t="s">
        <v>222</v>
      </c>
      <c r="E101" s="119" t="s">
        <v>222</v>
      </c>
      <c r="F101" s="120">
        <v>-5</v>
      </c>
      <c r="G101" s="119"/>
      <c r="H101" s="118">
        <v>41417</v>
      </c>
      <c r="I101" s="120">
        <v>35473.235999999997</v>
      </c>
    </row>
    <row r="102" spans="1:9" x14ac:dyDescent="0.25">
      <c r="A102" s="117">
        <v>101</v>
      </c>
      <c r="B102" s="118">
        <v>41417</v>
      </c>
      <c r="C102" s="119" t="s">
        <v>106</v>
      </c>
      <c r="D102" s="119" t="s">
        <v>31</v>
      </c>
      <c r="E102" s="119" t="s">
        <v>223</v>
      </c>
      <c r="F102" s="120">
        <v>-1994</v>
      </c>
      <c r="G102" s="119"/>
      <c r="H102" s="118">
        <v>41417</v>
      </c>
      <c r="I102" s="120">
        <v>33479.235999999997</v>
      </c>
    </row>
    <row r="103" spans="1:9" x14ac:dyDescent="0.25">
      <c r="A103" s="117">
        <v>102</v>
      </c>
      <c r="B103" s="118">
        <v>41417</v>
      </c>
      <c r="C103" s="119" t="s">
        <v>106</v>
      </c>
      <c r="D103" s="119" t="s">
        <v>31</v>
      </c>
      <c r="E103" s="119" t="s">
        <v>108</v>
      </c>
      <c r="F103" s="120">
        <v>-4</v>
      </c>
      <c r="G103" s="119"/>
      <c r="H103" s="118">
        <v>41417</v>
      </c>
      <c r="I103" s="120">
        <v>33475.235999999997</v>
      </c>
    </row>
    <row r="104" spans="1:9" x14ac:dyDescent="0.25">
      <c r="A104" s="117">
        <v>103</v>
      </c>
      <c r="B104" s="118">
        <v>41417</v>
      </c>
      <c r="C104" s="119" t="s">
        <v>125</v>
      </c>
      <c r="D104" s="119" t="s">
        <v>224</v>
      </c>
      <c r="E104" s="119" t="s">
        <v>31</v>
      </c>
      <c r="F104" s="120">
        <v>-163</v>
      </c>
      <c r="G104" s="119"/>
      <c r="H104" s="118">
        <v>41417</v>
      </c>
      <c r="I104" s="120">
        <v>33312.235999999997</v>
      </c>
    </row>
    <row r="105" spans="1:9" x14ac:dyDescent="0.25">
      <c r="A105" s="117">
        <v>104</v>
      </c>
      <c r="B105" s="118">
        <v>41420</v>
      </c>
      <c r="C105" s="119" t="s">
        <v>112</v>
      </c>
      <c r="D105" s="119" t="s">
        <v>31</v>
      </c>
      <c r="E105" s="119" t="s">
        <v>113</v>
      </c>
      <c r="F105" s="119"/>
      <c r="G105" s="120">
        <v>3703142.466</v>
      </c>
      <c r="H105" s="118">
        <v>41420</v>
      </c>
      <c r="I105" s="120">
        <v>3736454.702</v>
      </c>
    </row>
    <row r="106" spans="1:9" x14ac:dyDescent="0.25">
      <c r="A106" s="117">
        <v>105</v>
      </c>
      <c r="B106" s="118">
        <v>41420</v>
      </c>
      <c r="C106" s="119" t="s">
        <v>127</v>
      </c>
      <c r="D106" s="119" t="s">
        <v>31</v>
      </c>
      <c r="E106" s="119" t="s">
        <v>161</v>
      </c>
      <c r="F106" s="120">
        <v>-3703142.466</v>
      </c>
      <c r="G106" s="119"/>
      <c r="H106" s="118">
        <v>41420</v>
      </c>
      <c r="I106" s="120">
        <v>33312.235999999997</v>
      </c>
    </row>
    <row r="107" spans="1:9" x14ac:dyDescent="0.25">
      <c r="A107" s="117">
        <v>106</v>
      </c>
      <c r="B107" s="118">
        <v>41421</v>
      </c>
      <c r="C107" s="119" t="s">
        <v>114</v>
      </c>
      <c r="D107" s="119" t="s">
        <v>225</v>
      </c>
      <c r="E107" s="119" t="s">
        <v>226</v>
      </c>
      <c r="F107" s="120">
        <v>-2350</v>
      </c>
      <c r="G107" s="119"/>
      <c r="H107" s="118">
        <v>41421</v>
      </c>
      <c r="I107" s="120">
        <v>30962.236000000001</v>
      </c>
    </row>
    <row r="108" spans="1:9" ht="15.75" thickBot="1" x14ac:dyDescent="0.3">
      <c r="A108" s="121">
        <v>107</v>
      </c>
      <c r="B108" s="122">
        <v>41424</v>
      </c>
      <c r="C108" s="123" t="s">
        <v>109</v>
      </c>
      <c r="D108" s="123" t="s">
        <v>227</v>
      </c>
      <c r="E108" s="123" t="s">
        <v>31</v>
      </c>
      <c r="F108" s="124">
        <v>-148.05000000000001</v>
      </c>
      <c r="G108" s="123"/>
      <c r="H108" s="122">
        <v>41424</v>
      </c>
      <c r="I108" s="124">
        <v>30814.186000000002</v>
      </c>
    </row>
    <row r="109" spans="1:9" x14ac:dyDescent="0.25">
      <c r="A109" s="125">
        <v>108</v>
      </c>
      <c r="B109" s="126">
        <v>41427</v>
      </c>
      <c r="C109" s="127" t="s">
        <v>109</v>
      </c>
      <c r="D109" s="127" t="s">
        <v>228</v>
      </c>
      <c r="E109" s="127" t="s">
        <v>31</v>
      </c>
      <c r="F109" s="128">
        <v>-220</v>
      </c>
      <c r="G109" s="127"/>
      <c r="H109" s="126">
        <v>41427</v>
      </c>
      <c r="I109" s="128">
        <v>30594.186000000002</v>
      </c>
    </row>
    <row r="110" spans="1:9" x14ac:dyDescent="0.25">
      <c r="A110" s="129">
        <v>109</v>
      </c>
      <c r="B110" s="130">
        <v>41427</v>
      </c>
      <c r="C110" s="131" t="s">
        <v>109</v>
      </c>
      <c r="D110" s="131" t="s">
        <v>229</v>
      </c>
      <c r="E110" s="131" t="s">
        <v>31</v>
      </c>
      <c r="F110" s="132">
        <v>-220</v>
      </c>
      <c r="G110" s="131"/>
      <c r="H110" s="130">
        <v>41427</v>
      </c>
      <c r="I110" s="132">
        <v>30374.186000000002</v>
      </c>
    </row>
    <row r="111" spans="1:9" x14ac:dyDescent="0.25">
      <c r="A111" s="129">
        <v>110</v>
      </c>
      <c r="B111" s="130">
        <v>41427</v>
      </c>
      <c r="C111" s="131" t="s">
        <v>109</v>
      </c>
      <c r="D111" s="131" t="s">
        <v>230</v>
      </c>
      <c r="E111" s="131" t="s">
        <v>31</v>
      </c>
      <c r="F111" s="132">
        <v>-220</v>
      </c>
      <c r="G111" s="131"/>
      <c r="H111" s="130">
        <v>41427</v>
      </c>
      <c r="I111" s="132">
        <v>30154.186000000002</v>
      </c>
    </row>
    <row r="112" spans="1:9" x14ac:dyDescent="0.25">
      <c r="A112" s="129">
        <v>111</v>
      </c>
      <c r="B112" s="130">
        <v>41427</v>
      </c>
      <c r="C112" s="131" t="s">
        <v>114</v>
      </c>
      <c r="D112" s="131" t="s">
        <v>231</v>
      </c>
      <c r="E112" s="131" t="s">
        <v>31</v>
      </c>
      <c r="F112" s="132">
        <v>-1097.25</v>
      </c>
      <c r="G112" s="131"/>
      <c r="H112" s="130">
        <v>41427</v>
      </c>
      <c r="I112" s="132">
        <v>29056.936000000002</v>
      </c>
    </row>
    <row r="113" spans="1:9" x14ac:dyDescent="0.25">
      <c r="A113" s="129">
        <v>112</v>
      </c>
      <c r="B113" s="130">
        <v>41435</v>
      </c>
      <c r="C113" s="131" t="s">
        <v>109</v>
      </c>
      <c r="D113" s="131" t="s">
        <v>232</v>
      </c>
      <c r="E113" s="131" t="s">
        <v>31</v>
      </c>
      <c r="F113" s="132">
        <v>-50</v>
      </c>
      <c r="G113" s="131"/>
      <c r="H113" s="130">
        <v>41435</v>
      </c>
      <c r="I113" s="132">
        <v>29006.936000000002</v>
      </c>
    </row>
    <row r="114" spans="1:9" x14ac:dyDescent="0.25">
      <c r="A114" s="129">
        <v>113</v>
      </c>
      <c r="B114" s="130">
        <v>41443</v>
      </c>
      <c r="C114" s="131" t="s">
        <v>104</v>
      </c>
      <c r="D114" s="131" t="s">
        <v>233</v>
      </c>
      <c r="E114" s="131" t="s">
        <v>31</v>
      </c>
      <c r="F114" s="132">
        <v>-750</v>
      </c>
      <c r="G114" s="131"/>
      <c r="H114" s="130">
        <v>41443</v>
      </c>
      <c r="I114" s="132">
        <v>28256.936000000002</v>
      </c>
    </row>
    <row r="115" spans="1:9" x14ac:dyDescent="0.25">
      <c r="A115" s="129">
        <v>114</v>
      </c>
      <c r="B115" s="130">
        <v>41445</v>
      </c>
      <c r="C115" s="131" t="s">
        <v>125</v>
      </c>
      <c r="D115" s="131" t="s">
        <v>234</v>
      </c>
      <c r="E115" s="131" t="s">
        <v>31</v>
      </c>
      <c r="F115" s="132">
        <v>-365.19299999999998</v>
      </c>
      <c r="G115" s="131"/>
      <c r="H115" s="130">
        <v>41445</v>
      </c>
      <c r="I115" s="132">
        <v>27891.742999999999</v>
      </c>
    </row>
    <row r="116" spans="1:9" x14ac:dyDescent="0.25">
      <c r="A116" s="129">
        <v>115</v>
      </c>
      <c r="B116" s="130">
        <v>41448</v>
      </c>
      <c r="C116" s="131" t="s">
        <v>104</v>
      </c>
      <c r="D116" s="131" t="s">
        <v>235</v>
      </c>
      <c r="E116" s="131" t="s">
        <v>31</v>
      </c>
      <c r="F116" s="132">
        <v>-4700</v>
      </c>
      <c r="G116" s="131"/>
      <c r="H116" s="130">
        <v>41448</v>
      </c>
      <c r="I116" s="132">
        <v>23191.742999999999</v>
      </c>
    </row>
    <row r="117" spans="1:9" x14ac:dyDescent="0.25">
      <c r="A117" s="129">
        <v>116</v>
      </c>
      <c r="B117" s="130">
        <v>41448</v>
      </c>
      <c r="C117" s="131" t="s">
        <v>109</v>
      </c>
      <c r="D117" s="131" t="s">
        <v>236</v>
      </c>
      <c r="E117" s="131" t="s">
        <v>31</v>
      </c>
      <c r="F117" s="132">
        <v>-69.5</v>
      </c>
      <c r="G117" s="131"/>
      <c r="H117" s="130">
        <v>41448</v>
      </c>
      <c r="I117" s="132">
        <v>23122.242999999999</v>
      </c>
    </row>
    <row r="118" spans="1:9" x14ac:dyDescent="0.25">
      <c r="A118" s="129">
        <v>117</v>
      </c>
      <c r="B118" s="130">
        <v>41448</v>
      </c>
      <c r="C118" s="131" t="s">
        <v>106</v>
      </c>
      <c r="D118" s="131" t="s">
        <v>31</v>
      </c>
      <c r="E118" s="131" t="s">
        <v>237</v>
      </c>
      <c r="F118" s="132">
        <v>-1716.7449999999999</v>
      </c>
      <c r="G118" s="131"/>
      <c r="H118" s="130">
        <v>41448</v>
      </c>
      <c r="I118" s="132">
        <v>21405.498</v>
      </c>
    </row>
    <row r="119" spans="1:9" x14ac:dyDescent="0.25">
      <c r="A119" s="129">
        <v>118</v>
      </c>
      <c r="B119" s="130">
        <v>41448</v>
      </c>
      <c r="C119" s="131" t="s">
        <v>106</v>
      </c>
      <c r="D119" s="131" t="s">
        <v>31</v>
      </c>
      <c r="E119" s="131" t="s">
        <v>108</v>
      </c>
      <c r="F119" s="132">
        <v>-3</v>
      </c>
      <c r="G119" s="131"/>
      <c r="H119" s="130">
        <v>41448</v>
      </c>
      <c r="I119" s="132">
        <v>21402.498</v>
      </c>
    </row>
    <row r="120" spans="1:9" x14ac:dyDescent="0.25">
      <c r="A120" s="129">
        <v>119</v>
      </c>
      <c r="B120" s="130">
        <v>41448</v>
      </c>
      <c r="C120" s="131" t="s">
        <v>119</v>
      </c>
      <c r="D120" s="131" t="s">
        <v>238</v>
      </c>
      <c r="E120" s="131" t="s">
        <v>238</v>
      </c>
      <c r="F120" s="132">
        <v>-260</v>
      </c>
      <c r="G120" s="131"/>
      <c r="H120" s="130">
        <v>41448</v>
      </c>
      <c r="I120" s="132">
        <v>21142.498</v>
      </c>
    </row>
    <row r="121" spans="1:9" x14ac:dyDescent="0.25">
      <c r="A121" s="129">
        <v>120</v>
      </c>
      <c r="B121" s="130">
        <v>41448</v>
      </c>
      <c r="C121" s="131" t="s">
        <v>121</v>
      </c>
      <c r="D121" s="131" t="s">
        <v>238</v>
      </c>
      <c r="E121" s="131" t="s">
        <v>238</v>
      </c>
      <c r="F121" s="132">
        <v>-5</v>
      </c>
      <c r="G121" s="131"/>
      <c r="H121" s="130">
        <v>41448</v>
      </c>
      <c r="I121" s="132">
        <v>21137.498</v>
      </c>
    </row>
    <row r="122" spans="1:9" x14ac:dyDescent="0.25">
      <c r="A122" s="129">
        <v>121</v>
      </c>
      <c r="B122" s="130">
        <v>41452</v>
      </c>
      <c r="C122" s="131" t="s">
        <v>109</v>
      </c>
      <c r="D122" s="131" t="s">
        <v>239</v>
      </c>
      <c r="E122" s="131" t="s">
        <v>31</v>
      </c>
      <c r="F122" s="132">
        <v>-90</v>
      </c>
      <c r="G122" s="131"/>
      <c r="H122" s="130">
        <v>41452</v>
      </c>
      <c r="I122" s="132">
        <v>21047.498</v>
      </c>
    </row>
    <row r="123" spans="1:9" x14ac:dyDescent="0.25">
      <c r="A123" s="129">
        <v>122</v>
      </c>
      <c r="B123" s="130">
        <v>41452</v>
      </c>
      <c r="C123" s="131" t="s">
        <v>109</v>
      </c>
      <c r="D123" s="131" t="s">
        <v>240</v>
      </c>
      <c r="E123" s="131" t="s">
        <v>31</v>
      </c>
      <c r="F123" s="132">
        <v>-90</v>
      </c>
      <c r="G123" s="131"/>
      <c r="H123" s="130">
        <v>41452</v>
      </c>
      <c r="I123" s="132">
        <v>20957.498</v>
      </c>
    </row>
    <row r="124" spans="1:9" x14ac:dyDescent="0.25">
      <c r="A124" s="129">
        <v>123</v>
      </c>
      <c r="B124" s="130">
        <v>41452</v>
      </c>
      <c r="C124" s="131" t="s">
        <v>109</v>
      </c>
      <c r="D124" s="131" t="s">
        <v>241</v>
      </c>
      <c r="E124" s="131" t="s">
        <v>31</v>
      </c>
      <c r="F124" s="132">
        <v>-90</v>
      </c>
      <c r="G124" s="131"/>
      <c r="H124" s="130">
        <v>41452</v>
      </c>
      <c r="I124" s="132">
        <v>20867.498</v>
      </c>
    </row>
    <row r="125" spans="1:9" x14ac:dyDescent="0.25">
      <c r="A125" s="129">
        <v>124</v>
      </c>
      <c r="B125" s="130">
        <v>41452</v>
      </c>
      <c r="C125" s="131" t="s">
        <v>112</v>
      </c>
      <c r="D125" s="131" t="s">
        <v>31</v>
      </c>
      <c r="E125" s="131" t="s">
        <v>242</v>
      </c>
      <c r="F125" s="131"/>
      <c r="G125" s="132">
        <v>3620000</v>
      </c>
      <c r="H125" s="130">
        <v>41452</v>
      </c>
      <c r="I125" s="132">
        <v>3640867.4980000001</v>
      </c>
    </row>
    <row r="126" spans="1:9" ht="15.75" thickBot="1" x14ac:dyDescent="0.3">
      <c r="A126" s="133">
        <v>125</v>
      </c>
      <c r="B126" s="134">
        <v>41455</v>
      </c>
      <c r="C126" s="135" t="s">
        <v>112</v>
      </c>
      <c r="D126" s="135" t="s">
        <v>31</v>
      </c>
      <c r="E126" s="135" t="s">
        <v>243</v>
      </c>
      <c r="F126" s="135"/>
      <c r="G126" s="136">
        <v>3704207.8739999998</v>
      </c>
      <c r="H126" s="134">
        <v>41455</v>
      </c>
      <c r="I126" s="136">
        <v>7345075.3720000004</v>
      </c>
    </row>
    <row r="127" spans="1:9" x14ac:dyDescent="0.25">
      <c r="A127" s="137">
        <v>126</v>
      </c>
      <c r="B127" s="138">
        <v>41456</v>
      </c>
      <c r="C127" s="139" t="s">
        <v>127</v>
      </c>
      <c r="D127" s="139" t="s">
        <v>31</v>
      </c>
      <c r="E127" s="139" t="s">
        <v>244</v>
      </c>
      <c r="F127" s="140">
        <v>-4250000</v>
      </c>
      <c r="G127" s="139"/>
      <c r="H127" s="138">
        <v>41456</v>
      </c>
      <c r="I127" s="140">
        <v>3095075.372</v>
      </c>
    </row>
    <row r="128" spans="1:9" x14ac:dyDescent="0.25">
      <c r="A128" s="117">
        <v>127</v>
      </c>
      <c r="B128" s="118">
        <v>41456</v>
      </c>
      <c r="C128" s="119" t="s">
        <v>104</v>
      </c>
      <c r="D128" s="119" t="s">
        <v>245</v>
      </c>
      <c r="E128" s="119" t="s">
        <v>31</v>
      </c>
      <c r="F128" s="120">
        <v>-257</v>
      </c>
      <c r="G128" s="119"/>
      <c r="H128" s="118">
        <v>41456</v>
      </c>
      <c r="I128" s="120">
        <v>3094818.372</v>
      </c>
    </row>
    <row r="129" spans="1:9" x14ac:dyDescent="0.25">
      <c r="A129" s="117">
        <v>128</v>
      </c>
      <c r="B129" s="118">
        <v>41456</v>
      </c>
      <c r="C129" s="119" t="s">
        <v>127</v>
      </c>
      <c r="D129" s="119" t="s">
        <v>31</v>
      </c>
      <c r="E129" s="119" t="s">
        <v>138</v>
      </c>
      <c r="F129" s="120">
        <v>-3000000</v>
      </c>
      <c r="G129" s="119"/>
      <c r="H129" s="118">
        <v>41456</v>
      </c>
      <c r="I129" s="120">
        <v>94818.372000000003</v>
      </c>
    </row>
    <row r="130" spans="1:9" x14ac:dyDescent="0.25">
      <c r="A130" s="117">
        <v>129</v>
      </c>
      <c r="B130" s="118">
        <v>41457</v>
      </c>
      <c r="C130" s="119" t="s">
        <v>104</v>
      </c>
      <c r="D130" s="119" t="s">
        <v>246</v>
      </c>
      <c r="E130" s="119" t="s">
        <v>31</v>
      </c>
      <c r="F130" s="120">
        <v>-290</v>
      </c>
      <c r="G130" s="119"/>
      <c r="H130" s="118">
        <v>41457</v>
      </c>
      <c r="I130" s="120">
        <v>94528.372000000003</v>
      </c>
    </row>
    <row r="131" spans="1:9" x14ac:dyDescent="0.25">
      <c r="A131" s="117">
        <v>130</v>
      </c>
      <c r="B131" s="118">
        <v>41457</v>
      </c>
      <c r="C131" s="119" t="s">
        <v>125</v>
      </c>
      <c r="D131" s="119" t="s">
        <v>247</v>
      </c>
      <c r="E131" s="119" t="s">
        <v>31</v>
      </c>
      <c r="F131" s="120">
        <v>-1097.25</v>
      </c>
      <c r="G131" s="119"/>
      <c r="H131" s="118">
        <v>41457</v>
      </c>
      <c r="I131" s="120">
        <v>93431.122000000003</v>
      </c>
    </row>
    <row r="132" spans="1:9" x14ac:dyDescent="0.25">
      <c r="A132" s="117">
        <v>131</v>
      </c>
      <c r="B132" s="118">
        <v>41457</v>
      </c>
      <c r="C132" s="119" t="s">
        <v>114</v>
      </c>
      <c r="D132" s="119" t="s">
        <v>248</v>
      </c>
      <c r="E132" s="119" t="s">
        <v>31</v>
      </c>
      <c r="F132" s="120">
        <v>-3535.232</v>
      </c>
      <c r="G132" s="119"/>
      <c r="H132" s="118">
        <v>41457</v>
      </c>
      <c r="I132" s="120">
        <v>89895.89</v>
      </c>
    </row>
    <row r="133" spans="1:9" x14ac:dyDescent="0.25">
      <c r="A133" s="117">
        <v>132</v>
      </c>
      <c r="B133" s="118">
        <v>41470</v>
      </c>
      <c r="C133" s="119" t="s">
        <v>112</v>
      </c>
      <c r="D133" s="119" t="s">
        <v>31</v>
      </c>
      <c r="E133" s="119" t="s">
        <v>243</v>
      </c>
      <c r="F133" s="119"/>
      <c r="G133" s="120">
        <v>3000287.679</v>
      </c>
      <c r="H133" s="118">
        <v>41470</v>
      </c>
      <c r="I133" s="120">
        <v>3090183.5690000001</v>
      </c>
    </row>
    <row r="134" spans="1:9" x14ac:dyDescent="0.25">
      <c r="A134" s="117">
        <v>133</v>
      </c>
      <c r="B134" s="118">
        <v>41470</v>
      </c>
      <c r="C134" s="119" t="s">
        <v>127</v>
      </c>
      <c r="D134" s="119" t="s">
        <v>31</v>
      </c>
      <c r="E134" s="119" t="s">
        <v>249</v>
      </c>
      <c r="F134" s="120">
        <v>-3000000</v>
      </c>
      <c r="G134" s="119"/>
      <c r="H134" s="118">
        <v>41470</v>
      </c>
      <c r="I134" s="120">
        <v>90183.569000000003</v>
      </c>
    </row>
    <row r="135" spans="1:9" x14ac:dyDescent="0.25">
      <c r="A135" s="117">
        <v>134</v>
      </c>
      <c r="B135" s="118">
        <v>41473</v>
      </c>
      <c r="C135" s="119" t="s">
        <v>114</v>
      </c>
      <c r="D135" s="119" t="s">
        <v>250</v>
      </c>
      <c r="E135" s="119" t="s">
        <v>251</v>
      </c>
      <c r="F135" s="120">
        <v>-107.408</v>
      </c>
      <c r="G135" s="119"/>
      <c r="H135" s="118">
        <v>41473</v>
      </c>
      <c r="I135" s="120">
        <v>90076.160999999993</v>
      </c>
    </row>
    <row r="136" spans="1:9" x14ac:dyDescent="0.25">
      <c r="A136" s="117">
        <v>135</v>
      </c>
      <c r="B136" s="118">
        <v>41476</v>
      </c>
      <c r="C136" s="119" t="s">
        <v>104</v>
      </c>
      <c r="D136" s="119" t="s">
        <v>252</v>
      </c>
      <c r="E136" s="119" t="s">
        <v>31</v>
      </c>
      <c r="F136" s="120">
        <v>-1410</v>
      </c>
      <c r="G136" s="119"/>
      <c r="H136" s="118">
        <v>41476</v>
      </c>
      <c r="I136" s="120">
        <v>88666.160999999993</v>
      </c>
    </row>
    <row r="137" spans="1:9" x14ac:dyDescent="0.25">
      <c r="A137" s="117">
        <v>136</v>
      </c>
      <c r="B137" s="118">
        <v>41477</v>
      </c>
      <c r="C137" s="119" t="s">
        <v>125</v>
      </c>
      <c r="D137" s="119" t="s">
        <v>253</v>
      </c>
      <c r="E137" s="119" t="s">
        <v>31</v>
      </c>
      <c r="F137" s="120">
        <v>-2250</v>
      </c>
      <c r="G137" s="119"/>
      <c r="H137" s="118">
        <v>41477</v>
      </c>
      <c r="I137" s="120">
        <v>86416.160999999993</v>
      </c>
    </row>
    <row r="138" spans="1:9" x14ac:dyDescent="0.25">
      <c r="A138" s="117">
        <v>137</v>
      </c>
      <c r="B138" s="118">
        <v>41477</v>
      </c>
      <c r="C138" s="119" t="s">
        <v>125</v>
      </c>
      <c r="D138" s="119" t="s">
        <v>254</v>
      </c>
      <c r="E138" s="119" t="s">
        <v>31</v>
      </c>
      <c r="F138" s="120">
        <v>-2250</v>
      </c>
      <c r="G138" s="119"/>
      <c r="H138" s="118">
        <v>41477</v>
      </c>
      <c r="I138" s="120">
        <v>84166.160999999993</v>
      </c>
    </row>
    <row r="139" spans="1:9" x14ac:dyDescent="0.25">
      <c r="A139" s="117">
        <v>138</v>
      </c>
      <c r="B139" s="118">
        <v>41477</v>
      </c>
      <c r="C139" s="119" t="s">
        <v>114</v>
      </c>
      <c r="D139" s="119" t="s">
        <v>255</v>
      </c>
      <c r="E139" s="119" t="s">
        <v>256</v>
      </c>
      <c r="F139" s="120">
        <v>-250</v>
      </c>
      <c r="G139" s="119"/>
      <c r="H139" s="118">
        <v>41477</v>
      </c>
      <c r="I139" s="120">
        <v>83916.160999999993</v>
      </c>
    </row>
    <row r="140" spans="1:9" x14ac:dyDescent="0.25">
      <c r="A140" s="117">
        <v>139</v>
      </c>
      <c r="B140" s="118">
        <v>41478</v>
      </c>
      <c r="C140" s="119" t="s">
        <v>119</v>
      </c>
      <c r="D140" s="119" t="s">
        <v>257</v>
      </c>
      <c r="E140" s="119" t="s">
        <v>257</v>
      </c>
      <c r="F140" s="120">
        <v>-260</v>
      </c>
      <c r="G140" s="119"/>
      <c r="H140" s="118">
        <v>41478</v>
      </c>
      <c r="I140" s="120">
        <v>83656.160999999993</v>
      </c>
    </row>
    <row r="141" spans="1:9" x14ac:dyDescent="0.25">
      <c r="A141" s="117">
        <v>140</v>
      </c>
      <c r="B141" s="118">
        <v>41478</v>
      </c>
      <c r="C141" s="119" t="s">
        <v>121</v>
      </c>
      <c r="D141" s="119" t="s">
        <v>257</v>
      </c>
      <c r="E141" s="119" t="s">
        <v>257</v>
      </c>
      <c r="F141" s="120">
        <v>-5</v>
      </c>
      <c r="G141" s="119"/>
      <c r="H141" s="118">
        <v>41478</v>
      </c>
      <c r="I141" s="120">
        <v>83651.160999999993</v>
      </c>
    </row>
    <row r="142" spans="1:9" x14ac:dyDescent="0.25">
      <c r="A142" s="117">
        <v>141</v>
      </c>
      <c r="B142" s="118">
        <v>41478</v>
      </c>
      <c r="C142" s="119" t="s">
        <v>106</v>
      </c>
      <c r="D142" s="119" t="s">
        <v>31</v>
      </c>
      <c r="E142" s="119" t="s">
        <v>258</v>
      </c>
      <c r="F142" s="120">
        <v>-1888.6790000000001</v>
      </c>
      <c r="G142" s="119"/>
      <c r="H142" s="118">
        <v>41478</v>
      </c>
      <c r="I142" s="120">
        <v>81762.482000000004</v>
      </c>
    </row>
    <row r="143" spans="1:9" x14ac:dyDescent="0.25">
      <c r="A143" s="117">
        <v>142</v>
      </c>
      <c r="B143" s="118">
        <v>41478</v>
      </c>
      <c r="C143" s="119" t="s">
        <v>106</v>
      </c>
      <c r="D143" s="119" t="s">
        <v>31</v>
      </c>
      <c r="E143" s="119" t="s">
        <v>108</v>
      </c>
      <c r="F143" s="120">
        <v>-3</v>
      </c>
      <c r="G143" s="119"/>
      <c r="H143" s="118">
        <v>41478</v>
      </c>
      <c r="I143" s="120">
        <v>81759.482000000004</v>
      </c>
    </row>
    <row r="144" spans="1:9" x14ac:dyDescent="0.25">
      <c r="A144" s="117">
        <v>143</v>
      </c>
      <c r="B144" s="118">
        <v>41478</v>
      </c>
      <c r="C144" s="119" t="s">
        <v>109</v>
      </c>
      <c r="D144" s="119" t="s">
        <v>259</v>
      </c>
      <c r="E144" s="119" t="s">
        <v>31</v>
      </c>
      <c r="F144" s="120">
        <v>-696.66499999999996</v>
      </c>
      <c r="G144" s="119"/>
      <c r="H144" s="118">
        <v>41478</v>
      </c>
      <c r="I144" s="120">
        <v>81062.816999999995</v>
      </c>
    </row>
    <row r="145" spans="1:9" x14ac:dyDescent="0.25">
      <c r="A145" s="117">
        <v>144</v>
      </c>
      <c r="B145" s="118">
        <v>41479</v>
      </c>
      <c r="C145" s="119" t="s">
        <v>216</v>
      </c>
      <c r="D145" s="119" t="s">
        <v>31</v>
      </c>
      <c r="E145" s="119" t="s">
        <v>31</v>
      </c>
      <c r="F145" s="120">
        <v>-4.5</v>
      </c>
      <c r="G145" s="119"/>
      <c r="H145" s="118">
        <v>41479</v>
      </c>
      <c r="I145" s="120">
        <v>81058.316999999995</v>
      </c>
    </row>
    <row r="146" spans="1:9" x14ac:dyDescent="0.25">
      <c r="A146" s="117">
        <v>145</v>
      </c>
      <c r="B146" s="118">
        <v>41479</v>
      </c>
      <c r="C146" s="119" t="s">
        <v>130</v>
      </c>
      <c r="D146" s="119" t="s">
        <v>260</v>
      </c>
      <c r="E146" s="119" t="s">
        <v>261</v>
      </c>
      <c r="F146" s="119"/>
      <c r="G146" s="120">
        <v>419.8</v>
      </c>
      <c r="H146" s="118">
        <v>41479</v>
      </c>
      <c r="I146" s="120">
        <v>81478.116999999998</v>
      </c>
    </row>
    <row r="147" spans="1:9" x14ac:dyDescent="0.25">
      <c r="A147" s="117">
        <v>146</v>
      </c>
      <c r="B147" s="118">
        <v>41479</v>
      </c>
      <c r="C147" s="119" t="s">
        <v>262</v>
      </c>
      <c r="D147" s="119" t="s">
        <v>260</v>
      </c>
      <c r="E147" s="119" t="s">
        <v>31</v>
      </c>
      <c r="F147" s="120">
        <v>-419.8</v>
      </c>
      <c r="G147" s="119"/>
      <c r="H147" s="118">
        <v>41479</v>
      </c>
      <c r="I147" s="120">
        <v>81058.316999999995</v>
      </c>
    </row>
    <row r="148" spans="1:9" x14ac:dyDescent="0.25">
      <c r="A148" s="117">
        <v>147</v>
      </c>
      <c r="B148" s="118">
        <v>41479</v>
      </c>
      <c r="C148" s="119" t="s">
        <v>130</v>
      </c>
      <c r="D148" s="119" t="s">
        <v>260</v>
      </c>
      <c r="E148" s="119" t="s">
        <v>263</v>
      </c>
      <c r="F148" s="119"/>
      <c r="G148" s="120">
        <v>419800</v>
      </c>
      <c r="H148" s="118">
        <v>41479</v>
      </c>
      <c r="I148" s="120">
        <v>500858.31699999998</v>
      </c>
    </row>
    <row r="149" spans="1:9" x14ac:dyDescent="0.25">
      <c r="A149" s="117">
        <v>148</v>
      </c>
      <c r="B149" s="118">
        <v>41485</v>
      </c>
      <c r="C149" s="119" t="s">
        <v>114</v>
      </c>
      <c r="D149" s="119" t="s">
        <v>264</v>
      </c>
      <c r="E149" s="119" t="s">
        <v>265</v>
      </c>
      <c r="F149" s="120">
        <v>-439.16199999999998</v>
      </c>
      <c r="G149" s="119"/>
      <c r="H149" s="118">
        <v>41485</v>
      </c>
      <c r="I149" s="120">
        <v>500419.15500000003</v>
      </c>
    </row>
    <row r="150" spans="1:9" x14ac:dyDescent="0.25">
      <c r="A150" s="117">
        <v>149</v>
      </c>
      <c r="B150" s="118">
        <v>41485</v>
      </c>
      <c r="C150" s="119" t="s">
        <v>130</v>
      </c>
      <c r="D150" s="119" t="s">
        <v>266</v>
      </c>
      <c r="E150" s="119" t="s">
        <v>267</v>
      </c>
      <c r="F150" s="119"/>
      <c r="G150" s="120">
        <v>439.16199999999998</v>
      </c>
      <c r="H150" s="118">
        <v>41485</v>
      </c>
      <c r="I150" s="120">
        <v>500858.31699999998</v>
      </c>
    </row>
    <row r="151" spans="1:9" x14ac:dyDescent="0.25">
      <c r="A151" s="117">
        <v>150</v>
      </c>
      <c r="B151" s="118">
        <v>41486</v>
      </c>
      <c r="C151" s="119" t="s">
        <v>109</v>
      </c>
      <c r="D151" s="119" t="s">
        <v>268</v>
      </c>
      <c r="E151" s="119" t="s">
        <v>31</v>
      </c>
      <c r="F151" s="120">
        <v>-763.32</v>
      </c>
      <c r="G151" s="119"/>
      <c r="H151" s="118">
        <v>41486</v>
      </c>
      <c r="I151" s="120">
        <v>500094.99699999997</v>
      </c>
    </row>
    <row r="152" spans="1:9" ht="15.75" thickBot="1" x14ac:dyDescent="0.3">
      <c r="A152" s="121">
        <v>151</v>
      </c>
      <c r="B152" s="122">
        <v>41486</v>
      </c>
      <c r="C152" s="123" t="s">
        <v>127</v>
      </c>
      <c r="D152" s="123" t="s">
        <v>31</v>
      </c>
      <c r="E152" s="123" t="s">
        <v>31</v>
      </c>
      <c r="F152" s="124">
        <v>-100000</v>
      </c>
      <c r="G152" s="123"/>
      <c r="H152" s="122">
        <v>41486</v>
      </c>
      <c r="I152" s="124">
        <v>400094.99699999997</v>
      </c>
    </row>
    <row r="153" spans="1:9" x14ac:dyDescent="0.25">
      <c r="A153" s="125">
        <v>152</v>
      </c>
      <c r="B153" s="126">
        <v>41487</v>
      </c>
      <c r="C153" s="127" t="s">
        <v>109</v>
      </c>
      <c r="D153" s="127" t="s">
        <v>269</v>
      </c>
      <c r="E153" s="127" t="s">
        <v>31</v>
      </c>
      <c r="F153" s="128">
        <v>-65.8</v>
      </c>
      <c r="G153" s="127"/>
      <c r="H153" s="126">
        <v>41487</v>
      </c>
      <c r="I153" s="128">
        <v>400029.19699999999</v>
      </c>
    </row>
    <row r="154" spans="1:9" x14ac:dyDescent="0.25">
      <c r="A154" s="129">
        <v>153</v>
      </c>
      <c r="B154" s="130">
        <v>41490</v>
      </c>
      <c r="C154" s="131" t="s">
        <v>104</v>
      </c>
      <c r="D154" s="131" t="s">
        <v>270</v>
      </c>
      <c r="E154" s="131" t="s">
        <v>31</v>
      </c>
      <c r="F154" s="132">
        <v>-37.5</v>
      </c>
      <c r="G154" s="131"/>
      <c r="H154" s="130">
        <v>41490</v>
      </c>
      <c r="I154" s="132">
        <v>399991.69699999999</v>
      </c>
    </row>
    <row r="155" spans="1:9" x14ac:dyDescent="0.25">
      <c r="A155" s="129">
        <v>154</v>
      </c>
      <c r="B155" s="130">
        <v>41491</v>
      </c>
      <c r="C155" s="131" t="s">
        <v>109</v>
      </c>
      <c r="D155" s="131" t="s">
        <v>271</v>
      </c>
      <c r="E155" s="131" t="s">
        <v>31</v>
      </c>
      <c r="F155" s="132">
        <v>-360</v>
      </c>
      <c r="G155" s="131"/>
      <c r="H155" s="130">
        <v>41491</v>
      </c>
      <c r="I155" s="132">
        <v>399631.69699999999</v>
      </c>
    </row>
    <row r="156" spans="1:9" x14ac:dyDescent="0.25">
      <c r="A156" s="129">
        <v>155</v>
      </c>
      <c r="B156" s="130">
        <v>41492</v>
      </c>
      <c r="C156" s="131" t="s">
        <v>104</v>
      </c>
      <c r="D156" s="131" t="s">
        <v>272</v>
      </c>
      <c r="E156" s="131" t="s">
        <v>31</v>
      </c>
      <c r="F156" s="132">
        <v>-120</v>
      </c>
      <c r="G156" s="131"/>
      <c r="H156" s="130">
        <v>41492</v>
      </c>
      <c r="I156" s="132">
        <v>399511.69699999999</v>
      </c>
    </row>
    <row r="157" spans="1:9" x14ac:dyDescent="0.25">
      <c r="A157" s="129">
        <v>156</v>
      </c>
      <c r="B157" s="130">
        <v>41493</v>
      </c>
      <c r="C157" s="131" t="s">
        <v>125</v>
      </c>
      <c r="D157" s="131" t="s">
        <v>273</v>
      </c>
      <c r="E157" s="131" t="s">
        <v>31</v>
      </c>
      <c r="F157" s="132">
        <v>-176.28700000000001</v>
      </c>
      <c r="G157" s="131"/>
      <c r="H157" s="130">
        <v>41493</v>
      </c>
      <c r="I157" s="132">
        <v>399335.41</v>
      </c>
    </row>
    <row r="158" spans="1:9" x14ac:dyDescent="0.25">
      <c r="A158" s="129">
        <v>157</v>
      </c>
      <c r="B158" s="130">
        <v>41493</v>
      </c>
      <c r="C158" s="131" t="s">
        <v>114</v>
      </c>
      <c r="D158" s="131" t="s">
        <v>274</v>
      </c>
      <c r="E158" s="131" t="s">
        <v>275</v>
      </c>
      <c r="F158" s="132">
        <v>-107.41</v>
      </c>
      <c r="G158" s="131"/>
      <c r="H158" s="130">
        <v>41493</v>
      </c>
      <c r="I158" s="132">
        <v>399228</v>
      </c>
    </row>
    <row r="159" spans="1:9" x14ac:dyDescent="0.25">
      <c r="A159" s="129">
        <v>158</v>
      </c>
      <c r="B159" s="130">
        <v>41498</v>
      </c>
      <c r="C159" s="131" t="s">
        <v>104</v>
      </c>
      <c r="D159" s="131" t="s">
        <v>276</v>
      </c>
      <c r="E159" s="131" t="s">
        <v>31</v>
      </c>
      <c r="F159" s="132">
        <v>-2310</v>
      </c>
      <c r="G159" s="131"/>
      <c r="H159" s="130">
        <v>41498</v>
      </c>
      <c r="I159" s="132">
        <v>396918</v>
      </c>
    </row>
    <row r="160" spans="1:9" x14ac:dyDescent="0.25">
      <c r="A160" s="129">
        <v>159</v>
      </c>
      <c r="B160" s="130">
        <v>41501</v>
      </c>
      <c r="C160" s="131" t="s">
        <v>104</v>
      </c>
      <c r="D160" s="131" t="s">
        <v>277</v>
      </c>
      <c r="E160" s="131" t="s">
        <v>31</v>
      </c>
      <c r="F160" s="132">
        <v>-2350</v>
      </c>
      <c r="G160" s="131"/>
      <c r="H160" s="130">
        <v>41501</v>
      </c>
      <c r="I160" s="132">
        <v>394568</v>
      </c>
    </row>
    <row r="161" spans="1:9" x14ac:dyDescent="0.25">
      <c r="A161" s="129">
        <v>160</v>
      </c>
      <c r="B161" s="130">
        <v>41504</v>
      </c>
      <c r="C161" s="131" t="s">
        <v>109</v>
      </c>
      <c r="D161" s="131" t="s">
        <v>278</v>
      </c>
      <c r="E161" s="131" t="s">
        <v>31</v>
      </c>
      <c r="F161" s="132">
        <v>-180.245</v>
      </c>
      <c r="G161" s="131"/>
      <c r="H161" s="130">
        <v>41504</v>
      </c>
      <c r="I161" s="132">
        <v>394387.755</v>
      </c>
    </row>
    <row r="162" spans="1:9" x14ac:dyDescent="0.25">
      <c r="A162" s="129">
        <v>161</v>
      </c>
      <c r="B162" s="130">
        <v>41507</v>
      </c>
      <c r="C162" s="131" t="s">
        <v>109</v>
      </c>
      <c r="D162" s="131" t="s">
        <v>279</v>
      </c>
      <c r="E162" s="131" t="s">
        <v>31</v>
      </c>
      <c r="F162" s="132">
        <v>-550</v>
      </c>
      <c r="G162" s="131"/>
      <c r="H162" s="130">
        <v>41507</v>
      </c>
      <c r="I162" s="132">
        <v>393837.755</v>
      </c>
    </row>
    <row r="163" spans="1:9" x14ac:dyDescent="0.25">
      <c r="A163" s="129">
        <v>162</v>
      </c>
      <c r="B163" s="130">
        <v>41508</v>
      </c>
      <c r="C163" s="131" t="s">
        <v>119</v>
      </c>
      <c r="D163" s="131" t="s">
        <v>280</v>
      </c>
      <c r="E163" s="131" t="s">
        <v>280</v>
      </c>
      <c r="F163" s="132">
        <v>-260</v>
      </c>
      <c r="G163" s="131"/>
      <c r="H163" s="130">
        <v>41508</v>
      </c>
      <c r="I163" s="132">
        <v>393577.755</v>
      </c>
    </row>
    <row r="164" spans="1:9" x14ac:dyDescent="0.25">
      <c r="A164" s="129">
        <v>163</v>
      </c>
      <c r="B164" s="130">
        <v>41508</v>
      </c>
      <c r="C164" s="131" t="s">
        <v>121</v>
      </c>
      <c r="D164" s="131" t="s">
        <v>280</v>
      </c>
      <c r="E164" s="131" t="s">
        <v>280</v>
      </c>
      <c r="F164" s="132">
        <v>-5</v>
      </c>
      <c r="G164" s="131"/>
      <c r="H164" s="130">
        <v>41508</v>
      </c>
      <c r="I164" s="132">
        <v>393572.755</v>
      </c>
    </row>
    <row r="165" spans="1:9" x14ac:dyDescent="0.25">
      <c r="A165" s="129">
        <v>164</v>
      </c>
      <c r="B165" s="130">
        <v>41508</v>
      </c>
      <c r="C165" s="131" t="s">
        <v>106</v>
      </c>
      <c r="D165" s="131" t="s">
        <v>31</v>
      </c>
      <c r="E165" s="131" t="s">
        <v>281</v>
      </c>
      <c r="F165" s="132">
        <v>-833.83900000000006</v>
      </c>
      <c r="G165" s="131"/>
      <c r="H165" s="130">
        <v>41508</v>
      </c>
      <c r="I165" s="132">
        <v>392738.91600000003</v>
      </c>
    </row>
    <row r="166" spans="1:9" x14ac:dyDescent="0.25">
      <c r="A166" s="129">
        <v>165</v>
      </c>
      <c r="B166" s="130">
        <v>41508</v>
      </c>
      <c r="C166" s="131" t="s">
        <v>106</v>
      </c>
      <c r="D166" s="131" t="s">
        <v>31</v>
      </c>
      <c r="E166" s="131" t="s">
        <v>108</v>
      </c>
      <c r="F166" s="132">
        <v>-2</v>
      </c>
      <c r="G166" s="131"/>
      <c r="H166" s="130">
        <v>41508</v>
      </c>
      <c r="I166" s="132">
        <v>392736.91600000003</v>
      </c>
    </row>
    <row r="167" spans="1:9" x14ac:dyDescent="0.25">
      <c r="A167" s="129">
        <v>166</v>
      </c>
      <c r="B167" s="130">
        <v>41508</v>
      </c>
      <c r="C167" s="131" t="s">
        <v>119</v>
      </c>
      <c r="D167" s="131" t="s">
        <v>282</v>
      </c>
      <c r="E167" s="131" t="s">
        <v>282</v>
      </c>
      <c r="F167" s="132">
        <v>-260</v>
      </c>
      <c r="G167" s="131"/>
      <c r="H167" s="130">
        <v>41508</v>
      </c>
      <c r="I167" s="132">
        <v>392476.91600000003</v>
      </c>
    </row>
    <row r="168" spans="1:9" x14ac:dyDescent="0.25">
      <c r="A168" s="129">
        <v>167</v>
      </c>
      <c r="B168" s="130">
        <v>41511</v>
      </c>
      <c r="C168" s="131" t="s">
        <v>114</v>
      </c>
      <c r="D168" s="131" t="s">
        <v>283</v>
      </c>
      <c r="E168" s="131" t="s">
        <v>31</v>
      </c>
      <c r="F168" s="132">
        <v>-1097.25</v>
      </c>
      <c r="G168" s="131"/>
      <c r="H168" s="130">
        <v>41511</v>
      </c>
      <c r="I168" s="132">
        <v>391379.66600000003</v>
      </c>
    </row>
    <row r="169" spans="1:9" x14ac:dyDescent="0.25">
      <c r="A169" s="129">
        <v>168</v>
      </c>
      <c r="B169" s="130">
        <v>41514</v>
      </c>
      <c r="C169" s="131" t="s">
        <v>114</v>
      </c>
      <c r="D169" s="131" t="s">
        <v>284</v>
      </c>
      <c r="E169" s="131" t="s">
        <v>31</v>
      </c>
      <c r="F169" s="132">
        <v>-179.37</v>
      </c>
      <c r="G169" s="131"/>
      <c r="H169" s="130">
        <v>41514</v>
      </c>
      <c r="I169" s="132">
        <v>391200.29599999997</v>
      </c>
    </row>
    <row r="170" spans="1:9" ht="15.75" thickBot="1" x14ac:dyDescent="0.3">
      <c r="A170" s="133">
        <v>169</v>
      </c>
      <c r="B170" s="134">
        <v>41514</v>
      </c>
      <c r="C170" s="135" t="s">
        <v>104</v>
      </c>
      <c r="D170" s="135" t="s">
        <v>285</v>
      </c>
      <c r="E170" s="135" t="s">
        <v>31</v>
      </c>
      <c r="F170" s="136">
        <v>-375</v>
      </c>
      <c r="G170" s="135"/>
      <c r="H170" s="134">
        <v>41514</v>
      </c>
      <c r="I170" s="136">
        <v>390825.29599999997</v>
      </c>
    </row>
    <row r="171" spans="1:9" x14ac:dyDescent="0.25">
      <c r="A171" s="137">
        <v>170</v>
      </c>
      <c r="B171" s="138">
        <v>41518</v>
      </c>
      <c r="C171" s="139" t="s">
        <v>104</v>
      </c>
      <c r="D171" s="139" t="s">
        <v>286</v>
      </c>
      <c r="E171" s="139" t="s">
        <v>31</v>
      </c>
      <c r="F171" s="140">
        <v>-90</v>
      </c>
      <c r="G171" s="139"/>
      <c r="H171" s="138">
        <v>41518</v>
      </c>
      <c r="I171" s="140">
        <v>390735.29599999997</v>
      </c>
    </row>
    <row r="172" spans="1:9" x14ac:dyDescent="0.25">
      <c r="A172" s="117">
        <v>171</v>
      </c>
      <c r="B172" s="118">
        <v>41525</v>
      </c>
      <c r="C172" s="119" t="s">
        <v>114</v>
      </c>
      <c r="D172" s="119" t="s">
        <v>287</v>
      </c>
      <c r="E172" s="119" t="s">
        <v>288</v>
      </c>
      <c r="F172" s="120">
        <v>-136</v>
      </c>
      <c r="G172" s="119"/>
      <c r="H172" s="118">
        <v>41525</v>
      </c>
      <c r="I172" s="120">
        <v>390599.29599999997</v>
      </c>
    </row>
    <row r="173" spans="1:9" x14ac:dyDescent="0.25">
      <c r="A173" s="117">
        <v>172</v>
      </c>
      <c r="B173" s="118">
        <v>41527</v>
      </c>
      <c r="C173" s="119" t="s">
        <v>147</v>
      </c>
      <c r="D173" s="119" t="s">
        <v>289</v>
      </c>
      <c r="E173" s="119" t="s">
        <v>290</v>
      </c>
      <c r="F173" s="120">
        <v>-231.58099999999999</v>
      </c>
      <c r="G173" s="119"/>
      <c r="H173" s="118">
        <v>41527</v>
      </c>
      <c r="I173" s="120">
        <v>390367.71500000003</v>
      </c>
    </row>
    <row r="174" spans="1:9" x14ac:dyDescent="0.25">
      <c r="A174" s="117">
        <v>173</v>
      </c>
      <c r="B174" s="118">
        <v>41528</v>
      </c>
      <c r="C174" s="119" t="s">
        <v>104</v>
      </c>
      <c r="D174" s="119" t="s">
        <v>291</v>
      </c>
      <c r="E174" s="119" t="s">
        <v>31</v>
      </c>
      <c r="F174" s="120">
        <v>-330.96</v>
      </c>
      <c r="G174" s="119"/>
      <c r="H174" s="118">
        <v>41528</v>
      </c>
      <c r="I174" s="120">
        <v>390036.755</v>
      </c>
    </row>
    <row r="175" spans="1:9" x14ac:dyDescent="0.25">
      <c r="A175" s="117">
        <v>174</v>
      </c>
      <c r="B175" s="118">
        <v>41529</v>
      </c>
      <c r="C175" s="119" t="s">
        <v>109</v>
      </c>
      <c r="D175" s="119" t="s">
        <v>292</v>
      </c>
      <c r="E175" s="119" t="s">
        <v>31</v>
      </c>
      <c r="F175" s="120">
        <v>-235</v>
      </c>
      <c r="G175" s="119"/>
      <c r="H175" s="118">
        <v>41529</v>
      </c>
      <c r="I175" s="120">
        <v>389801.755</v>
      </c>
    </row>
    <row r="176" spans="1:9" x14ac:dyDescent="0.25">
      <c r="A176" s="117">
        <v>175</v>
      </c>
      <c r="B176" s="118">
        <v>41529</v>
      </c>
      <c r="C176" s="119" t="s">
        <v>109</v>
      </c>
      <c r="D176" s="119" t="s">
        <v>293</v>
      </c>
      <c r="E176" s="119" t="s">
        <v>31</v>
      </c>
      <c r="F176" s="120">
        <v>-100</v>
      </c>
      <c r="G176" s="119"/>
      <c r="H176" s="118">
        <v>41529</v>
      </c>
      <c r="I176" s="120">
        <v>389701.755</v>
      </c>
    </row>
    <row r="177" spans="1:9" x14ac:dyDescent="0.25">
      <c r="A177" s="117">
        <v>176</v>
      </c>
      <c r="B177" s="118">
        <v>41532</v>
      </c>
      <c r="C177" s="119" t="s">
        <v>104</v>
      </c>
      <c r="D177" s="119" t="s">
        <v>294</v>
      </c>
      <c r="E177" s="119" t="s">
        <v>31</v>
      </c>
      <c r="F177" s="120">
        <v>-257</v>
      </c>
      <c r="G177" s="119"/>
      <c r="H177" s="118">
        <v>41532</v>
      </c>
      <c r="I177" s="120">
        <v>389444.755</v>
      </c>
    </row>
    <row r="178" spans="1:9" x14ac:dyDescent="0.25">
      <c r="A178" s="117">
        <v>177</v>
      </c>
      <c r="B178" s="118">
        <v>41539</v>
      </c>
      <c r="C178" s="119" t="s">
        <v>109</v>
      </c>
      <c r="D178" s="119" t="s">
        <v>295</v>
      </c>
      <c r="E178" s="119" t="s">
        <v>31</v>
      </c>
      <c r="F178" s="120">
        <v>-60.9</v>
      </c>
      <c r="G178" s="119"/>
      <c r="H178" s="118">
        <v>41539</v>
      </c>
      <c r="I178" s="120">
        <v>389383.85499999998</v>
      </c>
    </row>
    <row r="179" spans="1:9" x14ac:dyDescent="0.25">
      <c r="A179" s="117">
        <v>178</v>
      </c>
      <c r="B179" s="118">
        <v>41540</v>
      </c>
      <c r="C179" s="119" t="s">
        <v>119</v>
      </c>
      <c r="D179" s="119" t="s">
        <v>296</v>
      </c>
      <c r="E179" s="119" t="s">
        <v>296</v>
      </c>
      <c r="F179" s="120">
        <v>-261.73</v>
      </c>
      <c r="G179" s="119"/>
      <c r="H179" s="118">
        <v>41540</v>
      </c>
      <c r="I179" s="120">
        <v>389122.125</v>
      </c>
    </row>
    <row r="180" spans="1:9" x14ac:dyDescent="0.25">
      <c r="A180" s="117">
        <v>179</v>
      </c>
      <c r="B180" s="118">
        <v>41540</v>
      </c>
      <c r="C180" s="119" t="s">
        <v>121</v>
      </c>
      <c r="D180" s="119" t="s">
        <v>296</v>
      </c>
      <c r="E180" s="119" t="s">
        <v>296</v>
      </c>
      <c r="F180" s="120">
        <v>-5</v>
      </c>
      <c r="G180" s="119"/>
      <c r="H180" s="118">
        <v>41540</v>
      </c>
      <c r="I180" s="120">
        <v>389117.125</v>
      </c>
    </row>
    <row r="181" spans="1:9" x14ac:dyDescent="0.25">
      <c r="A181" s="117">
        <v>180</v>
      </c>
      <c r="B181" s="118">
        <v>41540</v>
      </c>
      <c r="C181" s="119" t="s">
        <v>109</v>
      </c>
      <c r="D181" s="119" t="s">
        <v>297</v>
      </c>
      <c r="E181" s="119" t="s">
        <v>31</v>
      </c>
      <c r="F181" s="120">
        <v>-25</v>
      </c>
      <c r="G181" s="119"/>
      <c r="H181" s="118">
        <v>41540</v>
      </c>
      <c r="I181" s="120">
        <v>389092.125</v>
      </c>
    </row>
    <row r="182" spans="1:9" x14ac:dyDescent="0.25">
      <c r="A182" s="117">
        <v>181</v>
      </c>
      <c r="B182" s="118">
        <v>41540</v>
      </c>
      <c r="C182" s="119" t="s">
        <v>106</v>
      </c>
      <c r="D182" s="119" t="s">
        <v>31</v>
      </c>
      <c r="E182" s="119" t="s">
        <v>298</v>
      </c>
      <c r="F182" s="120">
        <v>-1779.096</v>
      </c>
      <c r="G182" s="119"/>
      <c r="H182" s="118">
        <v>41540</v>
      </c>
      <c r="I182" s="120">
        <v>387313.02899999998</v>
      </c>
    </row>
    <row r="183" spans="1:9" x14ac:dyDescent="0.25">
      <c r="A183" s="117">
        <v>182</v>
      </c>
      <c r="B183" s="118">
        <v>41540</v>
      </c>
      <c r="C183" s="119" t="s">
        <v>106</v>
      </c>
      <c r="D183" s="119" t="s">
        <v>31</v>
      </c>
      <c r="E183" s="119" t="s">
        <v>108</v>
      </c>
      <c r="F183" s="120">
        <v>-3</v>
      </c>
      <c r="G183" s="119"/>
      <c r="H183" s="118">
        <v>41540</v>
      </c>
      <c r="I183" s="120">
        <v>387310.02899999998</v>
      </c>
    </row>
    <row r="184" spans="1:9" x14ac:dyDescent="0.25">
      <c r="A184" s="117">
        <v>183</v>
      </c>
      <c r="B184" s="118">
        <v>41542</v>
      </c>
      <c r="C184" s="119" t="s">
        <v>127</v>
      </c>
      <c r="D184" s="119" t="s">
        <v>31</v>
      </c>
      <c r="E184" s="119" t="s">
        <v>31</v>
      </c>
      <c r="F184" s="120">
        <v>-328000</v>
      </c>
      <c r="G184" s="119"/>
      <c r="H184" s="118">
        <v>41542</v>
      </c>
      <c r="I184" s="120">
        <v>59310.029000000002</v>
      </c>
    </row>
    <row r="185" spans="1:9" x14ac:dyDescent="0.25">
      <c r="A185" s="117">
        <v>184</v>
      </c>
      <c r="B185" s="118">
        <v>41543</v>
      </c>
      <c r="C185" s="119" t="s">
        <v>114</v>
      </c>
      <c r="D185" s="119" t="s">
        <v>299</v>
      </c>
      <c r="E185" s="119" t="s">
        <v>31</v>
      </c>
      <c r="F185" s="120">
        <v>-372</v>
      </c>
      <c r="G185" s="119"/>
      <c r="H185" s="118">
        <v>41543</v>
      </c>
      <c r="I185" s="120">
        <v>58938.029000000002</v>
      </c>
    </row>
    <row r="186" spans="1:9" x14ac:dyDescent="0.25">
      <c r="A186" s="117">
        <v>185</v>
      </c>
      <c r="B186" s="118">
        <v>41543</v>
      </c>
      <c r="C186" s="119" t="s">
        <v>109</v>
      </c>
      <c r="D186" s="119" t="s">
        <v>300</v>
      </c>
      <c r="E186" s="119" t="s">
        <v>31</v>
      </c>
      <c r="F186" s="120">
        <v>-599</v>
      </c>
      <c r="G186" s="119"/>
      <c r="H186" s="118">
        <v>41543</v>
      </c>
      <c r="I186" s="120">
        <v>58339.029000000002</v>
      </c>
    </row>
    <row r="187" spans="1:9" x14ac:dyDescent="0.25">
      <c r="A187" s="117">
        <v>186</v>
      </c>
      <c r="B187" s="118">
        <v>41547</v>
      </c>
      <c r="C187" s="119" t="s">
        <v>112</v>
      </c>
      <c r="D187" s="119" t="s">
        <v>31</v>
      </c>
      <c r="E187" s="119" t="s">
        <v>301</v>
      </c>
      <c r="F187" s="119"/>
      <c r="G187" s="120">
        <v>3878000</v>
      </c>
      <c r="H187" s="118">
        <v>41547</v>
      </c>
      <c r="I187" s="120">
        <v>3936339.0290000001</v>
      </c>
    </row>
    <row r="188" spans="1:9" x14ac:dyDescent="0.25">
      <c r="A188" s="117">
        <v>187</v>
      </c>
      <c r="B188" s="118">
        <v>41547</v>
      </c>
      <c r="C188" s="119" t="s">
        <v>109</v>
      </c>
      <c r="D188" s="119" t="s">
        <v>302</v>
      </c>
      <c r="E188" s="119" t="s">
        <v>31</v>
      </c>
      <c r="F188" s="120">
        <v>-86.5</v>
      </c>
      <c r="G188" s="119"/>
      <c r="H188" s="118">
        <v>41547</v>
      </c>
      <c r="I188" s="120">
        <v>3936252.5290000001</v>
      </c>
    </row>
    <row r="189" spans="1:9" x14ac:dyDescent="0.25">
      <c r="A189" s="117">
        <v>188</v>
      </c>
      <c r="B189" s="118">
        <v>41547</v>
      </c>
      <c r="C189" s="119" t="s">
        <v>109</v>
      </c>
      <c r="D189" s="119" t="s">
        <v>303</v>
      </c>
      <c r="E189" s="119" t="s">
        <v>31</v>
      </c>
      <c r="F189" s="120">
        <v>-400</v>
      </c>
      <c r="G189" s="119"/>
      <c r="H189" s="118">
        <v>41547</v>
      </c>
      <c r="I189" s="120">
        <v>3935852.5290000001</v>
      </c>
    </row>
    <row r="190" spans="1:9" x14ac:dyDescent="0.25">
      <c r="A190" s="117">
        <v>189</v>
      </c>
      <c r="B190" s="118">
        <v>41547</v>
      </c>
      <c r="C190" s="119" t="s">
        <v>125</v>
      </c>
      <c r="D190" s="119" t="s">
        <v>304</v>
      </c>
      <c r="E190" s="119" t="s">
        <v>31</v>
      </c>
      <c r="F190" s="120">
        <v>-1097.25</v>
      </c>
      <c r="G190" s="119"/>
      <c r="H190" s="118">
        <v>41547</v>
      </c>
      <c r="I190" s="120">
        <v>3934755.2790000001</v>
      </c>
    </row>
    <row r="191" spans="1:9" ht="15.75" thickBot="1" x14ac:dyDescent="0.3">
      <c r="A191" s="121">
        <v>190</v>
      </c>
      <c r="B191" s="122">
        <v>41547</v>
      </c>
      <c r="C191" s="123" t="s">
        <v>125</v>
      </c>
      <c r="D191" s="123" t="s">
        <v>305</v>
      </c>
      <c r="E191" s="123" t="s">
        <v>31</v>
      </c>
      <c r="F191" s="124">
        <v>-1097.25</v>
      </c>
      <c r="G191" s="123"/>
      <c r="H191" s="122">
        <v>41547</v>
      </c>
      <c r="I191" s="124">
        <v>3933658.0290000001</v>
      </c>
    </row>
    <row r="192" spans="1:9" x14ac:dyDescent="0.25">
      <c r="A192" s="125">
        <v>191</v>
      </c>
      <c r="B192" s="126">
        <v>41548</v>
      </c>
      <c r="C192" s="127" t="s">
        <v>127</v>
      </c>
      <c r="D192" s="127" t="s">
        <v>31</v>
      </c>
      <c r="E192" s="127" t="s">
        <v>306</v>
      </c>
      <c r="F192" s="128">
        <v>-3878000</v>
      </c>
      <c r="G192" s="127"/>
      <c r="H192" s="126">
        <v>41548</v>
      </c>
      <c r="I192" s="128">
        <v>55658.029000000002</v>
      </c>
    </row>
    <row r="193" spans="1:9" x14ac:dyDescent="0.25">
      <c r="A193" s="129">
        <v>192</v>
      </c>
      <c r="B193" s="130">
        <v>41549</v>
      </c>
      <c r="C193" s="131" t="s">
        <v>104</v>
      </c>
      <c r="D193" s="131" t="s">
        <v>307</v>
      </c>
      <c r="E193" s="131" t="s">
        <v>31</v>
      </c>
      <c r="F193" s="132">
        <v>-240</v>
      </c>
      <c r="G193" s="131"/>
      <c r="H193" s="130">
        <v>41549</v>
      </c>
      <c r="I193" s="132">
        <v>55418.029000000002</v>
      </c>
    </row>
    <row r="194" spans="1:9" x14ac:dyDescent="0.25">
      <c r="A194" s="129">
        <v>193</v>
      </c>
      <c r="B194" s="130">
        <v>41549</v>
      </c>
      <c r="C194" s="131" t="s">
        <v>104</v>
      </c>
      <c r="D194" s="131" t="s">
        <v>308</v>
      </c>
      <c r="E194" s="131" t="s">
        <v>31</v>
      </c>
      <c r="F194" s="132">
        <v>-250</v>
      </c>
      <c r="G194" s="131"/>
      <c r="H194" s="130">
        <v>41549</v>
      </c>
      <c r="I194" s="132">
        <v>55168.029000000002</v>
      </c>
    </row>
    <row r="195" spans="1:9" x14ac:dyDescent="0.25">
      <c r="A195" s="129">
        <v>194</v>
      </c>
      <c r="B195" s="130">
        <v>41550</v>
      </c>
      <c r="C195" s="131" t="s">
        <v>109</v>
      </c>
      <c r="D195" s="131" t="s">
        <v>309</v>
      </c>
      <c r="E195" s="131" t="s">
        <v>31</v>
      </c>
      <c r="F195" s="132">
        <v>-570</v>
      </c>
      <c r="G195" s="131"/>
      <c r="H195" s="130">
        <v>41550</v>
      </c>
      <c r="I195" s="132">
        <v>54598.029000000002</v>
      </c>
    </row>
    <row r="196" spans="1:9" x14ac:dyDescent="0.25">
      <c r="A196" s="129">
        <v>195</v>
      </c>
      <c r="B196" s="130">
        <v>41554</v>
      </c>
      <c r="C196" s="131" t="s">
        <v>109</v>
      </c>
      <c r="D196" s="131" t="s">
        <v>310</v>
      </c>
      <c r="E196" s="131" t="s">
        <v>31</v>
      </c>
      <c r="F196" s="132">
        <v>-137.41</v>
      </c>
      <c r="G196" s="131"/>
      <c r="H196" s="130">
        <v>41554</v>
      </c>
      <c r="I196" s="132">
        <v>54460.618999999999</v>
      </c>
    </row>
    <row r="197" spans="1:9" x14ac:dyDescent="0.25">
      <c r="A197" s="129">
        <v>196</v>
      </c>
      <c r="B197" s="130">
        <v>41560</v>
      </c>
      <c r="C197" s="131" t="s">
        <v>104</v>
      </c>
      <c r="D197" s="131" t="s">
        <v>311</v>
      </c>
      <c r="E197" s="131" t="s">
        <v>31</v>
      </c>
      <c r="F197" s="132">
        <v>-800</v>
      </c>
      <c r="G197" s="131"/>
      <c r="H197" s="130">
        <v>41560</v>
      </c>
      <c r="I197" s="132">
        <v>53660.618999999999</v>
      </c>
    </row>
    <row r="198" spans="1:9" x14ac:dyDescent="0.25">
      <c r="A198" s="129">
        <v>197</v>
      </c>
      <c r="B198" s="130">
        <v>41560</v>
      </c>
      <c r="C198" s="131" t="s">
        <v>104</v>
      </c>
      <c r="D198" s="131" t="s">
        <v>312</v>
      </c>
      <c r="E198" s="131" t="s">
        <v>31</v>
      </c>
      <c r="F198" s="132">
        <v>-940</v>
      </c>
      <c r="G198" s="131"/>
      <c r="H198" s="130">
        <v>41560</v>
      </c>
      <c r="I198" s="132">
        <v>52720.618999999999</v>
      </c>
    </row>
    <row r="199" spans="1:9" x14ac:dyDescent="0.25">
      <c r="A199" s="129">
        <v>198</v>
      </c>
      <c r="B199" s="130">
        <v>41570</v>
      </c>
      <c r="C199" s="131" t="s">
        <v>106</v>
      </c>
      <c r="D199" s="131" t="s">
        <v>31</v>
      </c>
      <c r="E199" s="131" t="s">
        <v>313</v>
      </c>
      <c r="F199" s="132">
        <v>-15</v>
      </c>
      <c r="G199" s="131"/>
      <c r="H199" s="130">
        <v>41570</v>
      </c>
      <c r="I199" s="132">
        <v>52705.618999999999</v>
      </c>
    </row>
    <row r="200" spans="1:9" x14ac:dyDescent="0.25">
      <c r="A200" s="129">
        <v>199</v>
      </c>
      <c r="B200" s="130">
        <v>41570</v>
      </c>
      <c r="C200" s="131" t="s">
        <v>119</v>
      </c>
      <c r="D200" s="131" t="s">
        <v>314</v>
      </c>
      <c r="E200" s="131" t="s">
        <v>314</v>
      </c>
      <c r="F200" s="132">
        <v>-280</v>
      </c>
      <c r="G200" s="131"/>
      <c r="H200" s="130">
        <v>41570</v>
      </c>
      <c r="I200" s="132">
        <v>52425.618999999999</v>
      </c>
    </row>
    <row r="201" spans="1:9" x14ac:dyDescent="0.25">
      <c r="A201" s="129">
        <v>200</v>
      </c>
      <c r="B201" s="130">
        <v>41570</v>
      </c>
      <c r="C201" s="131" t="s">
        <v>121</v>
      </c>
      <c r="D201" s="131" t="s">
        <v>314</v>
      </c>
      <c r="E201" s="131" t="s">
        <v>314</v>
      </c>
      <c r="F201" s="132">
        <v>-5</v>
      </c>
      <c r="G201" s="131"/>
      <c r="H201" s="130">
        <v>41570</v>
      </c>
      <c r="I201" s="132">
        <v>52420.618999999999</v>
      </c>
    </row>
    <row r="202" spans="1:9" x14ac:dyDescent="0.25">
      <c r="A202" s="129">
        <v>201</v>
      </c>
      <c r="B202" s="130">
        <v>41570</v>
      </c>
      <c r="C202" s="131" t="s">
        <v>106</v>
      </c>
      <c r="D202" s="131" t="s">
        <v>31</v>
      </c>
      <c r="E202" s="131" t="s">
        <v>315</v>
      </c>
      <c r="F202" s="132">
        <v>-1868.777</v>
      </c>
      <c r="G202" s="131"/>
      <c r="H202" s="130">
        <v>41570</v>
      </c>
      <c r="I202" s="132">
        <v>50551.841999999997</v>
      </c>
    </row>
    <row r="203" spans="1:9" x14ac:dyDescent="0.25">
      <c r="A203" s="129">
        <v>202</v>
      </c>
      <c r="B203" s="130">
        <v>41570</v>
      </c>
      <c r="C203" s="131" t="s">
        <v>106</v>
      </c>
      <c r="D203" s="131" t="s">
        <v>31</v>
      </c>
      <c r="E203" s="131" t="s">
        <v>108</v>
      </c>
      <c r="F203" s="132">
        <v>-3</v>
      </c>
      <c r="G203" s="131"/>
      <c r="H203" s="130">
        <v>41570</v>
      </c>
      <c r="I203" s="132">
        <v>50548.841999999997</v>
      </c>
    </row>
    <row r="204" spans="1:9" x14ac:dyDescent="0.25">
      <c r="A204" s="129">
        <v>203</v>
      </c>
      <c r="B204" s="130">
        <v>41575</v>
      </c>
      <c r="C204" s="131" t="s">
        <v>104</v>
      </c>
      <c r="D204" s="131" t="s">
        <v>316</v>
      </c>
      <c r="E204" s="131" t="s">
        <v>31</v>
      </c>
      <c r="F204" s="132">
        <v>-725</v>
      </c>
      <c r="G204" s="131"/>
      <c r="H204" s="130">
        <v>41575</v>
      </c>
      <c r="I204" s="132">
        <v>49823.841999999997</v>
      </c>
    </row>
    <row r="205" spans="1:9" x14ac:dyDescent="0.25">
      <c r="A205" s="129">
        <v>204</v>
      </c>
      <c r="B205" s="130">
        <v>41576</v>
      </c>
      <c r="C205" s="131" t="s">
        <v>127</v>
      </c>
      <c r="D205" s="131" t="s">
        <v>31</v>
      </c>
      <c r="E205" s="131" t="s">
        <v>31</v>
      </c>
      <c r="F205" s="132">
        <v>-386.4</v>
      </c>
      <c r="G205" s="131"/>
      <c r="H205" s="130">
        <v>41576</v>
      </c>
      <c r="I205" s="132">
        <v>49437.442000000003</v>
      </c>
    </row>
    <row r="206" spans="1:9" x14ac:dyDescent="0.25">
      <c r="A206" s="129">
        <v>205</v>
      </c>
      <c r="B206" s="130">
        <v>41577</v>
      </c>
      <c r="C206" s="131" t="s">
        <v>109</v>
      </c>
      <c r="D206" s="131" t="s">
        <v>317</v>
      </c>
      <c r="E206" s="131" t="s">
        <v>31</v>
      </c>
      <c r="F206" s="132">
        <v>-309.91000000000003</v>
      </c>
      <c r="G206" s="131"/>
      <c r="H206" s="130">
        <v>41577</v>
      </c>
      <c r="I206" s="132">
        <v>49127.531999999999</v>
      </c>
    </row>
    <row r="207" spans="1:9" x14ac:dyDescent="0.25">
      <c r="A207" s="129">
        <v>206</v>
      </c>
      <c r="B207" s="130">
        <v>41578</v>
      </c>
      <c r="C207" s="131" t="s">
        <v>114</v>
      </c>
      <c r="D207" s="131" t="s">
        <v>318</v>
      </c>
      <c r="E207" s="131" t="s">
        <v>319</v>
      </c>
      <c r="F207" s="132">
        <v>-200</v>
      </c>
      <c r="G207" s="131"/>
      <c r="H207" s="130">
        <v>41578</v>
      </c>
      <c r="I207" s="132">
        <v>48927.531999999999</v>
      </c>
    </row>
    <row r="208" spans="1:9" ht="15.75" thickBot="1" x14ac:dyDescent="0.3">
      <c r="A208" s="133">
        <v>207</v>
      </c>
      <c r="B208" s="134">
        <v>41578</v>
      </c>
      <c r="C208" s="135" t="s">
        <v>109</v>
      </c>
      <c r="D208" s="135" t="s">
        <v>320</v>
      </c>
      <c r="E208" s="135" t="s">
        <v>31</v>
      </c>
      <c r="F208" s="136">
        <v>-570</v>
      </c>
      <c r="G208" s="135"/>
      <c r="H208" s="134">
        <v>41578</v>
      </c>
      <c r="I208" s="136">
        <v>48357.531999999999</v>
      </c>
    </row>
    <row r="209" spans="1:9" x14ac:dyDescent="0.25">
      <c r="A209" s="137">
        <v>208</v>
      </c>
      <c r="B209" s="138">
        <v>41581</v>
      </c>
      <c r="C209" s="139" t="s">
        <v>104</v>
      </c>
      <c r="D209" s="139" t="s">
        <v>321</v>
      </c>
      <c r="E209" s="139" t="s">
        <v>31</v>
      </c>
      <c r="F209" s="140">
        <v>-680</v>
      </c>
      <c r="G209" s="139"/>
      <c r="H209" s="138">
        <v>41581</v>
      </c>
      <c r="I209" s="140">
        <v>47677.531999999999</v>
      </c>
    </row>
    <row r="210" spans="1:9" x14ac:dyDescent="0.25">
      <c r="A210" s="117">
        <v>209</v>
      </c>
      <c r="B210" s="118">
        <v>41581</v>
      </c>
      <c r="C210" s="119" t="s">
        <v>104</v>
      </c>
      <c r="D210" s="119" t="s">
        <v>322</v>
      </c>
      <c r="E210" s="119" t="s">
        <v>31</v>
      </c>
      <c r="F210" s="120">
        <v>-120</v>
      </c>
      <c r="G210" s="119"/>
      <c r="H210" s="118">
        <v>41581</v>
      </c>
      <c r="I210" s="120">
        <v>47557.531999999999</v>
      </c>
    </row>
    <row r="211" spans="1:9" x14ac:dyDescent="0.25">
      <c r="A211" s="117">
        <v>210</v>
      </c>
      <c r="B211" s="118">
        <v>41581</v>
      </c>
      <c r="C211" s="119" t="s">
        <v>104</v>
      </c>
      <c r="D211" s="119" t="s">
        <v>323</v>
      </c>
      <c r="E211" s="119" t="s">
        <v>31</v>
      </c>
      <c r="F211" s="120">
        <v>-540.29999999999995</v>
      </c>
      <c r="G211" s="119"/>
      <c r="H211" s="118">
        <v>41581</v>
      </c>
      <c r="I211" s="120">
        <v>47017.232000000004</v>
      </c>
    </row>
    <row r="212" spans="1:9" x14ac:dyDescent="0.25">
      <c r="A212" s="117">
        <v>211</v>
      </c>
      <c r="B212" s="118">
        <v>41585</v>
      </c>
      <c r="C212" s="119" t="s">
        <v>114</v>
      </c>
      <c r="D212" s="119" t="s">
        <v>324</v>
      </c>
      <c r="E212" s="119" t="s">
        <v>325</v>
      </c>
      <c r="F212" s="120">
        <v>-130</v>
      </c>
      <c r="G212" s="119"/>
      <c r="H212" s="118">
        <v>41585</v>
      </c>
      <c r="I212" s="120">
        <v>46887.232000000004</v>
      </c>
    </row>
    <row r="213" spans="1:9" x14ac:dyDescent="0.25">
      <c r="A213" s="117">
        <v>212</v>
      </c>
      <c r="B213" s="118">
        <v>41585</v>
      </c>
      <c r="C213" s="119" t="s">
        <v>104</v>
      </c>
      <c r="D213" s="119" t="s">
        <v>326</v>
      </c>
      <c r="E213" s="119" t="s">
        <v>31</v>
      </c>
      <c r="F213" s="120">
        <v>-600</v>
      </c>
      <c r="G213" s="119"/>
      <c r="H213" s="118">
        <v>41585</v>
      </c>
      <c r="I213" s="120">
        <v>46287.232000000004</v>
      </c>
    </row>
    <row r="214" spans="1:9" x14ac:dyDescent="0.25">
      <c r="A214" s="117">
        <v>213</v>
      </c>
      <c r="B214" s="118">
        <v>41588</v>
      </c>
      <c r="C214" s="119" t="s">
        <v>216</v>
      </c>
      <c r="D214" s="119" t="s">
        <v>31</v>
      </c>
      <c r="E214" s="119" t="s">
        <v>31</v>
      </c>
      <c r="F214" s="120">
        <v>-4.5</v>
      </c>
      <c r="G214" s="119"/>
      <c r="H214" s="118">
        <v>41588</v>
      </c>
      <c r="I214" s="120">
        <v>46282.732000000004</v>
      </c>
    </row>
    <row r="215" spans="1:9" x14ac:dyDescent="0.25">
      <c r="A215" s="117">
        <v>214</v>
      </c>
      <c r="B215" s="118">
        <v>41588</v>
      </c>
      <c r="C215" s="119" t="s">
        <v>114</v>
      </c>
      <c r="D215" s="119" t="s">
        <v>327</v>
      </c>
      <c r="E215" s="119" t="s">
        <v>31</v>
      </c>
      <c r="F215" s="120">
        <v>-1097.25</v>
      </c>
      <c r="G215" s="119"/>
      <c r="H215" s="118">
        <v>41588</v>
      </c>
      <c r="I215" s="120">
        <v>45185.482000000004</v>
      </c>
    </row>
    <row r="216" spans="1:9" x14ac:dyDescent="0.25">
      <c r="A216" s="117">
        <v>215</v>
      </c>
      <c r="B216" s="118">
        <v>41591</v>
      </c>
      <c r="C216" s="119" t="s">
        <v>125</v>
      </c>
      <c r="D216" s="119" t="s">
        <v>328</v>
      </c>
      <c r="E216" s="119" t="s">
        <v>31</v>
      </c>
      <c r="F216" s="120">
        <v>-2250</v>
      </c>
      <c r="G216" s="119"/>
      <c r="H216" s="118">
        <v>41591</v>
      </c>
      <c r="I216" s="120">
        <v>42935.482000000004</v>
      </c>
    </row>
    <row r="217" spans="1:9" x14ac:dyDescent="0.25">
      <c r="A217" s="117">
        <v>216</v>
      </c>
      <c r="B217" s="118">
        <v>41595</v>
      </c>
      <c r="C217" s="119" t="s">
        <v>114</v>
      </c>
      <c r="D217" s="119" t="s">
        <v>329</v>
      </c>
      <c r="E217" s="119" t="s">
        <v>330</v>
      </c>
      <c r="F217" s="120">
        <v>-67.5</v>
      </c>
      <c r="G217" s="119"/>
      <c r="H217" s="118">
        <v>41595</v>
      </c>
      <c r="I217" s="120">
        <v>42867.982000000004</v>
      </c>
    </row>
    <row r="218" spans="1:9" x14ac:dyDescent="0.25">
      <c r="A218" s="117">
        <v>217</v>
      </c>
      <c r="B218" s="118">
        <v>41596</v>
      </c>
      <c r="C218" s="119" t="s">
        <v>147</v>
      </c>
      <c r="D218" s="119" t="s">
        <v>331</v>
      </c>
      <c r="E218" s="119" t="s">
        <v>332</v>
      </c>
      <c r="F218" s="120">
        <v>-5181.8119999999999</v>
      </c>
      <c r="G218" s="119"/>
      <c r="H218" s="118">
        <v>41596</v>
      </c>
      <c r="I218" s="120">
        <v>37686.17</v>
      </c>
    </row>
    <row r="219" spans="1:9" x14ac:dyDescent="0.25">
      <c r="A219" s="117">
        <v>218</v>
      </c>
      <c r="B219" s="118">
        <v>41598</v>
      </c>
      <c r="C219" s="119" t="s">
        <v>114</v>
      </c>
      <c r="D219" s="119" t="s">
        <v>333</v>
      </c>
      <c r="E219" s="119" t="s">
        <v>334</v>
      </c>
      <c r="F219" s="120">
        <v>-857</v>
      </c>
      <c r="G219" s="119"/>
      <c r="H219" s="118">
        <v>41598</v>
      </c>
      <c r="I219" s="120">
        <v>36829.17</v>
      </c>
    </row>
    <row r="220" spans="1:9" x14ac:dyDescent="0.25">
      <c r="A220" s="117">
        <v>219</v>
      </c>
      <c r="B220" s="118">
        <v>41598</v>
      </c>
      <c r="C220" s="119" t="s">
        <v>125</v>
      </c>
      <c r="D220" s="119" t="s">
        <v>335</v>
      </c>
      <c r="E220" s="119" t="s">
        <v>31</v>
      </c>
      <c r="F220" s="120">
        <v>-180</v>
      </c>
      <c r="G220" s="119"/>
      <c r="H220" s="118">
        <v>41598</v>
      </c>
      <c r="I220" s="120">
        <v>36649.17</v>
      </c>
    </row>
    <row r="221" spans="1:9" x14ac:dyDescent="0.25">
      <c r="A221" s="117">
        <v>220</v>
      </c>
      <c r="B221" s="118">
        <v>41598</v>
      </c>
      <c r="C221" s="119" t="s">
        <v>336</v>
      </c>
      <c r="D221" s="119" t="s">
        <v>335</v>
      </c>
      <c r="E221" s="119" t="s">
        <v>31</v>
      </c>
      <c r="F221" s="119"/>
      <c r="G221" s="120">
        <v>180</v>
      </c>
      <c r="H221" s="118">
        <v>41598</v>
      </c>
      <c r="I221" s="120">
        <v>36829.17</v>
      </c>
    </row>
    <row r="222" spans="1:9" x14ac:dyDescent="0.25">
      <c r="A222" s="117">
        <v>221</v>
      </c>
      <c r="B222" s="118">
        <v>41598</v>
      </c>
      <c r="C222" s="119" t="s">
        <v>114</v>
      </c>
      <c r="D222" s="119" t="s">
        <v>337</v>
      </c>
      <c r="E222" s="119" t="s">
        <v>319</v>
      </c>
      <c r="F222" s="120">
        <v>-270</v>
      </c>
      <c r="G222" s="119"/>
      <c r="H222" s="118">
        <v>41598</v>
      </c>
      <c r="I222" s="120">
        <v>36559.17</v>
      </c>
    </row>
    <row r="223" spans="1:9" x14ac:dyDescent="0.25">
      <c r="A223" s="117">
        <v>222</v>
      </c>
      <c r="B223" s="118">
        <v>41598</v>
      </c>
      <c r="C223" s="119" t="s">
        <v>114</v>
      </c>
      <c r="D223" s="119" t="s">
        <v>335</v>
      </c>
      <c r="E223" s="119" t="s">
        <v>319</v>
      </c>
      <c r="F223" s="120">
        <v>-180</v>
      </c>
      <c r="G223" s="119"/>
      <c r="H223" s="118">
        <v>41598</v>
      </c>
      <c r="I223" s="120">
        <v>36379.17</v>
      </c>
    </row>
    <row r="224" spans="1:9" x14ac:dyDescent="0.25">
      <c r="A224" s="117">
        <v>223</v>
      </c>
      <c r="B224" s="118">
        <v>41599</v>
      </c>
      <c r="C224" s="119" t="s">
        <v>109</v>
      </c>
      <c r="D224" s="119" t="s">
        <v>338</v>
      </c>
      <c r="E224" s="119" t="s">
        <v>31</v>
      </c>
      <c r="F224" s="120">
        <v>-64.38</v>
      </c>
      <c r="G224" s="119"/>
      <c r="H224" s="118">
        <v>41599</v>
      </c>
      <c r="I224" s="120">
        <v>36314.79</v>
      </c>
    </row>
    <row r="225" spans="1:9" x14ac:dyDescent="0.25">
      <c r="A225" s="117">
        <v>224</v>
      </c>
      <c r="B225" s="118">
        <v>41599</v>
      </c>
      <c r="C225" s="119" t="s">
        <v>106</v>
      </c>
      <c r="D225" s="119" t="s">
        <v>31</v>
      </c>
      <c r="E225" s="119" t="s">
        <v>339</v>
      </c>
      <c r="F225" s="120">
        <v>-1864</v>
      </c>
      <c r="G225" s="119"/>
      <c r="H225" s="118">
        <v>41599</v>
      </c>
      <c r="I225" s="120">
        <v>34450.79</v>
      </c>
    </row>
    <row r="226" spans="1:9" x14ac:dyDescent="0.25">
      <c r="A226" s="117">
        <v>225</v>
      </c>
      <c r="B226" s="118">
        <v>41599</v>
      </c>
      <c r="C226" s="119" t="s">
        <v>106</v>
      </c>
      <c r="D226" s="119" t="s">
        <v>31</v>
      </c>
      <c r="E226" s="119" t="s">
        <v>108</v>
      </c>
      <c r="F226" s="120">
        <v>-3</v>
      </c>
      <c r="G226" s="119"/>
      <c r="H226" s="118">
        <v>41599</v>
      </c>
      <c r="I226" s="120">
        <v>34447.79</v>
      </c>
    </row>
    <row r="227" spans="1:9" x14ac:dyDescent="0.25">
      <c r="A227" s="117">
        <v>226</v>
      </c>
      <c r="B227" s="118">
        <v>41599</v>
      </c>
      <c r="C227" s="119" t="s">
        <v>119</v>
      </c>
      <c r="D227" s="119" t="s">
        <v>340</v>
      </c>
      <c r="E227" s="119" t="s">
        <v>340</v>
      </c>
      <c r="F227" s="120">
        <v>-160</v>
      </c>
      <c r="G227" s="119"/>
      <c r="H227" s="118">
        <v>41599</v>
      </c>
      <c r="I227" s="120">
        <v>34287.79</v>
      </c>
    </row>
    <row r="228" spans="1:9" x14ac:dyDescent="0.25">
      <c r="A228" s="117">
        <v>227</v>
      </c>
      <c r="B228" s="118">
        <v>41599</v>
      </c>
      <c r="C228" s="119" t="s">
        <v>121</v>
      </c>
      <c r="D228" s="119" t="s">
        <v>340</v>
      </c>
      <c r="E228" s="119" t="s">
        <v>340</v>
      </c>
      <c r="F228" s="120">
        <v>-5</v>
      </c>
      <c r="G228" s="119"/>
      <c r="H228" s="118">
        <v>41599</v>
      </c>
      <c r="I228" s="120">
        <v>34282.79</v>
      </c>
    </row>
    <row r="229" spans="1:9" x14ac:dyDescent="0.25">
      <c r="A229" s="117">
        <v>228</v>
      </c>
      <c r="B229" s="118">
        <v>41605</v>
      </c>
      <c r="C229" s="119" t="s">
        <v>109</v>
      </c>
      <c r="D229" s="119" t="s">
        <v>341</v>
      </c>
      <c r="E229" s="119" t="s">
        <v>31</v>
      </c>
      <c r="F229" s="120">
        <v>-161.53</v>
      </c>
      <c r="G229" s="119"/>
      <c r="H229" s="118">
        <v>41605</v>
      </c>
      <c r="I229" s="120">
        <v>34121.26</v>
      </c>
    </row>
    <row r="230" spans="1:9" x14ac:dyDescent="0.25">
      <c r="A230" s="117">
        <v>229</v>
      </c>
      <c r="B230" s="118">
        <v>41605</v>
      </c>
      <c r="C230" s="119" t="s">
        <v>125</v>
      </c>
      <c r="D230" s="119" t="s">
        <v>342</v>
      </c>
      <c r="E230" s="119" t="s">
        <v>31</v>
      </c>
      <c r="F230" s="120">
        <v>-209</v>
      </c>
      <c r="G230" s="119"/>
      <c r="H230" s="118">
        <v>41605</v>
      </c>
      <c r="I230" s="120">
        <v>33912.26</v>
      </c>
    </row>
    <row r="231" spans="1:9" x14ac:dyDescent="0.25">
      <c r="A231" s="117">
        <v>230</v>
      </c>
      <c r="B231" s="118">
        <v>41606</v>
      </c>
      <c r="C231" s="119" t="s">
        <v>125</v>
      </c>
      <c r="D231" s="119" t="s">
        <v>343</v>
      </c>
      <c r="E231" s="119" t="s">
        <v>31</v>
      </c>
      <c r="F231" s="120">
        <v>-119.79</v>
      </c>
      <c r="G231" s="119"/>
      <c r="H231" s="118">
        <v>41606</v>
      </c>
      <c r="I231" s="120">
        <v>33792.47</v>
      </c>
    </row>
    <row r="232" spans="1:9" ht="15.75" thickBot="1" x14ac:dyDescent="0.3">
      <c r="A232" s="121">
        <v>231</v>
      </c>
      <c r="B232" s="122">
        <v>41606</v>
      </c>
      <c r="C232" s="123" t="s">
        <v>125</v>
      </c>
      <c r="D232" s="123" t="s">
        <v>344</v>
      </c>
      <c r="E232" s="123" t="s">
        <v>31</v>
      </c>
      <c r="F232" s="124">
        <v>-129.6</v>
      </c>
      <c r="G232" s="123"/>
      <c r="H232" s="122">
        <v>41606</v>
      </c>
      <c r="I232" s="124">
        <v>33662.870000000003</v>
      </c>
    </row>
    <row r="233" spans="1:9" x14ac:dyDescent="0.25">
      <c r="A233" s="125">
        <v>232</v>
      </c>
      <c r="B233" s="126">
        <v>41609</v>
      </c>
      <c r="C233" s="127" t="s">
        <v>114</v>
      </c>
      <c r="D233" s="127" t="s">
        <v>345</v>
      </c>
      <c r="E233" s="127" t="s">
        <v>346</v>
      </c>
      <c r="F233" s="128">
        <v>-60</v>
      </c>
      <c r="G233" s="127"/>
      <c r="H233" s="126">
        <v>41609</v>
      </c>
      <c r="I233" s="128">
        <v>33602.870000000003</v>
      </c>
    </row>
    <row r="234" spans="1:9" x14ac:dyDescent="0.25">
      <c r="A234" s="129">
        <v>233</v>
      </c>
      <c r="B234" s="130">
        <v>41609</v>
      </c>
      <c r="C234" s="131" t="s">
        <v>104</v>
      </c>
      <c r="D234" s="131" t="s">
        <v>347</v>
      </c>
      <c r="E234" s="131" t="s">
        <v>31</v>
      </c>
      <c r="F234" s="132">
        <v>-3094</v>
      </c>
      <c r="G234" s="131"/>
      <c r="H234" s="130">
        <v>41609</v>
      </c>
      <c r="I234" s="132">
        <v>30508.87</v>
      </c>
    </row>
    <row r="235" spans="1:9" x14ac:dyDescent="0.25">
      <c r="A235" s="129">
        <v>234</v>
      </c>
      <c r="B235" s="130">
        <v>41610</v>
      </c>
      <c r="C235" s="131" t="s">
        <v>104</v>
      </c>
      <c r="D235" s="131" t="s">
        <v>348</v>
      </c>
      <c r="E235" s="131" t="s">
        <v>31</v>
      </c>
      <c r="F235" s="132">
        <v>-600</v>
      </c>
      <c r="G235" s="131"/>
      <c r="H235" s="130">
        <v>41610</v>
      </c>
      <c r="I235" s="132">
        <v>29908.87</v>
      </c>
    </row>
    <row r="236" spans="1:9" x14ac:dyDescent="0.25">
      <c r="A236" s="129">
        <v>235</v>
      </c>
      <c r="B236" s="130">
        <v>41611</v>
      </c>
      <c r="C236" s="131" t="s">
        <v>125</v>
      </c>
      <c r="D236" s="131" t="s">
        <v>349</v>
      </c>
      <c r="E236" s="131" t="s">
        <v>31</v>
      </c>
      <c r="F236" s="132">
        <v>-1620.07</v>
      </c>
      <c r="G236" s="131"/>
      <c r="H236" s="130">
        <v>41611</v>
      </c>
      <c r="I236" s="132">
        <v>28288.799999999999</v>
      </c>
    </row>
    <row r="237" spans="1:9" x14ac:dyDescent="0.25">
      <c r="A237" s="129">
        <v>236</v>
      </c>
      <c r="B237" s="130">
        <v>41612</v>
      </c>
      <c r="C237" s="131" t="s">
        <v>109</v>
      </c>
      <c r="D237" s="131" t="s">
        <v>350</v>
      </c>
      <c r="E237" s="131" t="s">
        <v>31</v>
      </c>
      <c r="F237" s="132">
        <v>-570</v>
      </c>
      <c r="G237" s="131"/>
      <c r="H237" s="130">
        <v>41612</v>
      </c>
      <c r="I237" s="132">
        <v>27718.799999999999</v>
      </c>
    </row>
    <row r="238" spans="1:9" x14ac:dyDescent="0.25">
      <c r="A238" s="129">
        <v>237</v>
      </c>
      <c r="B238" s="130">
        <v>41612</v>
      </c>
      <c r="C238" s="131" t="s">
        <v>109</v>
      </c>
      <c r="D238" s="131" t="s">
        <v>351</v>
      </c>
      <c r="E238" s="131" t="s">
        <v>31</v>
      </c>
      <c r="F238" s="132">
        <v>-470</v>
      </c>
      <c r="G238" s="131"/>
      <c r="H238" s="130">
        <v>41612</v>
      </c>
      <c r="I238" s="132">
        <v>27248.799999999999</v>
      </c>
    </row>
    <row r="239" spans="1:9" x14ac:dyDescent="0.25">
      <c r="A239" s="129">
        <v>238</v>
      </c>
      <c r="B239" s="130">
        <v>41612</v>
      </c>
      <c r="C239" s="131" t="s">
        <v>109</v>
      </c>
      <c r="D239" s="131" t="s">
        <v>352</v>
      </c>
      <c r="E239" s="131" t="s">
        <v>31</v>
      </c>
      <c r="F239" s="132">
        <v>-165</v>
      </c>
      <c r="G239" s="131"/>
      <c r="H239" s="130">
        <v>41612</v>
      </c>
      <c r="I239" s="132">
        <v>27083.8</v>
      </c>
    </row>
    <row r="240" spans="1:9" x14ac:dyDescent="0.25">
      <c r="A240" s="129">
        <v>239</v>
      </c>
      <c r="B240" s="130">
        <v>41616</v>
      </c>
      <c r="C240" s="131" t="s">
        <v>127</v>
      </c>
      <c r="D240" s="131" t="s">
        <v>31</v>
      </c>
      <c r="E240" s="131" t="s">
        <v>31</v>
      </c>
      <c r="F240" s="132">
        <v>-181.7</v>
      </c>
      <c r="G240" s="131"/>
      <c r="H240" s="130">
        <v>41616</v>
      </c>
      <c r="I240" s="132">
        <v>26902.1</v>
      </c>
    </row>
    <row r="241" spans="1:9" x14ac:dyDescent="0.25">
      <c r="A241" s="129">
        <v>240</v>
      </c>
      <c r="B241" s="130">
        <v>41617</v>
      </c>
      <c r="C241" s="131" t="s">
        <v>114</v>
      </c>
      <c r="D241" s="131" t="s">
        <v>353</v>
      </c>
      <c r="E241" s="131" t="s">
        <v>354</v>
      </c>
      <c r="F241" s="132">
        <v>-423.29</v>
      </c>
      <c r="G241" s="131"/>
      <c r="H241" s="130">
        <v>41617</v>
      </c>
      <c r="I241" s="132">
        <v>26478.81</v>
      </c>
    </row>
    <row r="242" spans="1:9" x14ac:dyDescent="0.25">
      <c r="A242" s="129">
        <v>241</v>
      </c>
      <c r="B242" s="130">
        <v>41620</v>
      </c>
      <c r="C242" s="131" t="s">
        <v>125</v>
      </c>
      <c r="D242" s="131" t="s">
        <v>355</v>
      </c>
      <c r="E242" s="131" t="s">
        <v>31</v>
      </c>
      <c r="F242" s="132">
        <v>-2250</v>
      </c>
      <c r="G242" s="131"/>
      <c r="H242" s="130">
        <v>41620</v>
      </c>
      <c r="I242" s="132">
        <v>24228.81</v>
      </c>
    </row>
    <row r="243" spans="1:9" x14ac:dyDescent="0.25">
      <c r="A243" s="129">
        <v>242</v>
      </c>
      <c r="B243" s="130">
        <v>41623</v>
      </c>
      <c r="C243" s="131" t="s">
        <v>114</v>
      </c>
      <c r="D243" s="131" t="s">
        <v>356</v>
      </c>
      <c r="E243" s="131" t="s">
        <v>357</v>
      </c>
      <c r="F243" s="132">
        <v>-423.29</v>
      </c>
      <c r="G243" s="131"/>
      <c r="H243" s="130">
        <v>41623</v>
      </c>
      <c r="I243" s="132">
        <v>23805.52</v>
      </c>
    </row>
    <row r="244" spans="1:9" x14ac:dyDescent="0.25">
      <c r="A244" s="129">
        <v>243</v>
      </c>
      <c r="B244" s="130">
        <v>41624</v>
      </c>
      <c r="C244" s="131" t="s">
        <v>104</v>
      </c>
      <c r="D244" s="131" t="s">
        <v>358</v>
      </c>
      <c r="E244" s="131" t="s">
        <v>31</v>
      </c>
      <c r="F244" s="132">
        <v>-1460</v>
      </c>
      <c r="G244" s="131"/>
      <c r="H244" s="130">
        <v>41624</v>
      </c>
      <c r="I244" s="132">
        <v>22345.52</v>
      </c>
    </row>
    <row r="245" spans="1:9" x14ac:dyDescent="0.25">
      <c r="A245" s="129">
        <v>244</v>
      </c>
      <c r="B245" s="130">
        <v>41625</v>
      </c>
      <c r="C245" s="131" t="s">
        <v>104</v>
      </c>
      <c r="D245" s="131" t="s">
        <v>359</v>
      </c>
      <c r="E245" s="131" t="s">
        <v>31</v>
      </c>
      <c r="F245" s="132">
        <v>-500</v>
      </c>
      <c r="G245" s="131"/>
      <c r="H245" s="130">
        <v>41625</v>
      </c>
      <c r="I245" s="132">
        <v>21845.52</v>
      </c>
    </row>
    <row r="246" spans="1:9" x14ac:dyDescent="0.25">
      <c r="A246" s="129">
        <v>245</v>
      </c>
      <c r="B246" s="130">
        <v>41631</v>
      </c>
      <c r="C246" s="131" t="s">
        <v>106</v>
      </c>
      <c r="D246" s="131" t="s">
        <v>31</v>
      </c>
      <c r="E246" s="131" t="s">
        <v>360</v>
      </c>
      <c r="F246" s="132">
        <v>-1320</v>
      </c>
      <c r="G246" s="131"/>
      <c r="H246" s="130">
        <v>41631</v>
      </c>
      <c r="I246" s="132">
        <v>20525.52</v>
      </c>
    </row>
    <row r="247" spans="1:9" x14ac:dyDescent="0.25">
      <c r="A247" s="129">
        <v>246</v>
      </c>
      <c r="B247" s="130">
        <v>41631</v>
      </c>
      <c r="C247" s="131" t="s">
        <v>106</v>
      </c>
      <c r="D247" s="131" t="s">
        <v>31</v>
      </c>
      <c r="E247" s="131" t="s">
        <v>108</v>
      </c>
      <c r="F247" s="132">
        <v>-2</v>
      </c>
      <c r="G247" s="131"/>
      <c r="H247" s="130">
        <v>41631</v>
      </c>
      <c r="I247" s="132">
        <v>20523.52</v>
      </c>
    </row>
    <row r="248" spans="1:9" x14ac:dyDescent="0.25">
      <c r="A248" s="129">
        <v>247</v>
      </c>
      <c r="B248" s="130">
        <v>41631</v>
      </c>
      <c r="C248" s="131" t="s">
        <v>119</v>
      </c>
      <c r="D248" s="131" t="s">
        <v>361</v>
      </c>
      <c r="E248" s="131" t="s">
        <v>361</v>
      </c>
      <c r="F248" s="132">
        <v>-160</v>
      </c>
      <c r="G248" s="131"/>
      <c r="H248" s="130">
        <v>41631</v>
      </c>
      <c r="I248" s="132">
        <v>20363.52</v>
      </c>
    </row>
    <row r="249" spans="1:9" x14ac:dyDescent="0.25">
      <c r="A249" s="129">
        <v>248</v>
      </c>
      <c r="B249" s="130">
        <v>41631</v>
      </c>
      <c r="C249" s="131" t="s">
        <v>121</v>
      </c>
      <c r="D249" s="131" t="s">
        <v>361</v>
      </c>
      <c r="E249" s="131" t="s">
        <v>361</v>
      </c>
      <c r="F249" s="132">
        <v>-5</v>
      </c>
      <c r="G249" s="131"/>
      <c r="H249" s="130">
        <v>41631</v>
      </c>
      <c r="I249" s="132">
        <v>20358.52</v>
      </c>
    </row>
    <row r="250" spans="1:9" x14ac:dyDescent="0.25">
      <c r="A250" s="129">
        <v>249</v>
      </c>
      <c r="B250" s="130">
        <v>41633</v>
      </c>
      <c r="C250" s="131" t="s">
        <v>104</v>
      </c>
      <c r="D250" s="131" t="s">
        <v>362</v>
      </c>
      <c r="E250" s="131" t="s">
        <v>31</v>
      </c>
      <c r="F250" s="132">
        <v>-1185</v>
      </c>
      <c r="G250" s="131"/>
      <c r="H250" s="130">
        <v>41633</v>
      </c>
      <c r="I250" s="132">
        <v>19173.52</v>
      </c>
    </row>
    <row r="251" spans="1:9" x14ac:dyDescent="0.25">
      <c r="A251" s="129">
        <v>250</v>
      </c>
      <c r="B251" s="130">
        <v>41633</v>
      </c>
      <c r="C251" s="131" t="s">
        <v>109</v>
      </c>
      <c r="D251" s="131" t="s">
        <v>363</v>
      </c>
      <c r="E251" s="131" t="s">
        <v>31</v>
      </c>
      <c r="F251" s="132">
        <v>-398.13</v>
      </c>
      <c r="G251" s="131"/>
      <c r="H251" s="130">
        <v>41633</v>
      </c>
      <c r="I251" s="132">
        <v>18775.39</v>
      </c>
    </row>
    <row r="252" spans="1:9" x14ac:dyDescent="0.25">
      <c r="A252" s="129">
        <v>251</v>
      </c>
      <c r="B252" s="130">
        <v>41634</v>
      </c>
      <c r="C252" s="131" t="s">
        <v>109</v>
      </c>
      <c r="D252" s="131" t="s">
        <v>364</v>
      </c>
      <c r="E252" s="131" t="s">
        <v>31</v>
      </c>
      <c r="F252" s="132">
        <v>-150</v>
      </c>
      <c r="G252" s="131"/>
      <c r="H252" s="130">
        <v>41634</v>
      </c>
      <c r="I252" s="132">
        <v>18625.39</v>
      </c>
    </row>
    <row r="253" spans="1:9" x14ac:dyDescent="0.25">
      <c r="A253" s="129">
        <v>252</v>
      </c>
      <c r="B253" s="130">
        <v>41637</v>
      </c>
      <c r="C253" s="131" t="s">
        <v>104</v>
      </c>
      <c r="D253" s="131" t="s">
        <v>365</v>
      </c>
      <c r="E253" s="131" t="s">
        <v>31</v>
      </c>
      <c r="F253" s="132">
        <v>-1000</v>
      </c>
      <c r="G253" s="131"/>
      <c r="H253" s="130">
        <v>41637</v>
      </c>
      <c r="I253" s="132">
        <v>17625.39</v>
      </c>
    </row>
    <row r="254" spans="1:9" x14ac:dyDescent="0.25">
      <c r="A254" s="129">
        <v>253</v>
      </c>
      <c r="B254" s="130">
        <v>41637</v>
      </c>
      <c r="C254" s="131" t="s">
        <v>130</v>
      </c>
      <c r="D254" s="131" t="s">
        <v>366</v>
      </c>
      <c r="E254" s="131" t="s">
        <v>367</v>
      </c>
      <c r="F254" s="131"/>
      <c r="G254" s="132">
        <v>372.06700000000001</v>
      </c>
      <c r="H254" s="130">
        <v>41637</v>
      </c>
      <c r="I254" s="132">
        <v>17997.456999999999</v>
      </c>
    </row>
    <row r="255" spans="1:9" x14ac:dyDescent="0.25">
      <c r="A255" s="129">
        <v>254</v>
      </c>
      <c r="B255" s="130">
        <v>41637</v>
      </c>
      <c r="C255" s="131" t="s">
        <v>262</v>
      </c>
      <c r="D255" s="131" t="s">
        <v>366</v>
      </c>
      <c r="E255" s="131" t="s">
        <v>31</v>
      </c>
      <c r="F255" s="132">
        <v>-372.06700000000001</v>
      </c>
      <c r="G255" s="131"/>
      <c r="H255" s="130">
        <v>41637</v>
      </c>
      <c r="I255" s="132">
        <v>17625.39</v>
      </c>
    </row>
    <row r="256" spans="1:9" x14ac:dyDescent="0.25">
      <c r="A256" s="129">
        <v>255</v>
      </c>
      <c r="B256" s="130">
        <v>41637</v>
      </c>
      <c r="C256" s="131" t="s">
        <v>130</v>
      </c>
      <c r="D256" s="131" t="s">
        <v>366</v>
      </c>
      <c r="E256" s="131" t="s">
        <v>367</v>
      </c>
      <c r="F256" s="131"/>
      <c r="G256" s="132">
        <v>372067</v>
      </c>
      <c r="H256" s="130">
        <v>41637</v>
      </c>
      <c r="I256" s="132">
        <v>389692.39</v>
      </c>
    </row>
    <row r="257" spans="1:9" x14ac:dyDescent="0.25">
      <c r="A257" s="129">
        <v>256</v>
      </c>
      <c r="B257" s="130">
        <v>41638</v>
      </c>
      <c r="C257" s="131" t="s">
        <v>104</v>
      </c>
      <c r="D257" s="131" t="s">
        <v>368</v>
      </c>
      <c r="E257" s="131" t="s">
        <v>31</v>
      </c>
      <c r="F257" s="132">
        <v>-240</v>
      </c>
      <c r="G257" s="131"/>
      <c r="H257" s="130">
        <v>41638</v>
      </c>
      <c r="I257" s="132">
        <v>389452.39</v>
      </c>
    </row>
    <row r="258" spans="1:9" ht="15.75" thickBot="1" x14ac:dyDescent="0.3">
      <c r="A258" s="133">
        <v>257</v>
      </c>
      <c r="B258" s="134">
        <v>41639</v>
      </c>
      <c r="C258" s="135" t="s">
        <v>104</v>
      </c>
      <c r="D258" s="135" t="s">
        <v>369</v>
      </c>
      <c r="E258" s="135" t="s">
        <v>31</v>
      </c>
      <c r="F258" s="136">
        <v>-66</v>
      </c>
      <c r="G258" s="135"/>
      <c r="H258" s="134">
        <v>41639</v>
      </c>
      <c r="I258" s="136">
        <v>389386.39</v>
      </c>
    </row>
    <row r="259" spans="1:9" x14ac:dyDescent="0.25">
      <c r="A259" s="137">
        <v>258</v>
      </c>
      <c r="B259" s="138">
        <v>41640</v>
      </c>
      <c r="C259" s="139" t="s">
        <v>109</v>
      </c>
      <c r="D259" s="139" t="s">
        <v>370</v>
      </c>
      <c r="E259" s="139" t="s">
        <v>31</v>
      </c>
      <c r="F259" s="140">
        <v>-570</v>
      </c>
      <c r="G259" s="139"/>
      <c r="H259" s="138">
        <v>41640</v>
      </c>
      <c r="I259" s="140">
        <v>388816.39</v>
      </c>
    </row>
    <row r="260" spans="1:9" x14ac:dyDescent="0.25">
      <c r="A260" s="117">
        <v>259</v>
      </c>
      <c r="B260" s="118">
        <v>41645</v>
      </c>
      <c r="C260" s="119" t="s">
        <v>109</v>
      </c>
      <c r="D260" s="119" t="s">
        <v>371</v>
      </c>
      <c r="E260" s="119" t="s">
        <v>372</v>
      </c>
      <c r="F260" s="120">
        <v>-250</v>
      </c>
      <c r="G260" s="119"/>
      <c r="H260" s="118">
        <v>41645</v>
      </c>
      <c r="I260" s="120">
        <v>388566.39</v>
      </c>
    </row>
    <row r="261" spans="1:9" x14ac:dyDescent="0.25">
      <c r="A261" s="117">
        <v>260</v>
      </c>
      <c r="B261" s="118">
        <v>41646</v>
      </c>
      <c r="C261" s="119" t="s">
        <v>104</v>
      </c>
      <c r="D261" s="119" t="s">
        <v>373</v>
      </c>
      <c r="E261" s="119" t="s">
        <v>31</v>
      </c>
      <c r="F261" s="120">
        <v>-1005</v>
      </c>
      <c r="G261" s="119"/>
      <c r="H261" s="118">
        <v>41646</v>
      </c>
      <c r="I261" s="120">
        <v>387561.39</v>
      </c>
    </row>
    <row r="262" spans="1:9" x14ac:dyDescent="0.25">
      <c r="A262" s="117">
        <v>261</v>
      </c>
      <c r="B262" s="118">
        <v>41647</v>
      </c>
      <c r="C262" s="119" t="s">
        <v>104</v>
      </c>
      <c r="D262" s="119" t="s">
        <v>374</v>
      </c>
      <c r="E262" s="119" t="s">
        <v>31</v>
      </c>
      <c r="F262" s="120">
        <v>-550</v>
      </c>
      <c r="G262" s="119"/>
      <c r="H262" s="118">
        <v>41647</v>
      </c>
      <c r="I262" s="120">
        <v>387011.39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T.Balance</vt:lpstr>
      <vt:lpstr>SCHEDULES</vt:lpstr>
      <vt:lpstr>Balance Sheet </vt:lpstr>
      <vt:lpstr>P &amp; L</vt:lpstr>
      <vt:lpstr>Dep schedule</vt:lpstr>
      <vt:lpstr>Tax working</vt:lpstr>
      <vt:lpstr>Jan 2022</vt:lpstr>
      <vt:lpstr>Bank Rec.</vt:lpstr>
      <vt:lpstr>Sheet1</vt:lpstr>
      <vt:lpstr>Sheet2</vt:lpstr>
      <vt:lpstr>Sheet3</vt:lpstr>
      <vt:lpstr>'Balance Sheet '!Print_Area</vt:lpstr>
      <vt:lpstr>'Dep schedule'!Print_Area</vt:lpstr>
      <vt:lpstr>'P &amp; L'!Print_Area</vt:lpstr>
      <vt:lpstr>T.Balance!Print_Area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</dc:creator>
  <cp:lastModifiedBy>Zain Ahmed Attiq</cp:lastModifiedBy>
  <cp:lastPrinted>2023-02-08T11:14:33Z</cp:lastPrinted>
  <dcterms:created xsi:type="dcterms:W3CDTF">2008-08-04T06:41:04Z</dcterms:created>
  <dcterms:modified xsi:type="dcterms:W3CDTF">2023-04-20T07:27:50Z</dcterms:modified>
</cp:coreProperties>
</file>