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nancial practice project\"/>
    </mc:Choice>
  </mc:AlternateContent>
  <xr:revisionPtr revIDLastSave="0" documentId="13_ncr:1_{2534C4E9-1745-41DD-B3A3-837280EAB135}" xr6:coauthVersionLast="47" xr6:coauthVersionMax="47" xr10:uidLastSave="{00000000-0000-0000-0000-000000000000}"/>
  <bookViews>
    <workbookView xWindow="0" yWindow="0" windowWidth="11670" windowHeight="10920" tabRatio="871" firstSheet="16" activeTab="18" xr2:uid="{45070713-7B0B-4619-8E4E-994F96831031}"/>
  </bookViews>
  <sheets>
    <sheet name="Cost sheet Template" sheetId="2" r:id="rId1"/>
    <sheet name="Cost Sheet Practical " sheetId="4" r:id="rId2"/>
    <sheet name="Cost Sheet Question" sheetId="1" r:id="rId3"/>
    <sheet name="EOQ" sheetId="3" r:id="rId4"/>
    <sheet name="Stock Ledger" sheetId="5" r:id="rId5"/>
    <sheet name="Job Costing" sheetId="6" r:id="rId6"/>
    <sheet name="Overhead Distribution" sheetId="7" r:id="rId7"/>
    <sheet name="Overhead Rates" sheetId="9" r:id="rId8"/>
    <sheet name="Process Costing" sheetId="10" r:id="rId9"/>
    <sheet name="Process Costing With Treatment" sheetId="11" r:id="rId10"/>
    <sheet name="(Equivalent Production)" sheetId="12" r:id="rId11"/>
    <sheet name="Contract Ac i" sheetId="13" r:id="rId12"/>
    <sheet name="Contract Ac ii" sheetId="14" r:id="rId13"/>
    <sheet name="Reconciliation Statement" sheetId="15" r:id="rId14"/>
    <sheet name="Production Budget" sheetId="17" r:id="rId15"/>
    <sheet name="Overheads Budgeting" sheetId="18" r:id="rId16"/>
    <sheet name="Budgeting" sheetId="19" r:id="rId17"/>
    <sheet name="Cash Budgeting" sheetId="20" r:id="rId18"/>
    <sheet name="Cash Budget 2" sheetId="21" r:id="rId19"/>
  </sheets>
  <definedNames>
    <definedName name="Job_Labour_hr.">'Overhead Rates'!$L$8</definedName>
    <definedName name="Job_Machine_hr.">'Overhead Rates'!$L$7</definedName>
    <definedName name="Job_Material">'Overhead Rates'!$L$5</definedName>
    <definedName name="Job_Material_Qty">'Overhead Rates'!$L$9</definedName>
    <definedName name="Job_Wages">'Overhead Rates'!$L$6</definedName>
    <definedName name="Labour_hr.">'Overhead Rates'!$J$8</definedName>
    <definedName name="Machine_hr.">'Overhead Rates'!$J$7</definedName>
    <definedName name="Material">'Overhead Rates'!$J$5</definedName>
    <definedName name="Material_Qty">'Overhead Rates'!$J$9</definedName>
    <definedName name="Total_overhead">'Overhead Rates'!$J$10</definedName>
    <definedName name="Wages">'Overhead Rates'!$J$6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1" l="1"/>
  <c r="J30" i="21"/>
  <c r="J26" i="21"/>
  <c r="J22" i="21"/>
  <c r="G28" i="21"/>
  <c r="F28" i="21"/>
  <c r="E28" i="21"/>
  <c r="D28" i="21"/>
  <c r="D20" i="21"/>
  <c r="D29" i="21" s="1"/>
  <c r="D32" i="21" s="1"/>
  <c r="E18" i="21" s="1"/>
  <c r="E20" i="21" s="1"/>
  <c r="E29" i="21" s="1"/>
  <c r="E32" i="21" s="1"/>
  <c r="F18" i="21" s="1"/>
  <c r="F20" i="21" s="1"/>
  <c r="F29" i="21" s="1"/>
  <c r="F32" i="21" s="1"/>
  <c r="G18" i="21" s="1"/>
  <c r="G20" i="21" s="1"/>
  <c r="G29" i="21" s="1"/>
  <c r="G32" i="21" s="1"/>
  <c r="F16" i="20"/>
  <c r="E29" i="20"/>
  <c r="F19" i="20"/>
  <c r="F29" i="20" s="1"/>
  <c r="E19" i="20"/>
  <c r="E16" i="20"/>
  <c r="D29" i="20"/>
  <c r="D19" i="20"/>
  <c r="F28" i="20"/>
  <c r="E28" i="20"/>
  <c r="D28" i="20"/>
  <c r="F23" i="20"/>
  <c r="D23" i="20"/>
  <c r="E23" i="20"/>
  <c r="M22" i="20"/>
  <c r="M21" i="20"/>
  <c r="M20" i="20"/>
  <c r="M19" i="20"/>
  <c r="M18" i="20"/>
  <c r="M17" i="20"/>
  <c r="L22" i="20"/>
  <c r="L21" i="20"/>
  <c r="L20" i="20"/>
  <c r="L19" i="20"/>
  <c r="L18" i="20"/>
  <c r="L17" i="20"/>
  <c r="E34" i="19"/>
  <c r="E35" i="19"/>
  <c r="E33" i="19"/>
  <c r="E32" i="19"/>
  <c r="E31" i="19"/>
  <c r="E30" i="19"/>
  <c r="E28" i="19"/>
  <c r="E27" i="19"/>
  <c r="F21" i="19"/>
  <c r="G21" i="19" s="1"/>
  <c r="H21" i="19" s="1"/>
  <c r="I21" i="19" s="1"/>
  <c r="F20" i="19"/>
  <c r="G20" i="19" s="1"/>
  <c r="H20" i="19" s="1"/>
  <c r="I20" i="19" s="1"/>
  <c r="F19" i="19"/>
  <c r="G19" i="19" s="1"/>
  <c r="H19" i="19" s="1"/>
  <c r="I19" i="19" s="1"/>
  <c r="F18" i="19"/>
  <c r="G18" i="19" s="1"/>
  <c r="E25" i="19" s="1"/>
  <c r="F17" i="19"/>
  <c r="G17" i="19" s="1"/>
  <c r="D25" i="18"/>
  <c r="D27" i="18"/>
  <c r="D26" i="18"/>
  <c r="D24" i="18"/>
  <c r="E15" i="18"/>
  <c r="F15" i="18" s="1"/>
  <c r="G15" i="18" s="1"/>
  <c r="H15" i="18" s="1"/>
  <c r="E14" i="18"/>
  <c r="F14" i="18" s="1"/>
  <c r="G14" i="18" s="1"/>
  <c r="H14" i="18" s="1"/>
  <c r="E13" i="18"/>
  <c r="F13" i="18" s="1"/>
  <c r="G13" i="18" s="1"/>
  <c r="H13" i="18" s="1"/>
  <c r="D22" i="18" s="1"/>
  <c r="E12" i="18"/>
  <c r="F12" i="18" s="1"/>
  <c r="E11" i="18"/>
  <c r="F11" i="18" s="1"/>
  <c r="D18" i="18" s="1"/>
  <c r="E25" i="17"/>
  <c r="E24" i="17"/>
  <c r="E23" i="17"/>
  <c r="E22" i="17"/>
  <c r="E21" i="17"/>
  <c r="E20" i="17"/>
  <c r="E19" i="17"/>
  <c r="E18" i="17"/>
  <c r="D24" i="17"/>
  <c r="D23" i="17"/>
  <c r="D22" i="17"/>
  <c r="D21" i="17"/>
  <c r="F21" i="17" s="1"/>
  <c r="I21" i="17" s="1"/>
  <c r="D20" i="17"/>
  <c r="D19" i="17"/>
  <c r="D18" i="17"/>
  <c r="G25" i="15"/>
  <c r="F25" i="15"/>
  <c r="F27" i="15" s="1"/>
  <c r="G9" i="15"/>
  <c r="F9" i="15"/>
  <c r="E26" i="14"/>
  <c r="C26" i="14"/>
  <c r="H23" i="14"/>
  <c r="G23" i="14"/>
  <c r="H17" i="14"/>
  <c r="G17" i="14"/>
  <c r="H15" i="14"/>
  <c r="C25" i="14" s="1"/>
  <c r="E24" i="14"/>
  <c r="E23" i="14"/>
  <c r="C23" i="14"/>
  <c r="E22" i="14"/>
  <c r="E20" i="14"/>
  <c r="I18" i="13"/>
  <c r="E19" i="13"/>
  <c r="I16" i="13"/>
  <c r="E16" i="13" s="1"/>
  <c r="E21" i="13" s="1"/>
  <c r="I20" i="13" s="1"/>
  <c r="I22" i="13" s="1"/>
  <c r="C20" i="12"/>
  <c r="G17" i="12"/>
  <c r="G18" i="12"/>
  <c r="E18" i="12"/>
  <c r="E17" i="12"/>
  <c r="E20" i="12" s="1"/>
  <c r="L6" i="12" s="1"/>
  <c r="H11" i="12"/>
  <c r="E11" i="12"/>
  <c r="D11" i="12"/>
  <c r="E24" i="19" l="1"/>
  <c r="H17" i="19"/>
  <c r="I17" i="19" s="1"/>
  <c r="H18" i="19"/>
  <c r="I18" i="19" s="1"/>
  <c r="D21" i="18"/>
  <c r="D19" i="18"/>
  <c r="G12" i="18"/>
  <c r="H12" i="18" s="1"/>
  <c r="G11" i="18"/>
  <c r="H11" i="18" s="1"/>
  <c r="F18" i="17"/>
  <c r="I18" i="17" s="1"/>
  <c r="F22" i="17"/>
  <c r="I22" i="17" s="1"/>
  <c r="F19" i="17"/>
  <c r="I19" i="17" s="1"/>
  <c r="K19" i="17" s="1"/>
  <c r="F23" i="17"/>
  <c r="I23" i="17" s="1"/>
  <c r="K23" i="17" s="1"/>
  <c r="L23" i="17" s="1"/>
  <c r="N23" i="17" s="1"/>
  <c r="F20" i="17"/>
  <c r="I20" i="17" s="1"/>
  <c r="F24" i="17"/>
  <c r="I24" i="17" s="1"/>
  <c r="J23" i="17" s="1"/>
  <c r="J20" i="17"/>
  <c r="K21" i="17"/>
  <c r="K18" i="17"/>
  <c r="K22" i="17"/>
  <c r="J21" i="17"/>
  <c r="J18" i="17"/>
  <c r="L18" i="17" s="1"/>
  <c r="N18" i="17" s="1"/>
  <c r="K20" i="17"/>
  <c r="J19" i="17"/>
  <c r="G10" i="15"/>
  <c r="G11" i="15" s="1"/>
  <c r="F11" i="15"/>
  <c r="G26" i="15"/>
  <c r="G27" i="15" s="1"/>
  <c r="C20" i="13"/>
  <c r="C19" i="13"/>
  <c r="L15" i="12"/>
  <c r="N15" i="12"/>
  <c r="G20" i="12"/>
  <c r="L20" i="17" l="1"/>
  <c r="N20" i="17" s="1"/>
  <c r="L19" i="17"/>
  <c r="N19" i="17" s="1"/>
  <c r="J22" i="17"/>
  <c r="L22" i="17" s="1"/>
  <c r="N22" i="17" s="1"/>
  <c r="L21" i="17"/>
  <c r="N21" i="17" s="1"/>
  <c r="C21" i="13"/>
  <c r="L8" i="12"/>
  <c r="L7" i="12"/>
  <c r="L16" i="12" l="1"/>
  <c r="N16" i="12"/>
  <c r="L10" i="12"/>
  <c r="G7" i="12" s="1"/>
  <c r="I7" i="12" s="1"/>
  <c r="L9" i="12"/>
  <c r="G6" i="12" s="1"/>
  <c r="I6" i="12" s="1"/>
  <c r="I11" i="12" s="1"/>
  <c r="L17" i="12"/>
  <c r="N17" i="12"/>
  <c r="N18" i="12" l="1"/>
  <c r="L18" i="12"/>
  <c r="G40" i="11" l="1"/>
  <c r="H43" i="11"/>
  <c r="D43" i="11"/>
  <c r="I43" i="11"/>
  <c r="E40" i="11"/>
  <c r="E43" i="11" s="1"/>
  <c r="H36" i="11"/>
  <c r="D36" i="11"/>
  <c r="E34" i="11"/>
  <c r="I33" i="11"/>
  <c r="I36" i="11" s="1"/>
  <c r="E33" i="11"/>
  <c r="H29" i="11"/>
  <c r="D29" i="11"/>
  <c r="I28" i="11"/>
  <c r="I27" i="11"/>
  <c r="E27" i="11"/>
  <c r="I26" i="11"/>
  <c r="I29" i="11" s="1"/>
  <c r="E26" i="11"/>
  <c r="E29" i="11" s="1"/>
  <c r="H16" i="11"/>
  <c r="H8" i="11"/>
  <c r="D15" i="11" s="1"/>
  <c r="D19" i="11" s="1"/>
  <c r="K15" i="11"/>
  <c r="D12" i="11"/>
  <c r="K6" i="11"/>
  <c r="E6" i="11"/>
  <c r="E12" i="11" s="1"/>
  <c r="K37" i="10"/>
  <c r="K28" i="10"/>
  <c r="K20" i="10"/>
  <c r="D37" i="10"/>
  <c r="D42" i="10" s="1"/>
  <c r="D28" i="10"/>
  <c r="H28" i="10" s="1"/>
  <c r="I28" i="10" s="1"/>
  <c r="K29" i="10" s="1"/>
  <c r="C32" i="10" s="1"/>
  <c r="E32" i="10" s="1"/>
  <c r="D25" i="10"/>
  <c r="E20" i="10"/>
  <c r="H20" i="10" s="1"/>
  <c r="K19" i="9"/>
  <c r="I19" i="9"/>
  <c r="G19" i="9"/>
  <c r="E19" i="9"/>
  <c r="C19" i="9"/>
  <c r="L17" i="9"/>
  <c r="L18" i="9" s="1"/>
  <c r="L16" i="9"/>
  <c r="J17" i="9"/>
  <c r="J16" i="9"/>
  <c r="J18" i="9" s="1"/>
  <c r="H17" i="9"/>
  <c r="H16" i="9"/>
  <c r="F17" i="9"/>
  <c r="F16" i="9"/>
  <c r="D17" i="9"/>
  <c r="D18" i="9" s="1"/>
  <c r="D16" i="9"/>
  <c r="L15" i="9"/>
  <c r="J15" i="9"/>
  <c r="H15" i="9"/>
  <c r="F15" i="9"/>
  <c r="D15" i="9"/>
  <c r="G13" i="9"/>
  <c r="G11" i="9"/>
  <c r="G9" i="9"/>
  <c r="H19" i="9" s="1"/>
  <c r="G7" i="9"/>
  <c r="F19" i="9" s="1"/>
  <c r="G5" i="9"/>
  <c r="D19" i="9" s="1"/>
  <c r="J13" i="7"/>
  <c r="J12" i="7"/>
  <c r="P10" i="7"/>
  <c r="O10" i="7"/>
  <c r="N10" i="7"/>
  <c r="M10" i="7"/>
  <c r="L10" i="7"/>
  <c r="K10" i="7"/>
  <c r="O9" i="7"/>
  <c r="N9" i="7"/>
  <c r="K9" i="7"/>
  <c r="K8" i="7"/>
  <c r="J9" i="7"/>
  <c r="M9" i="7" s="1"/>
  <c r="N8" i="7"/>
  <c r="M8" i="7"/>
  <c r="L8" i="7"/>
  <c r="J8" i="7"/>
  <c r="O8" i="7" s="1"/>
  <c r="J7" i="7"/>
  <c r="M7" i="7" s="1"/>
  <c r="P5" i="7"/>
  <c r="P4" i="7"/>
  <c r="J6" i="7"/>
  <c r="O6" i="7" s="1"/>
  <c r="M26" i="6"/>
  <c r="M23" i="6"/>
  <c r="M24" i="6"/>
  <c r="M20" i="6"/>
  <c r="M18" i="6"/>
  <c r="M17" i="6"/>
  <c r="F16" i="6"/>
  <c r="E22" i="6"/>
  <c r="E17" i="6"/>
  <c r="E19" i="6" s="1"/>
  <c r="E21" i="6" s="1"/>
  <c r="E25" i="6" s="1"/>
  <c r="E27" i="6" s="1"/>
  <c r="H5" i="5"/>
  <c r="L21" i="5"/>
  <c r="K20" i="5"/>
  <c r="K18" i="5"/>
  <c r="K17" i="5"/>
  <c r="M16" i="5"/>
  <c r="L16" i="5"/>
  <c r="L19" i="5" s="1"/>
  <c r="H13" i="5"/>
  <c r="M9" i="5"/>
  <c r="L9" i="5"/>
  <c r="L12" i="5" s="1"/>
  <c r="L15" i="5" s="1"/>
  <c r="L18" i="5" s="1"/>
  <c r="L5" i="5"/>
  <c r="L6" i="5" s="1"/>
  <c r="L8" i="5" s="1"/>
  <c r="L11" i="5" s="1"/>
  <c r="L14" i="5" s="1"/>
  <c r="L17" i="5" s="1"/>
  <c r="K11" i="5"/>
  <c r="K10" i="5"/>
  <c r="H7" i="5"/>
  <c r="N4" i="5"/>
  <c r="E36" i="11" l="1"/>
  <c r="H21" i="11"/>
  <c r="D21" i="11"/>
  <c r="I15" i="11"/>
  <c r="K16" i="11" s="1"/>
  <c r="L19" i="9"/>
  <c r="H18" i="9"/>
  <c r="H20" i="9" s="1"/>
  <c r="F18" i="9"/>
  <c r="F20" i="9" s="1"/>
  <c r="J19" i="9"/>
  <c r="J20" i="9" s="1"/>
  <c r="D20" i="9"/>
  <c r="L20" i="9"/>
  <c r="H37" i="10"/>
  <c r="D34" i="10"/>
  <c r="E25" i="10"/>
  <c r="H34" i="10"/>
  <c r="H25" i="10"/>
  <c r="I20" i="10"/>
  <c r="N7" i="7"/>
  <c r="O7" i="7"/>
  <c r="O11" i="7" s="1"/>
  <c r="L12" i="7"/>
  <c r="L7" i="7"/>
  <c r="L9" i="7"/>
  <c r="P9" i="7" s="1"/>
  <c r="K7" i="7"/>
  <c r="M12" i="7"/>
  <c r="P8" i="7"/>
  <c r="K6" i="7"/>
  <c r="L6" i="7"/>
  <c r="L11" i="7" s="1"/>
  <c r="M6" i="7"/>
  <c r="M11" i="7" s="1"/>
  <c r="N6" i="7"/>
  <c r="N11" i="7" s="1"/>
  <c r="N14" i="7" s="1"/>
  <c r="M19" i="6"/>
  <c r="M21" i="6" s="1"/>
  <c r="F20" i="6"/>
  <c r="F22" i="6"/>
  <c r="F18" i="6"/>
  <c r="F24" i="6"/>
  <c r="L20" i="5"/>
  <c r="M20" i="5" s="1"/>
  <c r="N20" i="5" s="1"/>
  <c r="M21" i="5"/>
  <c r="N21" i="5" s="1"/>
  <c r="M19" i="5"/>
  <c r="N19" i="5" s="1"/>
  <c r="N9" i="5"/>
  <c r="N16" i="5"/>
  <c r="L7" i="5"/>
  <c r="L10" i="5" s="1"/>
  <c r="L13" i="5" s="1"/>
  <c r="M5" i="5"/>
  <c r="N5" i="5" s="1"/>
  <c r="M12" i="5"/>
  <c r="N12" i="5" s="1"/>
  <c r="I6" i="11" l="1"/>
  <c r="K8" i="11" s="1"/>
  <c r="H12" i="11"/>
  <c r="K22" i="10"/>
  <c r="H38" i="10"/>
  <c r="H42" i="10" s="1"/>
  <c r="I37" i="10"/>
  <c r="L13" i="7"/>
  <c r="L14" i="7" s="1"/>
  <c r="M13" i="7"/>
  <c r="M14" i="7" s="1"/>
  <c r="K13" i="7"/>
  <c r="O14" i="7"/>
  <c r="K12" i="7"/>
  <c r="P12" i="7" s="1"/>
  <c r="K11" i="7"/>
  <c r="P6" i="7"/>
  <c r="P7" i="7"/>
  <c r="P11" i="7" s="1"/>
  <c r="P14" i="7" s="1"/>
  <c r="K14" i="7"/>
  <c r="M13" i="5"/>
  <c r="N13" i="5"/>
  <c r="N10" i="5"/>
  <c r="M10" i="5"/>
  <c r="M7" i="5"/>
  <c r="N7" i="5" s="1"/>
  <c r="M6" i="5"/>
  <c r="M15" i="5"/>
  <c r="M18" i="5" s="1"/>
  <c r="G8" i="11" l="1"/>
  <c r="I8" i="11" s="1"/>
  <c r="E15" i="11" s="1"/>
  <c r="G7" i="11"/>
  <c r="I7" i="11" s="1"/>
  <c r="I12" i="11" s="1"/>
  <c r="G22" i="10"/>
  <c r="I22" i="10" s="1"/>
  <c r="E28" i="10" s="1"/>
  <c r="G21" i="10"/>
  <c r="I21" i="10" s="1"/>
  <c r="I25" i="10" s="1"/>
  <c r="N18" i="5"/>
  <c r="N15" i="5"/>
  <c r="M8" i="5"/>
  <c r="N6" i="5"/>
  <c r="G27" i="4"/>
  <c r="G20" i="4"/>
  <c r="G13" i="4"/>
  <c r="G9" i="4"/>
  <c r="G12" i="4" s="1"/>
  <c r="G14" i="3"/>
  <c r="G12" i="3"/>
  <c r="G8" i="3"/>
  <c r="G10" i="3" s="1"/>
  <c r="G6" i="3"/>
  <c r="F20" i="1"/>
  <c r="H12" i="1" s="1"/>
  <c r="F52" i="1"/>
  <c r="F40" i="1"/>
  <c r="F21" i="1"/>
  <c r="N8" i="5" l="1"/>
  <c r="M11" i="5"/>
  <c r="F36" i="1"/>
  <c r="F39" i="1" s="1"/>
  <c r="I12" i="1" s="1"/>
  <c r="G16" i="4"/>
  <c r="G19" i="4" s="1"/>
  <c r="G23" i="4" s="1"/>
  <c r="N11" i="5" l="1"/>
  <c r="M14" i="5"/>
  <c r="G26" i="4"/>
  <c r="G30" i="4" s="1"/>
  <c r="G33" i="4" s="1"/>
  <c r="I24" i="4"/>
  <c r="F48" i="1"/>
  <c r="J12" i="1" s="1"/>
  <c r="N14" i="5" l="1"/>
  <c r="M17" i="5"/>
  <c r="N17" i="5" s="1"/>
  <c r="F51" i="1"/>
  <c r="K12" i="1" s="1"/>
  <c r="F61" i="1" l="1"/>
  <c r="L12" i="1" s="1"/>
  <c r="F64" i="1" l="1"/>
  <c r="M22" i="6"/>
  <c r="M25" i="6" s="1"/>
  <c r="M27" i="6" s="1"/>
  <c r="E34" i="10"/>
  <c r="G29" i="10" l="1"/>
  <c r="I29" i="10" l="1"/>
  <c r="I34" i="10" l="1"/>
  <c r="E37" i="10"/>
  <c r="E42" i="10" s="1"/>
  <c r="K38" i="10" s="1"/>
  <c r="G39" i="10" l="1"/>
  <c r="I39" i="10" s="1"/>
  <c r="G38" i="10"/>
  <c r="I38" i="10" s="1"/>
  <c r="I42" i="10" s="1"/>
  <c r="G16" i="11" l="1"/>
  <c r="I16" i="11" s="1"/>
  <c r="I21" i="11" s="1"/>
  <c r="C19" i="11"/>
  <c r="E19" i="11" s="1"/>
  <c r="E21" i="11" s="1"/>
</calcChain>
</file>

<file path=xl/sharedStrings.xml><?xml version="1.0" encoding="utf-8"?>
<sst xmlns="http://schemas.openxmlformats.org/spreadsheetml/2006/main" count="759" uniqueCount="366">
  <si>
    <t>Cost Sheet</t>
  </si>
  <si>
    <t>Particular</t>
  </si>
  <si>
    <t>Amount</t>
  </si>
  <si>
    <t>Raw Material</t>
  </si>
  <si>
    <t>Production wages</t>
  </si>
  <si>
    <t>Direct Expense</t>
  </si>
  <si>
    <t>Direct labour</t>
  </si>
  <si>
    <t>Prime Cost</t>
  </si>
  <si>
    <t>Sale of waste</t>
  </si>
  <si>
    <t>-</t>
  </si>
  <si>
    <t>+</t>
  </si>
  <si>
    <t>Gross Factory cost</t>
  </si>
  <si>
    <t>Opn stock of WIP</t>
  </si>
  <si>
    <t>Net Factory cost</t>
  </si>
  <si>
    <t>Cost of Production</t>
  </si>
  <si>
    <t>Opn stock of FG</t>
  </si>
  <si>
    <t>Cls Stock of FG</t>
  </si>
  <si>
    <t>Cls Stock of WIP</t>
  </si>
  <si>
    <t>Cost of Goods Sold</t>
  </si>
  <si>
    <t>Selling and Distribution Overheads</t>
  </si>
  <si>
    <t>Office and Admin Overheads</t>
  </si>
  <si>
    <t>Factory Overheads</t>
  </si>
  <si>
    <t>Cost of Sales</t>
  </si>
  <si>
    <t>Profit</t>
  </si>
  <si>
    <t>Loss</t>
  </si>
  <si>
    <t>SALES</t>
  </si>
  <si>
    <t>Opn stock of Raw Material</t>
  </si>
  <si>
    <t>Cls Stock of Raw Material</t>
  </si>
  <si>
    <t xml:space="preserve">Cost Sheet </t>
  </si>
  <si>
    <t>Factory Lighting</t>
  </si>
  <si>
    <t>Factory heating</t>
  </si>
  <si>
    <t>Motive power</t>
  </si>
  <si>
    <t>Haulage</t>
  </si>
  <si>
    <t>Director's Fees</t>
  </si>
  <si>
    <t>Depreciation of plant and machinery</t>
  </si>
  <si>
    <t>Unproductive Wages</t>
  </si>
  <si>
    <t>Factory rent and taxes</t>
  </si>
  <si>
    <t>Factory cleaning</t>
  </si>
  <si>
    <t>Factory insurance</t>
  </si>
  <si>
    <t>Factory Staionery</t>
  </si>
  <si>
    <t>Loose tools written off</t>
  </si>
  <si>
    <t>Rent of warehouse</t>
  </si>
  <si>
    <t>Estimating</t>
  </si>
  <si>
    <t>Water supply</t>
  </si>
  <si>
    <t>Depreciation of office building</t>
  </si>
  <si>
    <t>office director's fees</t>
  </si>
  <si>
    <t>Sundry office expenses</t>
  </si>
  <si>
    <t>Office insurance</t>
  </si>
  <si>
    <t>Office Stationary</t>
  </si>
  <si>
    <t xml:space="preserve">Rent and taxes </t>
  </si>
  <si>
    <t>Legal Expenses</t>
  </si>
  <si>
    <t>Depreciation on delivery van</t>
  </si>
  <si>
    <t>Bad Debt</t>
  </si>
  <si>
    <t>Advertisement</t>
  </si>
  <si>
    <t>Sales dpt Salaries</t>
  </si>
  <si>
    <t>Upkeeping of delivery van</t>
  </si>
  <si>
    <t>Salesmen's commission</t>
  </si>
  <si>
    <t>Sales manager commission</t>
  </si>
  <si>
    <t>Work Cost</t>
  </si>
  <si>
    <t>Cost of Prdoduction</t>
  </si>
  <si>
    <t xml:space="preserve">Cost of Sales </t>
  </si>
  <si>
    <t>xxxxxxxx</t>
  </si>
  <si>
    <t>Sales</t>
  </si>
  <si>
    <t>Economic Order Quantity</t>
  </si>
  <si>
    <t>Details For Order</t>
  </si>
  <si>
    <t>Annual Usage</t>
  </si>
  <si>
    <t xml:space="preserve">Storage Cost Per unit </t>
  </si>
  <si>
    <t xml:space="preserve">Placement Cost Per Cost </t>
  </si>
  <si>
    <t xml:space="preserve">Usage </t>
  </si>
  <si>
    <t>Min</t>
  </si>
  <si>
    <t xml:space="preserve">Normal </t>
  </si>
  <si>
    <t xml:space="preserve">Max </t>
  </si>
  <si>
    <t>Time</t>
  </si>
  <si>
    <t>Reorder Level = Maximum Usage * Maximum Time</t>
  </si>
  <si>
    <t>QTY</t>
  </si>
  <si>
    <t>EOQ/Reorder Qty = (2*Placement Cost*Annual Usage/Storage Cost)^-2</t>
  </si>
  <si>
    <t>Minimum Level = Reorder Level + Reorder QTY-(Minimum Usage x Minimum Time)</t>
  </si>
  <si>
    <t>Minimum Level = Reoder Level - (Normal Usage x Normal Time)</t>
  </si>
  <si>
    <t xml:space="preserve">Average Level = Minimum Level + 1/2 Reorder Qty </t>
  </si>
  <si>
    <t>Cost of Raw Material Consumed</t>
  </si>
  <si>
    <t xml:space="preserve">Depreciation on Plant </t>
  </si>
  <si>
    <t>Factory Rent</t>
  </si>
  <si>
    <t>Office Rent</t>
  </si>
  <si>
    <t>General Expense</t>
  </si>
  <si>
    <t>Discount on Sales</t>
  </si>
  <si>
    <t>Rate Per Unit = Total cost of Production/Unit Produced</t>
  </si>
  <si>
    <t>Quantity</t>
  </si>
  <si>
    <t>1600@12.97</t>
  </si>
  <si>
    <t>800@14</t>
  </si>
  <si>
    <t>12000@12.97</t>
  </si>
  <si>
    <t>Date</t>
  </si>
  <si>
    <t>Particulars</t>
  </si>
  <si>
    <t>Reciept</t>
  </si>
  <si>
    <t>Qty</t>
  </si>
  <si>
    <t>Rate</t>
  </si>
  <si>
    <t>Issued</t>
  </si>
  <si>
    <t xml:space="preserve">Balance </t>
  </si>
  <si>
    <t>Opening stock</t>
  </si>
  <si>
    <t>FIFO</t>
  </si>
  <si>
    <t>Purchase of stock 600@11</t>
  </si>
  <si>
    <t>Purchase of stock 400@10</t>
  </si>
  <si>
    <t>Issued stock 600</t>
  </si>
  <si>
    <t>Purchase of stock 300@15</t>
  </si>
  <si>
    <t>Issued of stock 700</t>
  </si>
  <si>
    <t>Storage</t>
  </si>
  <si>
    <t>Rs.</t>
  </si>
  <si>
    <t>Cost of Material Consumed</t>
  </si>
  <si>
    <t>Direct wages</t>
  </si>
  <si>
    <t>Prime cost</t>
  </si>
  <si>
    <t>Factory Overhead</t>
  </si>
  <si>
    <t>Factory Cost</t>
  </si>
  <si>
    <t>Adminstrative Overhead</t>
  </si>
  <si>
    <t>Selling and Distribution Overhead</t>
  </si>
  <si>
    <t>Selling overhead</t>
  </si>
  <si>
    <t>Distribution charges</t>
  </si>
  <si>
    <t>Factory cost with wages</t>
  </si>
  <si>
    <t>Office Overhead with Factory Cost</t>
  </si>
  <si>
    <t xml:space="preserve">Selling Expense with Factory Cost </t>
  </si>
  <si>
    <t xml:space="preserve">Distribution charges with Factory Cost </t>
  </si>
  <si>
    <t>Profit with Total Cost</t>
  </si>
  <si>
    <t xml:space="preserve">Direct Material </t>
  </si>
  <si>
    <t>Basis</t>
  </si>
  <si>
    <t>Total</t>
  </si>
  <si>
    <t>Indirect material</t>
  </si>
  <si>
    <t>Allocated</t>
  </si>
  <si>
    <t>N/A</t>
  </si>
  <si>
    <t>Indirect Wages</t>
  </si>
  <si>
    <t>Power and Light</t>
  </si>
  <si>
    <t>Rent and Rates</t>
  </si>
  <si>
    <t>Insurance on Assets</t>
  </si>
  <si>
    <t>Meal charges</t>
  </si>
  <si>
    <t>Depreciation @ 6%</t>
  </si>
  <si>
    <t>KW/HR</t>
  </si>
  <si>
    <t>Total Ratio</t>
  </si>
  <si>
    <t>Ratios for each dpt</t>
  </si>
  <si>
    <t>Area</t>
  </si>
  <si>
    <t>Value</t>
  </si>
  <si>
    <t>No. of Emp</t>
  </si>
  <si>
    <t xml:space="preserve"> </t>
  </si>
  <si>
    <t>Department P</t>
  </si>
  <si>
    <t>D.L hour</t>
  </si>
  <si>
    <t>Department Q</t>
  </si>
  <si>
    <t>Material Req.</t>
  </si>
  <si>
    <t>X</t>
  </si>
  <si>
    <t>Y</t>
  </si>
  <si>
    <t>Z</t>
  </si>
  <si>
    <t>P</t>
  </si>
  <si>
    <t>Q</t>
  </si>
  <si>
    <t>OVERHEAD DISTRIBUTION</t>
  </si>
  <si>
    <t>Details</t>
  </si>
  <si>
    <t>Material</t>
  </si>
  <si>
    <t xml:space="preserve">Wages </t>
  </si>
  <si>
    <t>Machine hr.</t>
  </si>
  <si>
    <t>Labour hr.</t>
  </si>
  <si>
    <t>Material Qty</t>
  </si>
  <si>
    <t>Job Details</t>
  </si>
  <si>
    <t>Machine hr. Rate</t>
  </si>
  <si>
    <t>Total Overhead/Machine hr.</t>
  </si>
  <si>
    <t>Labour hr. Rate</t>
  </si>
  <si>
    <t>Total Overhead/ Labour hr.</t>
  </si>
  <si>
    <t xml:space="preserve">Material Qty Rate </t>
  </si>
  <si>
    <t>Material Lost Rate</t>
  </si>
  <si>
    <t>Labour Cost Rate</t>
  </si>
  <si>
    <t>Total Overhead/ Material Qty used</t>
  </si>
  <si>
    <t>Total Overhead/ Labour Lost</t>
  </si>
  <si>
    <t>Total Overhead/Material Lost</t>
  </si>
  <si>
    <t>Job Material</t>
  </si>
  <si>
    <t xml:space="preserve">Job Wages </t>
  </si>
  <si>
    <t>Job Machine hr.</t>
  </si>
  <si>
    <t>Job Labour hr.</t>
  </si>
  <si>
    <t>Job Material Qty</t>
  </si>
  <si>
    <t>Total overhead</t>
  </si>
  <si>
    <t>Overhead Rates</t>
  </si>
  <si>
    <t>PRIME COST</t>
  </si>
  <si>
    <t>Overhead</t>
  </si>
  <si>
    <t>TOTAL COST</t>
  </si>
  <si>
    <t xml:space="preserve">Particulars </t>
  </si>
  <si>
    <t xml:space="preserve">To Material </t>
  </si>
  <si>
    <t xml:space="preserve">To other material </t>
  </si>
  <si>
    <t>To Labour</t>
  </si>
  <si>
    <t>To Direct Exp</t>
  </si>
  <si>
    <t xml:space="preserve">By Normal Waste </t>
  </si>
  <si>
    <t xml:space="preserve">By Abnormal Waste </t>
  </si>
  <si>
    <t>To Process A a/c</t>
  </si>
  <si>
    <t>By Process B a/a</t>
  </si>
  <si>
    <t xml:space="preserve">To Sundry Material </t>
  </si>
  <si>
    <t>To abnormal Effective</t>
  </si>
  <si>
    <t>To Process B a/c</t>
  </si>
  <si>
    <t>By Finished Goods</t>
  </si>
  <si>
    <t xml:space="preserve">For Normal Cost of Output </t>
  </si>
  <si>
    <t xml:space="preserve"> For Process A</t>
  </si>
  <si>
    <t xml:space="preserve"> For Process B</t>
  </si>
  <si>
    <t>PROCESS COSTING</t>
  </si>
  <si>
    <t>To Overheads</t>
  </si>
  <si>
    <t>Normal Loss a/c</t>
  </si>
  <si>
    <t>To process A</t>
  </si>
  <si>
    <t>To Process B</t>
  </si>
  <si>
    <t>%</t>
  </si>
  <si>
    <t>By Sale of A</t>
  </si>
  <si>
    <t>By Sale of B</t>
  </si>
  <si>
    <t>By Ab. Effective</t>
  </si>
  <si>
    <t>Abnormal Loss a/c</t>
  </si>
  <si>
    <t>By P&amp;L a/c</t>
  </si>
  <si>
    <t>To Normal Loss</t>
  </si>
  <si>
    <t>To P&amp;L</t>
  </si>
  <si>
    <t>By Process B</t>
  </si>
  <si>
    <t>PROCESS COSTING WITH TREATMENTS</t>
  </si>
  <si>
    <t>Abnormal Effective a/c</t>
  </si>
  <si>
    <t>Process account</t>
  </si>
  <si>
    <t>To Material</t>
  </si>
  <si>
    <t>By Finished goods</t>
  </si>
  <si>
    <t xml:space="preserve">By W.I.P </t>
  </si>
  <si>
    <t>Total Qty</t>
  </si>
  <si>
    <t>Labour &amp; Overheads</t>
  </si>
  <si>
    <t>Finished goods</t>
  </si>
  <si>
    <t>W.I.P</t>
  </si>
  <si>
    <t>Cost Per Equivalent Unit</t>
  </si>
  <si>
    <t>Labour</t>
  </si>
  <si>
    <t>Overheads</t>
  </si>
  <si>
    <t>Per Unit Cost FG</t>
  </si>
  <si>
    <t>Per Unit Cost WIP</t>
  </si>
  <si>
    <t>Work in Progess</t>
  </si>
  <si>
    <t xml:space="preserve">Material </t>
  </si>
  <si>
    <t>OR</t>
  </si>
  <si>
    <t>Contract a/c</t>
  </si>
  <si>
    <t>By Certified Work</t>
  </si>
  <si>
    <t>Work Certified</t>
  </si>
  <si>
    <t>By Uncertified</t>
  </si>
  <si>
    <t>Plant</t>
  </si>
  <si>
    <t>To Plant</t>
  </si>
  <si>
    <t>By Material Damage</t>
  </si>
  <si>
    <t>By Plant Dep.</t>
  </si>
  <si>
    <t>Profit Earned Upto Date</t>
  </si>
  <si>
    <t>Profit to P&amp;L a/c</t>
  </si>
  <si>
    <t>To P&amp;L a/c</t>
  </si>
  <si>
    <t>To W.I.P reserve</t>
  </si>
  <si>
    <t xml:space="preserve">% of Work Certified </t>
  </si>
  <si>
    <t>Contract Price</t>
  </si>
  <si>
    <t xml:space="preserve">To Plant </t>
  </si>
  <si>
    <t>To other Expenses</t>
  </si>
  <si>
    <t xml:space="preserve">By Work Certified </t>
  </si>
  <si>
    <t>By Work Uncertified</t>
  </si>
  <si>
    <t>By Material Lost</t>
  </si>
  <si>
    <t xml:space="preserve">By Plant Lost </t>
  </si>
  <si>
    <t>By Plant Return</t>
  </si>
  <si>
    <t>By Material at Site</t>
  </si>
  <si>
    <t>By Plant at Site</t>
  </si>
  <si>
    <t xml:space="preserve">Total </t>
  </si>
  <si>
    <t>To WIP reserve</t>
  </si>
  <si>
    <t>To Balance C/F</t>
  </si>
  <si>
    <t>To Balance B/D</t>
  </si>
  <si>
    <t>Profit Taken to P&amp;L</t>
  </si>
  <si>
    <t>Dep. On Plant Used in Contract</t>
  </si>
  <si>
    <t>Reconciliation Statement</t>
  </si>
  <si>
    <t>Debit</t>
  </si>
  <si>
    <t>Credit</t>
  </si>
  <si>
    <t>Profit As per Cost Sheet</t>
  </si>
  <si>
    <t>Factory Overheads Uncharged in costing</t>
  </si>
  <si>
    <t>Office Overheads Overchaged in costing</t>
  </si>
  <si>
    <t>Notional Rent recorded in costing</t>
  </si>
  <si>
    <t>Dividend Received not recorded in costing</t>
  </si>
  <si>
    <t>Profit As Per Financial Books</t>
  </si>
  <si>
    <t>Grand Total</t>
  </si>
  <si>
    <t xml:space="preserve">Provision for doubtful debts </t>
  </si>
  <si>
    <t>Director's Fees not recorded in cost records</t>
  </si>
  <si>
    <t>Income Tax Paid Shown in Financial records</t>
  </si>
  <si>
    <t>Rent of Owned Remises not shown in financial records</t>
  </si>
  <si>
    <t>Depreciation Undercharged in Cost books</t>
  </si>
  <si>
    <t>Administration Overheads Overcharged</t>
  </si>
  <si>
    <t>Share transfer fees not entered in cost books</t>
  </si>
  <si>
    <t>Production Budget</t>
  </si>
  <si>
    <t xml:space="preserve">Month </t>
  </si>
  <si>
    <t>Closing Stocks</t>
  </si>
  <si>
    <t>Opening Stocks</t>
  </si>
  <si>
    <t>Production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</si>
  <si>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</si>
  <si>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</si>
  <si>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</si>
  <si>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</si>
  <si>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</si>
  <si>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</si>
  <si>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</si>
  <si>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</si>
  <si>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Material Needed for Production</t>
  </si>
  <si>
    <t xml:space="preserve">Rate </t>
  </si>
  <si>
    <t>Material Purchase Budget</t>
  </si>
  <si>
    <t>(A) 120000</t>
  </si>
  <si>
    <t>(B) 150000</t>
  </si>
  <si>
    <t>Indirect Material</t>
  </si>
  <si>
    <t>Indirect Labour</t>
  </si>
  <si>
    <t>Maintenance</t>
  </si>
  <si>
    <t>Supervision</t>
  </si>
  <si>
    <t>Service</t>
  </si>
  <si>
    <t>(D) = C/3000</t>
  </si>
  <si>
    <t>C = B-A</t>
  </si>
  <si>
    <t>(F) = A-E</t>
  </si>
  <si>
    <t>E V.C of 120000</t>
  </si>
  <si>
    <t>FACTORY OVERHEADS BUDGET (140000)</t>
  </si>
  <si>
    <t>Variable</t>
  </si>
  <si>
    <t>Fixed</t>
  </si>
  <si>
    <t>Maintenance (Semi Variable)</t>
  </si>
  <si>
    <t>Supervision (Semi Variable)</t>
  </si>
  <si>
    <t xml:space="preserve">Particular </t>
  </si>
  <si>
    <t>Direct Labour</t>
  </si>
  <si>
    <t>Factory OH</t>
  </si>
  <si>
    <t>Selling OH</t>
  </si>
  <si>
    <t>Admin OH</t>
  </si>
  <si>
    <t>(A) 65%=65000</t>
  </si>
  <si>
    <t>(B) 75%= 75000</t>
  </si>
  <si>
    <t>C= B-A (10%=10000)</t>
  </si>
  <si>
    <t>D= C/10000 Per unit</t>
  </si>
  <si>
    <t>E = V.C of A</t>
  </si>
  <si>
    <t>F = A-E</t>
  </si>
  <si>
    <t>Buget for 85000 Per (85%)</t>
  </si>
  <si>
    <t>Direct Material =[85000*20]+8%</t>
  </si>
  <si>
    <t>Direct Labour = [ 85000*10] +5%</t>
  </si>
  <si>
    <t>Variable = [85000*2]+5%</t>
  </si>
  <si>
    <t>Variable = [85000*4]+8%</t>
  </si>
  <si>
    <t>Fixed = [100000]+15%</t>
  </si>
  <si>
    <t>Fixed = [200000]+10%</t>
  </si>
  <si>
    <t>Admin OH [160000]+10%</t>
  </si>
  <si>
    <t>Profit(20% of Sales)</t>
  </si>
  <si>
    <t>Total Cost(80% of Sales)</t>
  </si>
  <si>
    <t xml:space="preserve">Total Sales </t>
  </si>
  <si>
    <t xml:space="preserve">May </t>
  </si>
  <si>
    <t>Opening Balance</t>
  </si>
  <si>
    <t>Cash inflow/Receipts</t>
  </si>
  <si>
    <t>Cash From Debtors</t>
  </si>
  <si>
    <t>Payments</t>
  </si>
  <si>
    <t>Payments to Supplier</t>
  </si>
  <si>
    <t>Wages</t>
  </si>
  <si>
    <t>Manufacturing Expense</t>
  </si>
  <si>
    <t>Office Exp</t>
  </si>
  <si>
    <t>Selling Exp</t>
  </si>
  <si>
    <t>Plant Instalment</t>
  </si>
  <si>
    <t>Advance Tax</t>
  </si>
  <si>
    <t>Total Balance</t>
  </si>
  <si>
    <t>Closing Balance</t>
  </si>
  <si>
    <t>Plant Expense</t>
  </si>
  <si>
    <t>Months</t>
  </si>
  <si>
    <t xml:space="preserve">March </t>
  </si>
  <si>
    <t>Aug</t>
  </si>
  <si>
    <t>Q1</t>
  </si>
  <si>
    <t>Q2</t>
  </si>
  <si>
    <t>Q3</t>
  </si>
  <si>
    <t>Q4</t>
  </si>
  <si>
    <t>Collection</t>
  </si>
  <si>
    <t xml:space="preserve">Payment </t>
  </si>
  <si>
    <t xml:space="preserve">Purchase of Material </t>
  </si>
  <si>
    <t>Other Expense</t>
  </si>
  <si>
    <t>Salary &amp;wages</t>
  </si>
  <si>
    <t>Income Tax</t>
  </si>
  <si>
    <t>Purchase of Machine</t>
  </si>
  <si>
    <t>Balance</t>
  </si>
  <si>
    <t>Loan Taken/Prepaid</t>
  </si>
  <si>
    <t>Interest Paid</t>
  </si>
  <si>
    <t>closing</t>
  </si>
  <si>
    <t>Option 1</t>
  </si>
  <si>
    <t>9500 of principle is paid</t>
  </si>
  <si>
    <t>Interest</t>
  </si>
  <si>
    <t>Option 2</t>
  </si>
  <si>
    <t>9000 of principle is paid</t>
  </si>
  <si>
    <t>Interest Measure for quarter 3</t>
  </si>
  <si>
    <t>Interest Measure for quarter 4</t>
  </si>
  <si>
    <t xml:space="preserve">Interest </t>
  </si>
  <si>
    <t>11000 of Principlle is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</si>
</sst>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#,##0.0;\(#,##0.0\);\-"/>
    <numFmt numFmtId="168" formatCode="0;\(0\);\-"/>
    <numFmt numFmtId="171" formatCode="&quot;$&quot;#,##0"/>
    <numFmt numFmtId="175" formatCode="&quot;Rs.&quot;0.00&quot; P/hr&quot;"/>
    <numFmt numFmtId="177" formatCode="&quot;Rs.&quot;0.00&quot; P/Kg&quot;"/>
    <numFmt numFmtId="179" formatCode="&quot;@&quot;0.00"/>
    <numFmt numFmtId="180" formatCode="#,##0;\(#,##0.\);\-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b/>
      <sz val="18"/>
      <color theme="0"/>
      <name val="Calibri"/>
      <family val="2"/>
    </font>
    <font>
      <sz val="20"/>
      <color theme="1"/>
      <name val="Calibri"/>
      <family val="2"/>
    </font>
    <font>
      <b/>
      <sz val="24"/>
      <color theme="0" tint="-4.9989318521683403E-2"/>
      <name val="Calibri"/>
      <family val="2"/>
    </font>
    <font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66" fontId="0" fillId="0" borderId="9" xfId="0" applyNumberFormat="1" applyBorder="1" applyAlignment="1">
      <alignment horizontal="right"/>
    </xf>
    <xf numFmtId="0" fontId="5" fillId="0" borderId="5" xfId="0" applyFont="1" applyBorder="1"/>
    <xf numFmtId="0" fontId="5" fillId="2" borderId="5" xfId="0" applyFont="1" applyFill="1" applyBorder="1"/>
    <xf numFmtId="166" fontId="5" fillId="2" borderId="5" xfId="0" applyNumberFormat="1" applyFont="1" applyFill="1" applyBorder="1"/>
    <xf numFmtId="166" fontId="0" fillId="2" borderId="12" xfId="0" applyNumberForma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17" xfId="0" applyBorder="1"/>
    <xf numFmtId="0" fontId="0" fillId="0" borderId="6" xfId="0" applyBorder="1"/>
    <xf numFmtId="0" fontId="0" fillId="0" borderId="22" xfId="0" applyBorder="1"/>
    <xf numFmtId="0" fontId="0" fillId="0" borderId="1" xfId="0" applyBorder="1"/>
    <xf numFmtId="0" fontId="3" fillId="0" borderId="4" xfId="0" applyFont="1" applyBorder="1"/>
    <xf numFmtId="0" fontId="0" fillId="0" borderId="7" xfId="0" applyFill="1" applyBorder="1"/>
    <xf numFmtId="0" fontId="3" fillId="0" borderId="4" xfId="0" applyFont="1" applyFill="1" applyBorder="1"/>
    <xf numFmtId="0" fontId="0" fillId="0" borderId="11" xfId="0" applyBorder="1"/>
    <xf numFmtId="0" fontId="3" fillId="0" borderId="5" xfId="0" applyFont="1" applyFill="1" applyBorder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0" fillId="2" borderId="14" xfId="0" applyNumberFormat="1" applyFill="1" applyBorder="1" applyAlignment="1">
      <alignment horizontal="left"/>
    </xf>
    <xf numFmtId="0" fontId="0" fillId="2" borderId="15" xfId="0" applyNumberFormat="1" applyFill="1" applyBorder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2" fillId="4" borderId="2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0" xfId="2" applyBorder="1"/>
    <xf numFmtId="0" fontId="8" fillId="0" borderId="3" xfId="2" applyBorder="1"/>
    <xf numFmtId="0" fontId="5" fillId="0" borderId="0" xfId="0" applyFont="1"/>
    <xf numFmtId="0" fontId="3" fillId="0" borderId="5" xfId="0" applyFont="1" applyBorder="1" applyAlignment="1">
      <alignment horizontal="center" vertical="center"/>
    </xf>
    <xf numFmtId="16" fontId="0" fillId="0" borderId="5" xfId="0" applyNumberFormat="1" applyBorder="1"/>
    <xf numFmtId="166" fontId="0" fillId="0" borderId="12" xfId="0" applyNumberFormat="1" applyFill="1" applyBorder="1" applyAlignment="1">
      <alignment horizontal="right"/>
    </xf>
    <xf numFmtId="9" fontId="0" fillId="0" borderId="5" xfId="1" applyFont="1" applyBorder="1"/>
    <xf numFmtId="166" fontId="0" fillId="0" borderId="5" xfId="0" applyNumberFormat="1" applyFill="1" applyBorder="1" applyAlignment="1">
      <alignment horizontal="right"/>
    </xf>
    <xf numFmtId="0" fontId="9" fillId="0" borderId="5" xfId="2" applyNumberFormat="1" applyFont="1" applyBorder="1"/>
    <xf numFmtId="168" fontId="0" fillId="0" borderId="5" xfId="0" applyNumberFormat="1" applyBorder="1"/>
    <xf numFmtId="0" fontId="11" fillId="5" borderId="0" xfId="0" applyFont="1" applyFill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5" xfId="0" applyFont="1" applyFill="1" applyBorder="1"/>
    <xf numFmtId="0" fontId="0" fillId="7" borderId="5" xfId="0" applyFill="1" applyBorder="1"/>
    <xf numFmtId="166" fontId="0" fillId="7" borderId="5" xfId="0" applyNumberFormat="1" applyFill="1" applyBorder="1" applyAlignment="1">
      <alignment horizontal="right"/>
    </xf>
    <xf numFmtId="49" fontId="0" fillId="0" borderId="5" xfId="0" applyNumberFormat="1" applyBorder="1"/>
    <xf numFmtId="175" fontId="0" fillId="0" borderId="5" xfId="0" applyNumberFormat="1" applyBorder="1"/>
    <xf numFmtId="171" fontId="0" fillId="0" borderId="5" xfId="0" applyNumberFormat="1" applyBorder="1"/>
    <xf numFmtId="175" fontId="0" fillId="0" borderId="5" xfId="0" applyNumberFormat="1" applyBorder="1" applyAlignment="1">
      <alignment horizontal="right"/>
    </xf>
    <xf numFmtId="0" fontId="12" fillId="0" borderId="5" xfId="0" applyFont="1" applyBorder="1"/>
    <xf numFmtId="177" fontId="0" fillId="0" borderId="5" xfId="0" applyNumberFormat="1" applyBorder="1" applyAlignment="1">
      <alignment horizontal="right"/>
    </xf>
    <xf numFmtId="1" fontId="0" fillId="0" borderId="5" xfId="0" applyNumberFormat="1" applyBorder="1"/>
    <xf numFmtId="0" fontId="3" fillId="10" borderId="5" xfId="0" applyFont="1" applyFill="1" applyBorder="1"/>
    <xf numFmtId="171" fontId="3" fillId="10" borderId="5" xfId="0" applyNumberFormat="1" applyFont="1" applyFill="1" applyBorder="1"/>
    <xf numFmtId="0" fontId="3" fillId="9" borderId="5" xfId="0" applyFont="1" applyFill="1" applyBorder="1"/>
    <xf numFmtId="1" fontId="0" fillId="0" borderId="8" xfId="0" applyNumberFormat="1" applyBorder="1"/>
    <xf numFmtId="0" fontId="3" fillId="10" borderId="12" xfId="0" applyFont="1" applyFill="1" applyBorder="1"/>
    <xf numFmtId="171" fontId="3" fillId="10" borderId="12" xfId="0" applyNumberFormat="1" applyFont="1" applyFill="1" applyBorder="1"/>
    <xf numFmtId="0" fontId="3" fillId="9" borderId="4" xfId="0" applyFont="1" applyFill="1" applyBorder="1"/>
    <xf numFmtId="0" fontId="13" fillId="8" borderId="2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3" fillId="8" borderId="28" xfId="0" applyFont="1" applyFill="1" applyBorder="1" applyAlignment="1">
      <alignment horizontal="center" vertical="center"/>
    </xf>
    <xf numFmtId="0" fontId="13" fillId="8" borderId="29" xfId="0" applyFont="1" applyFill="1" applyBorder="1" applyAlignment="1">
      <alignment horizontal="center" vertical="center"/>
    </xf>
    <xf numFmtId="0" fontId="5" fillId="11" borderId="32" xfId="0" applyFont="1" applyFill="1" applyBorder="1"/>
    <xf numFmtId="0" fontId="5" fillId="11" borderId="33" xfId="0" applyFont="1" applyFill="1" applyBorder="1"/>
    <xf numFmtId="0" fontId="5" fillId="11" borderId="34" xfId="0" applyFont="1" applyFill="1" applyBorder="1"/>
    <xf numFmtId="0" fontId="0" fillId="0" borderId="35" xfId="0" applyBorder="1"/>
    <xf numFmtId="179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79" fontId="0" fillId="0" borderId="39" xfId="0" applyNumberFormat="1" applyBorder="1"/>
    <xf numFmtId="0" fontId="3" fillId="2" borderId="41" xfId="0" applyFont="1" applyFill="1" applyBorder="1"/>
    <xf numFmtId="0" fontId="3" fillId="2" borderId="42" xfId="0" applyFont="1" applyFill="1" applyBorder="1"/>
    <xf numFmtId="0" fontId="3" fillId="2" borderId="43" xfId="0" applyFont="1" applyFill="1" applyBorder="1"/>
    <xf numFmtId="0" fontId="3" fillId="12" borderId="0" xfId="0" applyFont="1" applyFill="1"/>
    <xf numFmtId="0" fontId="3" fillId="12" borderId="0" xfId="0" applyFont="1" applyFill="1" applyAlignment="1">
      <alignment horizontal="left"/>
    </xf>
    <xf numFmtId="0" fontId="14" fillId="0" borderId="0" xfId="0" applyFont="1"/>
    <xf numFmtId="0" fontId="5" fillId="11" borderId="44" xfId="0" applyFont="1" applyFill="1" applyBorder="1"/>
    <xf numFmtId="0" fontId="5" fillId="11" borderId="45" xfId="0" applyFont="1" applyFill="1" applyBorder="1"/>
    <xf numFmtId="0" fontId="5" fillId="11" borderId="46" xfId="0" applyFont="1" applyFill="1" applyBorder="1"/>
    <xf numFmtId="0" fontId="6" fillId="4" borderId="4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/>
    </xf>
    <xf numFmtId="0" fontId="15" fillId="13" borderId="5" xfId="0" applyFont="1" applyFill="1" applyBorder="1"/>
    <xf numFmtId="0" fontId="15" fillId="14" borderId="5" xfId="0" applyFont="1" applyFill="1" applyBorder="1"/>
    <xf numFmtId="166" fontId="15" fillId="14" borderId="12" xfId="0" applyNumberFormat="1" applyFont="1" applyFill="1" applyBorder="1" applyAlignment="1">
      <alignment horizontal="right"/>
    </xf>
    <xf numFmtId="0" fontId="7" fillId="15" borderId="5" xfId="0" applyFont="1" applyFill="1" applyBorder="1" applyAlignment="1">
      <alignment horizontal="center"/>
    </xf>
    <xf numFmtId="0" fontId="5" fillId="15" borderId="18" xfId="0" applyFont="1" applyFill="1" applyBorder="1" applyAlignment="1">
      <alignment horizontal="left"/>
    </xf>
    <xf numFmtId="0" fontId="5" fillId="15" borderId="19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left"/>
    </xf>
    <xf numFmtId="0" fontId="5" fillId="15" borderId="21" xfId="0" applyNumberFormat="1" applyFont="1" applyFill="1" applyBorder="1" applyAlignment="1">
      <alignment horizontal="right"/>
    </xf>
    <xf numFmtId="179" fontId="0" fillId="0" borderId="0" xfId="0" applyNumberFormat="1" applyBorder="1"/>
    <xf numFmtId="0" fontId="2" fillId="0" borderId="0" xfId="0" applyFont="1" applyFill="1" applyBorder="1"/>
    <xf numFmtId="0" fontId="0" fillId="0" borderId="47" xfId="0" applyBorder="1"/>
    <xf numFmtId="0" fontId="0" fillId="0" borderId="30" xfId="0" applyBorder="1"/>
    <xf numFmtId="0" fontId="0" fillId="0" borderId="48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1" xfId="0" applyBorder="1"/>
    <xf numFmtId="0" fontId="0" fillId="0" borderId="57" xfId="0" applyBorder="1"/>
    <xf numFmtId="0" fontId="3" fillId="17" borderId="41" xfId="0" applyFont="1" applyFill="1" applyBorder="1"/>
    <xf numFmtId="0" fontId="3" fillId="17" borderId="42" xfId="0" applyFont="1" applyFill="1" applyBorder="1"/>
    <xf numFmtId="0" fontId="3" fillId="17" borderId="43" xfId="0" applyFont="1" applyFill="1" applyBorder="1"/>
    <xf numFmtId="0" fontId="5" fillId="18" borderId="58" xfId="0" applyFont="1" applyFill="1" applyBorder="1"/>
    <xf numFmtId="0" fontId="5" fillId="18" borderId="59" xfId="0" applyFont="1" applyFill="1" applyBorder="1"/>
    <xf numFmtId="0" fontId="5" fillId="18" borderId="49" xfId="0" applyFont="1" applyFill="1" applyBorder="1"/>
    <xf numFmtId="0" fontId="5" fillId="18" borderId="60" xfId="0" applyFont="1" applyFill="1" applyBorder="1"/>
    <xf numFmtId="0" fontId="5" fillId="18" borderId="44" xfId="0" applyFont="1" applyFill="1" applyBorder="1"/>
    <xf numFmtId="0" fontId="5" fillId="18" borderId="45" xfId="0" applyFont="1" applyFill="1" applyBorder="1"/>
    <xf numFmtId="0" fontId="5" fillId="18" borderId="56" xfId="0" applyFont="1" applyFill="1" applyBorder="1"/>
    <xf numFmtId="0" fontId="5" fillId="18" borderId="46" xfId="0" applyFont="1" applyFill="1" applyBorder="1"/>
    <xf numFmtId="0" fontId="0" fillId="18" borderId="55" xfId="0" applyFill="1" applyBorder="1"/>
    <xf numFmtId="0" fontId="0" fillId="18" borderId="14" xfId="0" applyFill="1" applyBorder="1"/>
    <xf numFmtId="0" fontId="0" fillId="18" borderId="31" xfId="0" applyFill="1" applyBorder="1"/>
    <xf numFmtId="0" fontId="0" fillId="18" borderId="51" xfId="0" applyFill="1" applyBorder="1"/>
    <xf numFmtId="0" fontId="0" fillId="18" borderId="19" xfId="0" applyFill="1" applyBorder="1"/>
    <xf numFmtId="0" fontId="0" fillId="18" borderId="52" xfId="0" applyFill="1" applyBorder="1"/>
    <xf numFmtId="0" fontId="2" fillId="16" borderId="0" xfId="0" applyFont="1" applyFill="1"/>
    <xf numFmtId="0" fontId="2" fillId="16" borderId="0" xfId="0" applyFont="1" applyFill="1" applyAlignment="1">
      <alignment horizontal="left"/>
    </xf>
    <xf numFmtId="0" fontId="16" fillId="16" borderId="47" xfId="0" applyFont="1" applyFill="1" applyBorder="1" applyAlignment="1">
      <alignment horizontal="center" vertical="center"/>
    </xf>
    <xf numFmtId="0" fontId="16" fillId="16" borderId="30" xfId="0" applyFont="1" applyFill="1" applyBorder="1" applyAlignment="1">
      <alignment horizontal="center" vertical="center"/>
    </xf>
    <xf numFmtId="0" fontId="16" fillId="16" borderId="48" xfId="0" applyFont="1" applyFill="1" applyBorder="1" applyAlignment="1">
      <alignment horizontal="center" vertical="center"/>
    </xf>
    <xf numFmtId="0" fontId="16" fillId="16" borderId="18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6" fillId="16" borderId="20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/>
    </xf>
    <xf numFmtId="0" fontId="2" fillId="18" borderId="14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/>
    </xf>
    <xf numFmtId="0" fontId="0" fillId="19" borderId="5" xfId="0" applyFill="1" applyBorder="1"/>
    <xf numFmtId="0" fontId="3" fillId="19" borderId="5" xfId="0" applyFont="1" applyFill="1" applyBorder="1"/>
    <xf numFmtId="0" fontId="16" fillId="5" borderId="5" xfId="0" applyFont="1" applyFill="1" applyBorder="1" applyAlignment="1">
      <alignment horizontal="center"/>
    </xf>
    <xf numFmtId="0" fontId="5" fillId="19" borderId="5" xfId="0" applyFont="1" applyFill="1" applyBorder="1"/>
    <xf numFmtId="0" fontId="6" fillId="0" borderId="0" xfId="0" applyFont="1" applyAlignment="1"/>
    <xf numFmtId="0" fontId="16" fillId="20" borderId="0" xfId="0" applyFont="1" applyFill="1" applyAlignment="1">
      <alignment horizontal="center" vertical="center"/>
    </xf>
    <xf numFmtId="0" fontId="3" fillId="19" borderId="4" xfId="0" applyFont="1" applyFill="1" applyBorder="1" applyAlignment="1">
      <alignment horizontal="center"/>
    </xf>
    <xf numFmtId="0" fontId="3" fillId="19" borderId="10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4" fillId="0" borderId="0" xfId="0" applyFont="1"/>
    <xf numFmtId="0" fontId="0" fillId="17" borderId="5" xfId="0" applyFill="1" applyBorder="1"/>
    <xf numFmtId="0" fontId="17" fillId="21" borderId="5" xfId="0" applyFont="1" applyFill="1" applyBorder="1" applyAlignment="1">
      <alignment horizontal="center"/>
    </xf>
    <xf numFmtId="0" fontId="3" fillId="6" borderId="23" xfId="0" applyFont="1" applyFill="1" applyBorder="1"/>
    <xf numFmtId="0" fontId="3" fillId="6" borderId="24" xfId="0" applyFont="1" applyFill="1" applyBorder="1"/>
    <xf numFmtId="9" fontId="3" fillId="6" borderId="24" xfId="1" applyFont="1" applyFill="1" applyBorder="1"/>
    <xf numFmtId="0" fontId="5" fillId="22" borderId="5" xfId="0" applyFont="1" applyFill="1" applyBorder="1" applyAlignment="1">
      <alignment horizontal="center"/>
    </xf>
    <xf numFmtId="0" fontId="5" fillId="0" borderId="5" xfId="0" applyFont="1" applyFill="1" applyBorder="1"/>
    <xf numFmtId="0" fontId="3" fillId="22" borderId="5" xfId="0" applyFont="1" applyFill="1" applyBorder="1"/>
    <xf numFmtId="0" fontId="0" fillId="0" borderId="28" xfId="0" applyBorder="1"/>
    <xf numFmtId="0" fontId="0" fillId="0" borderId="29" xfId="0" applyBorder="1"/>
    <xf numFmtId="0" fontId="2" fillId="5" borderId="2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9" xfId="0" applyFont="1" applyFill="1" applyBorder="1"/>
    <xf numFmtId="180" fontId="0" fillId="0" borderId="9" xfId="0" applyNumberFormat="1" applyBorder="1" applyAlignment="1">
      <alignment horizontal="right"/>
    </xf>
    <xf numFmtId="0" fontId="0" fillId="0" borderId="49" xfId="0" applyNumberFormat="1" applyBorder="1"/>
    <xf numFmtId="0" fontId="0" fillId="0" borderId="54" xfId="0" applyNumberFormat="1" applyBorder="1"/>
    <xf numFmtId="180" fontId="0" fillId="7" borderId="5" xfId="0" applyNumberFormat="1" applyFill="1" applyBorder="1" applyAlignment="1">
      <alignment horizontal="right"/>
    </xf>
    <xf numFmtId="0" fontId="0" fillId="7" borderId="10" xfId="0" applyFill="1" applyBorder="1"/>
    <xf numFmtId="0" fontId="0" fillId="7" borderId="3" xfId="0" applyFill="1" applyBorder="1"/>
    <xf numFmtId="0" fontId="0" fillId="7" borderId="62" xfId="0" applyNumberFormat="1" applyFill="1" applyBorder="1"/>
    <xf numFmtId="0" fontId="3" fillId="7" borderId="55" xfId="0" applyNumberFormat="1" applyFont="1" applyFill="1" applyBorder="1"/>
    <xf numFmtId="0" fontId="0" fillId="7" borderId="14" xfId="0" applyFill="1" applyBorder="1"/>
    <xf numFmtId="180" fontId="0" fillId="7" borderId="12" xfId="0" applyNumberFormat="1" applyFill="1" applyBorder="1" applyAlignment="1">
      <alignment horizontal="right"/>
    </xf>
    <xf numFmtId="180" fontId="0" fillId="7" borderId="24" xfId="0" applyNumberFormat="1" applyFill="1" applyBorder="1" applyAlignment="1">
      <alignment horizontal="right"/>
    </xf>
    <xf numFmtId="0" fontId="0" fillId="0" borderId="0" xfId="0" applyNumberFormat="1" applyBorder="1"/>
    <xf numFmtId="180" fontId="0" fillId="0" borderId="0" xfId="0" applyNumberFormat="1" applyBorder="1" applyAlignment="1">
      <alignment horizontal="right"/>
    </xf>
    <xf numFmtId="0" fontId="0" fillId="7" borderId="31" xfId="0" applyFill="1" applyBorder="1"/>
    <xf numFmtId="180" fontId="0" fillId="0" borderId="63" xfId="0" applyNumberFormat="1" applyBorder="1" applyAlignment="1">
      <alignment horizontal="right"/>
    </xf>
    <xf numFmtId="180" fontId="0" fillId="7" borderId="64" xfId="0" applyNumberFormat="1" applyFill="1" applyBorder="1" applyAlignment="1">
      <alignment horizontal="right"/>
    </xf>
    <xf numFmtId="0" fontId="0" fillId="0" borderId="54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180" fontId="0" fillId="0" borderId="17" xfId="0" applyNumberFormat="1" applyBorder="1" applyAlignment="1">
      <alignment horizontal="right"/>
    </xf>
    <xf numFmtId="0" fontId="0" fillId="0" borderId="53" xfId="0" applyNumberFormat="1" applyBorder="1" applyAlignment="1">
      <alignment horizontal="left" vertical="top" wrapText="1"/>
    </xf>
    <xf numFmtId="0" fontId="0" fillId="0" borderId="65" xfId="0" applyNumberFormat="1" applyBorder="1"/>
    <xf numFmtId="0" fontId="0" fillId="0" borderId="66" xfId="0" applyBorder="1"/>
    <xf numFmtId="180" fontId="0" fillId="7" borderId="61" xfId="0" applyNumberFormat="1" applyFill="1" applyBorder="1" applyAlignment="1">
      <alignment horizontal="right"/>
    </xf>
    <xf numFmtId="180" fontId="0" fillId="0" borderId="67" xfId="0" applyNumberFormat="1" applyBorder="1" applyAlignment="1">
      <alignment horizontal="right"/>
    </xf>
    <xf numFmtId="180" fontId="0" fillId="7" borderId="23" xfId="0" applyNumberFormat="1" applyFill="1" applyBorder="1" applyAlignment="1">
      <alignment horizontal="right"/>
    </xf>
    <xf numFmtId="0" fontId="6" fillId="3" borderId="2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3" fillId="3" borderId="54" xfId="0" applyFont="1" applyFill="1" applyBorder="1"/>
    <xf numFmtId="0" fontId="3" fillId="3" borderId="0" xfId="0" applyFont="1" applyFill="1" applyBorder="1"/>
    <xf numFmtId="0" fontId="3" fillId="3" borderId="53" xfId="0" applyFont="1" applyFill="1" applyBorder="1"/>
    <xf numFmtId="0" fontId="6" fillId="3" borderId="5" xfId="0" applyFont="1" applyFill="1" applyBorder="1" applyAlignment="1">
      <alignment horizontal="center"/>
    </xf>
    <xf numFmtId="0" fontId="3" fillId="3" borderId="5" xfId="0" applyFont="1" applyFill="1" applyBorder="1"/>
    <xf numFmtId="0" fontId="0" fillId="0" borderId="61" xfId="0" applyBorder="1"/>
    <xf numFmtId="0" fontId="0" fillId="0" borderId="64" xfId="0" applyBorder="1"/>
    <xf numFmtId="0" fontId="0" fillId="0" borderId="61" xfId="0" applyBorder="1" applyAlignment="1">
      <alignment horizontal="center"/>
    </xf>
    <xf numFmtId="0" fontId="0" fillId="0" borderId="27" xfId="0" applyBorder="1"/>
    <xf numFmtId="0" fontId="3" fillId="0" borderId="25" xfId="0" applyFont="1" applyBorder="1"/>
    <xf numFmtId="0" fontId="3" fillId="0" borderId="16" xfId="0" applyFont="1" applyBorder="1"/>
    <xf numFmtId="0" fontId="3" fillId="0" borderId="26" xfId="0" applyFont="1" applyBorder="1"/>
    <xf numFmtId="0" fontId="0" fillId="0" borderId="68" xfId="0" applyBorder="1"/>
    <xf numFmtId="0" fontId="0" fillId="0" borderId="69" xfId="0" applyBorder="1"/>
    <xf numFmtId="0" fontId="5" fillId="3" borderId="23" xfId="0" applyFont="1" applyFill="1" applyBorder="1"/>
    <xf numFmtId="0" fontId="5" fillId="3" borderId="12" xfId="0" applyFont="1" applyFill="1" applyBorder="1"/>
    <xf numFmtId="0" fontId="5" fillId="3" borderId="24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0" fillId="0" borderId="70" xfId="0" applyBorder="1"/>
    <xf numFmtId="0" fontId="0" fillId="0" borderId="71" xfId="0" applyBorder="1"/>
    <xf numFmtId="0" fontId="3" fillId="3" borderId="23" xfId="0" applyFont="1" applyFill="1" applyBorder="1" applyAlignment="1">
      <alignment horizontal="center"/>
    </xf>
    <xf numFmtId="0" fontId="3" fillId="3" borderId="12" xfId="0" applyFont="1" applyFill="1" applyBorder="1"/>
    <xf numFmtId="0" fontId="3" fillId="3" borderId="24" xfId="0" applyFont="1" applyFill="1" applyBorder="1"/>
    <xf numFmtId="1" fontId="0" fillId="0" borderId="11" xfId="0" applyNumberFormat="1" applyBorder="1"/>
    <xf numFmtId="0" fontId="6" fillId="7" borderId="23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55" xfId="0" applyFill="1" applyBorder="1"/>
    <xf numFmtId="0" fontId="5" fillId="0" borderId="55" xfId="0" applyFont="1" applyBorder="1"/>
    <xf numFmtId="0" fontId="5" fillId="7" borderId="12" xfId="0" applyFont="1" applyFill="1" applyBorder="1"/>
    <xf numFmtId="0" fontId="5" fillId="7" borderId="24" xfId="0" applyFont="1" applyFill="1" applyBorder="1"/>
    <xf numFmtId="0" fontId="10" fillId="0" borderId="5" xfId="0" applyFont="1" applyBorder="1"/>
    <xf numFmtId="0" fontId="10" fillId="0" borderId="11" xfId="0" applyFont="1" applyBorder="1"/>
    <xf numFmtId="0" fontId="6" fillId="22" borderId="23" xfId="0" applyFont="1" applyFill="1" applyBorder="1"/>
    <xf numFmtId="0" fontId="6" fillId="22" borderId="12" xfId="0" applyFont="1" applyFill="1" applyBorder="1"/>
    <xf numFmtId="0" fontId="6" fillId="22" borderId="24" xfId="0" applyFont="1" applyFill="1" applyBorder="1"/>
    <xf numFmtId="0" fontId="5" fillId="22" borderId="8" xfId="0" applyFont="1" applyFill="1" applyBorder="1"/>
    <xf numFmtId="0" fontId="5" fillId="22" borderId="23" xfId="0" applyFont="1" applyFill="1" applyBorder="1"/>
    <xf numFmtId="0" fontId="5" fillId="22" borderId="12" xfId="0" applyFont="1" applyFill="1" applyBorder="1"/>
    <xf numFmtId="0" fontId="5" fillId="22" borderId="24" xfId="0" applyFont="1" applyFill="1" applyBorder="1"/>
    <xf numFmtId="0" fontId="5" fillId="22" borderId="25" xfId="0" applyFont="1" applyFill="1" applyBorder="1"/>
    <xf numFmtId="0" fontId="10" fillId="22" borderId="16" xfId="0" applyFont="1" applyFill="1" applyBorder="1"/>
    <xf numFmtId="0" fontId="5" fillId="22" borderId="16" xfId="0" applyFont="1" applyFill="1" applyBorder="1"/>
    <xf numFmtId="9" fontId="5" fillId="22" borderId="16" xfId="0" applyNumberFormat="1" applyFont="1" applyFill="1" applyBorder="1"/>
    <xf numFmtId="9" fontId="5" fillId="22" borderId="26" xfId="0" applyNumberFormat="1" applyFont="1" applyFill="1" applyBorder="1"/>
    <xf numFmtId="0" fontId="5" fillId="0" borderId="61" xfId="0" applyFont="1" applyBorder="1"/>
    <xf numFmtId="0" fontId="10" fillId="0" borderId="64" xfId="0" applyFont="1" applyBorder="1"/>
    <xf numFmtId="0" fontId="5" fillId="0" borderId="27" xfId="0" applyFont="1" applyBorder="1"/>
    <xf numFmtId="0" fontId="10" fillId="0" borderId="28" xfId="0" applyFont="1" applyBorder="1"/>
    <xf numFmtId="0" fontId="10" fillId="0" borderId="29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66"/>
      <color rgb="FFCC3399"/>
      <color rgb="FF66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8</xdr:col>
      <xdr:colOff>676275</xdr:colOff>
      <xdr:row>9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3F749D-3D90-6429-F1BD-FFBB941C2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5114925" cy="1924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0</xdr:row>
      <xdr:rowOff>0</xdr:rowOff>
    </xdr:from>
    <xdr:to>
      <xdr:col>11</xdr:col>
      <xdr:colOff>414337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233248-6E62-34B3-9414-392695B7B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" y="0"/>
          <a:ext cx="6724650" cy="2286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9</xdr:col>
      <xdr:colOff>180975</xdr:colOff>
      <xdr:row>15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5A373-DACC-8D42-7445-00D364F3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0"/>
          <a:ext cx="5038724" cy="2933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0</xdr:row>
      <xdr:rowOff>0</xdr:rowOff>
    </xdr:from>
    <xdr:to>
      <xdr:col>10</xdr:col>
      <xdr:colOff>400050</xdr:colOff>
      <xdr:row>11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0716B-93D2-ED57-0479-AF370DF65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0"/>
          <a:ext cx="4333875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63500</xdr:colOff>
      <xdr:row>0</xdr:row>
      <xdr:rowOff>2117</xdr:rowOff>
    </xdr:from>
    <xdr:to>
      <xdr:col>22</xdr:col>
      <xdr:colOff>525507</xdr:colOff>
      <xdr:row>19</xdr:row>
      <xdr:rowOff>157693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4B50A5-829D-96BE-D10B-89E13C04E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4333" y="2117"/>
          <a:ext cx="4145007" cy="3933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9</xdr:col>
      <xdr:colOff>9525</xdr:colOff>
      <xdr:row>15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38CA5-176C-A1A4-1721-12ECC5BC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0"/>
          <a:ext cx="5905499" cy="28670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9</xdr:col>
      <xdr:colOff>0</xdr:colOff>
      <xdr:row>12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DFE20F-CDEE-D475-977F-4A59E6691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6600825" cy="2314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0</xdr:rowOff>
    </xdr:from>
    <xdr:to>
      <xdr:col>7</xdr:col>
      <xdr:colOff>326232</xdr:colOff>
      <xdr:row>11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8998DF-8658-0519-C093-8E58ABD50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0"/>
          <a:ext cx="6667500" cy="2257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123825</xdr:rowOff>
    </xdr:from>
    <xdr:to>
      <xdr:col>9</xdr:col>
      <xdr:colOff>838200</xdr:colOff>
      <xdr:row>14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2D00B-1CDA-3D23-12D7-745AD5407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" y="123825"/>
          <a:ext cx="7505701" cy="2619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70341</xdr:colOff>
      <xdr:row>0</xdr:row>
      <xdr:rowOff>0</xdr:rowOff>
    </xdr:from>
    <xdr:to>
      <xdr:col>7</xdr:col>
      <xdr:colOff>457199</xdr:colOff>
      <xdr:row>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4C1297-0E3D-08D7-8E47-A1DA9B260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41" y="0"/>
          <a:ext cx="5501783" cy="1609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171450</xdr:colOff>
      <xdr:row>13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4C0686-EA6A-E922-A432-5AAE04074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0"/>
          <a:ext cx="6105525" cy="263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000@12.97" TargetMode="External"/><Relationship Id="rId2" Type="http://schemas.openxmlformats.org/officeDocument/2006/relationships/hyperlink" Target="mailto:800@14" TargetMode="External"/><Relationship Id="rId1" Type="http://schemas.openxmlformats.org/officeDocument/2006/relationships/hyperlink" Target="mailto:1600@12.9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Depreciation@6%2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753D-0652-4462-AAE1-6B829B7B27BC}">
  <sheetPr>
    <tabColor theme="4" tint="-0.499984740745262"/>
  </sheetPr>
  <dimension ref="A3:F27"/>
  <sheetViews>
    <sheetView topLeftCell="A7" workbookViewId="0">
      <selection activeCell="A2" sqref="A2:F27"/>
    </sheetView>
  </sheetViews>
  <sheetFormatPr defaultRowHeight="15" x14ac:dyDescent="0.25"/>
  <cols>
    <col min="1" max="1" width="1.85546875" customWidth="1"/>
  </cols>
  <sheetData>
    <row r="3" spans="1:6" ht="18.75" x14ac:dyDescent="0.3">
      <c r="B3" s="33" t="s">
        <v>28</v>
      </c>
      <c r="C3" s="33"/>
      <c r="D3" s="33"/>
      <c r="E3" s="33"/>
      <c r="F3" s="33"/>
    </row>
    <row r="4" spans="1:6" ht="15.75" x14ac:dyDescent="0.25">
      <c r="B4" s="32" t="s">
        <v>1</v>
      </c>
      <c r="C4" s="32"/>
      <c r="D4" s="32"/>
      <c r="E4" s="34"/>
      <c r="F4" s="15" t="s">
        <v>2</v>
      </c>
    </row>
    <row r="5" spans="1:6" x14ac:dyDescent="0.25">
      <c r="A5" t="s">
        <v>10</v>
      </c>
      <c r="B5" s="23" t="s">
        <v>26</v>
      </c>
      <c r="C5" s="7"/>
      <c r="D5" s="7"/>
      <c r="E5" s="7"/>
      <c r="F5" s="8" t="s">
        <v>61</v>
      </c>
    </row>
    <row r="6" spans="1:6" x14ac:dyDescent="0.25">
      <c r="A6" t="s">
        <v>10</v>
      </c>
      <c r="B6" s="5" t="s">
        <v>3</v>
      </c>
      <c r="C6" s="11"/>
      <c r="D6" s="11"/>
      <c r="E6" s="11"/>
      <c r="F6" s="6" t="s">
        <v>61</v>
      </c>
    </row>
    <row r="7" spans="1:6" x14ac:dyDescent="0.25">
      <c r="A7" t="s">
        <v>10</v>
      </c>
      <c r="B7" s="5" t="s">
        <v>4</v>
      </c>
      <c r="C7" s="11"/>
      <c r="D7" s="11"/>
      <c r="E7" s="11"/>
      <c r="F7" s="6" t="s">
        <v>61</v>
      </c>
    </row>
    <row r="8" spans="1:6" x14ac:dyDescent="0.25">
      <c r="A8" t="s">
        <v>10</v>
      </c>
      <c r="B8" s="5" t="s">
        <v>6</v>
      </c>
      <c r="C8" s="11"/>
      <c r="D8" s="11"/>
      <c r="E8" s="11"/>
      <c r="F8" s="6" t="s">
        <v>61</v>
      </c>
    </row>
    <row r="9" spans="1:6" x14ac:dyDescent="0.25">
      <c r="A9" t="s">
        <v>9</v>
      </c>
      <c r="B9" s="5" t="s">
        <v>27</v>
      </c>
      <c r="C9" s="11"/>
      <c r="D9" s="11"/>
      <c r="E9" s="11"/>
      <c r="F9" s="6" t="s">
        <v>61</v>
      </c>
    </row>
    <row r="10" spans="1:6" x14ac:dyDescent="0.25">
      <c r="A10" t="s">
        <v>9</v>
      </c>
      <c r="B10" s="5" t="s">
        <v>8</v>
      </c>
      <c r="C10" s="11"/>
      <c r="D10" s="11"/>
      <c r="E10" s="11"/>
      <c r="F10" s="6" t="s">
        <v>61</v>
      </c>
    </row>
    <row r="11" spans="1:6" x14ac:dyDescent="0.25">
      <c r="A11" t="s">
        <v>10</v>
      </c>
      <c r="B11" s="5" t="s">
        <v>5</v>
      </c>
      <c r="C11" s="11"/>
      <c r="D11" s="11"/>
      <c r="E11" s="11"/>
      <c r="F11" s="6" t="s">
        <v>61</v>
      </c>
    </row>
    <row r="12" spans="1:6" x14ac:dyDescent="0.25">
      <c r="A12">
        <v>0</v>
      </c>
      <c r="B12" s="26" t="s">
        <v>7</v>
      </c>
      <c r="C12" s="9"/>
      <c r="D12" s="9"/>
      <c r="E12" s="9"/>
      <c r="F12" s="10" t="s">
        <v>61</v>
      </c>
    </row>
    <row r="13" spans="1:6" x14ac:dyDescent="0.25">
      <c r="A13" t="s">
        <v>10</v>
      </c>
      <c r="B13" s="5" t="s">
        <v>21</v>
      </c>
      <c r="C13" s="11"/>
      <c r="D13" s="11"/>
      <c r="E13" s="11"/>
      <c r="F13" s="6" t="s">
        <v>61</v>
      </c>
    </row>
    <row r="14" spans="1:6" x14ac:dyDescent="0.25">
      <c r="A14">
        <v>0</v>
      </c>
      <c r="B14" s="26" t="s">
        <v>11</v>
      </c>
      <c r="C14" s="9"/>
      <c r="D14" s="9"/>
      <c r="E14" s="9"/>
      <c r="F14" s="10" t="s">
        <v>61</v>
      </c>
    </row>
    <row r="15" spans="1:6" x14ac:dyDescent="0.25">
      <c r="A15" t="s">
        <v>10</v>
      </c>
      <c r="B15" s="5" t="s">
        <v>12</v>
      </c>
      <c r="C15" s="11"/>
      <c r="D15" s="11"/>
      <c r="E15" s="11"/>
      <c r="F15" s="6" t="s">
        <v>61</v>
      </c>
    </row>
    <row r="16" spans="1:6" x14ac:dyDescent="0.25">
      <c r="A16" t="s">
        <v>9</v>
      </c>
      <c r="B16" s="5" t="s">
        <v>17</v>
      </c>
      <c r="C16" s="11"/>
      <c r="D16" s="11"/>
      <c r="E16" s="11"/>
      <c r="F16" s="6" t="s">
        <v>61</v>
      </c>
    </row>
    <row r="17" spans="1:6" x14ac:dyDescent="0.25">
      <c r="A17">
        <v>0</v>
      </c>
      <c r="B17" s="26" t="s">
        <v>13</v>
      </c>
      <c r="C17" s="9"/>
      <c r="D17" s="9"/>
      <c r="E17" s="9"/>
      <c r="F17" s="10" t="s">
        <v>61</v>
      </c>
    </row>
    <row r="18" spans="1:6" x14ac:dyDescent="0.25">
      <c r="A18" t="s">
        <v>10</v>
      </c>
      <c r="B18" s="5" t="s">
        <v>20</v>
      </c>
      <c r="C18" s="11"/>
      <c r="D18" s="11"/>
      <c r="E18" s="11"/>
      <c r="F18" s="6" t="s">
        <v>61</v>
      </c>
    </row>
    <row r="19" spans="1:6" x14ac:dyDescent="0.25">
      <c r="A19">
        <v>0</v>
      </c>
      <c r="B19" s="2" t="s">
        <v>14</v>
      </c>
      <c r="C19" s="1"/>
      <c r="D19" s="1"/>
      <c r="E19" s="1"/>
      <c r="F19" s="3" t="s">
        <v>61</v>
      </c>
    </row>
    <row r="20" spans="1:6" x14ac:dyDescent="0.25">
      <c r="A20" t="s">
        <v>10</v>
      </c>
      <c r="B20" s="5" t="s">
        <v>15</v>
      </c>
      <c r="C20" s="11"/>
      <c r="D20" s="11"/>
      <c r="E20" s="11"/>
      <c r="F20" s="6" t="s">
        <v>61</v>
      </c>
    </row>
    <row r="21" spans="1:6" x14ac:dyDescent="0.25">
      <c r="A21" t="s">
        <v>9</v>
      </c>
      <c r="B21" s="5" t="s">
        <v>16</v>
      </c>
      <c r="C21" s="11"/>
      <c r="D21" s="11"/>
      <c r="E21" s="11"/>
      <c r="F21" s="6" t="s">
        <v>61</v>
      </c>
    </row>
    <row r="22" spans="1:6" x14ac:dyDescent="0.25">
      <c r="A22">
        <v>0</v>
      </c>
      <c r="B22" s="26" t="s">
        <v>18</v>
      </c>
      <c r="C22" s="9"/>
      <c r="D22" s="9"/>
      <c r="E22" s="9"/>
      <c r="F22" s="10" t="s">
        <v>61</v>
      </c>
    </row>
    <row r="23" spans="1:6" x14ac:dyDescent="0.25">
      <c r="A23" t="s">
        <v>10</v>
      </c>
      <c r="B23" s="5" t="s">
        <v>19</v>
      </c>
      <c r="C23" s="11"/>
      <c r="D23" s="11"/>
      <c r="E23" s="11"/>
      <c r="F23" s="6" t="s">
        <v>61</v>
      </c>
    </row>
    <row r="24" spans="1:6" x14ac:dyDescent="0.25">
      <c r="A24">
        <v>0</v>
      </c>
      <c r="B24" s="26" t="s">
        <v>22</v>
      </c>
      <c r="C24" s="9"/>
      <c r="D24" s="9"/>
      <c r="E24" s="9"/>
      <c r="F24" s="10" t="s">
        <v>61</v>
      </c>
    </row>
    <row r="25" spans="1:6" x14ac:dyDescent="0.25">
      <c r="A25" t="s">
        <v>10</v>
      </c>
      <c r="B25" s="5" t="s">
        <v>23</v>
      </c>
      <c r="C25" s="11"/>
      <c r="D25" s="11"/>
      <c r="E25" s="11"/>
      <c r="F25" s="6" t="s">
        <v>61</v>
      </c>
    </row>
    <row r="26" spans="1:6" x14ac:dyDescent="0.25">
      <c r="A26" t="s">
        <v>9</v>
      </c>
      <c r="B26" s="24" t="s">
        <v>24</v>
      </c>
      <c r="C26" s="25"/>
      <c r="D26" s="25"/>
      <c r="E26" s="25"/>
      <c r="F26" s="29" t="s">
        <v>61</v>
      </c>
    </row>
    <row r="27" spans="1:6" x14ac:dyDescent="0.25">
      <c r="B27" s="28" t="s">
        <v>62</v>
      </c>
      <c r="C27" s="9"/>
      <c r="D27" s="9"/>
      <c r="E27" s="9"/>
      <c r="F27" s="30" t="s">
        <v>61</v>
      </c>
    </row>
  </sheetData>
  <mergeCells count="2">
    <mergeCell ref="B3:F3"/>
    <mergeCell ref="B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5C3-8F8A-4745-A943-AAD66D395043}">
  <dimension ref="B2:L44"/>
  <sheetViews>
    <sheetView workbookViewId="0">
      <selection activeCell="F8" sqref="F8"/>
    </sheetView>
  </sheetViews>
  <sheetFormatPr defaultRowHeight="15" x14ac:dyDescent="0.25"/>
  <cols>
    <col min="2" max="2" width="20.5703125" bestFit="1" customWidth="1"/>
    <col min="3" max="3" width="7.42578125" bestFit="1" customWidth="1"/>
    <col min="4" max="4" width="5" bestFit="1" customWidth="1"/>
    <col min="5" max="5" width="9" bestFit="1" customWidth="1"/>
    <col min="6" max="6" width="19" bestFit="1" customWidth="1"/>
    <col min="7" max="7" width="12" bestFit="1" customWidth="1"/>
    <col min="8" max="8" width="5" bestFit="1" customWidth="1"/>
    <col min="9" max="9" width="9" bestFit="1" customWidth="1"/>
    <col min="11" max="11" width="57.7109375" bestFit="1" customWidth="1"/>
  </cols>
  <sheetData>
    <row r="2" spans="2:12" ht="15.75" thickBot="1" x14ac:dyDescent="0.3"/>
    <row r="3" spans="2:12" x14ac:dyDescent="0.25">
      <c r="B3" s="149" t="s">
        <v>206</v>
      </c>
      <c r="C3" s="150"/>
      <c r="D3" s="150"/>
      <c r="E3" s="150"/>
      <c r="F3" s="150"/>
      <c r="G3" s="150"/>
      <c r="H3" s="150"/>
      <c r="I3" s="151"/>
    </row>
    <row r="4" spans="2:12" ht="15.75" thickBot="1" x14ac:dyDescent="0.3">
      <c r="B4" s="152"/>
      <c r="C4" s="153"/>
      <c r="D4" s="153"/>
      <c r="E4" s="153"/>
      <c r="F4" s="153"/>
      <c r="G4" s="153"/>
      <c r="H4" s="153"/>
      <c r="I4" s="154"/>
    </row>
    <row r="5" spans="2:12" ht="15.75" x14ac:dyDescent="0.25">
      <c r="B5" s="137" t="s">
        <v>176</v>
      </c>
      <c r="C5" s="138" t="s">
        <v>94</v>
      </c>
      <c r="D5" s="138" t="s">
        <v>93</v>
      </c>
      <c r="E5" s="138" t="s">
        <v>2</v>
      </c>
      <c r="F5" s="139" t="s">
        <v>176</v>
      </c>
      <c r="G5" s="138" t="s">
        <v>94</v>
      </c>
      <c r="H5" s="138" t="s">
        <v>93</v>
      </c>
      <c r="I5" s="140" t="s">
        <v>2</v>
      </c>
      <c r="K5" s="147" t="s">
        <v>189</v>
      </c>
    </row>
    <row r="6" spans="2:12" x14ac:dyDescent="0.25">
      <c r="B6" s="85" t="s">
        <v>177</v>
      </c>
      <c r="C6" s="86">
        <v>2</v>
      </c>
      <c r="D6" s="87">
        <v>5000</v>
      </c>
      <c r="E6" s="87">
        <f>PRODUCT(C6:D6)</f>
        <v>10000</v>
      </c>
      <c r="F6" s="129" t="s">
        <v>181</v>
      </c>
      <c r="G6" s="86">
        <v>1</v>
      </c>
      <c r="H6" s="87">
        <v>250</v>
      </c>
      <c r="I6" s="88">
        <f>PRODUCT(G6:H6)</f>
        <v>250</v>
      </c>
      <c r="K6" s="147" t="str">
        <f xml:space="preserve"> "Total Cost - Sale of Normal Loss/ Input Qty - Qty of Normal Loss"</f>
        <v>Total Cost - Sale of Normal Loss/ Input Qty - Qty of Normal Loss</v>
      </c>
    </row>
    <row r="7" spans="2:12" x14ac:dyDescent="0.25">
      <c r="B7" s="85" t="s">
        <v>179</v>
      </c>
      <c r="C7" s="87"/>
      <c r="D7" s="87"/>
      <c r="E7" s="87">
        <v>3000</v>
      </c>
      <c r="F7" s="129" t="s">
        <v>182</v>
      </c>
      <c r="G7" s="86">
        <f>K8</f>
        <v>6</v>
      </c>
      <c r="H7" s="87">
        <v>50</v>
      </c>
      <c r="I7" s="88">
        <f>PRODUCT(G7:H7)</f>
        <v>300</v>
      </c>
      <c r="K7" s="147" t="s">
        <v>190</v>
      </c>
    </row>
    <row r="8" spans="2:12" ht="15.75" thickBot="1" x14ac:dyDescent="0.3">
      <c r="B8" s="89" t="s">
        <v>180</v>
      </c>
      <c r="C8" s="90"/>
      <c r="D8" s="90"/>
      <c r="E8" s="90">
        <v>9750</v>
      </c>
      <c r="F8" s="129" t="s">
        <v>184</v>
      </c>
      <c r="G8" s="86">
        <f>K8</f>
        <v>6</v>
      </c>
      <c r="H8" s="87">
        <f>D6-H7-H6</f>
        <v>4700</v>
      </c>
      <c r="I8" s="88">
        <f>PRODUCT(G8:H8)</f>
        <v>28200</v>
      </c>
      <c r="K8" s="148">
        <f>(E12-I6)/(D6-H6)</f>
        <v>6</v>
      </c>
    </row>
    <row r="9" spans="2:12" x14ac:dyDescent="0.25">
      <c r="B9" s="27" t="s">
        <v>193</v>
      </c>
      <c r="C9" s="11"/>
      <c r="D9" s="11"/>
      <c r="E9" s="11">
        <v>6000</v>
      </c>
      <c r="F9" s="127"/>
      <c r="G9" s="117"/>
      <c r="H9" s="11"/>
      <c r="I9" s="11"/>
      <c r="K9" s="148"/>
    </row>
    <row r="10" spans="2:12" s="11" customFormat="1" x14ac:dyDescent="0.25">
      <c r="F10" s="127"/>
    </row>
    <row r="11" spans="2:12" ht="15.75" thickBot="1" x14ac:dyDescent="0.3">
      <c r="F11" s="128"/>
    </row>
    <row r="12" spans="2:12" ht="15.75" thickBot="1" x14ac:dyDescent="0.3">
      <c r="B12" s="130" t="s">
        <v>122</v>
      </c>
      <c r="C12" s="131"/>
      <c r="D12" s="131">
        <f>SUM(D6:D10)</f>
        <v>5000</v>
      </c>
      <c r="E12" s="131">
        <f>SUM(E6:E10)</f>
        <v>28750</v>
      </c>
      <c r="F12" s="131"/>
      <c r="G12" s="131"/>
      <c r="H12" s="131">
        <f>SUM(H6:H11)</f>
        <v>5000</v>
      </c>
      <c r="I12" s="132">
        <f>SUM(I6:I11)</f>
        <v>28750</v>
      </c>
    </row>
    <row r="13" spans="2:12" ht="16.5" thickTop="1" thickBot="1" x14ac:dyDescent="0.3"/>
    <row r="14" spans="2:12" ht="15.75" x14ac:dyDescent="0.25">
      <c r="B14" s="133" t="s">
        <v>176</v>
      </c>
      <c r="C14" s="134" t="s">
        <v>94</v>
      </c>
      <c r="D14" s="134" t="s">
        <v>93</v>
      </c>
      <c r="E14" s="134" t="s">
        <v>2</v>
      </c>
      <c r="F14" s="135" t="s">
        <v>176</v>
      </c>
      <c r="G14" s="134" t="s">
        <v>94</v>
      </c>
      <c r="H14" s="134" t="s">
        <v>93</v>
      </c>
      <c r="I14" s="136" t="s">
        <v>2</v>
      </c>
      <c r="K14" s="148" t="s">
        <v>191</v>
      </c>
      <c r="L14" s="118">
        <v>53110</v>
      </c>
    </row>
    <row r="15" spans="2:12" x14ac:dyDescent="0.25">
      <c r="B15" s="85" t="s">
        <v>183</v>
      </c>
      <c r="C15" s="87"/>
      <c r="D15" s="87">
        <f>H8</f>
        <v>4700</v>
      </c>
      <c r="E15" s="87">
        <f>I8</f>
        <v>28200</v>
      </c>
      <c r="F15" s="127" t="s">
        <v>181</v>
      </c>
      <c r="G15" s="86">
        <v>5</v>
      </c>
      <c r="H15" s="87">
        <v>470</v>
      </c>
      <c r="I15" s="88">
        <f>H15*G15</f>
        <v>2350</v>
      </c>
      <c r="K15" s="148" t="str">
        <f xml:space="preserve"> "Total Cost - Sale of Normal Loss/ Input Qty - Qty of Normal Loss"</f>
        <v>Total Cost - Sale of Normal Loss/ Input Qty - Qty of Normal Loss</v>
      </c>
    </row>
    <row r="16" spans="2:12" x14ac:dyDescent="0.25">
      <c r="B16" s="85" t="s">
        <v>185</v>
      </c>
      <c r="C16" s="87"/>
      <c r="D16" s="87"/>
      <c r="E16" s="87">
        <v>5000</v>
      </c>
      <c r="F16" s="127" t="s">
        <v>188</v>
      </c>
      <c r="G16" s="86">
        <f>K16</f>
        <v>12</v>
      </c>
      <c r="H16" s="87">
        <f>4300</f>
        <v>4300</v>
      </c>
      <c r="I16" s="88">
        <f>H16*G16</f>
        <v>51600</v>
      </c>
      <c r="K16" s="148">
        <f>(L14-I15)/(D15-H15)</f>
        <v>12</v>
      </c>
    </row>
    <row r="17" spans="2:9" x14ac:dyDescent="0.25">
      <c r="B17" s="85" t="s">
        <v>179</v>
      </c>
      <c r="C17" s="87"/>
      <c r="D17" s="87"/>
      <c r="E17" s="87">
        <v>9910</v>
      </c>
      <c r="F17" s="127"/>
      <c r="G17" s="87"/>
      <c r="H17" s="87"/>
      <c r="I17" s="88"/>
    </row>
    <row r="18" spans="2:9" x14ac:dyDescent="0.25">
      <c r="B18" s="85" t="s">
        <v>180</v>
      </c>
      <c r="C18" s="87"/>
      <c r="D18" s="87"/>
      <c r="E18" s="87">
        <v>10000</v>
      </c>
      <c r="F18" s="127"/>
      <c r="G18" s="87"/>
      <c r="H18" s="87"/>
      <c r="I18" s="88"/>
    </row>
    <row r="19" spans="2:9" ht="15.75" thickBot="1" x14ac:dyDescent="0.3">
      <c r="B19" s="89" t="s">
        <v>186</v>
      </c>
      <c r="C19" s="92">
        <f>K16</f>
        <v>12</v>
      </c>
      <c r="D19" s="90">
        <f>ABS(D15-H16-H15)</f>
        <v>70</v>
      </c>
      <c r="E19" s="90">
        <f>D19*C19</f>
        <v>840</v>
      </c>
      <c r="F19" s="128"/>
      <c r="G19" s="90"/>
      <c r="H19" s="90"/>
      <c r="I19" s="91"/>
    </row>
    <row r="20" spans="2:9" ht="15.75" thickBot="1" x14ac:dyDescent="0.3"/>
    <row r="21" spans="2:9" ht="15.75" thickBot="1" x14ac:dyDescent="0.3">
      <c r="B21" s="130" t="s">
        <v>122</v>
      </c>
      <c r="C21" s="131"/>
      <c r="D21" s="131">
        <f>SUM(D15:D19)</f>
        <v>4770</v>
      </c>
      <c r="E21" s="131">
        <f>SUM(E15:E20)</f>
        <v>53950</v>
      </c>
      <c r="F21" s="131"/>
      <c r="G21" s="131"/>
      <c r="H21" s="131">
        <f>SUM(H15:H20)</f>
        <v>4770</v>
      </c>
      <c r="I21" s="132">
        <f>SUM(I15:I20)</f>
        <v>53950</v>
      </c>
    </row>
    <row r="22" spans="2:9" ht="15.75" thickTop="1" x14ac:dyDescent="0.25"/>
    <row r="23" spans="2:9" ht="15.75" thickBot="1" x14ac:dyDescent="0.3"/>
    <row r="24" spans="2:9" ht="15.75" thickBot="1" x14ac:dyDescent="0.3">
      <c r="B24" s="155" t="s">
        <v>194</v>
      </c>
      <c r="C24" s="156"/>
      <c r="D24" s="156"/>
      <c r="E24" s="156"/>
      <c r="F24" s="156"/>
      <c r="G24" s="156"/>
      <c r="H24" s="156"/>
      <c r="I24" s="157"/>
    </row>
    <row r="25" spans="2:9" ht="15.75" thickBot="1" x14ac:dyDescent="0.3">
      <c r="B25" s="141" t="s">
        <v>176</v>
      </c>
      <c r="C25" s="142" t="s">
        <v>94</v>
      </c>
      <c r="D25" s="142" t="s">
        <v>93</v>
      </c>
      <c r="E25" s="142" t="s">
        <v>2</v>
      </c>
      <c r="F25" s="141" t="s">
        <v>176</v>
      </c>
      <c r="G25" s="142" t="s">
        <v>94</v>
      </c>
      <c r="H25" s="142" t="s">
        <v>93</v>
      </c>
      <c r="I25" s="143" t="s">
        <v>2</v>
      </c>
    </row>
    <row r="26" spans="2:9" x14ac:dyDescent="0.25">
      <c r="B26" s="119" t="s">
        <v>195</v>
      </c>
      <c r="C26" s="120">
        <v>1</v>
      </c>
      <c r="D26" s="120">
        <v>250</v>
      </c>
      <c r="E26" s="120">
        <f>D26*C26</f>
        <v>250</v>
      </c>
      <c r="F26" s="127" t="s">
        <v>198</v>
      </c>
      <c r="G26" s="120">
        <v>1</v>
      </c>
      <c r="H26" s="120">
        <v>250</v>
      </c>
      <c r="I26" s="121">
        <f>H26*G26</f>
        <v>250</v>
      </c>
    </row>
    <row r="27" spans="2:9" x14ac:dyDescent="0.25">
      <c r="B27" s="5" t="s">
        <v>196</v>
      </c>
      <c r="C27" s="11">
        <v>5</v>
      </c>
      <c r="D27" s="11">
        <v>470</v>
      </c>
      <c r="E27" s="11">
        <f>D27*C27</f>
        <v>2350</v>
      </c>
      <c r="F27" s="127" t="s">
        <v>199</v>
      </c>
      <c r="G27" s="11">
        <v>5</v>
      </c>
      <c r="H27" s="11">
        <v>400</v>
      </c>
      <c r="I27" s="22">
        <f t="shared" ref="I27:I28" si="0">H27*G27</f>
        <v>2000</v>
      </c>
    </row>
    <row r="28" spans="2:9" ht="15.75" thickBot="1" x14ac:dyDescent="0.3">
      <c r="B28" s="122"/>
      <c r="C28" s="123"/>
      <c r="D28" s="123"/>
      <c r="E28" s="123"/>
      <c r="F28" s="128" t="s">
        <v>200</v>
      </c>
      <c r="G28" s="123">
        <v>5</v>
      </c>
      <c r="H28" s="123">
        <v>70</v>
      </c>
      <c r="I28" s="124">
        <f t="shared" si="0"/>
        <v>350</v>
      </c>
    </row>
    <row r="29" spans="2:9" ht="15.75" thickBot="1" x14ac:dyDescent="0.3">
      <c r="B29" s="130" t="s">
        <v>122</v>
      </c>
      <c r="C29" s="131"/>
      <c r="D29" s="131">
        <f>SUM(D23:D27)</f>
        <v>720</v>
      </c>
      <c r="E29" s="131">
        <f>SUM(E23:E27)</f>
        <v>2600</v>
      </c>
      <c r="F29" s="131"/>
      <c r="G29" s="131"/>
      <c r="H29" s="131">
        <f>SUM(H23:H28)</f>
        <v>720</v>
      </c>
      <c r="I29" s="132">
        <f>SUM(I23:I28)</f>
        <v>2600</v>
      </c>
    </row>
    <row r="30" spans="2:9" ht="16.5" thickTop="1" thickBot="1" x14ac:dyDescent="0.3"/>
    <row r="31" spans="2:9" ht="15.75" thickBot="1" x14ac:dyDescent="0.3">
      <c r="B31" s="155" t="s">
        <v>201</v>
      </c>
      <c r="C31" s="156"/>
      <c r="D31" s="156"/>
      <c r="E31" s="156"/>
      <c r="F31" s="156"/>
      <c r="G31" s="156"/>
      <c r="H31" s="156"/>
      <c r="I31" s="157"/>
    </row>
    <row r="32" spans="2:9" ht="15.75" thickBot="1" x14ac:dyDescent="0.3">
      <c r="B32" s="144" t="s">
        <v>176</v>
      </c>
      <c r="C32" s="145" t="s">
        <v>94</v>
      </c>
      <c r="D32" s="145" t="s">
        <v>93</v>
      </c>
      <c r="E32" s="145" t="s">
        <v>2</v>
      </c>
      <c r="F32" s="144" t="s">
        <v>176</v>
      </c>
      <c r="G32" s="145" t="s">
        <v>94</v>
      </c>
      <c r="H32" s="145" t="s">
        <v>93</v>
      </c>
      <c r="I32" s="146" t="s">
        <v>2</v>
      </c>
    </row>
    <row r="33" spans="2:9" x14ac:dyDescent="0.25">
      <c r="B33" s="119" t="s">
        <v>195</v>
      </c>
      <c r="C33" s="120">
        <v>6</v>
      </c>
      <c r="D33" s="120">
        <v>50</v>
      </c>
      <c r="E33" s="120">
        <f>D33*C33</f>
        <v>300</v>
      </c>
      <c r="F33" s="127" t="s">
        <v>198</v>
      </c>
      <c r="G33" s="120">
        <v>1</v>
      </c>
      <c r="H33" s="120">
        <v>50</v>
      </c>
      <c r="I33" s="121">
        <f>H33*G33</f>
        <v>50</v>
      </c>
    </row>
    <row r="34" spans="2:9" x14ac:dyDescent="0.25">
      <c r="B34" s="5"/>
      <c r="C34" s="11"/>
      <c r="D34" s="11"/>
      <c r="E34" s="11">
        <f>D34*C34</f>
        <v>0</v>
      </c>
      <c r="F34" s="127" t="s">
        <v>202</v>
      </c>
      <c r="G34" s="11"/>
      <c r="H34" s="11"/>
      <c r="I34" s="22">
        <v>250</v>
      </c>
    </row>
    <row r="35" spans="2:9" ht="15.75" thickBot="1" x14ac:dyDescent="0.3">
      <c r="B35" s="122"/>
      <c r="C35" s="123"/>
      <c r="D35" s="123"/>
      <c r="E35" s="123"/>
      <c r="F35" s="128"/>
      <c r="G35" s="123"/>
      <c r="H35" s="123"/>
      <c r="I35" s="124"/>
    </row>
    <row r="36" spans="2:9" ht="15.75" thickBot="1" x14ac:dyDescent="0.3">
      <c r="B36" s="130" t="s">
        <v>122</v>
      </c>
      <c r="C36" s="131"/>
      <c r="D36" s="131">
        <f>SUM(D30:D34)</f>
        <v>50</v>
      </c>
      <c r="E36" s="131">
        <f>SUM(E30:E34)</f>
        <v>300</v>
      </c>
      <c r="F36" s="131"/>
      <c r="G36" s="131"/>
      <c r="H36" s="131">
        <f>SUM(H30:H35)</f>
        <v>50</v>
      </c>
      <c r="I36" s="132">
        <f>SUM(I30:I35)</f>
        <v>300</v>
      </c>
    </row>
    <row r="37" spans="2:9" ht="16.5" thickTop="1" thickBot="1" x14ac:dyDescent="0.3"/>
    <row r="38" spans="2:9" ht="15.75" thickBot="1" x14ac:dyDescent="0.3">
      <c r="B38" s="155" t="s">
        <v>207</v>
      </c>
      <c r="C38" s="156"/>
      <c r="D38" s="156"/>
      <c r="E38" s="156"/>
      <c r="F38" s="156"/>
      <c r="G38" s="156"/>
      <c r="H38" s="156"/>
      <c r="I38" s="157"/>
    </row>
    <row r="39" spans="2:9" ht="15.75" thickBot="1" x14ac:dyDescent="0.3">
      <c r="B39" s="144" t="s">
        <v>176</v>
      </c>
      <c r="C39" s="145" t="s">
        <v>94</v>
      </c>
      <c r="D39" s="145" t="s">
        <v>93</v>
      </c>
      <c r="E39" s="145" t="s">
        <v>2</v>
      </c>
      <c r="F39" s="141" t="s">
        <v>176</v>
      </c>
      <c r="G39" s="145" t="s">
        <v>94</v>
      </c>
      <c r="H39" s="145" t="s">
        <v>93</v>
      </c>
      <c r="I39" s="146" t="s">
        <v>2</v>
      </c>
    </row>
    <row r="40" spans="2:9" x14ac:dyDescent="0.25">
      <c r="B40" s="119" t="s">
        <v>203</v>
      </c>
      <c r="C40" s="120">
        <v>5</v>
      </c>
      <c r="D40" s="120">
        <v>70</v>
      </c>
      <c r="E40" s="120">
        <f>D40*C40</f>
        <v>350</v>
      </c>
      <c r="F40" s="127" t="s">
        <v>205</v>
      </c>
      <c r="G40" s="120">
        <f>H40/I40</f>
        <v>8.3333333333333329E-2</v>
      </c>
      <c r="H40" s="120">
        <v>70</v>
      </c>
      <c r="I40" s="121">
        <v>840</v>
      </c>
    </row>
    <row r="41" spans="2:9" x14ac:dyDescent="0.25">
      <c r="B41" s="5" t="s">
        <v>204</v>
      </c>
      <c r="C41" s="11"/>
      <c r="D41" s="11"/>
      <c r="E41" s="11">
        <v>490</v>
      </c>
      <c r="F41" s="127"/>
      <c r="G41" s="11"/>
      <c r="H41" s="11"/>
      <c r="I41" s="22"/>
    </row>
    <row r="42" spans="2:9" ht="15.75" thickBot="1" x14ac:dyDescent="0.3">
      <c r="B42" s="122"/>
      <c r="C42" s="123"/>
      <c r="D42" s="123"/>
      <c r="E42" s="123"/>
      <c r="F42" s="128"/>
      <c r="G42" s="123"/>
      <c r="H42" s="123"/>
      <c r="I42" s="124"/>
    </row>
    <row r="43" spans="2:9" ht="15.75" thickBot="1" x14ac:dyDescent="0.3">
      <c r="B43" s="130" t="s">
        <v>122</v>
      </c>
      <c r="C43" s="131"/>
      <c r="D43" s="131">
        <f>SUM(D37:D41)</f>
        <v>70</v>
      </c>
      <c r="E43" s="131">
        <f>SUM(E37:E41)</f>
        <v>840</v>
      </c>
      <c r="F43" s="131"/>
      <c r="G43" s="131"/>
      <c r="H43" s="131">
        <f>SUM(H37:H42)</f>
        <v>70</v>
      </c>
      <c r="I43" s="132">
        <f>SUM(I37:I42)</f>
        <v>840</v>
      </c>
    </row>
    <row r="44" spans="2:9" ht="15.75" thickTop="1" x14ac:dyDescent="0.25"/>
  </sheetData>
  <mergeCells count="4">
    <mergeCell ref="B3:I4"/>
    <mergeCell ref="B24:I24"/>
    <mergeCell ref="B31:I31"/>
    <mergeCell ref="B38:I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79BA-2E60-4FE4-8183-D117D324FB95}">
  <dimension ref="B4:N20"/>
  <sheetViews>
    <sheetView workbookViewId="0">
      <selection activeCell="G7" sqref="G7"/>
    </sheetView>
  </sheetViews>
  <sheetFormatPr defaultRowHeight="15" x14ac:dyDescent="0.25"/>
  <cols>
    <col min="1" max="1" width="1.85546875" customWidth="1"/>
    <col min="2" max="2" width="14.42578125" customWidth="1"/>
    <col min="3" max="3" width="15.28515625" customWidth="1"/>
    <col min="6" max="6" width="16.85546875" customWidth="1"/>
    <col min="7" max="7" width="10.28515625" customWidth="1"/>
    <col min="11" max="11" width="18" customWidth="1"/>
    <col min="12" max="12" width="8.28515625" customWidth="1"/>
    <col min="13" max="13" width="15.28515625" bestFit="1" customWidth="1"/>
    <col min="14" max="14" width="5" bestFit="1" customWidth="1"/>
  </cols>
  <sheetData>
    <row r="4" spans="2:14" ht="18.75" x14ac:dyDescent="0.3">
      <c r="B4" s="161" t="s">
        <v>208</v>
      </c>
      <c r="C4" s="161"/>
      <c r="D4" s="161"/>
      <c r="E4" s="161"/>
      <c r="F4" s="161"/>
      <c r="G4" s="161"/>
      <c r="H4" s="161"/>
      <c r="I4" s="161"/>
    </row>
    <row r="5" spans="2:14" ht="15.75" x14ac:dyDescent="0.25">
      <c r="B5" s="162" t="s">
        <v>176</v>
      </c>
      <c r="C5" s="162" t="s">
        <v>94</v>
      </c>
      <c r="D5" s="162" t="s">
        <v>93</v>
      </c>
      <c r="E5" s="162" t="s">
        <v>2</v>
      </c>
      <c r="F5" s="162" t="s">
        <v>176</v>
      </c>
      <c r="G5" s="162" t="s">
        <v>94</v>
      </c>
      <c r="H5" s="162" t="s">
        <v>93</v>
      </c>
      <c r="I5" s="162" t="s">
        <v>2</v>
      </c>
      <c r="K5" s="158" t="s">
        <v>216</v>
      </c>
      <c r="L5" s="158"/>
    </row>
    <row r="6" spans="2:14" x14ac:dyDescent="0.25">
      <c r="B6" s="3" t="s">
        <v>209</v>
      </c>
      <c r="C6" s="3"/>
      <c r="D6" s="3">
        <v>3800</v>
      </c>
      <c r="E6" s="3">
        <v>14560</v>
      </c>
      <c r="F6" s="3" t="s">
        <v>210</v>
      </c>
      <c r="G6" s="3">
        <f>L9</f>
        <v>14</v>
      </c>
      <c r="H6" s="3">
        <v>3000</v>
      </c>
      <c r="I6" s="3">
        <f>PRODUCT(G6:H6)</f>
        <v>42000</v>
      </c>
      <c r="K6" s="159" t="s">
        <v>150</v>
      </c>
      <c r="L6" s="159">
        <f>E6/E20</f>
        <v>4</v>
      </c>
    </row>
    <row r="7" spans="2:14" x14ac:dyDescent="0.25">
      <c r="B7" s="3" t="s">
        <v>179</v>
      </c>
      <c r="C7" s="3"/>
      <c r="D7" s="3"/>
      <c r="E7" s="3">
        <v>21360</v>
      </c>
      <c r="F7" s="3" t="s">
        <v>211</v>
      </c>
      <c r="G7" s="3">
        <f>L10</f>
        <v>10.199999999999999</v>
      </c>
      <c r="H7" s="3">
        <v>800</v>
      </c>
      <c r="I7" s="3">
        <f>PRODUCT(G7:H7)</f>
        <v>8159.9999999999991</v>
      </c>
      <c r="K7" s="159" t="s">
        <v>217</v>
      </c>
      <c r="L7" s="159">
        <f>E7/G20</f>
        <v>6</v>
      </c>
    </row>
    <row r="8" spans="2:14" x14ac:dyDescent="0.25">
      <c r="B8" s="3" t="s">
        <v>193</v>
      </c>
      <c r="C8" s="3"/>
      <c r="D8" s="3"/>
      <c r="E8" s="3">
        <v>14240</v>
      </c>
      <c r="F8" s="3"/>
      <c r="G8" s="3"/>
      <c r="H8" s="3"/>
      <c r="I8" s="3"/>
      <c r="K8" s="159" t="s">
        <v>218</v>
      </c>
      <c r="L8" s="159">
        <f>E8/G20</f>
        <v>4</v>
      </c>
    </row>
    <row r="9" spans="2:14" x14ac:dyDescent="0.25">
      <c r="B9" s="3"/>
      <c r="C9" s="3"/>
      <c r="D9" s="3"/>
      <c r="E9" s="3"/>
      <c r="F9" s="3"/>
      <c r="G9" s="3"/>
      <c r="H9" s="3"/>
      <c r="I9" s="3"/>
      <c r="K9" s="159" t="s">
        <v>219</v>
      </c>
      <c r="L9" s="159">
        <f>SUM(L6:L8)</f>
        <v>14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K10" s="159" t="s">
        <v>220</v>
      </c>
      <c r="L10" s="159">
        <f>L6*D18+L7*F18+L8*F18</f>
        <v>10.199999999999999</v>
      </c>
    </row>
    <row r="11" spans="2:14" x14ac:dyDescent="0.25">
      <c r="B11" s="60" t="s">
        <v>122</v>
      </c>
      <c r="C11" s="60"/>
      <c r="D11" s="60">
        <f>SUM(D6:D10)</f>
        <v>3800</v>
      </c>
      <c r="E11" s="60">
        <f>SUM(E6:E10)</f>
        <v>50160</v>
      </c>
      <c r="F11" s="60"/>
      <c r="G11" s="60"/>
      <c r="H11" s="60">
        <f>SUM(H6:H10)</f>
        <v>3800</v>
      </c>
      <c r="I11" s="60">
        <f>SUM(I6:I10)</f>
        <v>50160</v>
      </c>
    </row>
    <row r="12" spans="2:14" ht="18.75" x14ac:dyDescent="0.25">
      <c r="K12" s="164" t="s">
        <v>223</v>
      </c>
    </row>
    <row r="14" spans="2:14" ht="18.75" x14ac:dyDescent="0.3">
      <c r="B14" s="161" t="s">
        <v>208</v>
      </c>
      <c r="C14" s="161"/>
      <c r="D14" s="161"/>
      <c r="E14" s="161"/>
      <c r="F14" s="161"/>
      <c r="G14" s="161"/>
      <c r="H14" s="163"/>
      <c r="I14" s="163"/>
      <c r="K14" s="165" t="s">
        <v>214</v>
      </c>
      <c r="L14" s="166"/>
      <c r="M14" s="165" t="s">
        <v>221</v>
      </c>
      <c r="N14" s="166"/>
    </row>
    <row r="15" spans="2:14" ht="15.75" x14ac:dyDescent="0.25">
      <c r="B15" s="162" t="s">
        <v>176</v>
      </c>
      <c r="C15" s="162" t="s">
        <v>212</v>
      </c>
      <c r="D15" s="167" t="s">
        <v>150</v>
      </c>
      <c r="E15" s="168"/>
      <c r="F15" s="167" t="s">
        <v>213</v>
      </c>
      <c r="G15" s="168"/>
      <c r="K15" s="160" t="s">
        <v>222</v>
      </c>
      <c r="L15" s="160">
        <f>L6*$H$6</f>
        <v>12000</v>
      </c>
      <c r="M15" s="160" t="s">
        <v>222</v>
      </c>
      <c r="N15" s="160">
        <f>L6*E18</f>
        <v>2560</v>
      </c>
    </row>
    <row r="16" spans="2:14" x14ac:dyDescent="0.25">
      <c r="B16" s="3"/>
      <c r="C16" s="3"/>
      <c r="D16" s="3" t="s">
        <v>197</v>
      </c>
      <c r="E16" s="3" t="s">
        <v>93</v>
      </c>
      <c r="F16" s="3" t="s">
        <v>197</v>
      </c>
      <c r="G16" s="3" t="s">
        <v>93</v>
      </c>
      <c r="K16" s="160" t="s">
        <v>217</v>
      </c>
      <c r="L16" s="160">
        <f t="shared" ref="L16:L17" si="0">L7*$H$6</f>
        <v>18000</v>
      </c>
      <c r="M16" s="160" t="s">
        <v>217</v>
      </c>
      <c r="N16" s="160">
        <f>L7*G18</f>
        <v>3360</v>
      </c>
    </row>
    <row r="17" spans="2:14" x14ac:dyDescent="0.25">
      <c r="B17" s="3" t="s">
        <v>214</v>
      </c>
      <c r="C17" s="3">
        <v>3000</v>
      </c>
      <c r="D17" s="53">
        <v>1</v>
      </c>
      <c r="E17" s="3">
        <f>PRODUCT(C17:D17)</f>
        <v>3000</v>
      </c>
      <c r="F17" s="53">
        <v>1</v>
      </c>
      <c r="G17" s="3">
        <f>PRODUCT(F17,C17)</f>
        <v>3000</v>
      </c>
      <c r="K17" s="160" t="s">
        <v>218</v>
      </c>
      <c r="L17" s="160">
        <f t="shared" si="0"/>
        <v>12000</v>
      </c>
      <c r="M17" s="160" t="s">
        <v>218</v>
      </c>
      <c r="N17" s="160">
        <f>L8*G18</f>
        <v>2240</v>
      </c>
    </row>
    <row r="18" spans="2:14" x14ac:dyDescent="0.25">
      <c r="B18" s="3" t="s">
        <v>215</v>
      </c>
      <c r="C18" s="3">
        <v>800</v>
      </c>
      <c r="D18" s="53">
        <v>0.8</v>
      </c>
      <c r="E18" s="3">
        <f>PRODUCT(C18:D18)</f>
        <v>640</v>
      </c>
      <c r="F18" s="53">
        <v>0.7</v>
      </c>
      <c r="G18" s="3">
        <f>PRODUCT(F18,C18)</f>
        <v>560</v>
      </c>
      <c r="K18" s="160" t="s">
        <v>122</v>
      </c>
      <c r="L18" s="160">
        <f>SUM(L15:L17)</f>
        <v>42000</v>
      </c>
      <c r="M18" s="160"/>
      <c r="N18" s="160">
        <f>SUM(N15:N17)</f>
        <v>8160</v>
      </c>
    </row>
    <row r="19" spans="2:14" x14ac:dyDescent="0.25">
      <c r="B19" s="3"/>
      <c r="C19" s="3"/>
      <c r="D19" s="3"/>
      <c r="E19" s="3"/>
      <c r="F19" s="3"/>
      <c r="G19" s="3"/>
    </row>
    <row r="20" spans="2:14" x14ac:dyDescent="0.25">
      <c r="B20" s="60" t="s">
        <v>122</v>
      </c>
      <c r="C20" s="60">
        <f>SUM(C15:C19)</f>
        <v>3800</v>
      </c>
      <c r="D20" s="60"/>
      <c r="E20" s="60">
        <f>SUM(E15:E19)</f>
        <v>3640</v>
      </c>
      <c r="F20" s="60"/>
      <c r="G20" s="60">
        <f>SUM(G15:G19)</f>
        <v>3560</v>
      </c>
    </row>
  </sheetData>
  <mergeCells count="7">
    <mergeCell ref="M14:N14"/>
    <mergeCell ref="B4:I4"/>
    <mergeCell ref="D15:E15"/>
    <mergeCell ref="F15:G15"/>
    <mergeCell ref="K5:L5"/>
    <mergeCell ref="B14:G14"/>
    <mergeCell ref="K14:L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617F-7524-48CD-BF0E-A011EEB84D48}">
  <dimension ref="B13:K22"/>
  <sheetViews>
    <sheetView workbookViewId="0">
      <selection activeCell="B14" sqref="B14:E15"/>
    </sheetView>
  </sheetViews>
  <sheetFormatPr defaultRowHeight="15" x14ac:dyDescent="0.25"/>
  <cols>
    <col min="1" max="1" width="1.85546875" customWidth="1"/>
    <col min="2" max="2" width="15.5703125" bestFit="1" customWidth="1"/>
    <col min="3" max="3" width="8.140625" bestFit="1" customWidth="1"/>
    <col min="4" max="4" width="18.85546875" bestFit="1" customWidth="1"/>
    <col min="5" max="5" width="8.140625" bestFit="1" customWidth="1"/>
    <col min="8" max="8" width="22.28515625" bestFit="1" customWidth="1"/>
    <col min="9" max="9" width="8" bestFit="1" customWidth="1"/>
  </cols>
  <sheetData>
    <row r="13" spans="2:9" ht="15.75" thickBot="1" x14ac:dyDescent="0.3"/>
    <row r="14" spans="2:9" ht="16.5" thickBot="1" x14ac:dyDescent="0.3">
      <c r="B14" s="171" t="s">
        <v>224</v>
      </c>
      <c r="C14" s="171"/>
      <c r="D14" s="171"/>
      <c r="E14" s="171"/>
      <c r="H14" s="172" t="s">
        <v>237</v>
      </c>
      <c r="I14" s="173">
        <v>1000000</v>
      </c>
    </row>
    <row r="15" spans="2:9" ht="15.75" thickBot="1" x14ac:dyDescent="0.3">
      <c r="B15" s="10" t="s">
        <v>1</v>
      </c>
      <c r="C15" s="10" t="s">
        <v>2</v>
      </c>
      <c r="D15" s="10" t="s">
        <v>1</v>
      </c>
      <c r="E15" s="10" t="s">
        <v>2</v>
      </c>
    </row>
    <row r="16" spans="2:9" ht="15.75" thickBot="1" x14ac:dyDescent="0.3">
      <c r="B16" s="3" t="s">
        <v>177</v>
      </c>
      <c r="C16" s="3">
        <v>50000</v>
      </c>
      <c r="D16" s="3" t="s">
        <v>225</v>
      </c>
      <c r="E16" s="3">
        <f>I16</f>
        <v>400000</v>
      </c>
      <c r="H16" s="172" t="s">
        <v>226</v>
      </c>
      <c r="I16" s="173">
        <f>360000*100/90</f>
        <v>400000</v>
      </c>
    </row>
    <row r="17" spans="2:11" ht="15.75" thickBot="1" x14ac:dyDescent="0.3">
      <c r="B17" s="3" t="s">
        <v>179</v>
      </c>
      <c r="C17" s="3">
        <v>300000</v>
      </c>
      <c r="D17" s="3" t="s">
        <v>227</v>
      </c>
      <c r="E17" s="3">
        <v>10000</v>
      </c>
      <c r="K17" s="169">
        <v>370000</v>
      </c>
    </row>
    <row r="18" spans="2:11" ht="15.75" thickBot="1" x14ac:dyDescent="0.3">
      <c r="B18" s="3" t="s">
        <v>229</v>
      </c>
      <c r="C18" s="3">
        <v>20000</v>
      </c>
      <c r="D18" s="3" t="s">
        <v>230</v>
      </c>
      <c r="E18" s="3">
        <v>5000</v>
      </c>
      <c r="H18" s="172" t="s">
        <v>236</v>
      </c>
      <c r="I18" s="174">
        <f>I16/I14</f>
        <v>0.4</v>
      </c>
    </row>
    <row r="19" spans="2:11" ht="15.75" thickBot="1" x14ac:dyDescent="0.3">
      <c r="B19" s="3" t="s">
        <v>234</v>
      </c>
      <c r="C19" s="3">
        <f>I22</f>
        <v>18000</v>
      </c>
      <c r="D19" s="3" t="s">
        <v>231</v>
      </c>
      <c r="E19" s="3">
        <f>C18*(1-25%)</f>
        <v>15000</v>
      </c>
    </row>
    <row r="20" spans="2:11" ht="15.75" thickBot="1" x14ac:dyDescent="0.3">
      <c r="B20" s="3" t="s">
        <v>235</v>
      </c>
      <c r="C20" s="3">
        <f>E21-I22-K17</f>
        <v>42000</v>
      </c>
      <c r="D20" s="3"/>
      <c r="E20" s="3"/>
      <c r="H20" s="172" t="s">
        <v>232</v>
      </c>
      <c r="I20" s="173">
        <f>-K17+E21</f>
        <v>60000</v>
      </c>
    </row>
    <row r="21" spans="2:11" ht="15.75" thickBot="1" x14ac:dyDescent="0.3">
      <c r="B21" s="170" t="s">
        <v>122</v>
      </c>
      <c r="C21" s="170">
        <f>SUM(C16:C20)</f>
        <v>430000</v>
      </c>
      <c r="D21" s="170"/>
      <c r="E21" s="170">
        <f>SUM(E16:E20)</f>
        <v>430000</v>
      </c>
    </row>
    <row r="22" spans="2:11" ht="15.75" thickBot="1" x14ac:dyDescent="0.3">
      <c r="H22" s="172" t="s">
        <v>233</v>
      </c>
      <c r="I22" s="173">
        <f>1/3*(I20*90%)</f>
        <v>18000</v>
      </c>
    </row>
  </sheetData>
  <mergeCells count="1">
    <mergeCell ref="B14:E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87F8-D753-40B6-9505-339E0AD4A152}">
  <dimension ref="B14:I26"/>
  <sheetViews>
    <sheetView topLeftCell="A4" zoomScale="80" zoomScaleNormal="80" workbookViewId="0">
      <selection activeCell="E26" sqref="E26"/>
    </sheetView>
  </sheetViews>
  <sheetFormatPr defaultRowHeight="15" x14ac:dyDescent="0.25"/>
  <cols>
    <col min="1" max="1" width="1.85546875" customWidth="1"/>
    <col min="2" max="2" width="19.28515625" bestFit="1" customWidth="1"/>
    <col min="3" max="3" width="8.140625" bestFit="1" customWidth="1"/>
    <col min="4" max="4" width="20.7109375" bestFit="1" customWidth="1"/>
    <col min="5" max="5" width="8.7109375" bestFit="1" customWidth="1"/>
    <col min="7" max="7" width="29.140625" bestFit="1" customWidth="1"/>
    <col min="8" max="8" width="10" bestFit="1" customWidth="1"/>
    <col min="9" max="9" width="13" bestFit="1" customWidth="1"/>
  </cols>
  <sheetData>
    <row r="14" spans="2:9" ht="15.75" x14ac:dyDescent="0.25">
      <c r="B14" s="171" t="s">
        <v>224</v>
      </c>
      <c r="C14" s="171"/>
      <c r="D14" s="171"/>
      <c r="E14" s="171"/>
    </row>
    <row r="15" spans="2:9" ht="15.75" x14ac:dyDescent="0.25">
      <c r="B15" s="10" t="s">
        <v>1</v>
      </c>
      <c r="C15" s="10" t="s">
        <v>2</v>
      </c>
      <c r="D15" s="10" t="s">
        <v>1</v>
      </c>
      <c r="E15" s="10" t="s">
        <v>2</v>
      </c>
      <c r="G15" s="176" t="s">
        <v>251</v>
      </c>
      <c r="H15" s="15">
        <f>C20*(2/3)*(144000/180000)</f>
        <v>28586.666666666664</v>
      </c>
    </row>
    <row r="16" spans="2:9" ht="15.75" x14ac:dyDescent="0.25">
      <c r="B16" s="3" t="s">
        <v>177</v>
      </c>
      <c r="C16" s="3">
        <v>50000</v>
      </c>
      <c r="D16" s="3" t="s">
        <v>240</v>
      </c>
      <c r="E16" s="3">
        <v>180000</v>
      </c>
      <c r="G16" s="15" t="s">
        <v>252</v>
      </c>
      <c r="H16" s="15"/>
      <c r="I16" s="4"/>
    </row>
    <row r="17" spans="2:9" ht="15.75" x14ac:dyDescent="0.25">
      <c r="B17" s="3" t="s">
        <v>238</v>
      </c>
      <c r="C17" s="3">
        <v>20000</v>
      </c>
      <c r="D17" s="3" t="s">
        <v>241</v>
      </c>
      <c r="E17" s="3">
        <v>1500</v>
      </c>
      <c r="G17" s="15" t="str">
        <f>"(20000-4000)*15/100"</f>
        <v>(20000-4000)*15/100</v>
      </c>
      <c r="H17" s="15">
        <f>(20000-4000)*15/100</f>
        <v>2400</v>
      </c>
      <c r="I17" s="4"/>
    </row>
    <row r="18" spans="2:9" x14ac:dyDescent="0.25">
      <c r="B18" s="3" t="s">
        <v>179</v>
      </c>
      <c r="C18" s="3">
        <v>71000</v>
      </c>
      <c r="D18" s="3" t="s">
        <v>242</v>
      </c>
      <c r="E18" s="3">
        <v>3000</v>
      </c>
      <c r="G18" s="4"/>
      <c r="H18" s="4"/>
      <c r="I18" s="4"/>
    </row>
    <row r="19" spans="2:9" ht="15.75" x14ac:dyDescent="0.25">
      <c r="B19" s="3" t="s">
        <v>239</v>
      </c>
      <c r="C19" s="3">
        <v>10000</v>
      </c>
      <c r="D19" s="3" t="s">
        <v>243</v>
      </c>
      <c r="E19" s="3">
        <v>4000</v>
      </c>
      <c r="G19" s="175" t="s">
        <v>228</v>
      </c>
      <c r="H19" s="175"/>
      <c r="I19" s="4"/>
    </row>
    <row r="20" spans="2:9" x14ac:dyDescent="0.25">
      <c r="B20" s="3" t="s">
        <v>249</v>
      </c>
      <c r="C20" s="3">
        <v>53600</v>
      </c>
      <c r="D20" s="3" t="s">
        <v>244</v>
      </c>
      <c r="E20" s="3">
        <f>(3000*(1-15%))</f>
        <v>2550</v>
      </c>
      <c r="G20" s="10">
        <v>20000</v>
      </c>
      <c r="H20" s="10">
        <v>4000</v>
      </c>
      <c r="I20" s="4"/>
    </row>
    <row r="21" spans="2:9" x14ac:dyDescent="0.25">
      <c r="B21" s="3"/>
      <c r="C21" s="3"/>
      <c r="D21" s="3" t="s">
        <v>245</v>
      </c>
      <c r="E21" s="3">
        <v>2500</v>
      </c>
      <c r="G21" s="10"/>
      <c r="H21" s="10">
        <v>2550</v>
      </c>
      <c r="I21" s="4"/>
    </row>
    <row r="22" spans="2:9" x14ac:dyDescent="0.25">
      <c r="B22" s="3"/>
      <c r="C22" s="3"/>
      <c r="D22" s="3" t="s">
        <v>246</v>
      </c>
      <c r="E22" s="3">
        <f>13000*(1-15%)</f>
        <v>11050</v>
      </c>
      <c r="G22" s="10"/>
      <c r="H22" s="10">
        <v>11050</v>
      </c>
      <c r="I22" s="4"/>
    </row>
    <row r="23" spans="2:9" x14ac:dyDescent="0.25">
      <c r="B23" s="177" t="s">
        <v>247</v>
      </c>
      <c r="C23" s="177">
        <f>SUM(C16:C22)</f>
        <v>204600</v>
      </c>
      <c r="D23" s="177"/>
      <c r="E23" s="177">
        <f>SUM(E16:E22)</f>
        <v>204600</v>
      </c>
      <c r="G23" s="10">
        <f>SUM(G20:G22)</f>
        <v>20000</v>
      </c>
      <c r="H23" s="10">
        <f>SUM(H20:H22)</f>
        <v>17600</v>
      </c>
      <c r="I23" s="4"/>
    </row>
    <row r="24" spans="2:9" x14ac:dyDescent="0.25">
      <c r="B24" s="3" t="s">
        <v>248</v>
      </c>
      <c r="C24" s="3">
        <v>25013</v>
      </c>
      <c r="D24" s="3" t="s">
        <v>250</v>
      </c>
      <c r="E24" s="3">
        <f>C20</f>
        <v>53600</v>
      </c>
      <c r="I24" s="4"/>
    </row>
    <row r="25" spans="2:9" x14ac:dyDescent="0.25">
      <c r="B25" s="3" t="s">
        <v>234</v>
      </c>
      <c r="C25" s="3">
        <f>H15</f>
        <v>28586.666666666664</v>
      </c>
      <c r="D25" s="3"/>
      <c r="E25" s="3"/>
      <c r="I25" s="4"/>
    </row>
    <row r="26" spans="2:9" x14ac:dyDescent="0.25">
      <c r="B26" s="177" t="s">
        <v>247</v>
      </c>
      <c r="C26" s="177">
        <f>SUM(C24:C25)</f>
        <v>53599.666666666664</v>
      </c>
      <c r="D26" s="177"/>
      <c r="E26" s="177">
        <f>SUM(E19:E25)</f>
        <v>278300</v>
      </c>
    </row>
  </sheetData>
  <mergeCells count="2">
    <mergeCell ref="B14:E14"/>
    <mergeCell ref="G19:H1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3065-E168-49E9-95BC-FAE4E4E66E3F}">
  <dimension ref="A1:G42"/>
  <sheetViews>
    <sheetView topLeftCell="A7" workbookViewId="0">
      <selection activeCell="I19" sqref="I19"/>
    </sheetView>
  </sheetViews>
  <sheetFormatPr defaultRowHeight="15" x14ac:dyDescent="0.25"/>
  <cols>
    <col min="1" max="1" width="1.85546875" customWidth="1"/>
    <col min="2" max="4" width="9.140625" style="11"/>
    <col min="5" max="5" width="14.28515625" style="11" customWidth="1"/>
    <col min="6" max="16384" width="9.140625" style="11"/>
  </cols>
  <sheetData>
    <row r="1" spans="2:7" customFormat="1" ht="15.75" thickBot="1" x14ac:dyDescent="0.3"/>
    <row r="2" spans="2:7" customFormat="1" x14ac:dyDescent="0.25">
      <c r="B2" s="180" t="s">
        <v>253</v>
      </c>
      <c r="C2" s="181"/>
      <c r="D2" s="181"/>
      <c r="E2" s="181"/>
      <c r="F2" s="181"/>
      <c r="G2" s="182"/>
    </row>
    <row r="3" spans="2:7" customFormat="1" ht="15.75" thickBot="1" x14ac:dyDescent="0.3">
      <c r="B3" s="183" t="s">
        <v>1</v>
      </c>
      <c r="C3" s="184"/>
      <c r="D3" s="184"/>
      <c r="E3" s="184"/>
      <c r="F3" s="185" t="s">
        <v>254</v>
      </c>
      <c r="G3" s="186" t="s">
        <v>255</v>
      </c>
    </row>
    <row r="4" spans="2:7" customFormat="1" x14ac:dyDescent="0.25">
      <c r="B4" s="188" t="s">
        <v>256</v>
      </c>
      <c r="F4" s="187">
        <v>120000</v>
      </c>
      <c r="G4" s="201"/>
    </row>
    <row r="5" spans="2:7" customFormat="1" x14ac:dyDescent="0.25">
      <c r="B5" s="189" t="s">
        <v>257</v>
      </c>
      <c r="F5" s="187"/>
      <c r="G5" s="201">
        <v>5000</v>
      </c>
    </row>
    <row r="6" spans="2:7" customFormat="1" x14ac:dyDescent="0.25">
      <c r="B6" s="189" t="s">
        <v>258</v>
      </c>
      <c r="F6" s="187">
        <v>2000</v>
      </c>
      <c r="G6" s="201"/>
    </row>
    <row r="7" spans="2:7" customFormat="1" x14ac:dyDescent="0.25">
      <c r="B7" s="189" t="s">
        <v>259</v>
      </c>
      <c r="F7" s="187">
        <v>5000</v>
      </c>
      <c r="G7" s="201"/>
    </row>
    <row r="8" spans="2:7" customFormat="1" x14ac:dyDescent="0.25">
      <c r="B8" s="189" t="s">
        <v>260</v>
      </c>
      <c r="F8" s="187">
        <v>7000</v>
      </c>
      <c r="G8" s="201"/>
    </row>
    <row r="9" spans="2:7" customFormat="1" x14ac:dyDescent="0.25">
      <c r="B9" s="193" t="s">
        <v>122</v>
      </c>
      <c r="C9" s="192"/>
      <c r="D9" s="192"/>
      <c r="E9" s="191"/>
      <c r="F9" s="190">
        <f>SUM(F4:F8)</f>
        <v>134000</v>
      </c>
      <c r="G9" s="202">
        <f>SUM(G4:G8)</f>
        <v>5000</v>
      </c>
    </row>
    <row r="10" spans="2:7" customFormat="1" ht="15.75" thickBot="1" x14ac:dyDescent="0.3">
      <c r="B10" s="189" t="s">
        <v>261</v>
      </c>
      <c r="F10" s="187"/>
      <c r="G10" s="201">
        <f>F9-G9</f>
        <v>129000</v>
      </c>
    </row>
    <row r="11" spans="2:7" customFormat="1" ht="15.75" thickBot="1" x14ac:dyDescent="0.3">
      <c r="B11" s="194" t="s">
        <v>262</v>
      </c>
      <c r="C11" s="195"/>
      <c r="D11" s="195"/>
      <c r="E11" s="195"/>
      <c r="F11" s="196">
        <f>SUM(F9:F10)</f>
        <v>134000</v>
      </c>
      <c r="G11" s="197">
        <f>SUM(G9:G10)</f>
        <v>134000</v>
      </c>
    </row>
    <row r="12" spans="2:7" x14ac:dyDescent="0.25">
      <c r="B12" s="198"/>
      <c r="F12" s="199"/>
      <c r="G12" s="199"/>
    </row>
    <row r="13" spans="2:7" ht="15.75" thickBot="1" x14ac:dyDescent="0.3">
      <c r="B13" s="198"/>
      <c r="F13" s="199"/>
      <c r="G13" s="199"/>
    </row>
    <row r="14" spans="2:7" x14ac:dyDescent="0.25">
      <c r="B14" s="180" t="s">
        <v>253</v>
      </c>
      <c r="C14" s="181"/>
      <c r="D14" s="181"/>
      <c r="E14" s="181"/>
      <c r="F14" s="181"/>
      <c r="G14" s="182"/>
    </row>
    <row r="15" spans="2:7" ht="15.75" thickBot="1" x14ac:dyDescent="0.3">
      <c r="B15" s="183" t="s">
        <v>1</v>
      </c>
      <c r="C15" s="184"/>
      <c r="D15" s="184"/>
      <c r="E15" s="184"/>
      <c r="F15" s="185" t="s">
        <v>254</v>
      </c>
      <c r="G15" s="186" t="s">
        <v>255</v>
      </c>
    </row>
    <row r="16" spans="2:7" ht="17.25" customHeight="1" x14ac:dyDescent="0.25">
      <c r="B16" s="188" t="s">
        <v>256</v>
      </c>
      <c r="C16" s="120"/>
      <c r="D16" s="120"/>
      <c r="E16" s="125"/>
      <c r="F16" s="205">
        <v>50000</v>
      </c>
      <c r="G16" s="201"/>
    </row>
    <row r="17" spans="2:7" ht="15.75" customHeight="1" x14ac:dyDescent="0.25">
      <c r="B17" s="189" t="s">
        <v>263</v>
      </c>
      <c r="E17" s="126"/>
      <c r="F17" s="205"/>
      <c r="G17" s="201">
        <v>5000</v>
      </c>
    </row>
    <row r="18" spans="2:7" x14ac:dyDescent="0.25">
      <c r="B18" s="189" t="s">
        <v>257</v>
      </c>
      <c r="E18" s="126"/>
      <c r="F18" s="205">
        <v>1500</v>
      </c>
      <c r="G18" s="201"/>
    </row>
    <row r="19" spans="2:7" x14ac:dyDescent="0.25">
      <c r="B19" s="189" t="s">
        <v>264</v>
      </c>
      <c r="E19" s="126"/>
      <c r="F19" s="205"/>
      <c r="G19" s="201">
        <v>2000</v>
      </c>
    </row>
    <row r="20" spans="2:7" x14ac:dyDescent="0.25">
      <c r="B20" s="189" t="s">
        <v>265</v>
      </c>
      <c r="E20" s="126"/>
      <c r="F20" s="205"/>
      <c r="G20" s="201">
        <v>15000</v>
      </c>
    </row>
    <row r="21" spans="2:7" ht="28.5" customHeight="1" x14ac:dyDescent="0.25">
      <c r="B21" s="203" t="s">
        <v>266</v>
      </c>
      <c r="C21" s="204"/>
      <c r="D21" s="204"/>
      <c r="E21" s="206"/>
      <c r="F21" s="205">
        <v>6000</v>
      </c>
      <c r="G21" s="201"/>
    </row>
    <row r="22" spans="2:7" ht="15.75" customHeight="1" x14ac:dyDescent="0.25">
      <c r="B22" s="203" t="s">
        <v>269</v>
      </c>
      <c r="C22" s="204"/>
      <c r="D22" s="204"/>
      <c r="E22" s="206"/>
      <c r="F22" s="205">
        <v>1000</v>
      </c>
      <c r="G22" s="201"/>
    </row>
    <row r="23" spans="2:7" ht="18.75" customHeight="1" x14ac:dyDescent="0.25">
      <c r="B23" s="203" t="s">
        <v>268</v>
      </c>
      <c r="C23" s="204"/>
      <c r="D23" s="204"/>
      <c r="E23" s="206"/>
      <c r="F23" s="205"/>
      <c r="G23" s="201">
        <v>3000</v>
      </c>
    </row>
    <row r="24" spans="2:7" x14ac:dyDescent="0.25">
      <c r="B24" s="207" t="s">
        <v>267</v>
      </c>
      <c r="C24" s="25"/>
      <c r="D24" s="25"/>
      <c r="E24" s="208"/>
      <c r="F24" s="205"/>
      <c r="G24" s="201">
        <v>750</v>
      </c>
    </row>
    <row r="25" spans="2:7" x14ac:dyDescent="0.25">
      <c r="B25" s="193" t="s">
        <v>122</v>
      </c>
      <c r="C25" s="192"/>
      <c r="D25" s="192"/>
      <c r="E25" s="192"/>
      <c r="F25" s="209">
        <f>SUM(F16:F24)</f>
        <v>58500</v>
      </c>
      <c r="G25" s="190">
        <f>SUM(G16:G24)</f>
        <v>25750</v>
      </c>
    </row>
    <row r="26" spans="2:7" ht="15.75" thickBot="1" x14ac:dyDescent="0.3">
      <c r="B26" s="189" t="s">
        <v>261</v>
      </c>
      <c r="C26"/>
      <c r="D26"/>
      <c r="E26"/>
      <c r="F26" s="210"/>
      <c r="G26" s="201">
        <f>F25-G25</f>
        <v>32750</v>
      </c>
    </row>
    <row r="27" spans="2:7" ht="15.75" thickBot="1" x14ac:dyDescent="0.3">
      <c r="B27" s="194" t="s">
        <v>262</v>
      </c>
      <c r="C27" s="195"/>
      <c r="D27" s="195"/>
      <c r="E27" s="195"/>
      <c r="F27" s="211">
        <f>SUM(F25:F26)</f>
        <v>58500</v>
      </c>
      <c r="G27" s="197">
        <f>SUM(G25:G26)</f>
        <v>58500</v>
      </c>
    </row>
    <row r="28" spans="2:7" x14ac:dyDescent="0.25">
      <c r="B28" s="198"/>
      <c r="F28" s="199"/>
      <c r="G28" s="199"/>
    </row>
    <row r="29" spans="2:7" x14ac:dyDescent="0.25">
      <c r="B29" s="198"/>
      <c r="F29" s="199"/>
      <c r="G29" s="199"/>
    </row>
    <row r="30" spans="2:7" x14ac:dyDescent="0.25">
      <c r="B30" s="198"/>
      <c r="F30" s="199"/>
      <c r="G30" s="199"/>
    </row>
    <row r="31" spans="2:7" x14ac:dyDescent="0.25">
      <c r="B31" s="198"/>
      <c r="F31" s="199"/>
      <c r="G31" s="199"/>
    </row>
    <row r="32" spans="2:7" x14ac:dyDescent="0.25">
      <c r="B32" s="198"/>
      <c r="F32" s="199"/>
      <c r="G32" s="199"/>
    </row>
    <row r="33" spans="2:7" x14ac:dyDescent="0.25">
      <c r="B33" s="198"/>
      <c r="F33" s="199"/>
      <c r="G33" s="199"/>
    </row>
    <row r="34" spans="2:7" x14ac:dyDescent="0.25">
      <c r="B34" s="198"/>
      <c r="F34" s="199"/>
      <c r="G34" s="199"/>
    </row>
    <row r="35" spans="2:7" x14ac:dyDescent="0.25">
      <c r="B35" s="198"/>
      <c r="F35" s="199"/>
      <c r="G35" s="199"/>
    </row>
    <row r="36" spans="2:7" x14ac:dyDescent="0.25">
      <c r="B36" s="198"/>
      <c r="F36" s="199"/>
      <c r="G36" s="199"/>
    </row>
    <row r="37" spans="2:7" x14ac:dyDescent="0.25">
      <c r="B37" s="198"/>
      <c r="F37" s="199"/>
      <c r="G37" s="199"/>
    </row>
    <row r="38" spans="2:7" x14ac:dyDescent="0.25">
      <c r="B38" s="198"/>
      <c r="F38" s="199"/>
      <c r="G38" s="199"/>
    </row>
    <row r="39" spans="2:7" x14ac:dyDescent="0.25">
      <c r="B39" s="198"/>
      <c r="F39" s="199"/>
      <c r="G39" s="199"/>
    </row>
    <row r="40" spans="2:7" x14ac:dyDescent="0.25">
      <c r="B40" s="198"/>
      <c r="F40" s="199"/>
      <c r="G40" s="199"/>
    </row>
    <row r="41" spans="2:7" x14ac:dyDescent="0.25">
      <c r="B41" s="198"/>
      <c r="F41" s="199"/>
      <c r="G41" s="199"/>
    </row>
    <row r="42" spans="2:7" x14ac:dyDescent="0.25">
      <c r="B42" s="198"/>
      <c r="F42" s="199"/>
      <c r="G42" s="199"/>
    </row>
  </sheetData>
  <mergeCells count="7">
    <mergeCell ref="B22:E22"/>
    <mergeCell ref="B23:E23"/>
    <mergeCell ref="B3:E3"/>
    <mergeCell ref="B2:G2"/>
    <mergeCell ref="B14:G14"/>
    <mergeCell ref="B15:E15"/>
    <mergeCell ref="B21:E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9A73-C333-4BB5-8D11-66DF70941E23}">
  <dimension ref="B15:N25"/>
  <sheetViews>
    <sheetView topLeftCell="A12" workbookViewId="0">
      <selection activeCell="B20" sqref="B20"/>
    </sheetView>
  </sheetViews>
  <sheetFormatPr defaultRowHeight="15" x14ac:dyDescent="0.25"/>
  <cols>
    <col min="1" max="1" width="1.85546875" customWidth="1"/>
    <col min="2" max="2" width="7.28515625" bestFit="1" customWidth="1"/>
    <col min="3" max="3" width="6" bestFit="1" customWidth="1"/>
    <col min="4" max="4" width="13.5703125" bestFit="1" customWidth="1"/>
    <col min="5" max="5" width="14.7109375" bestFit="1" customWidth="1"/>
    <col min="6" max="6" width="10.7109375" bestFit="1" customWidth="1"/>
    <col min="8" max="8" width="10.85546875" bestFit="1" customWidth="1"/>
    <col min="9" max="9" width="29.85546875" bestFit="1" customWidth="1"/>
    <col min="10" max="10" width="13.5703125" bestFit="1" customWidth="1"/>
    <col min="11" max="11" width="14.7109375" bestFit="1" customWidth="1"/>
    <col min="12" max="12" width="10.7109375" bestFit="1" customWidth="1"/>
    <col min="13" max="13" width="5.42578125" bestFit="1" customWidth="1"/>
    <col min="14" max="14" width="8.140625" bestFit="1" customWidth="1"/>
  </cols>
  <sheetData>
    <row r="15" spans="2:14" ht="15.75" thickBot="1" x14ac:dyDescent="0.3"/>
    <row r="16" spans="2:14" ht="19.5" thickBot="1" x14ac:dyDescent="0.35">
      <c r="B16" s="212" t="s">
        <v>270</v>
      </c>
      <c r="C16" s="213"/>
      <c r="D16" s="213"/>
      <c r="E16" s="213"/>
      <c r="F16" s="214"/>
      <c r="H16" s="218" t="s">
        <v>285</v>
      </c>
      <c r="I16" s="218"/>
      <c r="J16" s="218"/>
      <c r="K16" s="218"/>
      <c r="L16" s="218"/>
      <c r="M16" s="218"/>
      <c r="N16" s="218"/>
    </row>
    <row r="17" spans="2:14" x14ac:dyDescent="0.25">
      <c r="B17" s="215" t="s">
        <v>271</v>
      </c>
      <c r="C17" s="216" t="s">
        <v>62</v>
      </c>
      <c r="D17" s="216" t="s">
        <v>272</v>
      </c>
      <c r="E17" s="216" t="s">
        <v>273</v>
      </c>
      <c r="F17" s="217" t="s">
        <v>274</v>
      </c>
      <c r="H17" s="219" t="s">
        <v>271</v>
      </c>
      <c r="I17" s="219" t="s">
        <v>283</v>
      </c>
      <c r="J17" s="219" t="s">
        <v>272</v>
      </c>
      <c r="K17" s="219" t="s">
        <v>273</v>
      </c>
      <c r="L17" s="219" t="s">
        <v>274</v>
      </c>
      <c r="M17" s="219" t="s">
        <v>284</v>
      </c>
      <c r="N17" s="219" t="s">
        <v>2</v>
      </c>
    </row>
    <row r="18" spans="2:14" x14ac:dyDescent="0.25">
      <c r="B18" s="3" t="s">
        <v>275</v>
      </c>
      <c r="C18" s="3">
        <v>12000</v>
      </c>
      <c r="D18" s="3">
        <f>C19*50%</f>
        <v>6500</v>
      </c>
      <c r="E18" s="3">
        <f>C18*50%</f>
        <v>6000</v>
      </c>
      <c r="F18" s="3">
        <f>SUM(D18:E18)</f>
        <v>12500</v>
      </c>
      <c r="H18" s="3" t="s">
        <v>275</v>
      </c>
      <c r="I18" s="3">
        <f>2*F18</f>
        <v>25000</v>
      </c>
      <c r="J18" s="3">
        <f>I19</f>
        <v>22000</v>
      </c>
      <c r="K18" s="3">
        <f>I18</f>
        <v>25000</v>
      </c>
      <c r="L18" s="3">
        <f>I18+J18-K18</f>
        <v>22000</v>
      </c>
      <c r="M18" s="3">
        <v>5</v>
      </c>
      <c r="N18" s="3">
        <f>M18*L18</f>
        <v>110000</v>
      </c>
    </row>
    <row r="19" spans="2:14" x14ac:dyDescent="0.25">
      <c r="B19" s="3" t="s">
        <v>276</v>
      </c>
      <c r="C19" s="3">
        <v>13000</v>
      </c>
      <c r="D19" s="3">
        <f t="shared" ref="D19:D24" si="0">C20*50%</f>
        <v>4500</v>
      </c>
      <c r="E19" s="3">
        <f t="shared" ref="E19:E25" si="1">C19*50%</f>
        <v>6500</v>
      </c>
      <c r="F19" s="3">
        <f t="shared" ref="F19:F24" si="2">SUM(D19:E19)</f>
        <v>11000</v>
      </c>
      <c r="H19" s="3" t="s">
        <v>276</v>
      </c>
      <c r="I19" s="3">
        <f>2*F19</f>
        <v>22000</v>
      </c>
      <c r="J19" s="3">
        <f t="shared" ref="J19:J23" si="3">I20</f>
        <v>17000</v>
      </c>
      <c r="K19" s="3">
        <f t="shared" ref="K19:K23" si="4">I19</f>
        <v>22000</v>
      </c>
      <c r="L19" s="3">
        <f t="shared" ref="L19:L23" si="5">I19+J19-K19</f>
        <v>17000</v>
      </c>
      <c r="M19" s="3">
        <v>5</v>
      </c>
      <c r="N19" s="3">
        <f t="shared" ref="N19:N23" si="6">M19*L19</f>
        <v>85000</v>
      </c>
    </row>
    <row r="20" spans="2:14" x14ac:dyDescent="0.25">
      <c r="B20" s="3" t="s">
        <v>277</v>
      </c>
      <c r="C20" s="3">
        <v>9000</v>
      </c>
      <c r="D20" s="3">
        <f t="shared" si="0"/>
        <v>4000</v>
      </c>
      <c r="E20" s="3">
        <f t="shared" si="1"/>
        <v>4500</v>
      </c>
      <c r="F20" s="3">
        <f t="shared" si="2"/>
        <v>8500</v>
      </c>
      <c r="H20" s="3" t="s">
        <v>277</v>
      </c>
      <c r="I20" s="3">
        <f>2*F20</f>
        <v>17000</v>
      </c>
      <c r="J20" s="3">
        <f t="shared" si="3"/>
        <v>18000</v>
      </c>
      <c r="K20" s="3">
        <f t="shared" si="4"/>
        <v>17000</v>
      </c>
      <c r="L20" s="3">
        <f t="shared" si="5"/>
        <v>18000</v>
      </c>
      <c r="M20" s="3">
        <v>5</v>
      </c>
      <c r="N20" s="3">
        <f t="shared" si="6"/>
        <v>90000</v>
      </c>
    </row>
    <row r="21" spans="2:14" x14ac:dyDescent="0.25">
      <c r="B21" s="3" t="s">
        <v>278</v>
      </c>
      <c r="C21" s="3">
        <v>8000</v>
      </c>
      <c r="D21" s="3">
        <f t="shared" si="0"/>
        <v>5000</v>
      </c>
      <c r="E21" s="3">
        <f t="shared" si="1"/>
        <v>4000</v>
      </c>
      <c r="F21" s="3">
        <f t="shared" si="2"/>
        <v>9000</v>
      </c>
      <c r="H21" s="3" t="s">
        <v>278</v>
      </c>
      <c r="I21" s="3">
        <f>2*F21</f>
        <v>18000</v>
      </c>
      <c r="J21" s="3">
        <f t="shared" si="3"/>
        <v>22000</v>
      </c>
      <c r="K21" s="3">
        <f t="shared" si="4"/>
        <v>18000</v>
      </c>
      <c r="L21" s="3">
        <f t="shared" si="5"/>
        <v>22000</v>
      </c>
      <c r="M21" s="3">
        <v>5</v>
      </c>
      <c r="N21" s="3">
        <f t="shared" si="6"/>
        <v>110000</v>
      </c>
    </row>
    <row r="22" spans="2:14" x14ac:dyDescent="0.25">
      <c r="B22" s="3" t="s">
        <v>279</v>
      </c>
      <c r="C22" s="3">
        <v>10000</v>
      </c>
      <c r="D22" s="3">
        <f t="shared" si="0"/>
        <v>6000</v>
      </c>
      <c r="E22" s="3">
        <f t="shared" si="1"/>
        <v>5000</v>
      </c>
      <c r="F22" s="3">
        <f t="shared" si="2"/>
        <v>11000</v>
      </c>
      <c r="H22" s="3" t="s">
        <v>279</v>
      </c>
      <c r="I22" s="3">
        <f>2*F22</f>
        <v>22000</v>
      </c>
      <c r="J22" s="3">
        <f t="shared" si="3"/>
        <v>26000</v>
      </c>
      <c r="K22" s="3">
        <f t="shared" si="4"/>
        <v>22000</v>
      </c>
      <c r="L22" s="3">
        <f t="shared" si="5"/>
        <v>26000</v>
      </c>
      <c r="M22" s="3">
        <v>5</v>
      </c>
      <c r="N22" s="3">
        <f t="shared" si="6"/>
        <v>130000</v>
      </c>
    </row>
    <row r="23" spans="2:14" x14ac:dyDescent="0.25">
      <c r="B23" s="3" t="s">
        <v>280</v>
      </c>
      <c r="C23" s="3">
        <v>12000</v>
      </c>
      <c r="D23" s="3">
        <f>C24*50%</f>
        <v>7000</v>
      </c>
      <c r="E23" s="3">
        <f t="shared" si="1"/>
        <v>6000</v>
      </c>
      <c r="F23" s="3">
        <f t="shared" si="2"/>
        <v>13000</v>
      </c>
      <c r="H23" s="3" t="s">
        <v>280</v>
      </c>
      <c r="I23" s="3">
        <f>2*F23</f>
        <v>26000</v>
      </c>
      <c r="J23" s="3">
        <f t="shared" si="3"/>
        <v>26000</v>
      </c>
      <c r="K23" s="3">
        <f t="shared" si="4"/>
        <v>26000</v>
      </c>
      <c r="L23" s="3">
        <f t="shared" si="5"/>
        <v>26000</v>
      </c>
      <c r="M23" s="3">
        <v>5</v>
      </c>
      <c r="N23" s="3">
        <f t="shared" si="6"/>
        <v>130000</v>
      </c>
    </row>
    <row r="24" spans="2:14" x14ac:dyDescent="0.25">
      <c r="B24" s="3" t="s">
        <v>281</v>
      </c>
      <c r="C24" s="3">
        <v>14000</v>
      </c>
      <c r="D24" s="3">
        <f t="shared" si="0"/>
        <v>6000</v>
      </c>
      <c r="E24" s="3">
        <f t="shared" si="1"/>
        <v>7000</v>
      </c>
      <c r="F24" s="3">
        <f t="shared" si="2"/>
        <v>13000</v>
      </c>
      <c r="H24" s="3" t="s">
        <v>281</v>
      </c>
      <c r="I24" s="3">
        <f>2*F24</f>
        <v>26000</v>
      </c>
      <c r="J24" s="3"/>
      <c r="K24" s="3"/>
      <c r="L24" s="3"/>
      <c r="M24" s="3"/>
      <c r="N24" s="3"/>
    </row>
    <row r="25" spans="2:14" x14ac:dyDescent="0.25">
      <c r="B25" s="3" t="s">
        <v>282</v>
      </c>
      <c r="C25" s="3">
        <v>12000</v>
      </c>
      <c r="D25" s="3"/>
      <c r="E25" s="3">
        <f t="shared" si="1"/>
        <v>6000</v>
      </c>
      <c r="F25" s="3"/>
    </row>
  </sheetData>
  <mergeCells count="2">
    <mergeCell ref="B16:F16"/>
    <mergeCell ref="H16:N16"/>
  </mergeCells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4A13-C899-44CA-9A49-A5CC5717A76D}">
  <dimension ref="B9:H27"/>
  <sheetViews>
    <sheetView topLeftCell="A32" workbookViewId="0">
      <selection activeCell="D53" sqref="D53"/>
    </sheetView>
  </sheetViews>
  <sheetFormatPr defaultRowHeight="15" x14ac:dyDescent="0.25"/>
  <cols>
    <col min="1" max="1" width="1.85546875" customWidth="1"/>
    <col min="2" max="2" width="15.85546875" bestFit="1" customWidth="1"/>
    <col min="3" max="3" width="11.28515625" bestFit="1" customWidth="1"/>
    <col min="4" max="4" width="11.140625" bestFit="1" customWidth="1"/>
    <col min="5" max="5" width="7.85546875" bestFit="1" customWidth="1"/>
    <col min="6" max="6" width="12.85546875" bestFit="1" customWidth="1"/>
    <col min="7" max="7" width="15.85546875" bestFit="1" customWidth="1"/>
    <col min="8" max="8" width="9" bestFit="1" customWidth="1"/>
    <col min="10" max="10" width="27.28515625" bestFit="1" customWidth="1"/>
    <col min="12" max="12" width="7" bestFit="1" customWidth="1"/>
  </cols>
  <sheetData>
    <row r="9" spans="2:8" ht="15.75" thickBot="1" x14ac:dyDescent="0.3"/>
    <row r="10" spans="2:8" ht="16.5" thickBot="1" x14ac:dyDescent="0.3">
      <c r="B10" s="229" t="s">
        <v>91</v>
      </c>
      <c r="C10" s="230" t="s">
        <v>286</v>
      </c>
      <c r="D10" s="230" t="s">
        <v>287</v>
      </c>
      <c r="E10" s="230" t="s">
        <v>294</v>
      </c>
      <c r="F10" s="230" t="s">
        <v>293</v>
      </c>
      <c r="G10" s="230" t="s">
        <v>296</v>
      </c>
      <c r="H10" s="231" t="s">
        <v>295</v>
      </c>
    </row>
    <row r="11" spans="2:8" x14ac:dyDescent="0.25">
      <c r="B11" s="227" t="s">
        <v>288</v>
      </c>
      <c r="C11" s="29">
        <v>264000</v>
      </c>
      <c r="D11" s="29">
        <v>330000</v>
      </c>
      <c r="E11" s="29">
        <f>D11-C11</f>
        <v>66000</v>
      </c>
      <c r="F11" s="29">
        <f>E11/30000</f>
        <v>2.2000000000000002</v>
      </c>
      <c r="G11" s="29">
        <f>F11*120000</f>
        <v>264000</v>
      </c>
      <c r="H11" s="228">
        <f>C11-G11</f>
        <v>0</v>
      </c>
    </row>
    <row r="12" spans="2:8" x14ac:dyDescent="0.25">
      <c r="B12" s="220" t="s">
        <v>289</v>
      </c>
      <c r="C12" s="3">
        <v>150000</v>
      </c>
      <c r="D12" s="3">
        <v>187500</v>
      </c>
      <c r="E12" s="3">
        <f t="shared" ref="E12:E15" si="0">D12-C12</f>
        <v>37500</v>
      </c>
      <c r="F12" s="3">
        <f t="shared" ref="F12:F15" si="1">E12/30000</f>
        <v>1.25</v>
      </c>
      <c r="G12" s="3">
        <f t="shared" ref="G12:G15" si="2">F12*120000</f>
        <v>150000</v>
      </c>
      <c r="H12" s="221">
        <f t="shared" ref="H12:H15" si="3">C12-G12</f>
        <v>0</v>
      </c>
    </row>
    <row r="13" spans="2:8" x14ac:dyDescent="0.25">
      <c r="B13" s="220" t="s">
        <v>290</v>
      </c>
      <c r="C13" s="3">
        <v>84000</v>
      </c>
      <c r="D13" s="3">
        <v>102000</v>
      </c>
      <c r="E13" s="3">
        <f t="shared" si="0"/>
        <v>18000</v>
      </c>
      <c r="F13" s="3">
        <f t="shared" si="1"/>
        <v>0.6</v>
      </c>
      <c r="G13" s="3">
        <f t="shared" si="2"/>
        <v>72000</v>
      </c>
      <c r="H13" s="221">
        <f t="shared" si="3"/>
        <v>12000</v>
      </c>
    </row>
    <row r="14" spans="2:8" x14ac:dyDescent="0.25">
      <c r="B14" s="220" t="s">
        <v>291</v>
      </c>
      <c r="C14" s="3">
        <v>198000</v>
      </c>
      <c r="D14" s="3">
        <v>234000</v>
      </c>
      <c r="E14" s="3">
        <f t="shared" si="0"/>
        <v>36000</v>
      </c>
      <c r="F14" s="3">
        <f t="shared" si="1"/>
        <v>1.2</v>
      </c>
      <c r="G14" s="3">
        <f t="shared" si="2"/>
        <v>144000</v>
      </c>
      <c r="H14" s="221">
        <f t="shared" si="3"/>
        <v>54000</v>
      </c>
    </row>
    <row r="15" spans="2:8" ht="15.75" thickBot="1" x14ac:dyDescent="0.3">
      <c r="B15" s="223" t="s">
        <v>292</v>
      </c>
      <c r="C15" s="178">
        <v>94000</v>
      </c>
      <c r="D15" s="178">
        <v>94000</v>
      </c>
      <c r="E15" s="178">
        <f t="shared" si="0"/>
        <v>0</v>
      </c>
      <c r="F15" s="178">
        <f t="shared" si="1"/>
        <v>0</v>
      </c>
      <c r="G15" s="178">
        <f t="shared" si="2"/>
        <v>0</v>
      </c>
      <c r="H15" s="179">
        <f t="shared" si="3"/>
        <v>94000</v>
      </c>
    </row>
    <row r="16" spans="2:8" ht="15.75" thickBot="1" x14ac:dyDescent="0.3"/>
    <row r="17" spans="2:4" ht="16.5" thickBot="1" x14ac:dyDescent="0.3">
      <c r="B17" s="232" t="s">
        <v>297</v>
      </c>
      <c r="C17" s="233"/>
      <c r="D17" s="234"/>
    </row>
    <row r="18" spans="2:4" x14ac:dyDescent="0.25">
      <c r="B18" s="227" t="s">
        <v>288</v>
      </c>
      <c r="C18" s="29"/>
      <c r="D18" s="228">
        <f>140000*F11</f>
        <v>308000</v>
      </c>
    </row>
    <row r="19" spans="2:4" x14ac:dyDescent="0.25">
      <c r="B19" s="220" t="s">
        <v>289</v>
      </c>
      <c r="C19" s="3"/>
      <c r="D19" s="221">
        <f>140000*F12</f>
        <v>175000</v>
      </c>
    </row>
    <row r="20" spans="2:4" x14ac:dyDescent="0.25">
      <c r="B20" s="220" t="s">
        <v>300</v>
      </c>
      <c r="C20" s="3"/>
      <c r="D20" s="221"/>
    </row>
    <row r="21" spans="2:4" x14ac:dyDescent="0.25">
      <c r="B21" s="222" t="s">
        <v>298</v>
      </c>
      <c r="C21" s="3"/>
      <c r="D21" s="221">
        <f>140000*F13</f>
        <v>84000</v>
      </c>
    </row>
    <row r="22" spans="2:4" x14ac:dyDescent="0.25">
      <c r="B22" s="222" t="s">
        <v>299</v>
      </c>
      <c r="C22" s="3"/>
      <c r="D22" s="221">
        <f>H13</f>
        <v>12000</v>
      </c>
    </row>
    <row r="23" spans="2:4" x14ac:dyDescent="0.25">
      <c r="B23" s="220" t="s">
        <v>301</v>
      </c>
      <c r="C23" s="3"/>
      <c r="D23" s="221"/>
    </row>
    <row r="24" spans="2:4" x14ac:dyDescent="0.25">
      <c r="B24" s="222" t="s">
        <v>298</v>
      </c>
      <c r="C24" s="3"/>
      <c r="D24" s="221">
        <f>F14*140000</f>
        <v>168000</v>
      </c>
    </row>
    <row r="25" spans="2:4" x14ac:dyDescent="0.25">
      <c r="B25" s="222" t="s">
        <v>299</v>
      </c>
      <c r="C25" s="3"/>
      <c r="D25" s="221">
        <f>H14</f>
        <v>54000</v>
      </c>
    </row>
    <row r="26" spans="2:4" ht="15.75" thickBot="1" x14ac:dyDescent="0.3">
      <c r="B26" s="235" t="s">
        <v>292</v>
      </c>
      <c r="C26" s="8"/>
      <c r="D26" s="236">
        <f>H15</f>
        <v>94000</v>
      </c>
    </row>
    <row r="27" spans="2:4" ht="15.75" thickBot="1" x14ac:dyDescent="0.3">
      <c r="B27" s="237" t="s">
        <v>122</v>
      </c>
      <c r="C27" s="238"/>
      <c r="D27" s="239">
        <f>SUM(D18:D26)</f>
        <v>895000</v>
      </c>
    </row>
  </sheetData>
  <mergeCells count="1">
    <mergeCell ref="B17:D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8544-6955-4F03-B0D3-1038B0965CEA}">
  <dimension ref="B15:I35"/>
  <sheetViews>
    <sheetView topLeftCell="A17" workbookViewId="0">
      <selection activeCell="D38" sqref="D38"/>
    </sheetView>
  </sheetViews>
  <sheetFormatPr defaultRowHeight="15" x14ac:dyDescent="0.25"/>
  <cols>
    <col min="1" max="1" width="1.85546875" customWidth="1"/>
    <col min="2" max="2" width="23.42578125" customWidth="1"/>
    <col min="3" max="3" width="0.7109375" customWidth="1"/>
    <col min="4" max="4" width="13.85546875" bestFit="1" customWidth="1"/>
    <col min="5" max="5" width="14.140625" bestFit="1" customWidth="1"/>
    <col min="6" max="7" width="18.42578125" bestFit="1" customWidth="1"/>
    <col min="8" max="8" width="10.85546875" bestFit="1" customWidth="1"/>
    <col min="9" max="9" width="7" bestFit="1" customWidth="1"/>
  </cols>
  <sheetData>
    <row r="15" spans="2:9" ht="15.75" thickBot="1" x14ac:dyDescent="0.3"/>
    <row r="16" spans="2:9" ht="16.5" thickBot="1" x14ac:dyDescent="0.3">
      <c r="B16" s="245" t="s">
        <v>302</v>
      </c>
      <c r="C16" s="246"/>
      <c r="D16" s="246" t="s">
        <v>307</v>
      </c>
      <c r="E16" s="246" t="s">
        <v>308</v>
      </c>
      <c r="F16" s="246" t="s">
        <v>309</v>
      </c>
      <c r="G16" s="246" t="s">
        <v>310</v>
      </c>
      <c r="H16" s="246" t="s">
        <v>311</v>
      </c>
      <c r="I16" s="247" t="s">
        <v>312</v>
      </c>
    </row>
    <row r="17" spans="2:9" x14ac:dyDescent="0.25">
      <c r="B17" s="29" t="s">
        <v>120</v>
      </c>
      <c r="C17" s="11"/>
      <c r="D17" s="29">
        <v>1300000</v>
      </c>
      <c r="E17" s="29">
        <v>1500000</v>
      </c>
      <c r="F17" s="29">
        <f>E17-D17</f>
        <v>200000</v>
      </c>
      <c r="G17" s="29">
        <f>F17/10000</f>
        <v>20</v>
      </c>
      <c r="H17" s="29">
        <f>G17*65000</f>
        <v>1300000</v>
      </c>
      <c r="I17" s="29">
        <f>D17-H17</f>
        <v>0</v>
      </c>
    </row>
    <row r="18" spans="2:9" x14ac:dyDescent="0.25">
      <c r="B18" s="3" t="s">
        <v>303</v>
      </c>
      <c r="C18" s="11"/>
      <c r="D18" s="3">
        <v>650000</v>
      </c>
      <c r="E18" s="3">
        <v>750000</v>
      </c>
      <c r="F18" s="3">
        <f t="shared" ref="F18:F21" si="0">E18-D18</f>
        <v>100000</v>
      </c>
      <c r="G18" s="3">
        <f t="shared" ref="G18:G21" si="1">F18/10000</f>
        <v>10</v>
      </c>
      <c r="H18" s="3">
        <f t="shared" ref="H18:H21" si="2">G18*65000</f>
        <v>650000</v>
      </c>
      <c r="I18" s="3">
        <f t="shared" ref="I18:I21" si="3">D18-H18</f>
        <v>0</v>
      </c>
    </row>
    <row r="19" spans="2:9" x14ac:dyDescent="0.25">
      <c r="B19" s="3" t="s">
        <v>304</v>
      </c>
      <c r="C19" s="11"/>
      <c r="D19" s="3">
        <v>330000</v>
      </c>
      <c r="E19" s="3">
        <v>350000</v>
      </c>
      <c r="F19" s="3">
        <f t="shared" si="0"/>
        <v>20000</v>
      </c>
      <c r="G19" s="3">
        <f t="shared" si="1"/>
        <v>2</v>
      </c>
      <c r="H19" s="3">
        <f t="shared" si="2"/>
        <v>130000</v>
      </c>
      <c r="I19" s="3">
        <f t="shared" si="3"/>
        <v>200000</v>
      </c>
    </row>
    <row r="20" spans="2:9" x14ac:dyDescent="0.25">
      <c r="B20" s="3" t="s">
        <v>305</v>
      </c>
      <c r="C20" s="11"/>
      <c r="D20" s="3">
        <v>360000</v>
      </c>
      <c r="E20" s="3">
        <v>400000</v>
      </c>
      <c r="F20" s="3">
        <f t="shared" si="0"/>
        <v>40000</v>
      </c>
      <c r="G20" s="3">
        <f t="shared" si="1"/>
        <v>4</v>
      </c>
      <c r="H20" s="3">
        <f t="shared" si="2"/>
        <v>260000</v>
      </c>
      <c r="I20" s="3">
        <f t="shared" si="3"/>
        <v>100000</v>
      </c>
    </row>
    <row r="21" spans="2:9" ht="15.75" thickBot="1" x14ac:dyDescent="0.3">
      <c r="B21" s="3" t="s">
        <v>306</v>
      </c>
      <c r="C21" s="123"/>
      <c r="D21" s="3">
        <v>160000</v>
      </c>
      <c r="E21" s="3">
        <v>160000</v>
      </c>
      <c r="F21" s="3">
        <f t="shared" si="0"/>
        <v>0</v>
      </c>
      <c r="G21" s="3">
        <f t="shared" si="1"/>
        <v>0</v>
      </c>
      <c r="H21" s="3">
        <f t="shared" si="2"/>
        <v>0</v>
      </c>
      <c r="I21" s="3">
        <f t="shared" si="3"/>
        <v>160000</v>
      </c>
    </row>
    <row r="22" spans="2:9" ht="15.75" thickBot="1" x14ac:dyDescent="0.3"/>
    <row r="23" spans="2:9" ht="19.5" thickBot="1" x14ac:dyDescent="0.35">
      <c r="B23" s="241" t="s">
        <v>313</v>
      </c>
      <c r="C23" s="242"/>
      <c r="D23" s="242"/>
      <c r="E23" s="243"/>
    </row>
    <row r="24" spans="2:9" x14ac:dyDescent="0.25">
      <c r="B24" s="29" t="s">
        <v>314</v>
      </c>
      <c r="C24" s="29"/>
      <c r="D24" s="29"/>
      <c r="E24" s="240">
        <f>85000*G17+(8%*85000*G17)</f>
        <v>1836000</v>
      </c>
    </row>
    <row r="25" spans="2:9" x14ac:dyDescent="0.25">
      <c r="B25" s="3" t="s">
        <v>315</v>
      </c>
      <c r="C25" s="3"/>
      <c r="D25" s="3"/>
      <c r="E25" s="3">
        <f>85000*G18+(5%*85000*G18)</f>
        <v>892500</v>
      </c>
    </row>
    <row r="26" spans="2:9" x14ac:dyDescent="0.25">
      <c r="B26" s="3" t="s">
        <v>304</v>
      </c>
      <c r="C26" s="3"/>
      <c r="D26" s="3"/>
      <c r="E26" s="3"/>
    </row>
    <row r="27" spans="2:9" x14ac:dyDescent="0.25">
      <c r="B27" s="3" t="s">
        <v>316</v>
      </c>
      <c r="C27" s="3"/>
      <c r="D27" s="3"/>
      <c r="E27" s="3">
        <f>85000*G19+(5%*85000*G19)</f>
        <v>178500</v>
      </c>
    </row>
    <row r="28" spans="2:9" x14ac:dyDescent="0.25">
      <c r="B28" s="3" t="s">
        <v>319</v>
      </c>
      <c r="C28" s="3"/>
      <c r="D28" s="3"/>
      <c r="E28" s="3">
        <f>I19+10%*I19</f>
        <v>220000</v>
      </c>
    </row>
    <row r="29" spans="2:9" x14ac:dyDescent="0.25">
      <c r="B29" s="3" t="s">
        <v>305</v>
      </c>
      <c r="C29" s="3"/>
      <c r="D29" s="3"/>
      <c r="E29" s="3"/>
    </row>
    <row r="30" spans="2:9" x14ac:dyDescent="0.25">
      <c r="B30" s="3" t="s">
        <v>317</v>
      </c>
      <c r="C30" s="3"/>
      <c r="D30" s="3"/>
      <c r="E30" s="68">
        <f>85000*4+(8%*85000*4)</f>
        <v>367200</v>
      </c>
    </row>
    <row r="31" spans="2:9" x14ac:dyDescent="0.25">
      <c r="B31" s="3" t="s">
        <v>318</v>
      </c>
      <c r="C31" s="3"/>
      <c r="D31" s="3"/>
      <c r="E31" s="68">
        <f>I20+15%*I20</f>
        <v>115000</v>
      </c>
    </row>
    <row r="32" spans="2:9" x14ac:dyDescent="0.25">
      <c r="B32" s="3" t="s">
        <v>320</v>
      </c>
      <c r="C32" s="3"/>
      <c r="D32" s="3"/>
      <c r="E32" s="3">
        <f>160000+10%*I21</f>
        <v>176000</v>
      </c>
    </row>
    <row r="33" spans="2:5" x14ac:dyDescent="0.25">
      <c r="B33" s="3" t="s">
        <v>322</v>
      </c>
      <c r="C33" s="3"/>
      <c r="D33" s="3"/>
      <c r="E33" s="68">
        <f>SUM(E24:E32)</f>
        <v>3785200</v>
      </c>
    </row>
    <row r="34" spans="2:5" ht="15.75" thickBot="1" x14ac:dyDescent="0.3">
      <c r="B34" s="8" t="s">
        <v>321</v>
      </c>
      <c r="C34" s="8"/>
      <c r="D34" s="8"/>
      <c r="E34" s="72">
        <f>E35-E33</f>
        <v>946300</v>
      </c>
    </row>
    <row r="35" spans="2:5" ht="15.75" thickBot="1" x14ac:dyDescent="0.3">
      <c r="B35" s="244" t="s">
        <v>323</v>
      </c>
      <c r="C35" s="195"/>
      <c r="D35" s="195"/>
      <c r="E35" s="200">
        <f>E33/80%</f>
        <v>4731500</v>
      </c>
    </row>
  </sheetData>
  <mergeCells count="1">
    <mergeCell ref="B23:E2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2C50-F0D4-4D8A-9484-153017B7D59B}">
  <dimension ref="B14:M29"/>
  <sheetViews>
    <sheetView topLeftCell="A4" zoomScale="80" zoomScaleNormal="80" workbookViewId="0">
      <selection activeCell="B23" sqref="B23"/>
    </sheetView>
  </sheetViews>
  <sheetFormatPr defaultRowHeight="15" x14ac:dyDescent="0.25"/>
  <cols>
    <col min="1" max="1" width="1.85546875" customWidth="1"/>
    <col min="2" max="2" width="24.85546875" bestFit="1" customWidth="1"/>
    <col min="3" max="3" width="1.7109375" bestFit="1" customWidth="1"/>
    <col min="4" max="6" width="7.42578125" bestFit="1" customWidth="1"/>
  </cols>
  <sheetData>
    <row r="14" spans="2:13" ht="15.75" thickBot="1" x14ac:dyDescent="0.3"/>
    <row r="15" spans="2:13" ht="19.5" thickBot="1" x14ac:dyDescent="0.35">
      <c r="B15" s="250" t="s">
        <v>1</v>
      </c>
      <c r="C15" s="251" t="s">
        <v>138</v>
      </c>
      <c r="D15" s="251" t="s">
        <v>324</v>
      </c>
      <c r="E15" s="251" t="s">
        <v>277</v>
      </c>
      <c r="F15" s="252" t="s">
        <v>278</v>
      </c>
      <c r="I15" s="257" t="s">
        <v>338</v>
      </c>
      <c r="J15" s="258"/>
      <c r="K15" s="259" t="s">
        <v>2</v>
      </c>
      <c r="L15" s="260">
        <v>0.5</v>
      </c>
      <c r="M15" s="261">
        <v>0.5</v>
      </c>
    </row>
    <row r="16" spans="2:13" ht="15.75" x14ac:dyDescent="0.25">
      <c r="B16" s="249" t="s">
        <v>325</v>
      </c>
      <c r="C16" s="249"/>
      <c r="D16" s="249">
        <v>8000</v>
      </c>
      <c r="E16" s="249">
        <f>D29</f>
        <v>13750</v>
      </c>
      <c r="F16" s="249">
        <f>E29</f>
        <v>12250</v>
      </c>
      <c r="I16" s="262" t="s">
        <v>339</v>
      </c>
      <c r="J16" s="248"/>
      <c r="K16" s="248"/>
      <c r="L16" s="248"/>
      <c r="M16" s="263"/>
    </row>
    <row r="17" spans="2:13" ht="15.75" x14ac:dyDescent="0.25">
      <c r="B17" s="248" t="s">
        <v>326</v>
      </c>
      <c r="C17" s="248"/>
      <c r="D17" s="248"/>
      <c r="E17" s="248"/>
      <c r="F17" s="248"/>
      <c r="I17" s="262" t="s">
        <v>340</v>
      </c>
      <c r="J17" s="248"/>
      <c r="K17" s="248">
        <v>4000</v>
      </c>
      <c r="L17" s="248">
        <f>K17*$L$15</f>
        <v>2000</v>
      </c>
      <c r="M17" s="263">
        <f>$K17*$L$15</f>
        <v>2000</v>
      </c>
    </row>
    <row r="18" spans="2:13" ht="15.75" x14ac:dyDescent="0.25">
      <c r="B18" s="248" t="s">
        <v>327</v>
      </c>
      <c r="C18" s="248"/>
      <c r="D18" s="248">
        <v>62000</v>
      </c>
      <c r="E18" s="248">
        <v>64000</v>
      </c>
      <c r="F18" s="248">
        <v>58000</v>
      </c>
      <c r="I18" s="262" t="s">
        <v>275</v>
      </c>
      <c r="J18" s="248"/>
      <c r="K18" s="248">
        <v>3000</v>
      </c>
      <c r="L18" s="248">
        <f t="shared" ref="L18:M22" si="0">K18*$L$15</f>
        <v>1500</v>
      </c>
      <c r="M18" s="263">
        <f t="shared" ref="M18:M22" si="1">$K18*$L$15</f>
        <v>1500</v>
      </c>
    </row>
    <row r="19" spans="2:13" ht="15.75" x14ac:dyDescent="0.25">
      <c r="B19" s="248" t="s">
        <v>122</v>
      </c>
      <c r="C19" s="248"/>
      <c r="D19" s="248">
        <f>SUM(D16:D18)</f>
        <v>70000</v>
      </c>
      <c r="E19" s="248">
        <f>SUM(E16:E18)</f>
        <v>77750</v>
      </c>
      <c r="F19" s="248">
        <f>SUM(F16:F18)</f>
        <v>70250</v>
      </c>
      <c r="I19" s="262" t="s">
        <v>276</v>
      </c>
      <c r="J19" s="248"/>
      <c r="K19" s="248">
        <v>4500</v>
      </c>
      <c r="L19" s="248">
        <f t="shared" si="0"/>
        <v>2250</v>
      </c>
      <c r="M19" s="263">
        <f t="shared" si="1"/>
        <v>2250</v>
      </c>
    </row>
    <row r="20" spans="2:13" ht="15.75" x14ac:dyDescent="0.25">
      <c r="B20" s="248" t="s">
        <v>328</v>
      </c>
      <c r="C20" s="248"/>
      <c r="D20" s="248"/>
      <c r="E20" s="248"/>
      <c r="F20" s="248"/>
      <c r="I20" s="262" t="s">
        <v>277</v>
      </c>
      <c r="J20" s="248"/>
      <c r="K20" s="248">
        <v>3500</v>
      </c>
      <c r="L20" s="248">
        <f t="shared" si="0"/>
        <v>1750</v>
      </c>
      <c r="M20" s="263">
        <f t="shared" si="1"/>
        <v>1750</v>
      </c>
    </row>
    <row r="21" spans="2:13" ht="15.75" x14ac:dyDescent="0.25">
      <c r="B21" s="248" t="s">
        <v>329</v>
      </c>
      <c r="C21" s="248"/>
      <c r="D21" s="248">
        <v>36000</v>
      </c>
      <c r="E21" s="248">
        <v>38000</v>
      </c>
      <c r="F21" s="248">
        <v>33000</v>
      </c>
      <c r="I21" s="262" t="s">
        <v>278</v>
      </c>
      <c r="J21" s="248"/>
      <c r="K21" s="248">
        <v>4000</v>
      </c>
      <c r="L21" s="248">
        <f t="shared" si="0"/>
        <v>2000</v>
      </c>
      <c r="M21" s="263">
        <f t="shared" si="1"/>
        <v>2000</v>
      </c>
    </row>
    <row r="22" spans="2:13" ht="16.5" thickBot="1" x14ac:dyDescent="0.3">
      <c r="B22" s="248" t="s">
        <v>330</v>
      </c>
      <c r="C22" s="248"/>
      <c r="D22" s="248">
        <v>10000</v>
      </c>
      <c r="E22" s="248">
        <v>8500</v>
      </c>
      <c r="F22" s="248">
        <v>9500</v>
      </c>
      <c r="I22" s="264" t="s">
        <v>341</v>
      </c>
      <c r="J22" s="265"/>
      <c r="K22" s="265">
        <v>3000</v>
      </c>
      <c r="L22" s="265">
        <f t="shared" si="0"/>
        <v>1500</v>
      </c>
      <c r="M22" s="266">
        <f t="shared" si="1"/>
        <v>1500</v>
      </c>
    </row>
    <row r="23" spans="2:13" ht="15.75" x14ac:dyDescent="0.25">
      <c r="B23" s="248" t="s">
        <v>331</v>
      </c>
      <c r="C23" s="248"/>
      <c r="D23" s="248">
        <f>L19+M18</f>
        <v>3750</v>
      </c>
      <c r="E23" s="248">
        <f>L20+M19</f>
        <v>4000</v>
      </c>
      <c r="F23" s="248">
        <f>L21+M20</f>
        <v>3750</v>
      </c>
    </row>
    <row r="24" spans="2:13" ht="15.75" x14ac:dyDescent="0.25">
      <c r="B24" s="248" t="s">
        <v>332</v>
      </c>
      <c r="C24" s="248"/>
      <c r="D24" s="248">
        <v>1500</v>
      </c>
      <c r="E24" s="248">
        <v>2500</v>
      </c>
      <c r="F24" s="248">
        <v>2000</v>
      </c>
    </row>
    <row r="25" spans="2:13" ht="15.75" x14ac:dyDescent="0.25">
      <c r="B25" s="248" t="s">
        <v>333</v>
      </c>
      <c r="C25" s="248"/>
      <c r="D25" s="248">
        <v>5000</v>
      </c>
      <c r="E25" s="248">
        <v>4500</v>
      </c>
      <c r="F25" s="248">
        <v>3500</v>
      </c>
    </row>
    <row r="26" spans="2:13" ht="15.75" x14ac:dyDescent="0.25">
      <c r="B26" s="248" t="s">
        <v>334</v>
      </c>
      <c r="C26" s="248"/>
      <c r="D26" s="248"/>
      <c r="E26" s="248"/>
      <c r="F26" s="248">
        <v>1600</v>
      </c>
    </row>
    <row r="27" spans="2:13" ht="15.75" x14ac:dyDescent="0.25">
      <c r="B27" s="248" t="s">
        <v>335</v>
      </c>
      <c r="C27" s="248"/>
      <c r="D27" s="248"/>
      <c r="E27" s="248">
        <v>8000</v>
      </c>
      <c r="F27" s="248"/>
    </row>
    <row r="28" spans="2:13" ht="16.5" thickBot="1" x14ac:dyDescent="0.3">
      <c r="B28" s="253" t="s">
        <v>336</v>
      </c>
      <c r="C28" s="253"/>
      <c r="D28" s="253">
        <f>SUM(D21:D27)</f>
        <v>56250</v>
      </c>
      <c r="E28" s="253">
        <f t="shared" ref="E28:F28" si="2">SUM(E21:E27)</f>
        <v>65500</v>
      </c>
      <c r="F28" s="253">
        <f t="shared" si="2"/>
        <v>53350</v>
      </c>
    </row>
    <row r="29" spans="2:13" ht="16.5" thickBot="1" x14ac:dyDescent="0.3">
      <c r="B29" s="254" t="s">
        <v>337</v>
      </c>
      <c r="C29" s="255"/>
      <c r="D29" s="255">
        <f>D19-D28</f>
        <v>13750</v>
      </c>
      <c r="E29" s="255">
        <f>E19-E28</f>
        <v>12250</v>
      </c>
      <c r="F29" s="256">
        <f>F19-F28</f>
        <v>16900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73A1-67CE-4EA1-9AA2-5EFC139A185E}">
  <dimension ref="B16:L32"/>
  <sheetViews>
    <sheetView tabSelected="1" topLeftCell="H13" workbookViewId="0">
      <selection activeCell="H18" sqref="H18"/>
    </sheetView>
  </sheetViews>
  <sheetFormatPr defaultRowHeight="15" x14ac:dyDescent="0.25"/>
  <cols>
    <col min="1" max="1" width="1.85546875" customWidth="1"/>
  </cols>
  <sheetData>
    <row r="16" ht="15.75" thickBot="1" x14ac:dyDescent="0.3"/>
    <row r="17" spans="2:12" x14ac:dyDescent="0.25">
      <c r="B17" s="224" t="s">
        <v>91</v>
      </c>
      <c r="C17" s="225"/>
      <c r="D17" s="225" t="s">
        <v>342</v>
      </c>
      <c r="E17" s="225" t="s">
        <v>343</v>
      </c>
      <c r="F17" s="225" t="s">
        <v>344</v>
      </c>
      <c r="G17" s="226" t="s">
        <v>345</v>
      </c>
    </row>
    <row r="18" spans="2:12" x14ac:dyDescent="0.25">
      <c r="B18" s="220" t="s">
        <v>325</v>
      </c>
      <c r="C18" s="3"/>
      <c r="D18" s="3">
        <v>10000</v>
      </c>
      <c r="E18" s="3">
        <f>D32</f>
        <v>15000</v>
      </c>
      <c r="F18" s="3">
        <f>E32</f>
        <v>15000</v>
      </c>
      <c r="G18" s="221">
        <f>F32</f>
        <v>15325</v>
      </c>
      <c r="I18" s="3" t="s">
        <v>362</v>
      </c>
      <c r="J18" s="3"/>
      <c r="K18" s="3"/>
      <c r="L18" s="3"/>
    </row>
    <row r="19" spans="2:12" x14ac:dyDescent="0.25">
      <c r="B19" s="220" t="s">
        <v>346</v>
      </c>
      <c r="C19" s="3"/>
      <c r="D19" s="3">
        <v>125000</v>
      </c>
      <c r="E19" s="3">
        <v>150000</v>
      </c>
      <c r="F19" s="3">
        <v>160000</v>
      </c>
      <c r="G19" s="221">
        <v>221000</v>
      </c>
      <c r="I19" s="3"/>
      <c r="J19" s="3"/>
      <c r="K19" s="3"/>
      <c r="L19" s="3"/>
    </row>
    <row r="20" spans="2:12" x14ac:dyDescent="0.25">
      <c r="B20" s="220" t="s">
        <v>247</v>
      </c>
      <c r="C20" s="3"/>
      <c r="D20" s="3">
        <f>SUM(D18:D19)</f>
        <v>135000</v>
      </c>
      <c r="E20" s="3">
        <f t="shared" ref="E20:G20" si="0">SUM(E18:E19)</f>
        <v>165000</v>
      </c>
      <c r="F20" s="3">
        <f t="shared" si="0"/>
        <v>175000</v>
      </c>
      <c r="G20" s="221">
        <f t="shared" si="0"/>
        <v>236325</v>
      </c>
      <c r="I20" s="3" t="s">
        <v>357</v>
      </c>
      <c r="J20" s="3" t="s">
        <v>358</v>
      </c>
      <c r="K20" s="3"/>
      <c r="L20" s="3"/>
    </row>
    <row r="21" spans="2:12" x14ac:dyDescent="0.25">
      <c r="B21" s="220"/>
      <c r="C21" s="3"/>
      <c r="D21" s="3"/>
      <c r="E21" s="3"/>
      <c r="F21" s="3"/>
      <c r="G21" s="221"/>
      <c r="I21" s="3"/>
      <c r="J21" s="3"/>
      <c r="K21" s="3"/>
      <c r="L21" s="3"/>
    </row>
    <row r="22" spans="2:12" x14ac:dyDescent="0.25">
      <c r="B22" s="220" t="s">
        <v>347</v>
      </c>
      <c r="C22" s="3"/>
      <c r="D22" s="3"/>
      <c r="E22" s="3"/>
      <c r="F22" s="3"/>
      <c r="G22" s="221"/>
      <c r="I22" s="3" t="s">
        <v>359</v>
      </c>
      <c r="J22" s="3">
        <f>9500*(10%)*(9/12)</f>
        <v>712.5</v>
      </c>
      <c r="K22" s="3"/>
      <c r="L22" s="3"/>
    </row>
    <row r="23" spans="2:12" x14ac:dyDescent="0.25">
      <c r="B23" s="220" t="s">
        <v>348</v>
      </c>
      <c r="C23" s="3"/>
      <c r="D23" s="3">
        <v>20000</v>
      </c>
      <c r="E23" s="3">
        <v>35000</v>
      </c>
      <c r="F23" s="3">
        <v>35000</v>
      </c>
      <c r="G23" s="221">
        <v>54200</v>
      </c>
      <c r="I23" s="3"/>
      <c r="J23" s="3"/>
      <c r="K23" s="3"/>
      <c r="L23" s="3"/>
    </row>
    <row r="24" spans="2:12" x14ac:dyDescent="0.25">
      <c r="B24" s="220" t="s">
        <v>349</v>
      </c>
      <c r="C24" s="3"/>
      <c r="D24" s="3">
        <v>25000</v>
      </c>
      <c r="E24" s="3">
        <v>20000</v>
      </c>
      <c r="F24" s="3">
        <v>20000</v>
      </c>
      <c r="G24" s="221">
        <v>17000</v>
      </c>
      <c r="I24" s="3" t="s">
        <v>360</v>
      </c>
      <c r="J24" s="3" t="s">
        <v>361</v>
      </c>
      <c r="K24" s="3"/>
      <c r="L24" s="3"/>
    </row>
    <row r="25" spans="2:12" x14ac:dyDescent="0.25">
      <c r="B25" s="220" t="s">
        <v>350</v>
      </c>
      <c r="C25" s="3"/>
      <c r="D25" s="3">
        <v>90000</v>
      </c>
      <c r="E25" s="3">
        <v>95000</v>
      </c>
      <c r="F25" s="3">
        <v>95000</v>
      </c>
      <c r="G25" s="221">
        <v>109200</v>
      </c>
      <c r="I25" s="3"/>
      <c r="J25" s="3"/>
      <c r="K25" s="3"/>
      <c r="L25" s="3"/>
    </row>
    <row r="26" spans="2:12" x14ac:dyDescent="0.25">
      <c r="B26" s="220" t="s">
        <v>351</v>
      </c>
      <c r="C26" s="3"/>
      <c r="D26" s="3">
        <v>5000</v>
      </c>
      <c r="E26" s="3"/>
      <c r="F26" s="3"/>
      <c r="G26" s="221"/>
      <c r="I26" s="3" t="s">
        <v>359</v>
      </c>
      <c r="J26" s="3">
        <f>9000*(10%)*(9/12)</f>
        <v>675</v>
      </c>
      <c r="K26" s="3"/>
      <c r="L26" s="3"/>
    </row>
    <row r="27" spans="2:12" x14ac:dyDescent="0.25">
      <c r="B27" s="220" t="s">
        <v>352</v>
      </c>
      <c r="C27" s="3"/>
      <c r="D27" s="3"/>
      <c r="E27" s="3"/>
      <c r="F27" s="3"/>
      <c r="G27" s="221">
        <v>20000</v>
      </c>
      <c r="I27" s="3"/>
      <c r="J27" s="3"/>
      <c r="K27" s="3"/>
      <c r="L27" s="3"/>
    </row>
    <row r="28" spans="2:12" x14ac:dyDescent="0.25">
      <c r="B28" s="220" t="s">
        <v>122</v>
      </c>
      <c r="C28" s="3"/>
      <c r="D28" s="3">
        <f>SUM(D23:D27)</f>
        <v>140000</v>
      </c>
      <c r="E28" s="3">
        <f t="shared" ref="E28:G28" si="1">SUM(E23:E27)</f>
        <v>150000</v>
      </c>
      <c r="F28" s="3">
        <f t="shared" si="1"/>
        <v>150000</v>
      </c>
      <c r="G28" s="221">
        <f t="shared" si="1"/>
        <v>200400</v>
      </c>
      <c r="I28" s="3" t="s">
        <v>363</v>
      </c>
      <c r="J28" s="3"/>
      <c r="K28" s="3"/>
      <c r="L28" s="3"/>
    </row>
    <row r="29" spans="2:12" x14ac:dyDescent="0.25">
      <c r="B29" s="220" t="s">
        <v>353</v>
      </c>
      <c r="C29" s="3"/>
      <c r="D29" s="3">
        <f>D20-D28</f>
        <v>-5000</v>
      </c>
      <c r="E29" s="3">
        <f t="shared" ref="E29:G29" si="2">E20-E28</f>
        <v>15000</v>
      </c>
      <c r="F29" s="3">
        <f t="shared" si="2"/>
        <v>25000</v>
      </c>
      <c r="G29" s="221">
        <f t="shared" si="2"/>
        <v>35925</v>
      </c>
      <c r="I29" s="3" t="s">
        <v>357</v>
      </c>
      <c r="J29" s="3" t="s">
        <v>365</v>
      </c>
      <c r="K29" s="3"/>
      <c r="L29" s="3"/>
    </row>
    <row r="30" spans="2:12" x14ac:dyDescent="0.25">
      <c r="B30" s="220" t="s">
        <v>354</v>
      </c>
      <c r="C30" s="3"/>
      <c r="D30" s="3">
        <v>20000</v>
      </c>
      <c r="E30" s="3"/>
      <c r="F30" s="3">
        <v>-9000</v>
      </c>
      <c r="G30" s="221">
        <v>11000</v>
      </c>
      <c r="I30" s="3" t="s">
        <v>364</v>
      </c>
      <c r="J30" s="3">
        <f>11000*10%</f>
        <v>1100</v>
      </c>
      <c r="K30" s="3"/>
      <c r="L30" s="3"/>
    </row>
    <row r="31" spans="2:12" x14ac:dyDescent="0.25">
      <c r="B31" s="220" t="s">
        <v>355</v>
      </c>
      <c r="C31" s="3"/>
      <c r="D31" s="3"/>
      <c r="E31" s="3"/>
      <c r="F31" s="3">
        <v>-675</v>
      </c>
      <c r="G31" s="221">
        <f>J30</f>
        <v>1100</v>
      </c>
    </row>
    <row r="32" spans="2:12" ht="15.75" thickBot="1" x14ac:dyDescent="0.3">
      <c r="B32" s="223" t="s">
        <v>356</v>
      </c>
      <c r="C32" s="178"/>
      <c r="D32" s="178">
        <f>SUM(D29:D31)</f>
        <v>15000</v>
      </c>
      <c r="E32" s="178">
        <f>SUM(E29:E31)</f>
        <v>15000</v>
      </c>
      <c r="F32" s="178">
        <f>SUM(F29:F31)</f>
        <v>15325</v>
      </c>
      <c r="G32" s="179">
        <f>SUM(G29:G31)</f>
        <v>48025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82ED-51DA-49E9-B97D-13BBC0217E6D}">
  <dimension ref="A2:I33"/>
  <sheetViews>
    <sheetView workbookViewId="0">
      <selection activeCell="H20" sqref="H20"/>
    </sheetView>
  </sheetViews>
  <sheetFormatPr defaultRowHeight="15" x14ac:dyDescent="0.25"/>
  <cols>
    <col min="1" max="1" width="1.85546875" customWidth="1"/>
    <col min="6" max="6" width="12.42578125" bestFit="1" customWidth="1"/>
    <col min="7" max="7" width="9.5703125" bestFit="1" customWidth="1"/>
  </cols>
  <sheetData>
    <row r="2" spans="1:7" ht="18.75" x14ac:dyDescent="0.3">
      <c r="B2" s="33" t="s">
        <v>28</v>
      </c>
      <c r="C2" s="33"/>
      <c r="D2" s="33"/>
      <c r="E2" s="33"/>
      <c r="F2" s="33"/>
      <c r="G2" s="33"/>
    </row>
    <row r="3" spans="1:7" ht="16.5" thickBot="1" x14ac:dyDescent="0.3">
      <c r="B3" s="32" t="s">
        <v>1</v>
      </c>
      <c r="C3" s="32"/>
      <c r="D3" s="32"/>
      <c r="E3" s="34"/>
      <c r="F3" s="46" t="s">
        <v>86</v>
      </c>
      <c r="G3" s="15" t="s">
        <v>2</v>
      </c>
    </row>
    <row r="4" spans="1:7" ht="15.75" thickBot="1" x14ac:dyDescent="0.3">
      <c r="A4" t="s">
        <v>10</v>
      </c>
      <c r="B4" s="23" t="s">
        <v>26</v>
      </c>
      <c r="C4" s="7"/>
      <c r="D4" s="7"/>
      <c r="E4" s="7"/>
      <c r="F4" s="7"/>
      <c r="G4" s="18">
        <v>12000</v>
      </c>
    </row>
    <row r="5" spans="1:7" ht="15.75" thickBot="1" x14ac:dyDescent="0.3">
      <c r="A5" t="s">
        <v>10</v>
      </c>
      <c r="B5" s="5" t="s">
        <v>3</v>
      </c>
      <c r="C5" s="11"/>
      <c r="D5" s="11"/>
      <c r="E5" s="11"/>
      <c r="F5" s="11"/>
      <c r="G5" s="18">
        <v>112000</v>
      </c>
    </row>
    <row r="6" spans="1:7" ht="15.75" thickBot="1" x14ac:dyDescent="0.3">
      <c r="A6" t="s">
        <v>10</v>
      </c>
      <c r="B6" s="5" t="s">
        <v>4</v>
      </c>
      <c r="C6" s="11"/>
      <c r="D6" s="11"/>
      <c r="E6" s="11"/>
      <c r="F6" s="11"/>
      <c r="G6" s="18">
        <v>28000</v>
      </c>
    </row>
    <row r="7" spans="1:7" ht="15.75" thickBot="1" x14ac:dyDescent="0.3">
      <c r="A7" t="s">
        <v>10</v>
      </c>
      <c r="B7" s="5" t="s">
        <v>6</v>
      </c>
      <c r="C7" s="11"/>
      <c r="D7" s="11"/>
      <c r="E7" s="11"/>
      <c r="F7" s="11"/>
      <c r="G7" s="18">
        <v>0</v>
      </c>
    </row>
    <row r="8" spans="1:7" ht="15.75" thickBot="1" x14ac:dyDescent="0.3">
      <c r="A8" t="s">
        <v>9</v>
      </c>
      <c r="B8" s="5" t="s">
        <v>27</v>
      </c>
      <c r="C8" s="11"/>
      <c r="D8" s="11"/>
      <c r="E8" s="11"/>
      <c r="F8" s="11"/>
      <c r="G8" s="18">
        <v>-18000</v>
      </c>
    </row>
    <row r="9" spans="1:7" ht="15.75" thickBot="1" x14ac:dyDescent="0.3">
      <c r="A9">
        <v>0</v>
      </c>
      <c r="B9" s="26" t="s">
        <v>79</v>
      </c>
      <c r="C9" s="9"/>
      <c r="D9" s="9"/>
      <c r="E9" s="9"/>
      <c r="F9" s="9"/>
      <c r="G9" s="18">
        <f>SUM(G4:G8)</f>
        <v>134000</v>
      </c>
    </row>
    <row r="10" spans="1:7" ht="15.75" thickBot="1" x14ac:dyDescent="0.3">
      <c r="A10" t="s">
        <v>9</v>
      </c>
      <c r="B10" s="5" t="s">
        <v>8</v>
      </c>
      <c r="C10" s="11"/>
      <c r="D10" s="11"/>
      <c r="E10" s="11"/>
      <c r="F10" s="11"/>
      <c r="G10" s="18">
        <v>0</v>
      </c>
    </row>
    <row r="11" spans="1:7" ht="15.75" thickBot="1" x14ac:dyDescent="0.3">
      <c r="A11" t="s">
        <v>10</v>
      </c>
      <c r="B11" s="5" t="s">
        <v>5</v>
      </c>
      <c r="C11" s="11"/>
      <c r="D11" s="11"/>
      <c r="E11" s="11"/>
      <c r="F11" s="11"/>
      <c r="G11" s="18">
        <v>0</v>
      </c>
    </row>
    <row r="12" spans="1:7" ht="15.75" thickBot="1" x14ac:dyDescent="0.3">
      <c r="A12">
        <v>0</v>
      </c>
      <c r="B12" s="26" t="s">
        <v>7</v>
      </c>
      <c r="C12" s="9"/>
      <c r="D12" s="9"/>
      <c r="E12" s="9"/>
      <c r="F12" s="9"/>
      <c r="G12" s="18">
        <f>SUM(G9:G11)</f>
        <v>134000</v>
      </c>
    </row>
    <row r="13" spans="1:7" ht="15.75" thickBot="1" x14ac:dyDescent="0.3">
      <c r="A13" t="s">
        <v>10</v>
      </c>
      <c r="B13" s="5" t="s">
        <v>21</v>
      </c>
      <c r="C13" s="11"/>
      <c r="D13" s="11"/>
      <c r="E13" s="11"/>
      <c r="F13" s="11"/>
      <c r="G13" s="18">
        <f>SUM(G14:G15)</f>
        <v>18000</v>
      </c>
    </row>
    <row r="14" spans="1:7" ht="15.75" thickBot="1" x14ac:dyDescent="0.3">
      <c r="A14" t="s">
        <v>10</v>
      </c>
      <c r="B14" s="5" t="s">
        <v>80</v>
      </c>
      <c r="C14" s="11"/>
      <c r="D14" s="11"/>
      <c r="E14" s="11"/>
      <c r="F14" s="11"/>
      <c r="G14" s="18">
        <v>6000</v>
      </c>
    </row>
    <row r="15" spans="1:7" ht="15.75" thickBot="1" x14ac:dyDescent="0.3">
      <c r="A15" t="s">
        <v>10</v>
      </c>
      <c r="B15" s="5" t="s">
        <v>81</v>
      </c>
      <c r="C15" s="11"/>
      <c r="D15" s="11"/>
      <c r="E15" s="11"/>
      <c r="F15" s="11"/>
      <c r="G15" s="18">
        <v>12000</v>
      </c>
    </row>
    <row r="16" spans="1:7" ht="15.75" thickBot="1" x14ac:dyDescent="0.3">
      <c r="A16">
        <v>0</v>
      </c>
      <c r="B16" s="26" t="s">
        <v>11</v>
      </c>
      <c r="C16" s="9"/>
      <c r="D16" s="9"/>
      <c r="E16" s="9"/>
      <c r="F16" s="9"/>
      <c r="G16" s="18">
        <f>SUM(G12:G13)</f>
        <v>152000</v>
      </c>
    </row>
    <row r="17" spans="1:9" ht="15.75" thickBot="1" x14ac:dyDescent="0.3">
      <c r="A17" t="s">
        <v>10</v>
      </c>
      <c r="B17" s="5" t="s">
        <v>12</v>
      </c>
      <c r="C17" s="11"/>
      <c r="D17" s="11"/>
      <c r="E17" s="11"/>
      <c r="F17" s="11"/>
      <c r="G17" s="18">
        <v>0</v>
      </c>
    </row>
    <row r="18" spans="1:9" ht="15.75" thickBot="1" x14ac:dyDescent="0.3">
      <c r="A18" t="s">
        <v>9</v>
      </c>
      <c r="B18" s="5" t="s">
        <v>17</v>
      </c>
      <c r="C18" s="11"/>
      <c r="D18" s="11"/>
      <c r="E18" s="11"/>
      <c r="F18" s="11"/>
      <c r="G18" s="18">
        <v>0</v>
      </c>
    </row>
    <row r="19" spans="1:9" ht="15.75" thickBot="1" x14ac:dyDescent="0.3">
      <c r="A19">
        <v>0</v>
      </c>
      <c r="B19" s="26" t="s">
        <v>13</v>
      </c>
      <c r="C19" s="9"/>
      <c r="D19" s="9"/>
      <c r="E19" s="9"/>
      <c r="F19" s="9"/>
      <c r="G19" s="18">
        <f>SUM(G16:G18)</f>
        <v>152000</v>
      </c>
    </row>
    <row r="20" spans="1:9" ht="15.75" thickBot="1" x14ac:dyDescent="0.3">
      <c r="A20" t="s">
        <v>10</v>
      </c>
      <c r="B20" s="5" t="s">
        <v>20</v>
      </c>
      <c r="C20" s="11"/>
      <c r="D20" s="11"/>
      <c r="E20" s="11"/>
      <c r="F20" s="11"/>
      <c r="G20" s="18">
        <f>SUM(G21:G22)</f>
        <v>3600</v>
      </c>
    </row>
    <row r="21" spans="1:9" ht="15.75" thickBot="1" x14ac:dyDescent="0.3">
      <c r="A21" t="s">
        <v>10</v>
      </c>
      <c r="B21" s="5" t="s">
        <v>82</v>
      </c>
      <c r="C21" s="11"/>
      <c r="D21" s="11"/>
      <c r="E21" s="11"/>
      <c r="F21" s="11"/>
      <c r="G21" s="18">
        <v>2000</v>
      </c>
    </row>
    <row r="22" spans="1:9" ht="15.75" thickBot="1" x14ac:dyDescent="0.3">
      <c r="A22" t="s">
        <v>10</v>
      </c>
      <c r="B22" s="5" t="s">
        <v>83</v>
      </c>
      <c r="C22" s="11"/>
      <c r="D22" s="11"/>
      <c r="E22" s="11"/>
      <c r="F22" s="11"/>
      <c r="G22" s="18">
        <v>1600</v>
      </c>
    </row>
    <row r="23" spans="1:9" ht="16.5" thickBot="1" x14ac:dyDescent="0.3">
      <c r="A23" s="4">
        <v>0</v>
      </c>
      <c r="B23" s="26" t="s">
        <v>14</v>
      </c>
      <c r="C23" s="9"/>
      <c r="D23" s="9"/>
      <c r="E23" s="9"/>
      <c r="F23" s="48" t="s">
        <v>89</v>
      </c>
      <c r="G23" s="18">
        <f>SUM(G19:G20)</f>
        <v>155600</v>
      </c>
      <c r="I23" s="49" t="s">
        <v>85</v>
      </c>
    </row>
    <row r="24" spans="1:9" ht="16.5" thickBot="1" x14ac:dyDescent="0.3">
      <c r="A24" t="s">
        <v>10</v>
      </c>
      <c r="B24" s="5" t="s">
        <v>15</v>
      </c>
      <c r="C24" s="11"/>
      <c r="D24" s="11"/>
      <c r="E24" s="11"/>
      <c r="F24" s="47" t="s">
        <v>88</v>
      </c>
      <c r="G24" s="18">
        <v>11200</v>
      </c>
      <c r="I24" s="49">
        <f>G23/12000</f>
        <v>12.966666666666667</v>
      </c>
    </row>
    <row r="25" spans="1:9" ht="15.75" thickBot="1" x14ac:dyDescent="0.3">
      <c r="A25" t="s">
        <v>9</v>
      </c>
      <c r="B25" s="5" t="s">
        <v>16</v>
      </c>
      <c r="C25" s="11"/>
      <c r="D25" s="11"/>
      <c r="E25" s="11"/>
      <c r="F25" s="47" t="s">
        <v>87</v>
      </c>
      <c r="G25" s="18">
        <v>-20752</v>
      </c>
    </row>
    <row r="26" spans="1:9" ht="15.75" thickBot="1" x14ac:dyDescent="0.3">
      <c r="A26">
        <v>0</v>
      </c>
      <c r="B26" s="26" t="s">
        <v>18</v>
      </c>
      <c r="C26" s="9"/>
      <c r="D26" s="9"/>
      <c r="E26" s="9"/>
      <c r="F26" s="9"/>
      <c r="G26" s="18">
        <f>SUM(G23:G25)</f>
        <v>146048</v>
      </c>
    </row>
    <row r="27" spans="1:9" ht="15.75" thickBot="1" x14ac:dyDescent="0.3">
      <c r="A27" t="s">
        <v>10</v>
      </c>
      <c r="B27" s="5" t="s">
        <v>19</v>
      </c>
      <c r="C27" s="11"/>
      <c r="D27" s="11"/>
      <c r="E27" s="11"/>
      <c r="F27" s="11"/>
      <c r="G27" s="18">
        <f>SUM(G28:G29)</f>
        <v>3600</v>
      </c>
    </row>
    <row r="28" spans="1:9" ht="15.75" thickBot="1" x14ac:dyDescent="0.3">
      <c r="A28" t="s">
        <v>10</v>
      </c>
      <c r="B28" s="5" t="s">
        <v>84</v>
      </c>
      <c r="C28" s="11"/>
      <c r="D28" s="11"/>
      <c r="E28" s="11"/>
      <c r="F28" s="11"/>
      <c r="G28" s="18">
        <v>1200</v>
      </c>
    </row>
    <row r="29" spans="1:9" ht="15.75" thickBot="1" x14ac:dyDescent="0.3">
      <c r="A29" t="s">
        <v>10</v>
      </c>
      <c r="B29" s="5" t="s">
        <v>53</v>
      </c>
      <c r="C29" s="11"/>
      <c r="D29" s="11"/>
      <c r="E29" s="11"/>
      <c r="F29" s="11"/>
      <c r="G29" s="18">
        <v>2400</v>
      </c>
    </row>
    <row r="30" spans="1:9" ht="15.75" thickBot="1" x14ac:dyDescent="0.3">
      <c r="A30">
        <v>0</v>
      </c>
      <c r="B30" s="26" t="s">
        <v>22</v>
      </c>
      <c r="C30" s="9"/>
      <c r="D30" s="9"/>
      <c r="E30" s="9"/>
      <c r="F30" s="9"/>
      <c r="G30" s="18">
        <f>SUM(G26:G27)</f>
        <v>149648</v>
      </c>
    </row>
    <row r="31" spans="1:9" ht="15.75" thickBot="1" x14ac:dyDescent="0.3">
      <c r="A31" t="s">
        <v>10</v>
      </c>
      <c r="B31" s="5" t="s">
        <v>23</v>
      </c>
      <c r="C31" s="11"/>
      <c r="D31" s="11"/>
      <c r="E31" s="11"/>
      <c r="F31" s="11"/>
      <c r="G31" s="18">
        <v>0</v>
      </c>
    </row>
    <row r="32" spans="1:9" ht="15.75" thickBot="1" x14ac:dyDescent="0.3">
      <c r="A32" t="s">
        <v>9</v>
      </c>
      <c r="B32" s="24" t="s">
        <v>24</v>
      </c>
      <c r="C32" s="25"/>
      <c r="D32" s="25"/>
      <c r="E32" s="25"/>
      <c r="F32" s="25"/>
      <c r="G32" s="18">
        <v>0</v>
      </c>
    </row>
    <row r="33" spans="2:7" ht="15.75" thickBot="1" x14ac:dyDescent="0.3">
      <c r="B33" s="28" t="s">
        <v>62</v>
      </c>
      <c r="C33" s="9"/>
      <c r="D33" s="9"/>
      <c r="E33" s="9"/>
      <c r="F33" s="9"/>
      <c r="G33" s="18">
        <f>SUM(G30:G32)</f>
        <v>149648</v>
      </c>
    </row>
  </sheetData>
  <mergeCells count="2">
    <mergeCell ref="B2:G2"/>
    <mergeCell ref="B3:E3"/>
  </mergeCells>
  <hyperlinks>
    <hyperlink ref="F25" r:id="rId1" xr:uid="{A65CBFB9-9E5E-4B60-BDA4-93078420A8EC}"/>
    <hyperlink ref="F24" r:id="rId2" xr:uid="{18D897BC-DE5C-43CE-BE88-B57B884A081E}"/>
    <hyperlink ref="F23" r:id="rId3" xr:uid="{DCE97CC8-94C1-436C-BABF-69637548EC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2EAE-6D00-451D-B022-6E5C30AF15CD}">
  <dimension ref="A10:L64"/>
  <sheetViews>
    <sheetView showGridLines="0" topLeftCell="A36" zoomScaleNormal="100" workbookViewId="0">
      <selection activeCell="F40" sqref="F40"/>
    </sheetView>
  </sheetViews>
  <sheetFormatPr defaultRowHeight="15" outlineLevelRow="1" x14ac:dyDescent="0.25"/>
  <cols>
    <col min="1" max="1" width="1.85546875" customWidth="1"/>
    <col min="6" max="6" width="9.140625" bestFit="1" customWidth="1"/>
    <col min="8" max="8" width="11.42578125" bestFit="1" customWidth="1"/>
    <col min="9" max="9" width="11.140625" bestFit="1" customWidth="1"/>
    <col min="10" max="10" width="20.85546875" bestFit="1" customWidth="1"/>
    <col min="11" max="11" width="19.5703125" bestFit="1" customWidth="1"/>
    <col min="12" max="12" width="13.85546875" bestFit="1" customWidth="1"/>
  </cols>
  <sheetData>
    <row r="10" spans="1:12" ht="17.25" customHeight="1" x14ac:dyDescent="0.25"/>
    <row r="11" spans="1:12" ht="23.25" x14ac:dyDescent="0.35">
      <c r="B11" s="112" t="s">
        <v>28</v>
      </c>
      <c r="C11" s="112"/>
      <c r="D11" s="112"/>
      <c r="E11" s="112"/>
      <c r="F11" s="112"/>
      <c r="H11" s="16" t="s">
        <v>7</v>
      </c>
      <c r="I11" s="16" t="s">
        <v>58</v>
      </c>
      <c r="J11" s="16" t="s">
        <v>59</v>
      </c>
      <c r="K11" s="16" t="s">
        <v>18</v>
      </c>
      <c r="L11" s="16" t="s">
        <v>60</v>
      </c>
    </row>
    <row r="12" spans="1:12" ht="16.5" thickBot="1" x14ac:dyDescent="0.3">
      <c r="B12" s="113" t="s">
        <v>1</v>
      </c>
      <c r="C12" s="114"/>
      <c r="D12" s="114"/>
      <c r="E12" s="115"/>
      <c r="F12" s="116" t="s">
        <v>2</v>
      </c>
      <c r="H12" s="17">
        <f>F20</f>
        <v>142000</v>
      </c>
      <c r="I12" s="17">
        <f>F39</f>
        <v>215000</v>
      </c>
      <c r="J12" s="17">
        <f>F48</f>
        <v>226000</v>
      </c>
      <c r="K12" s="17">
        <f>F51</f>
        <v>226000</v>
      </c>
      <c r="L12" s="17">
        <f>F61</f>
        <v>235200</v>
      </c>
    </row>
    <row r="13" spans="1:12" outlineLevel="1" x14ac:dyDescent="0.25">
      <c r="A13" t="s">
        <v>10</v>
      </c>
      <c r="B13" s="19" t="s">
        <v>26</v>
      </c>
      <c r="C13" s="12"/>
      <c r="D13" s="12"/>
      <c r="E13" s="20"/>
      <c r="F13" s="14">
        <v>0</v>
      </c>
    </row>
    <row r="14" spans="1:12" outlineLevel="1" x14ac:dyDescent="0.25">
      <c r="A14" t="s">
        <v>10</v>
      </c>
      <c r="B14" s="19" t="s">
        <v>3</v>
      </c>
      <c r="C14" s="12"/>
      <c r="D14" s="12"/>
      <c r="E14" s="20"/>
      <c r="F14" s="14">
        <v>66000</v>
      </c>
    </row>
    <row r="15" spans="1:12" outlineLevel="1" x14ac:dyDescent="0.25">
      <c r="A15" t="s">
        <v>10</v>
      </c>
      <c r="B15" s="19" t="s">
        <v>4</v>
      </c>
      <c r="C15" s="12"/>
      <c r="D15" s="12"/>
      <c r="E15" s="20"/>
      <c r="F15" s="14">
        <v>70000</v>
      </c>
    </row>
    <row r="16" spans="1:12" outlineLevel="1" x14ac:dyDescent="0.25">
      <c r="A16" t="s">
        <v>10</v>
      </c>
      <c r="B16" s="19" t="s">
        <v>6</v>
      </c>
      <c r="C16" s="12"/>
      <c r="D16" s="12"/>
      <c r="E16" s="20"/>
      <c r="F16" s="14">
        <v>0</v>
      </c>
    </row>
    <row r="17" spans="1:6" s="11" customFormat="1" outlineLevel="1" x14ac:dyDescent="0.25">
      <c r="A17" s="11" t="s">
        <v>9</v>
      </c>
      <c r="B17" s="19" t="s">
        <v>8</v>
      </c>
      <c r="C17" s="12"/>
      <c r="D17" s="12"/>
      <c r="E17" s="20"/>
      <c r="F17" s="14">
        <v>0</v>
      </c>
    </row>
    <row r="18" spans="1:6" outlineLevel="1" x14ac:dyDescent="0.25">
      <c r="A18" t="s">
        <v>10</v>
      </c>
      <c r="B18" s="19" t="s">
        <v>5</v>
      </c>
      <c r="C18" s="12"/>
      <c r="D18" s="12"/>
      <c r="E18" s="20"/>
      <c r="F18" s="14">
        <v>6000</v>
      </c>
    </row>
    <row r="19" spans="1:6" ht="15.75" outlineLevel="1" thickBot="1" x14ac:dyDescent="0.3">
      <c r="A19" t="s">
        <v>9</v>
      </c>
      <c r="B19" s="19" t="s">
        <v>27</v>
      </c>
      <c r="C19" s="12"/>
      <c r="D19" s="12"/>
      <c r="E19" s="20"/>
      <c r="F19" s="14">
        <v>0</v>
      </c>
    </row>
    <row r="20" spans="1:6" ht="15.75" thickBot="1" x14ac:dyDescent="0.3">
      <c r="B20" s="35" t="s">
        <v>7</v>
      </c>
      <c r="C20" s="36"/>
      <c r="D20" s="36"/>
      <c r="E20" s="37"/>
      <c r="F20" s="18">
        <f>SUM(F13:F19)</f>
        <v>142000</v>
      </c>
    </row>
    <row r="21" spans="1:6" outlineLevel="1" x14ac:dyDescent="0.25">
      <c r="A21" t="s">
        <v>10</v>
      </c>
      <c r="B21" s="21" t="s">
        <v>21</v>
      </c>
      <c r="C21" s="12"/>
      <c r="D21" s="12"/>
      <c r="E21" s="20"/>
      <c r="F21" s="14">
        <f>SUM(F22:F35)</f>
        <v>73000</v>
      </c>
    </row>
    <row r="22" spans="1:6" outlineLevel="1" x14ac:dyDescent="0.25">
      <c r="A22" t="s">
        <v>10</v>
      </c>
      <c r="B22" s="19" t="s">
        <v>29</v>
      </c>
      <c r="C22" s="12"/>
      <c r="D22" s="12"/>
      <c r="E22" s="20"/>
      <c r="F22" s="14">
        <v>4400</v>
      </c>
    </row>
    <row r="23" spans="1:6" outlineLevel="1" x14ac:dyDescent="0.25">
      <c r="A23" t="s">
        <v>10</v>
      </c>
      <c r="B23" s="19" t="s">
        <v>30</v>
      </c>
      <c r="C23" s="11"/>
      <c r="D23" s="11"/>
      <c r="E23" s="22"/>
      <c r="F23" s="14">
        <v>3000</v>
      </c>
    </row>
    <row r="24" spans="1:6" outlineLevel="1" x14ac:dyDescent="0.25">
      <c r="A24" t="s">
        <v>10</v>
      </c>
      <c r="B24" s="19" t="s">
        <v>31</v>
      </c>
      <c r="C24" s="11"/>
      <c r="D24" s="11"/>
      <c r="E24" s="22"/>
      <c r="F24" s="14">
        <v>8800</v>
      </c>
    </row>
    <row r="25" spans="1:6" outlineLevel="1" x14ac:dyDescent="0.25">
      <c r="A25" t="s">
        <v>10</v>
      </c>
      <c r="B25" s="19" t="s">
        <v>32</v>
      </c>
      <c r="C25" s="11"/>
      <c r="D25" s="11"/>
      <c r="E25" s="22"/>
      <c r="F25" s="14">
        <v>6000</v>
      </c>
    </row>
    <row r="26" spans="1:6" outlineLevel="1" x14ac:dyDescent="0.25">
      <c r="A26" t="s">
        <v>10</v>
      </c>
      <c r="B26" s="19" t="s">
        <v>34</v>
      </c>
      <c r="C26" s="11"/>
      <c r="D26" s="11"/>
      <c r="E26" s="22"/>
      <c r="F26" s="14">
        <v>4000</v>
      </c>
    </row>
    <row r="27" spans="1:6" s="11" customFormat="1" outlineLevel="1" x14ac:dyDescent="0.25">
      <c r="A27" s="11" t="s">
        <v>10</v>
      </c>
      <c r="B27" s="19" t="s">
        <v>33</v>
      </c>
      <c r="E27" s="22"/>
      <c r="F27" s="14">
        <v>2000</v>
      </c>
    </row>
    <row r="28" spans="1:6" outlineLevel="1" x14ac:dyDescent="0.25">
      <c r="A28" s="13" t="s">
        <v>10</v>
      </c>
      <c r="B28" s="19" t="s">
        <v>35</v>
      </c>
      <c r="C28" s="11"/>
      <c r="D28" s="11"/>
      <c r="E28" s="22"/>
      <c r="F28" s="14">
        <v>21000</v>
      </c>
    </row>
    <row r="29" spans="1:6" outlineLevel="1" x14ac:dyDescent="0.25">
      <c r="A29" s="13" t="s">
        <v>10</v>
      </c>
      <c r="B29" s="19" t="s">
        <v>36</v>
      </c>
      <c r="C29" s="11"/>
      <c r="D29" s="11"/>
      <c r="E29" s="22"/>
      <c r="F29" s="14">
        <v>15000</v>
      </c>
    </row>
    <row r="30" spans="1:6" outlineLevel="1" x14ac:dyDescent="0.25">
      <c r="A30" s="13" t="s">
        <v>10</v>
      </c>
      <c r="B30" s="19" t="s">
        <v>37</v>
      </c>
      <c r="C30" s="11"/>
      <c r="D30" s="11"/>
      <c r="E30" s="22"/>
      <c r="F30" s="14">
        <v>1000</v>
      </c>
    </row>
    <row r="31" spans="1:6" outlineLevel="1" x14ac:dyDescent="0.25">
      <c r="A31" s="13" t="s">
        <v>10</v>
      </c>
      <c r="B31" s="19" t="s">
        <v>38</v>
      </c>
      <c r="C31" s="11"/>
      <c r="D31" s="11"/>
      <c r="E31" s="22"/>
      <c r="F31" s="14">
        <v>1100</v>
      </c>
    </row>
    <row r="32" spans="1:6" outlineLevel="1" x14ac:dyDescent="0.25">
      <c r="A32" s="13" t="s">
        <v>10</v>
      </c>
      <c r="B32" s="19" t="s">
        <v>40</v>
      </c>
      <c r="C32" s="11"/>
      <c r="D32" s="11"/>
      <c r="E32" s="22"/>
      <c r="F32" s="14">
        <v>1200</v>
      </c>
    </row>
    <row r="33" spans="1:6" outlineLevel="1" x14ac:dyDescent="0.25">
      <c r="A33" s="13" t="s">
        <v>10</v>
      </c>
      <c r="B33" s="19" t="s">
        <v>43</v>
      </c>
      <c r="C33" s="11"/>
      <c r="D33" s="11"/>
      <c r="E33" s="22"/>
      <c r="F33" s="14">
        <v>2400</v>
      </c>
    </row>
    <row r="34" spans="1:6" outlineLevel="1" x14ac:dyDescent="0.25">
      <c r="A34" s="13" t="s">
        <v>10</v>
      </c>
      <c r="B34" s="19" t="s">
        <v>42</v>
      </c>
      <c r="C34" s="11"/>
      <c r="D34" s="11"/>
      <c r="E34" s="22"/>
      <c r="F34" s="14">
        <v>1600</v>
      </c>
    </row>
    <row r="35" spans="1:6" ht="15.75" outlineLevel="1" thickBot="1" x14ac:dyDescent="0.3">
      <c r="A35" s="13" t="s">
        <v>10</v>
      </c>
      <c r="B35" s="19" t="s">
        <v>39</v>
      </c>
      <c r="C35" s="11"/>
      <c r="D35" s="11"/>
      <c r="E35" s="22"/>
      <c r="F35" s="14">
        <v>1500</v>
      </c>
    </row>
    <row r="36" spans="1:6" ht="15.75" thickBot="1" x14ac:dyDescent="0.3">
      <c r="B36" s="35" t="s">
        <v>11</v>
      </c>
      <c r="C36" s="36"/>
      <c r="D36" s="36"/>
      <c r="E36" s="37"/>
      <c r="F36" s="18">
        <f>SUM(F20:F21)</f>
        <v>215000</v>
      </c>
    </row>
    <row r="37" spans="1:6" outlineLevel="1" x14ac:dyDescent="0.25">
      <c r="A37" t="s">
        <v>10</v>
      </c>
      <c r="B37" s="19" t="s">
        <v>12</v>
      </c>
      <c r="C37" s="12"/>
      <c r="D37" s="12"/>
      <c r="E37" s="20"/>
      <c r="F37" s="14">
        <v>0</v>
      </c>
    </row>
    <row r="38" spans="1:6" ht="15.75" outlineLevel="1" thickBot="1" x14ac:dyDescent="0.3">
      <c r="A38" t="s">
        <v>9</v>
      </c>
      <c r="B38" s="19" t="s">
        <v>17</v>
      </c>
      <c r="C38" s="12"/>
      <c r="D38" s="12"/>
      <c r="E38" s="20"/>
      <c r="F38" s="14">
        <v>0</v>
      </c>
    </row>
    <row r="39" spans="1:6" ht="15.75" thickBot="1" x14ac:dyDescent="0.3">
      <c r="B39" s="35" t="s">
        <v>13</v>
      </c>
      <c r="C39" s="36"/>
      <c r="D39" s="36"/>
      <c r="E39" s="37"/>
      <c r="F39" s="18">
        <f>SUM(F36:F38)</f>
        <v>215000</v>
      </c>
    </row>
    <row r="40" spans="1:6" outlineLevel="1" x14ac:dyDescent="0.25">
      <c r="A40" t="s">
        <v>10</v>
      </c>
      <c r="B40" s="19" t="s">
        <v>20</v>
      </c>
      <c r="C40" s="12"/>
      <c r="D40" s="12"/>
      <c r="E40" s="20"/>
      <c r="F40" s="14">
        <f>SUM(F41:F47)</f>
        <v>11000</v>
      </c>
    </row>
    <row r="41" spans="1:6" outlineLevel="1" x14ac:dyDescent="0.25">
      <c r="A41" t="s">
        <v>10</v>
      </c>
      <c r="B41" s="19" t="s">
        <v>44</v>
      </c>
      <c r="C41" s="12"/>
      <c r="D41" s="12"/>
      <c r="E41" s="20"/>
      <c r="F41" s="14">
        <v>2000</v>
      </c>
    </row>
    <row r="42" spans="1:6" outlineLevel="1" x14ac:dyDescent="0.25">
      <c r="A42" t="s">
        <v>10</v>
      </c>
      <c r="B42" s="19" t="s">
        <v>45</v>
      </c>
      <c r="C42" s="12"/>
      <c r="D42" s="12"/>
      <c r="E42" s="20"/>
      <c r="F42" s="14">
        <v>4000</v>
      </c>
    </row>
    <row r="43" spans="1:6" outlineLevel="1" x14ac:dyDescent="0.25">
      <c r="A43" t="s">
        <v>10</v>
      </c>
      <c r="B43" s="19" t="s">
        <v>46</v>
      </c>
      <c r="C43" s="12"/>
      <c r="D43" s="12"/>
      <c r="E43" s="20"/>
      <c r="F43" s="14">
        <v>400</v>
      </c>
    </row>
    <row r="44" spans="1:6" outlineLevel="1" x14ac:dyDescent="0.25">
      <c r="A44" t="s">
        <v>10</v>
      </c>
      <c r="B44" s="19" t="s">
        <v>48</v>
      </c>
      <c r="C44" s="12"/>
      <c r="D44" s="12"/>
      <c r="E44" s="20"/>
      <c r="F44" s="14">
        <v>1800</v>
      </c>
    </row>
    <row r="45" spans="1:6" s="11" customFormat="1" outlineLevel="1" x14ac:dyDescent="0.25">
      <c r="A45" s="11" t="s">
        <v>10</v>
      </c>
      <c r="B45" s="19" t="s">
        <v>47</v>
      </c>
      <c r="C45" s="12"/>
      <c r="D45" s="12"/>
      <c r="E45" s="20"/>
      <c r="F45" s="14">
        <v>1000</v>
      </c>
    </row>
    <row r="46" spans="1:6" s="11" customFormat="1" outlineLevel="1" x14ac:dyDescent="0.25">
      <c r="A46" s="13" t="s">
        <v>10</v>
      </c>
      <c r="B46" s="19" t="s">
        <v>50</v>
      </c>
      <c r="C46" s="12"/>
      <c r="D46" s="12"/>
      <c r="E46" s="20"/>
      <c r="F46" s="14">
        <v>800</v>
      </c>
    </row>
    <row r="47" spans="1:6" ht="15.75" outlineLevel="1" thickBot="1" x14ac:dyDescent="0.3">
      <c r="A47" s="13" t="s">
        <v>10</v>
      </c>
      <c r="B47" s="19" t="s">
        <v>49</v>
      </c>
      <c r="C47" s="12"/>
      <c r="D47" s="12"/>
      <c r="E47" s="20"/>
      <c r="F47" s="14">
        <v>1000</v>
      </c>
    </row>
    <row r="48" spans="1:6" ht="15.75" thickBot="1" x14ac:dyDescent="0.3">
      <c r="B48" s="35" t="s">
        <v>14</v>
      </c>
      <c r="C48" s="36"/>
      <c r="D48" s="36"/>
      <c r="E48" s="37"/>
      <c r="F48" s="18">
        <f>SUM(F39:F40)</f>
        <v>226000</v>
      </c>
    </row>
    <row r="49" spans="1:6" outlineLevel="1" x14ac:dyDescent="0.25">
      <c r="A49" t="s">
        <v>10</v>
      </c>
      <c r="B49" s="19" t="s">
        <v>15</v>
      </c>
      <c r="C49" s="12"/>
      <c r="D49" s="12"/>
      <c r="E49" s="20"/>
      <c r="F49" s="14">
        <v>0</v>
      </c>
    </row>
    <row r="50" spans="1:6" ht="15.75" outlineLevel="1" thickBot="1" x14ac:dyDescent="0.3">
      <c r="A50" t="s">
        <v>9</v>
      </c>
      <c r="B50" s="19" t="s">
        <v>16</v>
      </c>
      <c r="C50" s="12"/>
      <c r="D50" s="12"/>
      <c r="E50" s="20"/>
      <c r="F50" s="14">
        <v>0</v>
      </c>
    </row>
    <row r="51" spans="1:6" ht="15.75" thickBot="1" x14ac:dyDescent="0.3">
      <c r="B51" s="35" t="s">
        <v>18</v>
      </c>
      <c r="C51" s="36"/>
      <c r="D51" s="36"/>
      <c r="E51" s="37"/>
      <c r="F51" s="18">
        <f>SUM(F48:F50)</f>
        <v>226000</v>
      </c>
    </row>
    <row r="52" spans="1:6" outlineLevel="1" x14ac:dyDescent="0.25">
      <c r="A52" t="s">
        <v>10</v>
      </c>
      <c r="B52" s="19" t="s">
        <v>19</v>
      </c>
      <c r="C52" s="12"/>
      <c r="D52" s="12"/>
      <c r="E52" s="20"/>
      <c r="F52" s="14">
        <f>SUM(F53:F60)</f>
        <v>9200</v>
      </c>
    </row>
    <row r="53" spans="1:6" outlineLevel="1" x14ac:dyDescent="0.25">
      <c r="A53" t="s">
        <v>10</v>
      </c>
      <c r="B53" s="19" t="s">
        <v>51</v>
      </c>
      <c r="C53" s="12"/>
      <c r="D53" s="12"/>
      <c r="E53" s="20"/>
      <c r="F53" s="14">
        <v>400</v>
      </c>
    </row>
    <row r="54" spans="1:6" outlineLevel="1" x14ac:dyDescent="0.25">
      <c r="A54" t="s">
        <v>10</v>
      </c>
      <c r="B54" s="19" t="s">
        <v>52</v>
      </c>
      <c r="C54" s="12"/>
      <c r="D54" s="12"/>
      <c r="E54" s="20"/>
      <c r="F54" s="14">
        <v>200</v>
      </c>
    </row>
    <row r="55" spans="1:6" outlineLevel="1" x14ac:dyDescent="0.25">
      <c r="A55" t="s">
        <v>10</v>
      </c>
      <c r="B55" s="19" t="s">
        <v>53</v>
      </c>
      <c r="C55" s="12"/>
      <c r="D55" s="12"/>
      <c r="E55" s="20"/>
      <c r="F55" s="14">
        <v>600</v>
      </c>
    </row>
    <row r="56" spans="1:6" outlineLevel="1" x14ac:dyDescent="0.25">
      <c r="A56" t="s">
        <v>10</v>
      </c>
      <c r="B56" s="19" t="s">
        <v>54</v>
      </c>
      <c r="C56" s="12"/>
      <c r="D56" s="12"/>
      <c r="E56" s="20"/>
      <c r="F56" s="14">
        <v>2000</v>
      </c>
    </row>
    <row r="57" spans="1:6" outlineLevel="1" x14ac:dyDescent="0.25">
      <c r="A57" t="s">
        <v>10</v>
      </c>
      <c r="B57" s="19" t="s">
        <v>55</v>
      </c>
      <c r="C57" s="12"/>
      <c r="D57" s="12"/>
      <c r="E57" s="20"/>
      <c r="F57" s="14">
        <v>1400</v>
      </c>
    </row>
    <row r="58" spans="1:6" outlineLevel="1" x14ac:dyDescent="0.25">
      <c r="A58" t="s">
        <v>10</v>
      </c>
      <c r="B58" s="19" t="s">
        <v>56</v>
      </c>
      <c r="C58" s="12"/>
      <c r="D58" s="12"/>
      <c r="E58" s="20"/>
      <c r="F58" s="14">
        <v>3000</v>
      </c>
    </row>
    <row r="59" spans="1:6" outlineLevel="1" x14ac:dyDescent="0.25">
      <c r="A59" t="s">
        <v>10</v>
      </c>
      <c r="B59" s="19" t="s">
        <v>41</v>
      </c>
      <c r="C59" s="12"/>
      <c r="D59" s="12"/>
      <c r="E59" s="20"/>
      <c r="F59" s="14">
        <v>600</v>
      </c>
    </row>
    <row r="60" spans="1:6" ht="15.75" outlineLevel="1" thickBot="1" x14ac:dyDescent="0.3">
      <c r="A60" t="s">
        <v>10</v>
      </c>
      <c r="B60" s="19" t="s">
        <v>57</v>
      </c>
      <c r="C60" s="12"/>
      <c r="D60" s="12"/>
      <c r="E60" s="20"/>
      <c r="F60" s="14">
        <v>1000</v>
      </c>
    </row>
    <row r="61" spans="1:6" ht="15.75" thickBot="1" x14ac:dyDescent="0.3">
      <c r="B61" s="35" t="s">
        <v>22</v>
      </c>
      <c r="C61" s="36"/>
      <c r="D61" s="36"/>
      <c r="E61" s="37"/>
      <c r="F61" s="18">
        <f>SUM(F51:F52)</f>
        <v>235200</v>
      </c>
    </row>
    <row r="62" spans="1:6" outlineLevel="1" x14ac:dyDescent="0.25">
      <c r="A62" t="s">
        <v>10</v>
      </c>
      <c r="B62" s="19" t="s">
        <v>23</v>
      </c>
      <c r="C62" s="12"/>
      <c r="D62" s="12"/>
      <c r="E62" s="20"/>
      <c r="F62" s="14">
        <v>0</v>
      </c>
    </row>
    <row r="63" spans="1:6" ht="15.75" outlineLevel="1" thickBot="1" x14ac:dyDescent="0.3">
      <c r="A63" t="s">
        <v>9</v>
      </c>
      <c r="B63" s="21" t="s">
        <v>24</v>
      </c>
      <c r="C63" s="12"/>
      <c r="D63" s="12"/>
      <c r="E63" s="20"/>
      <c r="F63" s="14">
        <v>0</v>
      </c>
    </row>
    <row r="64" spans="1:6" ht="15.75" thickBot="1" x14ac:dyDescent="0.3">
      <c r="B64" s="38" t="s">
        <v>25</v>
      </c>
      <c r="C64" s="39"/>
      <c r="D64" s="39"/>
      <c r="E64" s="40"/>
      <c r="F64" s="18">
        <f>SUM(F61:F63)</f>
        <v>235200</v>
      </c>
    </row>
  </sheetData>
  <mergeCells count="2">
    <mergeCell ref="B11:F11"/>
    <mergeCell ref="B12:E12"/>
  </mergeCells>
  <pageMargins left="0.7" right="0.7" top="0.75" bottom="0.75" header="0.3" footer="0.3"/>
  <pageSetup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61D4-EF63-4681-81C1-2128936F3845}">
  <dimension ref="B3:L14"/>
  <sheetViews>
    <sheetView workbookViewId="0">
      <selection activeCell="G15" sqref="G15"/>
    </sheetView>
  </sheetViews>
  <sheetFormatPr defaultRowHeight="15" x14ac:dyDescent="0.25"/>
  <cols>
    <col min="1" max="1" width="1.85546875" customWidth="1"/>
    <col min="2" max="2" width="11.7109375" customWidth="1"/>
    <col min="3" max="3" width="14" customWidth="1"/>
    <col min="4" max="4" width="15.42578125" customWidth="1"/>
    <col min="5" max="5" width="12" customWidth="1"/>
    <col min="6" max="6" width="22.5703125" customWidth="1"/>
  </cols>
  <sheetData>
    <row r="3" spans="2:12" ht="15.75" thickBot="1" x14ac:dyDescent="0.3"/>
    <row r="4" spans="2:12" ht="15.75" thickBot="1" x14ac:dyDescent="0.3">
      <c r="B4" s="43" t="s">
        <v>63</v>
      </c>
      <c r="C4" s="44"/>
      <c r="D4" s="44"/>
      <c r="E4" s="44"/>
      <c r="F4" s="44"/>
      <c r="G4" s="45"/>
      <c r="I4" s="3" t="s">
        <v>64</v>
      </c>
      <c r="J4" s="3"/>
      <c r="K4" s="3"/>
      <c r="L4" s="3"/>
    </row>
    <row r="5" spans="2:12" x14ac:dyDescent="0.25">
      <c r="G5" s="42" t="s">
        <v>74</v>
      </c>
      <c r="I5" s="3" t="s">
        <v>65</v>
      </c>
      <c r="J5" s="3"/>
      <c r="K5" s="3"/>
      <c r="L5" s="3">
        <v>1600</v>
      </c>
    </row>
    <row r="6" spans="2:12" x14ac:dyDescent="0.25">
      <c r="B6" s="41" t="s">
        <v>75</v>
      </c>
      <c r="G6">
        <f>SQRT(2*L5*L6/L7)</f>
        <v>200</v>
      </c>
      <c r="I6" s="3" t="s">
        <v>67</v>
      </c>
      <c r="J6" s="3"/>
      <c r="K6" s="3"/>
      <c r="L6" s="3">
        <v>100</v>
      </c>
    </row>
    <row r="7" spans="2:12" x14ac:dyDescent="0.25">
      <c r="I7" s="3" t="s">
        <v>66</v>
      </c>
      <c r="J7" s="3"/>
      <c r="K7" s="3"/>
      <c r="L7" s="3">
        <v>8</v>
      </c>
    </row>
    <row r="8" spans="2:12" x14ac:dyDescent="0.25">
      <c r="B8" t="s">
        <v>73</v>
      </c>
      <c r="G8">
        <f>J11*K11</f>
        <v>60</v>
      </c>
      <c r="I8" s="3"/>
      <c r="J8" s="3" t="s">
        <v>68</v>
      </c>
      <c r="K8" s="3" t="s">
        <v>72</v>
      </c>
      <c r="L8" s="3"/>
    </row>
    <row r="9" spans="2:12" x14ac:dyDescent="0.25">
      <c r="I9" s="3" t="s">
        <v>69</v>
      </c>
      <c r="J9" s="3">
        <v>5</v>
      </c>
      <c r="K9" s="3">
        <v>2</v>
      </c>
      <c r="L9" s="3"/>
    </row>
    <row r="10" spans="2:12" x14ac:dyDescent="0.25">
      <c r="B10" t="s">
        <v>76</v>
      </c>
      <c r="G10">
        <f>G8+G6-(J9*K9)</f>
        <v>250</v>
      </c>
      <c r="I10" s="3" t="s">
        <v>70</v>
      </c>
      <c r="J10" s="3">
        <v>10</v>
      </c>
      <c r="K10" s="3">
        <v>3</v>
      </c>
      <c r="L10" s="3"/>
    </row>
    <row r="11" spans="2:12" x14ac:dyDescent="0.25">
      <c r="I11" s="3" t="s">
        <v>71</v>
      </c>
      <c r="J11" s="3">
        <v>15</v>
      </c>
      <c r="K11" s="3">
        <v>4</v>
      </c>
      <c r="L11" s="3"/>
    </row>
    <row r="12" spans="2:12" x14ac:dyDescent="0.25">
      <c r="B12" t="s">
        <v>77</v>
      </c>
      <c r="G12">
        <f>G8-(J10*K10)</f>
        <v>30</v>
      </c>
    </row>
    <row r="14" spans="2:12" x14ac:dyDescent="0.25">
      <c r="B14" t="s">
        <v>78</v>
      </c>
      <c r="G14">
        <f>G12+G6/2</f>
        <v>130</v>
      </c>
    </row>
  </sheetData>
  <mergeCells count="1">
    <mergeCell ref="B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1A79-2D46-4882-BEC4-D102BBD296AB}">
  <dimension ref="B1:N21"/>
  <sheetViews>
    <sheetView workbookViewId="0">
      <selection activeCell="L23" sqref="L23"/>
    </sheetView>
  </sheetViews>
  <sheetFormatPr defaultRowHeight="15" x14ac:dyDescent="0.25"/>
  <cols>
    <col min="1" max="1" width="1.85546875" customWidth="1"/>
  </cols>
  <sheetData>
    <row r="1" spans="2:14" x14ac:dyDescent="0.25">
      <c r="B1" t="s">
        <v>98</v>
      </c>
    </row>
    <row r="2" spans="2:14" x14ac:dyDescent="0.25">
      <c r="B2" s="50" t="s">
        <v>90</v>
      </c>
      <c r="C2" s="50" t="s">
        <v>91</v>
      </c>
      <c r="D2" s="50"/>
      <c r="E2" s="50"/>
      <c r="F2" s="31" t="s">
        <v>92</v>
      </c>
      <c r="G2" s="31"/>
      <c r="H2" s="31"/>
      <c r="I2" s="31" t="s">
        <v>95</v>
      </c>
      <c r="J2" s="31"/>
      <c r="K2" s="31"/>
      <c r="L2" s="31" t="s">
        <v>96</v>
      </c>
      <c r="M2" s="31"/>
      <c r="N2" s="31"/>
    </row>
    <row r="3" spans="2:14" x14ac:dyDescent="0.25">
      <c r="B3" s="50"/>
      <c r="C3" s="50"/>
      <c r="D3" s="50"/>
      <c r="E3" s="50"/>
      <c r="F3" s="10" t="s">
        <v>93</v>
      </c>
      <c r="G3" s="10" t="s">
        <v>94</v>
      </c>
      <c r="H3" s="10" t="s">
        <v>2</v>
      </c>
      <c r="I3" s="10" t="s">
        <v>93</v>
      </c>
      <c r="J3" s="10" t="s">
        <v>94</v>
      </c>
      <c r="K3" s="10" t="s">
        <v>2</v>
      </c>
      <c r="L3" s="10" t="s">
        <v>93</v>
      </c>
      <c r="M3" s="10" t="s">
        <v>94</v>
      </c>
      <c r="N3" s="10" t="s">
        <v>2</v>
      </c>
    </row>
    <row r="4" spans="2:14" x14ac:dyDescent="0.25">
      <c r="B4" s="51">
        <v>45017</v>
      </c>
      <c r="C4" s="3" t="s">
        <v>97</v>
      </c>
      <c r="D4" s="3"/>
      <c r="E4" s="3"/>
      <c r="F4" s="3"/>
      <c r="G4" s="3"/>
      <c r="H4" s="3"/>
      <c r="I4" s="3"/>
      <c r="J4" s="3"/>
      <c r="K4" s="3"/>
      <c r="L4" s="3">
        <v>500</v>
      </c>
      <c r="M4" s="3">
        <v>12</v>
      </c>
      <c r="N4" s="3">
        <f>M4*L4</f>
        <v>6000</v>
      </c>
    </row>
    <row r="5" spans="2:14" x14ac:dyDescent="0.25">
      <c r="B5" s="51">
        <v>45019</v>
      </c>
      <c r="C5" s="3" t="s">
        <v>99</v>
      </c>
      <c r="D5" s="3"/>
      <c r="E5" s="3"/>
      <c r="F5" s="3">
        <v>600</v>
      </c>
      <c r="G5" s="3">
        <v>11</v>
      </c>
      <c r="H5" s="3">
        <f>G5*F5</f>
        <v>6600</v>
      </c>
      <c r="I5" s="3"/>
      <c r="J5" s="3"/>
      <c r="K5" s="3"/>
      <c r="L5" s="3">
        <f>IF(F5=0,L4-I5,L4)</f>
        <v>500</v>
      </c>
      <c r="M5" s="3">
        <f>IF(L5=0,0,M4)</f>
        <v>12</v>
      </c>
      <c r="N5" s="3">
        <f>M5*L5</f>
        <v>6000</v>
      </c>
    </row>
    <row r="6" spans="2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>
        <f>IF(L5=L4,F5)</f>
        <v>600</v>
      </c>
      <c r="M6" s="3">
        <f>IF(M5=M4,G5)</f>
        <v>11</v>
      </c>
      <c r="N6" s="3">
        <f>M6*L6</f>
        <v>6600</v>
      </c>
    </row>
    <row r="7" spans="2:14" x14ac:dyDescent="0.25">
      <c r="B7" s="51">
        <v>45021</v>
      </c>
      <c r="C7" s="3" t="s">
        <v>100</v>
      </c>
      <c r="D7" s="3"/>
      <c r="E7" s="3"/>
      <c r="F7" s="3">
        <v>400</v>
      </c>
      <c r="G7" s="3">
        <v>10</v>
      </c>
      <c r="H7" s="3">
        <f>G7*F7</f>
        <v>4000</v>
      </c>
      <c r="I7" s="3"/>
      <c r="J7" s="3"/>
      <c r="K7" s="3"/>
      <c r="L7" s="3">
        <f>L5</f>
        <v>500</v>
      </c>
      <c r="M7" s="3">
        <f>M5</f>
        <v>12</v>
      </c>
      <c r="N7" s="3">
        <f>M7*L7</f>
        <v>6000</v>
      </c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>
        <f>L6</f>
        <v>600</v>
      </c>
      <c r="M8" s="3">
        <f>M6</f>
        <v>11</v>
      </c>
      <c r="N8" s="3">
        <f>M8*L8</f>
        <v>6600</v>
      </c>
    </row>
    <row r="9" spans="2:14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>
        <f>F7</f>
        <v>400</v>
      </c>
      <c r="M9" s="3">
        <f>G7</f>
        <v>10</v>
      </c>
      <c r="N9" s="3">
        <f>M9*L9</f>
        <v>4000</v>
      </c>
    </row>
    <row r="10" spans="2:14" x14ac:dyDescent="0.25">
      <c r="B10" s="51">
        <v>45026</v>
      </c>
      <c r="C10" s="3" t="s">
        <v>101</v>
      </c>
      <c r="D10" s="3"/>
      <c r="E10" s="3"/>
      <c r="F10" s="3"/>
      <c r="G10" s="3"/>
      <c r="H10" s="3"/>
      <c r="I10" s="3">
        <v>500</v>
      </c>
      <c r="J10" s="3">
        <v>12</v>
      </c>
      <c r="K10" s="3">
        <f>J10*I10</f>
        <v>6000</v>
      </c>
      <c r="L10" s="3">
        <f>L7-I10</f>
        <v>0</v>
      </c>
      <c r="M10" s="3">
        <f>IF(L10=0,L10,M7)</f>
        <v>0</v>
      </c>
      <c r="N10" s="3">
        <f>IF(L10=0,L10,PRODUCT(L10:M10))</f>
        <v>0</v>
      </c>
    </row>
    <row r="11" spans="2:14" x14ac:dyDescent="0.25">
      <c r="B11" s="3"/>
      <c r="C11" s="3"/>
      <c r="D11" s="3"/>
      <c r="E11" s="3"/>
      <c r="F11" s="3"/>
      <c r="G11" s="3"/>
      <c r="H11" s="3"/>
      <c r="I11" s="3">
        <v>100</v>
      </c>
      <c r="J11" s="3">
        <v>11</v>
      </c>
      <c r="K11" s="3">
        <f>J11*I11</f>
        <v>1100</v>
      </c>
      <c r="L11" s="3">
        <f>L8-I11</f>
        <v>500</v>
      </c>
      <c r="M11" s="3">
        <f>IF(L11=0,L11,M8)</f>
        <v>11</v>
      </c>
      <c r="N11" s="3">
        <f>IF(L11=0,L11,PRODUCT(L11:M11))</f>
        <v>5500</v>
      </c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f>L9-I12</f>
        <v>400</v>
      </c>
      <c r="M12" s="3">
        <f>IF(L12=0,L12,M9)</f>
        <v>10</v>
      </c>
      <c r="N12" s="3">
        <f>IF(L12=0,L12,PRODUCT(L12:M12))</f>
        <v>4000</v>
      </c>
    </row>
    <row r="13" spans="2:14" x14ac:dyDescent="0.25">
      <c r="B13" s="51">
        <v>45031</v>
      </c>
      <c r="C13" s="3" t="s">
        <v>102</v>
      </c>
      <c r="D13" s="3"/>
      <c r="E13" s="3"/>
      <c r="F13" s="3">
        <v>300</v>
      </c>
      <c r="G13" s="3">
        <v>15</v>
      </c>
      <c r="H13" s="3">
        <f>PRODUCT(F13:G13)</f>
        <v>4500</v>
      </c>
      <c r="I13" s="3"/>
      <c r="J13" s="3"/>
      <c r="K13" s="3"/>
      <c r="L13" s="3">
        <f>L10-I13</f>
        <v>0</v>
      </c>
      <c r="M13" s="3">
        <f>IF(L13=0,L13,M10)</f>
        <v>0</v>
      </c>
      <c r="N13" s="3">
        <f>IF(L13=0,L13,PRODUCT(L13:M13))</f>
        <v>0</v>
      </c>
    </row>
    <row r="14" spans="2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>
        <f>L11-I14</f>
        <v>500</v>
      </c>
      <c r="M14" s="3">
        <f>IF(L14=0,L14,M11)</f>
        <v>11</v>
      </c>
      <c r="N14" s="3">
        <f>IF(L14=0,L14,PRODUCT(L14:M14))</f>
        <v>5500</v>
      </c>
    </row>
    <row r="15" spans="2:14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f>L12-I15</f>
        <v>400</v>
      </c>
      <c r="M15" s="3">
        <f>IF(L15=0,L15,M12)</f>
        <v>10</v>
      </c>
      <c r="N15" s="3">
        <f>IF(L15=0,L15,PRODUCT(L15:M15))</f>
        <v>4000</v>
      </c>
    </row>
    <row r="16" spans="2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>
        <f>F13</f>
        <v>300</v>
      </c>
      <c r="M16" s="3">
        <f>G13</f>
        <v>15</v>
      </c>
      <c r="N16" s="3">
        <f>IF(L16=0,L16,PRODUCT(L16:M16))</f>
        <v>4500</v>
      </c>
    </row>
    <row r="17" spans="2:14" x14ac:dyDescent="0.25">
      <c r="B17" s="51">
        <v>45036</v>
      </c>
      <c r="C17" s="3" t="s">
        <v>103</v>
      </c>
      <c r="D17" s="3"/>
      <c r="E17" s="3"/>
      <c r="F17" s="3"/>
      <c r="G17" s="3"/>
      <c r="H17" s="3"/>
      <c r="I17" s="3">
        <v>500</v>
      </c>
      <c r="J17" s="3">
        <v>11</v>
      </c>
      <c r="K17" s="3">
        <f>PRODUCT(I17:J17)</f>
        <v>5500</v>
      </c>
      <c r="L17" s="3">
        <f>L14-I17</f>
        <v>0</v>
      </c>
      <c r="M17" s="3">
        <f>IF(L17=0,L17,M14)</f>
        <v>0</v>
      </c>
      <c r="N17" s="3">
        <f>IF(L17=0,L17,PRODUCT(L17:M17))</f>
        <v>0</v>
      </c>
    </row>
    <row r="18" spans="2:14" x14ac:dyDescent="0.25">
      <c r="B18" s="3"/>
      <c r="C18" s="3"/>
      <c r="D18" s="3"/>
      <c r="E18" s="3"/>
      <c r="F18" s="3"/>
      <c r="G18" s="3"/>
      <c r="H18" s="3"/>
      <c r="I18" s="3">
        <v>200</v>
      </c>
      <c r="J18" s="3">
        <v>10</v>
      </c>
      <c r="K18" s="3">
        <f>PRODUCT(I18:J18)</f>
        <v>2000</v>
      </c>
      <c r="L18" s="3">
        <f>L15-I18</f>
        <v>200</v>
      </c>
      <c r="M18" s="3">
        <f>IF(L18=0,L18,M15)</f>
        <v>10</v>
      </c>
      <c r="N18" s="3">
        <f>IF(L18=0,L18,PRODUCT(L18:M18))</f>
        <v>2000</v>
      </c>
    </row>
    <row r="19" spans="2:14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f>L16-I19</f>
        <v>300</v>
      </c>
      <c r="M19" s="3">
        <f>IF(L19=0,L19,M16)</f>
        <v>15</v>
      </c>
      <c r="N19" s="3">
        <f>IF(L19=0,L19,PRODUCT(L19:M19))</f>
        <v>4500</v>
      </c>
    </row>
    <row r="20" spans="2:14" x14ac:dyDescent="0.25">
      <c r="B20" s="51">
        <v>45046</v>
      </c>
      <c r="C20" s="3" t="s">
        <v>104</v>
      </c>
      <c r="D20" s="3"/>
      <c r="E20" s="3"/>
      <c r="F20" s="3"/>
      <c r="G20" s="3"/>
      <c r="H20" s="3"/>
      <c r="I20" s="3">
        <v>50</v>
      </c>
      <c r="J20" s="3">
        <v>10</v>
      </c>
      <c r="K20" s="3">
        <f>PRODUCT(I20:J20)</f>
        <v>500</v>
      </c>
      <c r="L20" s="3">
        <f>IF(L17-I20&lt;0,L18-I20,L17-I20)</f>
        <v>150</v>
      </c>
      <c r="M20" s="3">
        <f>IF(L20=0,L20,M18)</f>
        <v>10</v>
      </c>
      <c r="N20" s="3">
        <f>IF(L20=0,L20,PRODUCT(L20:M20))</f>
        <v>1500</v>
      </c>
    </row>
    <row r="21" spans="2:14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>
        <f>IF(L19-I21&lt;0,L20-I21,L19-I21)</f>
        <v>300</v>
      </c>
      <c r="M21" s="3">
        <f>IF(L21=0,L21,M19)</f>
        <v>15</v>
      </c>
      <c r="N21" s="3">
        <f>IF(L21=0,L21,PRODUCT(L21:M21))</f>
        <v>4500</v>
      </c>
    </row>
  </sheetData>
  <mergeCells count="5">
    <mergeCell ref="B2:B3"/>
    <mergeCell ref="C2:E3"/>
    <mergeCell ref="F2:H2"/>
    <mergeCell ref="I2:K2"/>
    <mergeCell ref="L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5B88-3475-41B9-99C8-8E82953BE9F2}">
  <dimension ref="B12:M27"/>
  <sheetViews>
    <sheetView workbookViewId="0">
      <pane ySplit="14" topLeftCell="A15" activePane="bottomLeft" state="frozen"/>
      <selection pane="bottomLeft" activeCell="E15" sqref="E15"/>
    </sheetView>
  </sheetViews>
  <sheetFormatPr defaultRowHeight="15" x14ac:dyDescent="0.25"/>
  <cols>
    <col min="1" max="1" width="1.85546875" customWidth="1"/>
    <col min="4" max="4" width="12.140625" customWidth="1"/>
    <col min="5" max="5" width="10.7109375" bestFit="1" customWidth="1"/>
  </cols>
  <sheetData>
    <row r="12" spans="2:13" s="11" customFormat="1" x14ac:dyDescent="0.25"/>
    <row r="13" spans="2:13" x14ac:dyDescent="0.25">
      <c r="B13" s="108" t="s">
        <v>0</v>
      </c>
      <c r="C13" s="108"/>
      <c r="D13" s="108"/>
      <c r="E13" s="108"/>
      <c r="J13" s="108" t="s">
        <v>0</v>
      </c>
      <c r="K13" s="108"/>
      <c r="L13" s="108"/>
      <c r="M13" s="108"/>
    </row>
    <row r="14" spans="2:13" ht="15.75" thickBot="1" x14ac:dyDescent="0.3">
      <c r="B14" s="108" t="s">
        <v>1</v>
      </c>
      <c r="C14" s="108"/>
      <c r="D14" s="108"/>
      <c r="E14" s="109" t="s">
        <v>105</v>
      </c>
      <c r="J14" s="108" t="s">
        <v>1</v>
      </c>
      <c r="K14" s="108"/>
      <c r="L14" s="108"/>
      <c r="M14" s="109" t="s">
        <v>105</v>
      </c>
    </row>
    <row r="15" spans="2:13" ht="15.75" thickBot="1" x14ac:dyDescent="0.3">
      <c r="B15" s="3" t="s">
        <v>106</v>
      </c>
      <c r="C15" s="3"/>
      <c r="D15" s="3"/>
      <c r="E15" s="52">
        <v>300000</v>
      </c>
      <c r="F15" s="3" t="s">
        <v>115</v>
      </c>
      <c r="G15" s="3"/>
      <c r="H15" s="3"/>
      <c r="I15" s="3"/>
      <c r="J15" s="3" t="s">
        <v>120</v>
      </c>
      <c r="K15" s="3"/>
      <c r="L15" s="3"/>
      <c r="M15" s="52">
        <v>4000</v>
      </c>
    </row>
    <row r="16" spans="2:13" ht="15.75" thickBot="1" x14ac:dyDescent="0.3">
      <c r="B16" s="3" t="s">
        <v>107</v>
      </c>
      <c r="C16" s="3"/>
      <c r="D16" s="3"/>
      <c r="E16" s="52">
        <v>250000</v>
      </c>
      <c r="F16" s="53">
        <f>E18/E16</f>
        <v>0.6</v>
      </c>
      <c r="G16" s="3"/>
      <c r="H16" s="3"/>
      <c r="I16" s="3"/>
      <c r="J16" s="3" t="s">
        <v>107</v>
      </c>
      <c r="K16" s="3"/>
      <c r="L16" s="3"/>
      <c r="M16" s="52">
        <v>2500</v>
      </c>
    </row>
    <row r="17" spans="2:13" ht="15.75" thickBot="1" x14ac:dyDescent="0.3">
      <c r="B17" s="3" t="s">
        <v>108</v>
      </c>
      <c r="C17" s="3"/>
      <c r="D17" s="3"/>
      <c r="E17" s="52">
        <f>SUM(E15:E16)</f>
        <v>550000</v>
      </c>
      <c r="F17" s="3" t="s">
        <v>116</v>
      </c>
      <c r="G17" s="3"/>
      <c r="H17" s="3"/>
      <c r="I17" s="3"/>
      <c r="J17" s="3" t="s">
        <v>108</v>
      </c>
      <c r="K17" s="3"/>
      <c r="L17" s="3"/>
      <c r="M17" s="52">
        <f>SUM(M15:M16)</f>
        <v>6500</v>
      </c>
    </row>
    <row r="18" spans="2:13" ht="15.75" thickBot="1" x14ac:dyDescent="0.3">
      <c r="B18" s="3" t="s">
        <v>109</v>
      </c>
      <c r="C18" s="3"/>
      <c r="D18" s="3"/>
      <c r="E18" s="52">
        <v>150000</v>
      </c>
      <c r="F18" s="53">
        <f>E20/E19</f>
        <v>0.24</v>
      </c>
      <c r="G18" s="3"/>
      <c r="H18" s="3"/>
      <c r="I18" s="3"/>
      <c r="J18" s="3" t="s">
        <v>109</v>
      </c>
      <c r="K18" s="3"/>
      <c r="L18" s="3"/>
      <c r="M18" s="52">
        <f>(M16*F16)+0.2*(M16*F16)</f>
        <v>1800</v>
      </c>
    </row>
    <row r="19" spans="2:13" ht="15.75" thickBot="1" x14ac:dyDescent="0.3">
      <c r="B19" s="3" t="s">
        <v>110</v>
      </c>
      <c r="C19" s="3"/>
      <c r="D19" s="3"/>
      <c r="E19" s="52">
        <f>SUM(E17:E18)</f>
        <v>700000</v>
      </c>
      <c r="F19" s="3" t="s">
        <v>117</v>
      </c>
      <c r="G19" s="3"/>
      <c r="H19" s="3"/>
      <c r="I19" s="3"/>
      <c r="J19" s="3" t="s">
        <v>110</v>
      </c>
      <c r="K19" s="3"/>
      <c r="L19" s="3"/>
      <c r="M19" s="52">
        <f>SUM(M17:M18)</f>
        <v>8300</v>
      </c>
    </row>
    <row r="20" spans="2:13" ht="15.75" thickBot="1" x14ac:dyDescent="0.3">
      <c r="B20" s="3" t="s">
        <v>111</v>
      </c>
      <c r="C20" s="3"/>
      <c r="D20" s="3"/>
      <c r="E20" s="52">
        <v>168000</v>
      </c>
      <c r="F20" s="53">
        <f>E23/E19</f>
        <v>0.16</v>
      </c>
      <c r="G20" s="3"/>
      <c r="H20" s="3"/>
      <c r="I20" s="3"/>
      <c r="J20" s="3" t="s">
        <v>111</v>
      </c>
      <c r="K20" s="3"/>
      <c r="L20" s="3"/>
      <c r="M20" s="52">
        <f>(M19*F18)+0.125*(M19*F18)</f>
        <v>2241</v>
      </c>
    </row>
    <row r="21" spans="2:13" ht="15.75" thickBot="1" x14ac:dyDescent="0.3">
      <c r="B21" s="3" t="s">
        <v>14</v>
      </c>
      <c r="C21" s="3"/>
      <c r="D21" s="3"/>
      <c r="E21" s="52">
        <f>SUM(E19:E20)</f>
        <v>868000</v>
      </c>
      <c r="F21" s="3" t="s">
        <v>118</v>
      </c>
      <c r="G21" s="3"/>
      <c r="H21" s="3"/>
      <c r="I21" s="3"/>
      <c r="J21" s="3" t="s">
        <v>14</v>
      </c>
      <c r="K21" s="3"/>
      <c r="L21" s="3"/>
      <c r="M21" s="52">
        <f>SUM(M19:M20)</f>
        <v>10541</v>
      </c>
    </row>
    <row r="22" spans="2:13" ht="15.75" thickBot="1" x14ac:dyDescent="0.3">
      <c r="B22" s="3" t="s">
        <v>112</v>
      </c>
      <c r="C22" s="3"/>
      <c r="D22" s="3"/>
      <c r="E22" s="52">
        <f>SUM(E23:E24)</f>
        <v>182000</v>
      </c>
      <c r="F22" s="53">
        <f>E24/E19</f>
        <v>0.1</v>
      </c>
      <c r="G22" s="3"/>
      <c r="H22" s="3"/>
      <c r="I22" s="3"/>
      <c r="J22" s="3" t="s">
        <v>112</v>
      </c>
      <c r="K22" s="3"/>
      <c r="L22" s="3"/>
      <c r="M22" s="52">
        <f>SUM(M23:M24)</f>
        <v>2241</v>
      </c>
    </row>
    <row r="23" spans="2:13" ht="15.75" thickBot="1" x14ac:dyDescent="0.3">
      <c r="B23" s="3" t="s">
        <v>113</v>
      </c>
      <c r="C23" s="3"/>
      <c r="D23" s="3"/>
      <c r="E23" s="52">
        <v>112000</v>
      </c>
      <c r="F23" s="3" t="s">
        <v>119</v>
      </c>
      <c r="G23" s="3"/>
      <c r="H23" s="3"/>
      <c r="I23" s="3"/>
      <c r="J23" s="3" t="s">
        <v>113</v>
      </c>
      <c r="K23" s="3"/>
      <c r="L23" s="3"/>
      <c r="M23" s="52">
        <f>F20*M19+0.125*(F20*M19)</f>
        <v>1494</v>
      </c>
    </row>
    <row r="24" spans="2:13" ht="15.75" thickBot="1" x14ac:dyDescent="0.3">
      <c r="B24" s="3" t="s">
        <v>114</v>
      </c>
      <c r="C24" s="3"/>
      <c r="D24" s="3"/>
      <c r="E24" s="52">
        <v>70000</v>
      </c>
      <c r="F24" s="53">
        <f>E26/E25</f>
        <v>0.2</v>
      </c>
      <c r="G24" s="3"/>
      <c r="H24" s="3"/>
      <c r="I24" s="3"/>
      <c r="J24" s="3" t="s">
        <v>114</v>
      </c>
      <c r="K24" s="3"/>
      <c r="L24" s="3"/>
      <c r="M24" s="52">
        <f>F22*M19-0.1*(F22*M19)</f>
        <v>747</v>
      </c>
    </row>
    <row r="25" spans="2:13" ht="15.75" thickBot="1" x14ac:dyDescent="0.3">
      <c r="B25" s="110" t="s">
        <v>22</v>
      </c>
      <c r="C25" s="110"/>
      <c r="D25" s="110"/>
      <c r="E25" s="111">
        <f>SUM(E21:E22)</f>
        <v>1050000</v>
      </c>
      <c r="J25" s="110" t="s">
        <v>22</v>
      </c>
      <c r="K25" s="110"/>
      <c r="L25" s="110"/>
      <c r="M25" s="111">
        <f>SUM(M21:M22)</f>
        <v>12782</v>
      </c>
    </row>
    <row r="26" spans="2:13" ht="15.75" thickBot="1" x14ac:dyDescent="0.3">
      <c r="B26" s="3" t="s">
        <v>23</v>
      </c>
      <c r="C26" s="3"/>
      <c r="D26" s="3"/>
      <c r="E26" s="52">
        <v>210000</v>
      </c>
      <c r="J26" s="3" t="s">
        <v>23</v>
      </c>
      <c r="K26" s="3"/>
      <c r="L26" s="3"/>
      <c r="M26" s="52">
        <f>F24*M25</f>
        <v>2556.4</v>
      </c>
    </row>
    <row r="27" spans="2:13" ht="15.75" thickBot="1" x14ac:dyDescent="0.3">
      <c r="B27" s="110" t="s">
        <v>62</v>
      </c>
      <c r="C27" s="110"/>
      <c r="D27" s="110"/>
      <c r="E27" s="111">
        <f>SUM(E25:E26)</f>
        <v>1260000</v>
      </c>
      <c r="J27" s="110" t="s">
        <v>62</v>
      </c>
      <c r="K27" s="110"/>
      <c r="L27" s="110"/>
      <c r="M27" s="111">
        <f>SUM(M25:M26)</f>
        <v>15338.4</v>
      </c>
    </row>
  </sheetData>
  <mergeCells count="4">
    <mergeCell ref="B13:E13"/>
    <mergeCell ref="B14:D14"/>
    <mergeCell ref="J13:M13"/>
    <mergeCell ref="J14:L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92B5-58AB-4751-9128-80D1E6C21344}">
  <dimension ref="B1:P14"/>
  <sheetViews>
    <sheetView zoomScale="90" zoomScaleNormal="90" workbookViewId="0">
      <selection activeCell="E12" sqref="E12"/>
    </sheetView>
  </sheetViews>
  <sheetFormatPr defaultRowHeight="15" x14ac:dyDescent="0.25"/>
  <cols>
    <col min="1" max="1" width="1.85546875" customWidth="1"/>
    <col min="4" max="4" width="11.7109375" customWidth="1"/>
    <col min="10" max="10" width="13.5703125" customWidth="1"/>
  </cols>
  <sheetData>
    <row r="1" spans="2:16" ht="23.25" x14ac:dyDescent="0.35">
      <c r="B1" s="57" t="s">
        <v>148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3" spans="2:16" ht="18.75" x14ac:dyDescent="0.3">
      <c r="B3" s="58" t="s">
        <v>91</v>
      </c>
      <c r="C3" s="58"/>
      <c r="D3" s="59" t="s">
        <v>121</v>
      </c>
      <c r="E3" s="58" t="s">
        <v>134</v>
      </c>
      <c r="F3" s="58"/>
      <c r="G3" s="58"/>
      <c r="H3" s="58"/>
      <c r="I3" s="58"/>
      <c r="J3" s="59" t="s">
        <v>133</v>
      </c>
      <c r="K3" s="59" t="s">
        <v>143</v>
      </c>
      <c r="L3" s="59" t="s">
        <v>144</v>
      </c>
      <c r="M3" s="59" t="s">
        <v>145</v>
      </c>
      <c r="N3" s="59" t="s">
        <v>146</v>
      </c>
      <c r="O3" s="59" t="s">
        <v>147</v>
      </c>
      <c r="P3" s="59" t="s">
        <v>122</v>
      </c>
    </row>
    <row r="4" spans="2:16" x14ac:dyDescent="0.25">
      <c r="B4" s="3" t="s">
        <v>123</v>
      </c>
      <c r="C4" s="3"/>
      <c r="D4" s="3" t="s">
        <v>124</v>
      </c>
      <c r="E4" s="3" t="s">
        <v>125</v>
      </c>
      <c r="F4" s="3" t="s">
        <v>125</v>
      </c>
      <c r="G4" s="3" t="s">
        <v>125</v>
      </c>
      <c r="H4" s="3" t="s">
        <v>125</v>
      </c>
      <c r="I4" s="3" t="s">
        <v>125</v>
      </c>
      <c r="J4" s="3" t="s">
        <v>125</v>
      </c>
      <c r="K4" s="54">
        <v>950</v>
      </c>
      <c r="L4" s="54">
        <v>1200</v>
      </c>
      <c r="M4" s="54">
        <v>200</v>
      </c>
      <c r="N4" s="54">
        <v>1500</v>
      </c>
      <c r="O4" s="54">
        <v>400</v>
      </c>
      <c r="P4" s="54">
        <f>SUM(K4:O4)</f>
        <v>4250</v>
      </c>
    </row>
    <row r="5" spans="2:16" x14ac:dyDescent="0.25">
      <c r="B5" s="3" t="s">
        <v>126</v>
      </c>
      <c r="C5" s="3"/>
      <c r="D5" s="3" t="s">
        <v>124</v>
      </c>
      <c r="E5" s="3" t="s">
        <v>125</v>
      </c>
      <c r="F5" s="3" t="s">
        <v>125</v>
      </c>
      <c r="G5" s="3" t="s">
        <v>125</v>
      </c>
      <c r="H5" s="3" t="s">
        <v>125</v>
      </c>
      <c r="I5" s="3" t="s">
        <v>125</v>
      </c>
      <c r="J5" s="3" t="s">
        <v>125</v>
      </c>
      <c r="K5" s="54">
        <v>900</v>
      </c>
      <c r="L5" s="54">
        <v>1100</v>
      </c>
      <c r="M5" s="54">
        <v>300</v>
      </c>
      <c r="N5" s="54">
        <v>1000</v>
      </c>
      <c r="O5" s="54">
        <v>650</v>
      </c>
      <c r="P5" s="54">
        <f t="shared" ref="P5:P12" si="0">SUM(K5:O5)</f>
        <v>3950</v>
      </c>
    </row>
    <row r="6" spans="2:16" x14ac:dyDescent="0.25">
      <c r="B6" s="3" t="s">
        <v>127</v>
      </c>
      <c r="C6" s="3"/>
      <c r="D6" s="3" t="s">
        <v>132</v>
      </c>
      <c r="E6" s="56">
        <v>40</v>
      </c>
      <c r="F6" s="56">
        <v>44</v>
      </c>
      <c r="G6" s="56">
        <v>16</v>
      </c>
      <c r="H6" s="56">
        <v>15</v>
      </c>
      <c r="I6" s="56">
        <v>5</v>
      </c>
      <c r="J6" s="56">
        <f>SUM(E6:I6)</f>
        <v>120</v>
      </c>
      <c r="K6" s="54">
        <f>6000*E6/$J$6</f>
        <v>2000</v>
      </c>
      <c r="L6" s="54">
        <f t="shared" ref="L6:O6" si="1">6000*F6/$J$6</f>
        <v>2200</v>
      </c>
      <c r="M6" s="54">
        <f t="shared" si="1"/>
        <v>800</v>
      </c>
      <c r="N6" s="54">
        <f t="shared" si="1"/>
        <v>750</v>
      </c>
      <c r="O6" s="54">
        <f t="shared" si="1"/>
        <v>250</v>
      </c>
      <c r="P6" s="54">
        <f t="shared" si="0"/>
        <v>6000</v>
      </c>
    </row>
    <row r="7" spans="2:16" x14ac:dyDescent="0.25">
      <c r="B7" s="3" t="s">
        <v>128</v>
      </c>
      <c r="C7" s="3"/>
      <c r="D7" s="3" t="s">
        <v>135</v>
      </c>
      <c r="E7" s="56">
        <v>4</v>
      </c>
      <c r="F7" s="56">
        <v>4</v>
      </c>
      <c r="G7" s="56">
        <v>3</v>
      </c>
      <c r="H7" s="56">
        <v>2</v>
      </c>
      <c r="I7" s="56">
        <v>1</v>
      </c>
      <c r="J7" s="56">
        <f>SUM(E7:I7)</f>
        <v>14</v>
      </c>
      <c r="K7" s="54">
        <f>2800*E7/$J$7</f>
        <v>800</v>
      </c>
      <c r="L7" s="54">
        <f t="shared" ref="L7:O7" si="2">2800*F7/$J$7</f>
        <v>800</v>
      </c>
      <c r="M7" s="54">
        <f t="shared" si="2"/>
        <v>600</v>
      </c>
      <c r="N7" s="54">
        <f t="shared" si="2"/>
        <v>400</v>
      </c>
      <c r="O7" s="54">
        <f t="shared" si="2"/>
        <v>200</v>
      </c>
      <c r="P7" s="54">
        <f t="shared" si="0"/>
        <v>2800</v>
      </c>
    </row>
    <row r="8" spans="2:16" x14ac:dyDescent="0.25">
      <c r="B8" s="3" t="s">
        <v>129</v>
      </c>
      <c r="C8" s="3"/>
      <c r="D8" s="3" t="s">
        <v>136</v>
      </c>
      <c r="E8" s="56">
        <v>5</v>
      </c>
      <c r="F8" s="56">
        <v>6</v>
      </c>
      <c r="G8" s="56">
        <v>4</v>
      </c>
      <c r="H8" s="56">
        <v>3</v>
      </c>
      <c r="I8" s="56">
        <v>2</v>
      </c>
      <c r="J8" s="56">
        <f>SUM(E8:I8)</f>
        <v>20</v>
      </c>
      <c r="K8" s="54">
        <f>1000*E8/$J$8</f>
        <v>250</v>
      </c>
      <c r="L8" s="54">
        <f t="shared" ref="L8:O8" si="3">1000*F8/$J$8</f>
        <v>300</v>
      </c>
      <c r="M8" s="54">
        <f t="shared" si="3"/>
        <v>200</v>
      </c>
      <c r="N8" s="54">
        <f t="shared" si="3"/>
        <v>150</v>
      </c>
      <c r="O8" s="54">
        <f t="shared" si="3"/>
        <v>100</v>
      </c>
      <c r="P8" s="54">
        <f t="shared" si="0"/>
        <v>1000</v>
      </c>
    </row>
    <row r="9" spans="2:16" x14ac:dyDescent="0.25">
      <c r="B9" s="3" t="s">
        <v>130</v>
      </c>
      <c r="C9" s="3"/>
      <c r="D9" s="3" t="s">
        <v>137</v>
      </c>
      <c r="E9" s="56">
        <v>9</v>
      </c>
      <c r="F9" s="56">
        <v>12</v>
      </c>
      <c r="G9" s="56">
        <v>3</v>
      </c>
      <c r="H9" s="56">
        <v>4</v>
      </c>
      <c r="I9" s="56">
        <v>2</v>
      </c>
      <c r="J9" s="56">
        <f>SUM(E9:I9)</f>
        <v>30</v>
      </c>
      <c r="K9" s="54">
        <f>3000*E9/$J$9</f>
        <v>900</v>
      </c>
      <c r="L9" s="54">
        <f t="shared" ref="L9:O9" si="4">3000*F9/$J$9</f>
        <v>1200</v>
      </c>
      <c r="M9" s="54">
        <f t="shared" si="4"/>
        <v>300</v>
      </c>
      <c r="N9" s="54">
        <f t="shared" si="4"/>
        <v>400</v>
      </c>
      <c r="O9" s="54">
        <f t="shared" si="4"/>
        <v>200</v>
      </c>
      <c r="P9" s="54">
        <f t="shared" si="0"/>
        <v>3000</v>
      </c>
    </row>
    <row r="10" spans="2:16" x14ac:dyDescent="0.25">
      <c r="B10" s="55" t="s">
        <v>131</v>
      </c>
      <c r="C10" s="3"/>
      <c r="D10" s="3" t="s">
        <v>136</v>
      </c>
      <c r="E10" s="56"/>
      <c r="F10" s="56"/>
      <c r="G10" s="56"/>
      <c r="H10" s="56"/>
      <c r="I10" s="56"/>
      <c r="J10" s="56"/>
      <c r="K10" s="54">
        <f>100000*0.06/12</f>
        <v>500</v>
      </c>
      <c r="L10" s="54">
        <f>120000*0.06/12</f>
        <v>600</v>
      </c>
      <c r="M10" s="54">
        <f>80000*0.06/12</f>
        <v>400</v>
      </c>
      <c r="N10" s="54">
        <f>60000*0.06/12</f>
        <v>300</v>
      </c>
      <c r="O10" s="54">
        <f>40000*0.06/12</f>
        <v>200</v>
      </c>
      <c r="P10" s="54">
        <f t="shared" si="0"/>
        <v>2000</v>
      </c>
    </row>
    <row r="11" spans="2:16" x14ac:dyDescent="0.25">
      <c r="B11" s="3" t="s">
        <v>122</v>
      </c>
      <c r="C11" s="3"/>
      <c r="D11" s="3"/>
      <c r="E11" s="56"/>
      <c r="F11" s="56"/>
      <c r="G11" s="56"/>
      <c r="H11" s="56"/>
      <c r="I11" s="56"/>
      <c r="J11" s="56"/>
      <c r="K11" s="54">
        <f>SUM(K4:K10)</f>
        <v>6300</v>
      </c>
      <c r="L11" s="54">
        <f t="shared" ref="L11:P11" si="5">SUM(L4:L10)</f>
        <v>7400</v>
      </c>
      <c r="M11" s="54">
        <f t="shared" si="5"/>
        <v>2800</v>
      </c>
      <c r="N11" s="54">
        <f t="shared" si="5"/>
        <v>4500</v>
      </c>
      <c r="O11" s="54">
        <f t="shared" si="5"/>
        <v>2000</v>
      </c>
      <c r="P11" s="54">
        <f t="shared" si="5"/>
        <v>23000</v>
      </c>
    </row>
    <row r="12" spans="2:16" x14ac:dyDescent="0.25">
      <c r="B12" s="3" t="s">
        <v>139</v>
      </c>
      <c r="C12" s="3"/>
      <c r="D12" s="3" t="s">
        <v>140</v>
      </c>
      <c r="E12" s="56">
        <v>18</v>
      </c>
      <c r="F12" s="56">
        <v>16</v>
      </c>
      <c r="G12" s="56">
        <v>11</v>
      </c>
      <c r="H12" s="56">
        <v>0</v>
      </c>
      <c r="I12" s="56">
        <v>0</v>
      </c>
      <c r="J12" s="56">
        <f>SUM(E12:I12)</f>
        <v>45</v>
      </c>
      <c r="K12" s="54">
        <f>$N$11*E12/$J$12</f>
        <v>1800</v>
      </c>
      <c r="L12" s="54">
        <f t="shared" ref="L12:M12" si="6">$N$11*F12/$J$12</f>
        <v>1600</v>
      </c>
      <c r="M12" s="54">
        <f t="shared" si="6"/>
        <v>1100</v>
      </c>
      <c r="N12" s="54">
        <v>-4500</v>
      </c>
      <c r="O12" s="54">
        <v>0</v>
      </c>
      <c r="P12" s="54">
        <f t="shared" si="0"/>
        <v>0</v>
      </c>
    </row>
    <row r="13" spans="2:16" x14ac:dyDescent="0.25">
      <c r="B13" s="3" t="s">
        <v>141</v>
      </c>
      <c r="C13" s="3"/>
      <c r="D13" s="3" t="s">
        <v>142</v>
      </c>
      <c r="E13" s="56">
        <v>9</v>
      </c>
      <c r="F13" s="56">
        <v>6</v>
      </c>
      <c r="G13" s="56">
        <v>5</v>
      </c>
      <c r="H13" s="56">
        <v>0</v>
      </c>
      <c r="I13" s="56">
        <v>0</v>
      </c>
      <c r="J13" s="56">
        <f>SUM(E13:I13)</f>
        <v>20</v>
      </c>
      <c r="K13" s="54">
        <f>$O$11*E13/$J$13</f>
        <v>900</v>
      </c>
      <c r="L13" s="54">
        <f t="shared" ref="L13:M13" si="7">$O$11*F13/$J$13</f>
        <v>600</v>
      </c>
      <c r="M13" s="54">
        <f t="shared" si="7"/>
        <v>500</v>
      </c>
      <c r="N13" s="54">
        <v>0</v>
      </c>
      <c r="O13" s="54">
        <v>-2000</v>
      </c>
      <c r="P13" s="54">
        <v>0</v>
      </c>
    </row>
    <row r="14" spans="2:16" x14ac:dyDescent="0.25">
      <c r="B14" s="60" t="s">
        <v>122</v>
      </c>
      <c r="C14" s="60"/>
      <c r="D14" s="60"/>
      <c r="E14" s="60"/>
      <c r="F14" s="60"/>
      <c r="G14" s="60"/>
      <c r="H14" s="60"/>
      <c r="I14" s="60"/>
      <c r="J14" s="60"/>
      <c r="K14" s="61">
        <f>SUM(K11:K13)</f>
        <v>9000</v>
      </c>
      <c r="L14" s="61">
        <f t="shared" ref="L14:P14" si="8">SUM(L11:L13)</f>
        <v>9600</v>
      </c>
      <c r="M14" s="61">
        <f t="shared" si="8"/>
        <v>4400</v>
      </c>
      <c r="N14" s="61">
        <f t="shared" si="8"/>
        <v>0</v>
      </c>
      <c r="O14" s="61">
        <f t="shared" si="8"/>
        <v>0</v>
      </c>
      <c r="P14" s="61">
        <f t="shared" si="8"/>
        <v>23000</v>
      </c>
    </row>
  </sheetData>
  <mergeCells count="3">
    <mergeCell ref="B3:C3"/>
    <mergeCell ref="E3:I3"/>
    <mergeCell ref="B1:P1"/>
  </mergeCells>
  <hyperlinks>
    <hyperlink ref="B10" r:id="rId1" display="Depreciation@6%" xr:uid="{C96FC281-241E-4EDD-9AA5-7CD077105AEB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99EA-801A-4A83-8F45-F525ED5E9B84}">
  <dimension ref="A1:Q20"/>
  <sheetViews>
    <sheetView workbookViewId="0">
      <selection activeCell="N12" sqref="N12"/>
    </sheetView>
  </sheetViews>
  <sheetFormatPr defaultRowHeight="15" x14ac:dyDescent="0.25"/>
  <cols>
    <col min="1" max="1" width="1.85546875" customWidth="1"/>
    <col min="4" max="4" width="11.5703125" customWidth="1"/>
    <col min="5" max="5" width="10.85546875" customWidth="1"/>
    <col min="6" max="6" width="10.7109375" customWidth="1"/>
    <col min="7" max="7" width="12.140625" bestFit="1" customWidth="1"/>
    <col min="9" max="9" width="14.42578125" bestFit="1" customWidth="1"/>
    <col min="10" max="10" width="7.5703125" bestFit="1" customWidth="1"/>
    <col min="11" max="11" width="15.5703125" bestFit="1" customWidth="1"/>
    <col min="12" max="12" width="16.7109375" customWidth="1"/>
    <col min="13" max="13" width="15.5703125" bestFit="1" customWidth="1"/>
    <col min="14" max="14" width="7.5703125" bestFit="1" customWidth="1"/>
    <col min="16" max="16" width="16.5703125" customWidth="1"/>
    <col min="17" max="17" width="10.140625" bestFit="1" customWidth="1"/>
  </cols>
  <sheetData>
    <row r="1" spans="1:17" x14ac:dyDescent="0.25">
      <c r="A1" s="23"/>
      <c r="B1" s="76" t="s">
        <v>172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/>
    </row>
    <row r="2" spans="1:17" ht="15.75" thickBot="1" x14ac:dyDescent="0.3">
      <c r="A2" s="11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</row>
    <row r="3" spans="1:17" x14ac:dyDescent="0.25">
      <c r="A3" s="29"/>
      <c r="B3" s="29"/>
      <c r="C3" s="29"/>
      <c r="D3" s="29"/>
      <c r="E3" s="29"/>
      <c r="F3" s="29"/>
      <c r="G3" s="24"/>
      <c r="H3" s="11"/>
      <c r="I3" s="11"/>
      <c r="J3" s="11"/>
      <c r="K3" s="11"/>
      <c r="L3" s="11"/>
      <c r="O3" s="11"/>
    </row>
    <row r="4" spans="1:17" x14ac:dyDescent="0.25">
      <c r="A4" s="3"/>
      <c r="B4" s="3"/>
      <c r="C4" s="3"/>
      <c r="D4" s="3"/>
      <c r="E4" s="3"/>
      <c r="F4" s="3"/>
      <c r="G4" s="3"/>
      <c r="H4" s="11"/>
      <c r="I4" s="62" t="s">
        <v>149</v>
      </c>
      <c r="J4" s="3"/>
      <c r="K4" s="62" t="s">
        <v>155</v>
      </c>
      <c r="L4" s="3"/>
      <c r="O4" s="11"/>
    </row>
    <row r="5" spans="1:17" x14ac:dyDescent="0.25">
      <c r="A5" s="3"/>
      <c r="B5" s="3" t="s">
        <v>156</v>
      </c>
      <c r="C5" s="3"/>
      <c r="D5" s="3" t="s">
        <v>157</v>
      </c>
      <c r="E5" s="3"/>
      <c r="F5" s="3"/>
      <c r="G5" s="63">
        <f>Total_overhead/Machine_hr.</f>
        <v>2.4</v>
      </c>
      <c r="H5" s="11"/>
      <c r="I5" s="62" t="s">
        <v>150</v>
      </c>
      <c r="J5" s="64">
        <v>72000</v>
      </c>
      <c r="K5" s="62" t="s">
        <v>166</v>
      </c>
      <c r="L5" s="64">
        <v>4000</v>
      </c>
      <c r="O5" s="11"/>
    </row>
    <row r="6" spans="1:17" x14ac:dyDescent="0.25">
      <c r="A6" s="3"/>
      <c r="B6" s="3"/>
      <c r="C6" s="3"/>
      <c r="D6" s="3"/>
      <c r="E6" s="3"/>
      <c r="F6" s="3"/>
      <c r="G6" s="3"/>
      <c r="H6" s="11"/>
      <c r="I6" s="62" t="s">
        <v>151</v>
      </c>
      <c r="J6" s="64">
        <v>60000</v>
      </c>
      <c r="K6" s="62" t="s">
        <v>167</v>
      </c>
      <c r="L6" s="64">
        <v>3300</v>
      </c>
      <c r="O6" s="11"/>
    </row>
    <row r="7" spans="1:17" x14ac:dyDescent="0.25">
      <c r="A7" s="3"/>
      <c r="B7" s="3" t="s">
        <v>158</v>
      </c>
      <c r="C7" s="3"/>
      <c r="D7" s="3" t="s">
        <v>159</v>
      </c>
      <c r="E7" s="3"/>
      <c r="F7" s="3"/>
      <c r="G7" s="65">
        <f>Total_overhead/Labour_hr.</f>
        <v>2</v>
      </c>
      <c r="H7" s="11"/>
      <c r="I7" s="62" t="s">
        <v>152</v>
      </c>
      <c r="J7" s="3">
        <v>20000</v>
      </c>
      <c r="K7" s="62" t="s">
        <v>168</v>
      </c>
      <c r="L7" s="3">
        <v>1200</v>
      </c>
      <c r="O7" s="11"/>
    </row>
    <row r="8" spans="1:17" ht="15" customHeight="1" x14ac:dyDescent="0.4">
      <c r="A8" s="3"/>
      <c r="B8" s="3"/>
      <c r="C8" s="3"/>
      <c r="D8" s="3"/>
      <c r="E8" s="66"/>
      <c r="F8" s="3"/>
      <c r="G8" s="3"/>
      <c r="H8" s="11"/>
      <c r="I8" s="62" t="s">
        <v>153</v>
      </c>
      <c r="J8" s="3">
        <v>24000</v>
      </c>
      <c r="K8" s="62" t="s">
        <v>169</v>
      </c>
      <c r="L8" s="3">
        <v>1650</v>
      </c>
      <c r="O8" s="11"/>
    </row>
    <row r="9" spans="1:17" x14ac:dyDescent="0.25">
      <c r="A9" s="3"/>
      <c r="B9" s="3" t="s">
        <v>160</v>
      </c>
      <c r="C9" s="3"/>
      <c r="D9" s="3" t="s">
        <v>163</v>
      </c>
      <c r="E9" s="3"/>
      <c r="F9" s="3"/>
      <c r="G9" s="67">
        <f>Total_overhead/Material_Qty</f>
        <v>4.8</v>
      </c>
      <c r="H9" s="11"/>
      <c r="I9" s="62" t="s">
        <v>154</v>
      </c>
      <c r="J9" s="3">
        <v>10000</v>
      </c>
      <c r="K9" s="62" t="s">
        <v>170</v>
      </c>
      <c r="L9" s="3">
        <v>600</v>
      </c>
      <c r="O9" s="11"/>
    </row>
    <row r="10" spans="1:17" x14ac:dyDescent="0.25">
      <c r="A10" s="3"/>
      <c r="B10" s="3"/>
      <c r="C10" s="3"/>
      <c r="D10" s="3"/>
      <c r="E10" s="3"/>
      <c r="F10" s="3"/>
      <c r="G10" s="3"/>
      <c r="H10" s="11"/>
      <c r="I10" s="62" t="s">
        <v>171</v>
      </c>
      <c r="J10" s="3">
        <v>48000</v>
      </c>
      <c r="K10" s="62"/>
      <c r="L10" s="3"/>
      <c r="O10" s="11"/>
    </row>
    <row r="11" spans="1:17" x14ac:dyDescent="0.25">
      <c r="A11" s="3"/>
      <c r="B11" s="3" t="s">
        <v>161</v>
      </c>
      <c r="C11" s="3"/>
      <c r="D11" s="3" t="s">
        <v>165</v>
      </c>
      <c r="E11" s="3"/>
      <c r="F11" s="3"/>
      <c r="G11" s="53">
        <f>Total_overhead/Material</f>
        <v>0.66666666666666663</v>
      </c>
      <c r="H11" s="11"/>
      <c r="I11" s="11"/>
      <c r="J11" s="11"/>
      <c r="K11" s="11"/>
      <c r="L11" s="11"/>
      <c r="O11" s="11"/>
    </row>
    <row r="12" spans="1:17" x14ac:dyDescent="0.25">
      <c r="A12" s="3"/>
      <c r="B12" s="3"/>
      <c r="C12" s="3"/>
      <c r="D12" s="3"/>
      <c r="E12" s="3"/>
      <c r="F12" s="3"/>
      <c r="G12" s="53"/>
      <c r="H12" s="11"/>
      <c r="I12" s="11"/>
      <c r="J12" s="11"/>
      <c r="K12" s="11"/>
      <c r="L12" s="11"/>
      <c r="O12" s="11"/>
    </row>
    <row r="13" spans="1:17" x14ac:dyDescent="0.25">
      <c r="A13" s="3"/>
      <c r="B13" s="3" t="s">
        <v>162</v>
      </c>
      <c r="C13" s="3"/>
      <c r="D13" s="3" t="s">
        <v>164</v>
      </c>
      <c r="E13" s="3"/>
      <c r="F13" s="3"/>
      <c r="G13" s="53">
        <f>Total_overhead/Wages</f>
        <v>0.8</v>
      </c>
      <c r="H13" s="11"/>
      <c r="I13" s="11"/>
      <c r="J13" s="11"/>
      <c r="K13" s="11"/>
      <c r="L13" s="11"/>
      <c r="O13" s="11"/>
    </row>
    <row r="14" spans="1:17" x14ac:dyDescent="0.25">
      <c r="A14" s="3"/>
      <c r="B14" s="3"/>
      <c r="C14" s="3"/>
      <c r="D14" s="3"/>
      <c r="E14" s="3"/>
      <c r="F14" s="3"/>
      <c r="G14" s="23"/>
      <c r="H14" s="11"/>
      <c r="I14" s="11"/>
      <c r="J14" s="11"/>
      <c r="K14" s="11"/>
      <c r="L14" s="11"/>
      <c r="O14" s="11"/>
    </row>
    <row r="15" spans="1:17" x14ac:dyDescent="0.25">
      <c r="A15" s="10"/>
      <c r="B15" s="71" t="s">
        <v>91</v>
      </c>
      <c r="C15" s="71"/>
      <c r="D15" s="71" t="str">
        <f>B5</f>
        <v>Machine hr. Rate</v>
      </c>
      <c r="E15" s="71"/>
      <c r="F15" s="75" t="str">
        <f>B7</f>
        <v>Labour hr. Rate</v>
      </c>
      <c r="G15" s="71"/>
      <c r="H15" s="71" t="str">
        <f>B9</f>
        <v xml:space="preserve">Material Qty Rate </v>
      </c>
      <c r="I15" s="71"/>
      <c r="J15" s="71" t="str">
        <f>B11</f>
        <v>Material Lost Rate</v>
      </c>
      <c r="K15" s="71"/>
      <c r="L15" s="71" t="str">
        <f>B13</f>
        <v>Labour Cost Rate</v>
      </c>
      <c r="O15" s="11"/>
    </row>
    <row r="16" spans="1:17" x14ac:dyDescent="0.25">
      <c r="A16" s="3"/>
      <c r="B16" s="62" t="s">
        <v>150</v>
      </c>
      <c r="C16" s="3"/>
      <c r="D16" s="3">
        <f>Job_Material</f>
        <v>4000</v>
      </c>
      <c r="E16" s="3"/>
      <c r="F16" s="3">
        <f>Job_Material</f>
        <v>4000</v>
      </c>
      <c r="G16" s="29"/>
      <c r="H16" s="29">
        <f>Job_Material</f>
        <v>4000</v>
      </c>
      <c r="I16" s="29"/>
      <c r="J16" s="29">
        <f>Job_Material</f>
        <v>4000</v>
      </c>
      <c r="K16" s="29"/>
      <c r="L16" s="29">
        <f>Job_Material</f>
        <v>4000</v>
      </c>
      <c r="M16" s="11"/>
      <c r="N16" s="11"/>
      <c r="O16" s="11"/>
    </row>
    <row r="17" spans="1:17" x14ac:dyDescent="0.25">
      <c r="A17" s="3"/>
      <c r="B17" s="62" t="s">
        <v>151</v>
      </c>
      <c r="C17" s="3"/>
      <c r="D17" s="3">
        <f>Job_Wages</f>
        <v>3300</v>
      </c>
      <c r="E17" s="3"/>
      <c r="F17" s="3">
        <f>Job_Wages</f>
        <v>3300</v>
      </c>
      <c r="G17" s="3"/>
      <c r="H17" s="3">
        <f>Job_Wages</f>
        <v>3300</v>
      </c>
      <c r="I17" s="3"/>
      <c r="J17" s="3">
        <f>Job_Wages</f>
        <v>3300</v>
      </c>
      <c r="K17" s="3"/>
      <c r="L17" s="3">
        <f>Job_Wages</f>
        <v>3300</v>
      </c>
      <c r="M17" s="11"/>
      <c r="N17" s="11"/>
      <c r="O17" s="11"/>
    </row>
    <row r="18" spans="1:17" x14ac:dyDescent="0.25">
      <c r="A18" s="3"/>
      <c r="B18" s="69" t="s">
        <v>173</v>
      </c>
      <c r="C18" s="69"/>
      <c r="D18" s="70">
        <f>SUM(D16:D17)</f>
        <v>7300</v>
      </c>
      <c r="E18" s="70"/>
      <c r="F18" s="70">
        <f>SUM(F16:F17)</f>
        <v>7300</v>
      </c>
      <c r="G18" s="70"/>
      <c r="H18" s="70">
        <f>SUM(H16:H17)</f>
        <v>7300</v>
      </c>
      <c r="I18" s="70"/>
      <c r="J18" s="70">
        <f>SUM(J16:J17)</f>
        <v>7300</v>
      </c>
      <c r="K18" s="70"/>
      <c r="L18" s="70">
        <f>SUM(L16:L17)</f>
        <v>7300</v>
      </c>
      <c r="N18" s="11"/>
      <c r="O18" s="11"/>
      <c r="P18" s="11"/>
      <c r="Q18" s="11"/>
    </row>
    <row r="19" spans="1:17" ht="15.75" thickBot="1" x14ac:dyDescent="0.3">
      <c r="A19" s="3"/>
      <c r="B19" s="8" t="s">
        <v>174</v>
      </c>
      <c r="C19" s="8">
        <f>Job_Machine_hr.</f>
        <v>1200</v>
      </c>
      <c r="D19" s="8">
        <f>Job_Machine_hr.*G5</f>
        <v>2880</v>
      </c>
      <c r="E19" s="8">
        <f>Job_Labour_hr.</f>
        <v>1650</v>
      </c>
      <c r="F19" s="8">
        <f>Job_Labour_hr.*G7</f>
        <v>3300</v>
      </c>
      <c r="G19" s="8">
        <f>Job_Material_Qty</f>
        <v>600</v>
      </c>
      <c r="H19" s="8">
        <f>G19*G9</f>
        <v>2880</v>
      </c>
      <c r="I19" s="72">
        <f>Job_Material</f>
        <v>4000</v>
      </c>
      <c r="J19" s="8">
        <f>I19*G11</f>
        <v>2666.6666666666665</v>
      </c>
      <c r="K19" s="8">
        <f>Job_Wages</f>
        <v>3300</v>
      </c>
      <c r="L19" s="8">
        <f>K19*G13</f>
        <v>2640</v>
      </c>
      <c r="O19" s="11"/>
      <c r="P19" s="11"/>
      <c r="Q19" s="11"/>
    </row>
    <row r="20" spans="1:17" ht="15.75" thickBot="1" x14ac:dyDescent="0.3">
      <c r="A20" s="3"/>
      <c r="B20" s="73" t="s">
        <v>175</v>
      </c>
      <c r="C20" s="73"/>
      <c r="D20" s="74">
        <f>SUM(D18:D19)</f>
        <v>10180</v>
      </c>
      <c r="E20" s="74"/>
      <c r="F20" s="74">
        <f>SUM(F18:F19)</f>
        <v>10600</v>
      </c>
      <c r="G20" s="74"/>
      <c r="H20" s="74">
        <f>SUM(H18:H19)</f>
        <v>10180</v>
      </c>
      <c r="I20" s="74"/>
      <c r="J20" s="74">
        <f>SUM(J18:J19)</f>
        <v>9966.6666666666661</v>
      </c>
      <c r="K20" s="74"/>
      <c r="L20" s="74">
        <f>SUM(L18:L19)</f>
        <v>9940</v>
      </c>
      <c r="O20" s="11"/>
      <c r="P20" s="11"/>
      <c r="Q20" s="11"/>
    </row>
  </sheetData>
  <mergeCells count="1">
    <mergeCell ref="B1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F2C2-15D6-456C-BFB9-6D331A9D94CF}">
  <dimension ref="B16:M43"/>
  <sheetViews>
    <sheetView topLeftCell="A16" workbookViewId="0">
      <selection activeCell="A18" sqref="A18"/>
    </sheetView>
  </sheetViews>
  <sheetFormatPr defaultRowHeight="15" x14ac:dyDescent="0.25"/>
  <cols>
    <col min="1" max="1" width="1.85546875" customWidth="1"/>
    <col min="2" max="2" width="20.5703125" bestFit="1" customWidth="1"/>
    <col min="3" max="3" width="6.42578125" bestFit="1" customWidth="1"/>
    <col min="4" max="4" width="6" bestFit="1" customWidth="1"/>
    <col min="5" max="5" width="12" bestFit="1" customWidth="1"/>
    <col min="6" max="6" width="19" bestFit="1" customWidth="1"/>
    <col min="7" max="7" width="6.42578125" bestFit="1" customWidth="1"/>
    <col min="8" max="8" width="6" bestFit="1" customWidth="1"/>
    <col min="9" max="9" width="12" bestFit="1" customWidth="1"/>
    <col min="11" max="11" width="57.7109375" bestFit="1" customWidth="1"/>
  </cols>
  <sheetData>
    <row r="16" ht="15.75" thickBot="1" x14ac:dyDescent="0.3"/>
    <row r="17" spans="2:13" x14ac:dyDescent="0.25">
      <c r="B17" s="102" t="s">
        <v>192</v>
      </c>
      <c r="C17" s="103"/>
      <c r="D17" s="103"/>
      <c r="E17" s="103"/>
      <c r="F17" s="103"/>
      <c r="G17" s="103"/>
      <c r="H17" s="103"/>
      <c r="I17" s="104"/>
    </row>
    <row r="18" spans="2:13" ht="15.75" thickBot="1" x14ac:dyDescent="0.3">
      <c r="B18" s="105"/>
      <c r="C18" s="106"/>
      <c r="D18" s="106"/>
      <c r="E18" s="106"/>
      <c r="F18" s="106"/>
      <c r="G18" s="106"/>
      <c r="H18" s="106"/>
      <c r="I18" s="107"/>
    </row>
    <row r="19" spans="2:13" ht="15.75" x14ac:dyDescent="0.25">
      <c r="B19" s="99" t="s">
        <v>176</v>
      </c>
      <c r="C19" s="100" t="s">
        <v>94</v>
      </c>
      <c r="D19" s="100" t="s">
        <v>93</v>
      </c>
      <c r="E19" s="100" t="s">
        <v>2</v>
      </c>
      <c r="F19" s="100" t="s">
        <v>176</v>
      </c>
      <c r="G19" s="100" t="s">
        <v>94</v>
      </c>
      <c r="H19" s="100" t="s">
        <v>93</v>
      </c>
      <c r="I19" s="101" t="s">
        <v>2</v>
      </c>
      <c r="K19" s="96" t="s">
        <v>189</v>
      </c>
    </row>
    <row r="20" spans="2:13" x14ac:dyDescent="0.25">
      <c r="B20" s="85" t="s">
        <v>177</v>
      </c>
      <c r="C20" s="86">
        <v>1</v>
      </c>
      <c r="D20" s="87">
        <v>10000</v>
      </c>
      <c r="E20" s="87">
        <f>PRODUCT(C20:D20)</f>
        <v>10000</v>
      </c>
      <c r="F20" s="87" t="s">
        <v>181</v>
      </c>
      <c r="G20" s="86">
        <v>0.25</v>
      </c>
      <c r="H20" s="87">
        <f>3%*E20</f>
        <v>300</v>
      </c>
      <c r="I20" s="88">
        <f>PRODUCT(G20:H20)</f>
        <v>75</v>
      </c>
      <c r="K20" s="96" t="str">
        <f xml:space="preserve"> "Total Cost - Sale of Normal Loss/ Input Qty - Qty of Normal Loss"</f>
        <v>Total Cost - Sale of Normal Loss/ Input Qty - Qty of Normal Loss</v>
      </c>
    </row>
    <row r="21" spans="2:13" x14ac:dyDescent="0.25">
      <c r="B21" s="85" t="s">
        <v>178</v>
      </c>
      <c r="C21" s="87"/>
      <c r="D21" s="87"/>
      <c r="E21" s="87">
        <v>1000</v>
      </c>
      <c r="F21" s="87" t="s">
        <v>182</v>
      </c>
      <c r="G21" s="86">
        <f>$K$22</f>
        <v>1.75</v>
      </c>
      <c r="H21" s="87">
        <v>200</v>
      </c>
      <c r="I21" s="88">
        <f>PRODUCT(G21:H21)</f>
        <v>350</v>
      </c>
      <c r="K21" s="96" t="s">
        <v>190</v>
      </c>
    </row>
    <row r="22" spans="2:13" x14ac:dyDescent="0.25">
      <c r="B22" s="85" t="s">
        <v>179</v>
      </c>
      <c r="C22" s="87"/>
      <c r="D22" s="87"/>
      <c r="E22" s="87">
        <v>5000</v>
      </c>
      <c r="F22" s="87" t="s">
        <v>184</v>
      </c>
      <c r="G22" s="86">
        <f>$K$22</f>
        <v>1.75</v>
      </c>
      <c r="H22" s="87">
        <v>9500</v>
      </c>
      <c r="I22" s="88">
        <f>PRODUCT(G22:H22)</f>
        <v>16625</v>
      </c>
      <c r="K22" s="97">
        <f>(E25-I20)/(E20-H20)</f>
        <v>1.75</v>
      </c>
    </row>
    <row r="23" spans="2:13" ht="15.75" thickBot="1" x14ac:dyDescent="0.3">
      <c r="B23" s="89" t="s">
        <v>180</v>
      </c>
      <c r="C23" s="90"/>
      <c r="D23" s="90"/>
      <c r="E23" s="90">
        <v>1050</v>
      </c>
      <c r="F23" s="90"/>
      <c r="G23" s="90"/>
      <c r="H23" s="90"/>
      <c r="I23" s="91"/>
    </row>
    <row r="24" spans="2:13" ht="15.75" thickBot="1" x14ac:dyDescent="0.3"/>
    <row r="25" spans="2:13" ht="15.75" thickBot="1" x14ac:dyDescent="0.3">
      <c r="B25" s="93" t="s">
        <v>122</v>
      </c>
      <c r="C25" s="94"/>
      <c r="D25" s="94">
        <f>SUM(D20:D24)</f>
        <v>10000</v>
      </c>
      <c r="E25" s="94">
        <f>SUM(E20:E24)</f>
        <v>17050</v>
      </c>
      <c r="F25" s="94"/>
      <c r="G25" s="94"/>
      <c r="H25" s="94">
        <f>SUM(H20:H24)</f>
        <v>10000</v>
      </c>
      <c r="I25" s="95">
        <f>SUM(I20:I24)</f>
        <v>17050</v>
      </c>
    </row>
    <row r="26" spans="2:13" ht="15.75" thickTop="1" x14ac:dyDescent="0.25"/>
    <row r="27" spans="2:13" ht="15.75" x14ac:dyDescent="0.25">
      <c r="B27" s="82" t="s">
        <v>176</v>
      </c>
      <c r="C27" s="83" t="s">
        <v>94</v>
      </c>
      <c r="D27" s="83" t="s">
        <v>93</v>
      </c>
      <c r="E27" s="83" t="s">
        <v>2</v>
      </c>
      <c r="F27" s="83" t="s">
        <v>176</v>
      </c>
      <c r="G27" s="83" t="s">
        <v>94</v>
      </c>
      <c r="H27" s="83" t="s">
        <v>93</v>
      </c>
      <c r="I27" s="84" t="s">
        <v>2</v>
      </c>
      <c r="K27" s="97" t="s">
        <v>191</v>
      </c>
      <c r="M27" s="98">
        <v>27313</v>
      </c>
    </row>
    <row r="28" spans="2:13" x14ac:dyDescent="0.25">
      <c r="B28" s="85" t="s">
        <v>183</v>
      </c>
      <c r="C28" s="87"/>
      <c r="D28" s="87">
        <f>H22</f>
        <v>9500</v>
      </c>
      <c r="E28" s="87">
        <f>I22</f>
        <v>16625</v>
      </c>
      <c r="F28" s="87" t="s">
        <v>181</v>
      </c>
      <c r="G28" s="86">
        <v>0.5</v>
      </c>
      <c r="H28" s="87">
        <f>5%*D28</f>
        <v>475</v>
      </c>
      <c r="I28" s="88">
        <f>H28*G28</f>
        <v>237.5</v>
      </c>
      <c r="K28" s="97" t="str">
        <f xml:space="preserve"> "Total Cost - Sale of Normal Loss/ Input Qty - Qty of Normal Loss"</f>
        <v>Total Cost - Sale of Normal Loss/ Input Qty - Qty of Normal Loss</v>
      </c>
    </row>
    <row r="29" spans="2:13" x14ac:dyDescent="0.25">
      <c r="B29" s="85" t="s">
        <v>185</v>
      </c>
      <c r="C29" s="87"/>
      <c r="D29" s="87"/>
      <c r="E29" s="87">
        <v>1500</v>
      </c>
      <c r="F29" s="87" t="s">
        <v>184</v>
      </c>
      <c r="G29" s="86">
        <f>K29</f>
        <v>3.00005540166205</v>
      </c>
      <c r="H29" s="87">
        <v>9100</v>
      </c>
      <c r="I29" s="88">
        <f>H29*G29</f>
        <v>27300.504155124654</v>
      </c>
      <c r="K29" s="97">
        <f>(M27-I28)/(D28-H28)</f>
        <v>3.00005540166205</v>
      </c>
    </row>
    <row r="30" spans="2:13" x14ac:dyDescent="0.25">
      <c r="B30" s="85" t="s">
        <v>179</v>
      </c>
      <c r="C30" s="87"/>
      <c r="D30" s="87"/>
      <c r="E30" s="87">
        <v>8000</v>
      </c>
      <c r="F30" s="87"/>
      <c r="G30" s="87"/>
      <c r="H30" s="87"/>
      <c r="I30" s="88"/>
    </row>
    <row r="31" spans="2:13" x14ac:dyDescent="0.25">
      <c r="B31" s="85" t="s">
        <v>180</v>
      </c>
      <c r="C31" s="87"/>
      <c r="D31" s="87"/>
      <c r="E31" s="87">
        <v>1188</v>
      </c>
      <c r="F31" s="87"/>
      <c r="G31" s="87"/>
      <c r="H31" s="87"/>
      <c r="I31" s="88"/>
    </row>
    <row r="32" spans="2:13" ht="15.75" thickBot="1" x14ac:dyDescent="0.3">
      <c r="B32" s="89" t="s">
        <v>186</v>
      </c>
      <c r="C32" s="92">
        <f>K29</f>
        <v>3.00005540166205</v>
      </c>
      <c r="D32" s="90">
        <v>75</v>
      </c>
      <c r="E32" s="90">
        <f>D32*C32</f>
        <v>225.00415512465375</v>
      </c>
      <c r="F32" s="90"/>
      <c r="G32" s="90"/>
      <c r="H32" s="90"/>
      <c r="I32" s="91"/>
    </row>
    <row r="33" spans="2:11" ht="15.75" thickBot="1" x14ac:dyDescent="0.3"/>
    <row r="34" spans="2:11" ht="15.75" thickBot="1" x14ac:dyDescent="0.3">
      <c r="B34" s="93" t="s">
        <v>122</v>
      </c>
      <c r="C34" s="94"/>
      <c r="D34" s="94">
        <f>SUM(D28:D32)</f>
        <v>9575</v>
      </c>
      <c r="E34" s="94">
        <f>SUM(E28:E33)</f>
        <v>27538.004155124654</v>
      </c>
      <c r="F34" s="94"/>
      <c r="G34" s="94"/>
      <c r="H34" s="94">
        <f>SUM(H28:H33)</f>
        <v>9575</v>
      </c>
      <c r="I34" s="95">
        <f>SUM(I28:I33)</f>
        <v>27538.004155124654</v>
      </c>
    </row>
    <row r="35" spans="2:11" ht="15.75" thickTop="1" x14ac:dyDescent="0.25"/>
    <row r="36" spans="2:11" ht="15.75" x14ac:dyDescent="0.25">
      <c r="B36" s="82" t="s">
        <v>176</v>
      </c>
      <c r="C36" s="83" t="s">
        <v>94</v>
      </c>
      <c r="D36" s="83" t="s">
        <v>93</v>
      </c>
      <c r="E36" s="83" t="s">
        <v>2</v>
      </c>
      <c r="F36" s="83" t="s">
        <v>176</v>
      </c>
      <c r="G36" s="83" t="s">
        <v>94</v>
      </c>
      <c r="H36" s="83" t="s">
        <v>93</v>
      </c>
      <c r="I36" s="84" t="s">
        <v>2</v>
      </c>
      <c r="K36" s="97" t="s">
        <v>191</v>
      </c>
    </row>
    <row r="37" spans="2:11" x14ac:dyDescent="0.25">
      <c r="B37" s="85" t="s">
        <v>187</v>
      </c>
      <c r="C37" s="87"/>
      <c r="D37" s="87">
        <f>H29</f>
        <v>9100</v>
      </c>
      <c r="E37" s="87">
        <f>I29</f>
        <v>27300.504155124654</v>
      </c>
      <c r="F37" s="87" t="s">
        <v>181</v>
      </c>
      <c r="G37" s="86">
        <v>1</v>
      </c>
      <c r="H37" s="87">
        <f>8%*D37</f>
        <v>728</v>
      </c>
      <c r="I37" s="88">
        <f>PRODUCT(G37:H37)</f>
        <v>728</v>
      </c>
      <c r="K37" s="97" t="str">
        <f xml:space="preserve"> "Total Cost - Sale of Normal Loss/ Input Qty - Qty of Normal Loss"</f>
        <v>Total Cost - Sale of Normal Loss/ Input Qty - Qty of Normal Loss</v>
      </c>
    </row>
    <row r="38" spans="2:11" x14ac:dyDescent="0.25">
      <c r="B38" s="85" t="s">
        <v>185</v>
      </c>
      <c r="C38" s="87"/>
      <c r="D38" s="87"/>
      <c r="E38" s="87">
        <v>500</v>
      </c>
      <c r="F38" s="87" t="s">
        <v>182</v>
      </c>
      <c r="G38" s="86">
        <f>$K$38</f>
        <v>4.2500602191978807</v>
      </c>
      <c r="H38" s="87">
        <f>D37-H39-H37</f>
        <v>272</v>
      </c>
      <c r="I38" s="88">
        <f t="shared" ref="I38:I39" si="0">PRODUCT(G38:H38)</f>
        <v>1156.0163796218235</v>
      </c>
      <c r="K38" s="97">
        <f>(E42-I37)/(D37-H37)</f>
        <v>4.2500602191978807</v>
      </c>
    </row>
    <row r="39" spans="2:11" x14ac:dyDescent="0.25">
      <c r="B39" s="85" t="s">
        <v>179</v>
      </c>
      <c r="C39" s="87"/>
      <c r="D39" s="87"/>
      <c r="E39" s="87">
        <v>6500</v>
      </c>
      <c r="F39" s="87" t="s">
        <v>188</v>
      </c>
      <c r="G39" s="86">
        <f>$K$38</f>
        <v>4.2500602191978807</v>
      </c>
      <c r="H39" s="87">
        <v>8100</v>
      </c>
      <c r="I39" s="88">
        <f t="shared" si="0"/>
        <v>34425.487775502836</v>
      </c>
    </row>
    <row r="40" spans="2:11" ht="15.75" thickBot="1" x14ac:dyDescent="0.3">
      <c r="B40" s="89" t="s">
        <v>180</v>
      </c>
      <c r="C40" s="90"/>
      <c r="D40" s="90"/>
      <c r="E40" s="90">
        <v>2009</v>
      </c>
      <c r="F40" s="90"/>
      <c r="G40" s="90"/>
      <c r="H40" s="90"/>
      <c r="I40" s="91"/>
    </row>
    <row r="41" spans="2:11" ht="15.75" thickBot="1" x14ac:dyDescent="0.3"/>
    <row r="42" spans="2:11" ht="15.75" thickBot="1" x14ac:dyDescent="0.3">
      <c r="B42" s="93" t="s">
        <v>122</v>
      </c>
      <c r="C42" s="94"/>
      <c r="D42" s="94">
        <f>SUM(D37:D41)</f>
        <v>9100</v>
      </c>
      <c r="E42" s="94">
        <f>SUM(E37:E41)</f>
        <v>36309.504155124654</v>
      </c>
      <c r="F42" s="94"/>
      <c r="G42" s="94"/>
      <c r="H42" s="94">
        <f>SUM(H37:H41)</f>
        <v>9100</v>
      </c>
      <c r="I42" s="95">
        <f>SUM(I37:I41)</f>
        <v>36309.504155124661</v>
      </c>
    </row>
    <row r="43" spans="2:11" ht="15.75" thickTop="1" x14ac:dyDescent="0.25"/>
  </sheetData>
  <mergeCells count="1">
    <mergeCell ref="B17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11</vt:i4>
      </vt:variant>
    </vt:vector>
  </HeadingPairs>
  <TitlesOfParts>
    <vt:vector size="30" baseType="lpstr">
      <vt:lpstr>Cost sheet Template</vt:lpstr>
      <vt:lpstr>Cost Sheet Practical </vt:lpstr>
      <vt:lpstr>Cost Sheet Question</vt:lpstr>
      <vt:lpstr>EOQ</vt:lpstr>
      <vt:lpstr>Stock Ledger</vt:lpstr>
      <vt:lpstr>Job Costing</vt:lpstr>
      <vt:lpstr>Overhead Distribution</vt:lpstr>
      <vt:lpstr>Overhead Rates</vt:lpstr>
      <vt:lpstr>Process Costing</vt:lpstr>
      <vt:lpstr>Process Costing With Treatment</vt:lpstr>
      <vt:lpstr>(Equivalent Production)</vt:lpstr>
      <vt:lpstr>Contract Ac i</vt:lpstr>
      <vt:lpstr>Contract Ac ii</vt:lpstr>
      <vt:lpstr>Reconciliation Statement</vt:lpstr>
      <vt:lpstr>Production Budget</vt:lpstr>
      <vt:lpstr>Overheads Budgeting</vt:lpstr>
      <vt:lpstr>Budgeting</vt:lpstr>
      <vt:lpstr>Cash Budgeting</vt:lpstr>
      <vt:lpstr>Cash Budget 2</vt:lpstr>
      <vt:lpstr>Job_Labour_hr.</vt:lpstr>
      <vt:lpstr>Job_Machine_hr.</vt:lpstr>
      <vt:lpstr>Job_Material</vt:lpstr>
      <vt:lpstr>Job_Material_Qty</vt:lpstr>
      <vt:lpstr>Job_Wages</vt:lpstr>
      <vt:lpstr>Labour_hr.</vt:lpstr>
      <vt:lpstr>Machine_hr.</vt:lpstr>
      <vt:lpstr>Material</vt:lpstr>
      <vt:lpstr>Material_Qty</vt:lpstr>
      <vt:lpstr>Total_overhead</vt:lpstr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aqeel</dc:creator>
  <cp:lastModifiedBy>mubashir aqeel</cp:lastModifiedBy>
  <cp:lastPrinted>2023-09-23T19:59:01Z</cp:lastPrinted>
  <dcterms:created xsi:type="dcterms:W3CDTF">2023-09-23T17:43:35Z</dcterms:created>
  <dcterms:modified xsi:type="dcterms:W3CDTF">2023-09-28T06:48:58Z</dcterms:modified>
</cp:coreProperties>
</file>